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omments10.xml" ContentType="application/vnd.openxmlformats-officedocument.spreadsheetml.comments+xml"/>
  <Override PartName="/xl/drawings/drawing11.xml" ContentType="application/vnd.openxmlformats-officedocument.drawing+xml"/>
  <Override PartName="/xl/drawings/drawing12.xml" ContentType="application/vnd.openxmlformats-officedocument.drawing+xml"/>
  <Override PartName="/xl/comments11.xml" ContentType="application/vnd.openxmlformats-officedocument.spreadsheetml.comments+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현재_통합_문서"/>
  <mc:AlternateContent xmlns:mc="http://schemas.openxmlformats.org/markup-compatibility/2006">
    <mc:Choice Requires="x15">
      <x15ac:absPath xmlns:x15ac="http://schemas.microsoft.com/office/spreadsheetml/2010/11/ac" url="C:\Users\jk173\OneDrive\바탕 화면\업무\123. 울트라브이\2026\2Q\"/>
    </mc:Choice>
  </mc:AlternateContent>
  <xr:revisionPtr revIDLastSave="0" documentId="13_ncr:1_{FA5CF8A0-5AB2-4D83-87D9-2B9FC0A16EE2}" xr6:coauthVersionLast="47" xr6:coauthVersionMax="47" xr10:uidLastSave="{00000000-0000-0000-0000-000000000000}"/>
  <bookViews>
    <workbookView xWindow="-120" yWindow="-120" windowWidth="29040" windowHeight="17520" tabRatio="951" firstSheet="44" activeTab="10" xr2:uid="{00000000-000D-0000-FFFF-FFFF00000000}"/>
  </bookViews>
  <sheets>
    <sheet name="A0" sheetId="68" r:id="rId1"/>
    <sheet name="계정코드" sheetId="89" r:id="rId2"/>
    <sheet name="환율" sheetId="123" r:id="rId3"/>
    <sheet name="&gt;&gt;BSPL" sheetId="103" r:id="rId4"/>
    <sheet name="연결PL" sheetId="110" r:id="rId5"/>
    <sheet name="연결PL_IFRS18" sheetId="143" r:id="rId86"/>
    <sheet name="연결CF" sheetId="114" r:id="rId6"/>
    <sheet name="연결CF_IFRS18" sheetId="144" r:id="rId87"/>
    <sheet name="연결CE" sheetId="112" r:id="rId7"/>
    <sheet name="공시PL" sheetId="131" r:id="rId8"/>
    <sheet name="공시PL_IFRS18" sheetId="145" r:id="rId88"/>
    <sheet name="연결BS" sheetId="109" r:id="rId9"/>
    <sheet name="CF정산표" sheetId="73" r:id="rId10"/>
    <sheet name="BS" sheetId="3" r:id="rId11"/>
    <sheet name="PL" sheetId="5" r:id="rId12"/>
    <sheet name="별도정산표" sheetId="95" r:id="rId13"/>
    <sheet name="울트라팜_FS" sheetId="96" state="hidden" r:id="rId14"/>
    <sheet name="ATGC_BS" sheetId="139" r:id="rId15"/>
    <sheet name="ATGC_PL" sheetId="138" r:id="rId16"/>
    <sheet name="HK_BS" sheetId="99" r:id="rId17"/>
    <sheet name="HK_PL" sheetId="100" r:id="rId18"/>
    <sheet name="DHK_BS" sheetId="124" r:id="rId19"/>
    <sheet name="DHK_PL" sheetId="125" r:id="rId20"/>
    <sheet name="상해_BS" sheetId="126" r:id="rId21"/>
    <sheet name="상해_PL" sheetId="127" r:id="rId22"/>
    <sheet name="SG_BS" sheetId="128" r:id="rId23"/>
    <sheet name="SG_PL" sheetId="129" r:id="rId24"/>
    <sheet name="RIC" sheetId="11" r:id="rId25"/>
    <sheet name="ATGC" sheetId="140" r:id="rId26"/>
    <sheet name="HK" sheetId="67" r:id="rId27"/>
    <sheet name="DHK" sheetId="105" r:id="rId28"/>
    <sheet name="상해" sheetId="107" r:id="rId29"/>
    <sheet name="울트라팜" sheetId="14" state="hidden" r:id="rId30"/>
    <sheet name="SG" sheetId="108" r:id="rId31"/>
    <sheet name="환율변동효과" sheetId="115" r:id="rId32"/>
    <sheet name="지분법및기타" sheetId="104" r:id="rId33"/>
    <sheet name="RoS" sheetId="63" r:id="rId34"/>
    <sheet name="NCI" sheetId="20" r:id="rId35"/>
    <sheet name="RIT" sheetId="10" r:id="rId36"/>
    <sheet name="Tax" sheetId="15" r:id="rId37"/>
    <sheet name="유효세율" sheetId="122" r:id="rId38"/>
    <sheet name="지분법계산_에이티지씨" sheetId="136" r:id="rId39"/>
    <sheet name="지분법계산_엠에이치메디" sheetId="130" r:id="rId40"/>
    <sheet name="연결PL3월" sheetId="111" state="hidden" r:id="rId41"/>
    <sheet name="C.FN&gt;&gt;" sheetId="28" r:id="rId42"/>
    <sheet name="주석추가현황_0302" sheetId="134" state="hidden" r:id="rId43"/>
    <sheet name="1" sheetId="87" r:id="rId44"/>
    <sheet name="2" sheetId="88" r:id="rId45"/>
    <sheet name="3" sheetId="85" r:id="rId46"/>
    <sheet name="4" sheetId="84" r:id="rId47"/>
    <sheet name="5" sheetId="76" r:id="rId48"/>
    <sheet name="6" sheetId="116" r:id="rId49"/>
    <sheet name="7" sheetId="33" r:id="rId50"/>
    <sheet name="8" sheetId="82" r:id="rId51"/>
    <sheet name="9" sheetId="35" r:id="rId52"/>
    <sheet name="10" sheetId="36" r:id="rId53"/>
    <sheet name="11" sheetId="86" r:id="rId54"/>
    <sheet name="12" sheetId="39" r:id="rId55"/>
    <sheet name="13" sheetId="40" r:id="rId56"/>
    <sheet name="14" sheetId="41" r:id="rId57"/>
    <sheet name="15" sheetId="42" r:id="rId58"/>
    <sheet name="16" sheetId="43" r:id="rId59"/>
    <sheet name="17" sheetId="44" r:id="rId60"/>
    <sheet name="18" sheetId="46" r:id="rId61"/>
    <sheet name="19" sheetId="47" r:id="rId62"/>
    <sheet name="20" sheetId="48" r:id="rId63"/>
    <sheet name="21" sheetId="56" r:id="rId64"/>
    <sheet name="22" sheetId="49" r:id="rId65"/>
    <sheet name="23" sheetId="117" r:id="rId66"/>
    <sheet name="24" sheetId="53" r:id="rId67"/>
    <sheet name="25" sheetId="50" r:id="rId68"/>
    <sheet name="26" sheetId="51" r:id="rId69"/>
    <sheet name="27" sheetId="119" r:id="rId70"/>
    <sheet name="28" sheetId="52" r:id="rId71"/>
    <sheet name="29" sheetId="54" r:id="rId72"/>
    <sheet name="30" sheetId="55" r:id="rId73"/>
    <sheet name="31" sheetId="120" r:id="rId74"/>
    <sheet name="32" sheetId="57" r:id="rId75"/>
    <sheet name="33" sheetId="121" r:id="rId76"/>
    <sheet name="34" sheetId="58" r:id="rId77"/>
    <sheet name="35" sheetId="141" r:id="rId78"/>
    <sheet name="36" sheetId="142" r:id="rId79"/>
    <sheet name="정부과제" sheetId="135" state="hidden" r:id="rId80"/>
  </sheets>
  <definedNames>
    <definedName name="__________KTM10" localSheetId="42" hidden="1">{#N/A,#N/A,FALSE,"현장 NCR 분석";#N/A,#N/A,FALSE,"현장품질감사";#N/A,#N/A,FALSE,"현장품질감사"}</definedName>
    <definedName name="__________KTM10" hidden="1">{#N/A,#N/A,FALSE,"현장 NCR 분석";#N/A,#N/A,FALSE,"현장품질감사";#N/A,#N/A,FALSE,"현장품질감사"}</definedName>
    <definedName name="_________KTM10" localSheetId="42" hidden="1">{#N/A,#N/A,FALSE,"현장 NCR 분석";#N/A,#N/A,FALSE,"현장품질감사";#N/A,#N/A,FALSE,"현장품질감사"}</definedName>
    <definedName name="_________KTM10" hidden="1">{#N/A,#N/A,FALSE,"현장 NCR 분석";#N/A,#N/A,FALSE,"현장품질감사";#N/A,#N/A,FALSE,"현장품질감사"}</definedName>
    <definedName name="________KTM10" localSheetId="42" hidden="1">{#N/A,#N/A,FALSE,"현장 NCR 분석";#N/A,#N/A,FALSE,"현장품질감사";#N/A,#N/A,FALSE,"현장품질감사"}</definedName>
    <definedName name="________KTM10" hidden="1">{#N/A,#N/A,FALSE,"현장 NCR 분석";#N/A,#N/A,FALSE,"현장품질감사";#N/A,#N/A,FALSE,"현장품질감사"}</definedName>
    <definedName name="_______KTM10" localSheetId="42" hidden="1">{#N/A,#N/A,FALSE,"현장 NCR 분석";#N/A,#N/A,FALSE,"현장품질감사";#N/A,#N/A,FALSE,"현장품질감사"}</definedName>
    <definedName name="_______KTM10" hidden="1">{#N/A,#N/A,FALSE,"현장 NCR 분석";#N/A,#N/A,FALSE,"현장품질감사";#N/A,#N/A,FALSE,"현장품질감사"}</definedName>
    <definedName name="_______s1" localSheetId="42" hidden="1">{#N/A,#N/A,FALSE,"UNIT";#N/A,#N/A,FALSE,"UNIT";#N/A,#N/A,FALSE,"계정"}</definedName>
    <definedName name="_______s1" hidden="1">{#N/A,#N/A,FALSE,"UNIT";#N/A,#N/A,FALSE,"UNIT";#N/A,#N/A,FALSE,"계정"}</definedName>
    <definedName name="_______s10" localSheetId="42" hidden="1">{#N/A,#N/A,FALSE,"UNIT";#N/A,#N/A,FALSE,"UNIT";#N/A,#N/A,FALSE,"계정"}</definedName>
    <definedName name="_______s10" hidden="1">{#N/A,#N/A,FALSE,"UNIT";#N/A,#N/A,FALSE,"UNIT";#N/A,#N/A,FALSE,"계정"}</definedName>
    <definedName name="_______s11" localSheetId="42" hidden="1">{#N/A,#N/A,FALSE,"UNIT";#N/A,#N/A,FALSE,"UNIT";#N/A,#N/A,FALSE,"계정"}</definedName>
    <definedName name="_______s11" hidden="1">{#N/A,#N/A,FALSE,"UNIT";#N/A,#N/A,FALSE,"UNIT";#N/A,#N/A,FALSE,"계정"}</definedName>
    <definedName name="_______s12" localSheetId="42" hidden="1">{#N/A,#N/A,FALSE,"UNIT";#N/A,#N/A,FALSE,"UNIT";#N/A,#N/A,FALSE,"계정"}</definedName>
    <definedName name="_______s12" hidden="1">{#N/A,#N/A,FALSE,"UNIT";#N/A,#N/A,FALSE,"UNIT";#N/A,#N/A,FALSE,"계정"}</definedName>
    <definedName name="_______s13" localSheetId="42" hidden="1">{#N/A,#N/A,FALSE,"UNIT";#N/A,#N/A,FALSE,"UNIT";#N/A,#N/A,FALSE,"계정"}</definedName>
    <definedName name="_______s13" hidden="1">{#N/A,#N/A,FALSE,"UNIT";#N/A,#N/A,FALSE,"UNIT";#N/A,#N/A,FALSE,"계정"}</definedName>
    <definedName name="_______s14" localSheetId="42" hidden="1">{#N/A,#N/A,FALSE,"UNIT";#N/A,#N/A,FALSE,"UNIT";#N/A,#N/A,FALSE,"계정"}</definedName>
    <definedName name="_______s14" hidden="1">{#N/A,#N/A,FALSE,"UNIT";#N/A,#N/A,FALSE,"UNIT";#N/A,#N/A,FALSE,"계정"}</definedName>
    <definedName name="_______s16" localSheetId="42" hidden="1">{#N/A,#N/A,FALSE,"UNIT";#N/A,#N/A,FALSE,"UNIT";#N/A,#N/A,FALSE,"계정"}</definedName>
    <definedName name="_______s16" hidden="1">{#N/A,#N/A,FALSE,"UNIT";#N/A,#N/A,FALSE,"UNIT";#N/A,#N/A,FALSE,"계정"}</definedName>
    <definedName name="_______s17" localSheetId="42" hidden="1">{#N/A,#N/A,FALSE,"UNIT";#N/A,#N/A,FALSE,"UNIT";#N/A,#N/A,FALSE,"계정"}</definedName>
    <definedName name="_______s17" hidden="1">{#N/A,#N/A,FALSE,"UNIT";#N/A,#N/A,FALSE,"UNIT";#N/A,#N/A,FALSE,"계정"}</definedName>
    <definedName name="_______s2" localSheetId="42" hidden="1">{#N/A,#N/A,FALSE,"UNIT";#N/A,#N/A,FALSE,"UNIT";#N/A,#N/A,FALSE,"계정"}</definedName>
    <definedName name="_______s2" hidden="1">{#N/A,#N/A,FALSE,"UNIT";#N/A,#N/A,FALSE,"UNIT";#N/A,#N/A,FALSE,"계정"}</definedName>
    <definedName name="_______s3" localSheetId="42" hidden="1">{#N/A,#N/A,FALSE,"UNIT";#N/A,#N/A,FALSE,"UNIT";#N/A,#N/A,FALSE,"계정"}</definedName>
    <definedName name="_______s3" hidden="1">{#N/A,#N/A,FALSE,"UNIT";#N/A,#N/A,FALSE,"UNIT";#N/A,#N/A,FALSE,"계정"}</definedName>
    <definedName name="_______s4" localSheetId="42" hidden="1">{#N/A,#N/A,FALSE,"UNIT";#N/A,#N/A,FALSE,"UNIT";#N/A,#N/A,FALSE,"계정"}</definedName>
    <definedName name="_______s4" hidden="1">{#N/A,#N/A,FALSE,"UNIT";#N/A,#N/A,FALSE,"UNIT";#N/A,#N/A,FALSE,"계정"}</definedName>
    <definedName name="_______s5" localSheetId="42" hidden="1">{#N/A,#N/A,FALSE,"UNIT";#N/A,#N/A,FALSE,"UNIT";#N/A,#N/A,FALSE,"계정"}</definedName>
    <definedName name="_______s5" hidden="1">{#N/A,#N/A,FALSE,"UNIT";#N/A,#N/A,FALSE,"UNIT";#N/A,#N/A,FALSE,"계정"}</definedName>
    <definedName name="_______s6" localSheetId="42" hidden="1">{#N/A,#N/A,FALSE,"UNIT";#N/A,#N/A,FALSE,"UNIT";#N/A,#N/A,FALSE,"계정"}</definedName>
    <definedName name="_______s6" hidden="1">{#N/A,#N/A,FALSE,"UNIT";#N/A,#N/A,FALSE,"UNIT";#N/A,#N/A,FALSE,"계정"}</definedName>
    <definedName name="_______s9" localSheetId="42" hidden="1">{#N/A,#N/A,FALSE,"UNIT";#N/A,#N/A,FALSE,"UNIT";#N/A,#N/A,FALSE,"계정"}</definedName>
    <definedName name="_______s9" hidden="1">{#N/A,#N/A,FALSE,"UNIT";#N/A,#N/A,FALSE,"UNIT";#N/A,#N/A,FALSE,"계정"}</definedName>
    <definedName name="______KTM10" localSheetId="12" hidden="1">{#N/A,#N/A,FALSE,"현장 NCR 분석";#N/A,#N/A,FALSE,"현장품질감사";#N/A,#N/A,FALSE,"현장품질감사"}</definedName>
    <definedName name="______KTM10" localSheetId="42" hidden="1">{#N/A,#N/A,FALSE,"현장 NCR 분석";#N/A,#N/A,FALSE,"현장품질감사";#N/A,#N/A,FALSE,"현장품질감사"}</definedName>
    <definedName name="______KTM10" hidden="1">{#N/A,#N/A,FALSE,"현장 NCR 분석";#N/A,#N/A,FALSE,"현장품질감사";#N/A,#N/A,FALSE,"현장품질감사"}</definedName>
    <definedName name="______LG2" localSheetId="12" hidden="1">{#N/A,#N/A,TRUE,"매출진척-1";#N/A,#N/A,TRUE,"매출진척-2";#N/A,#N/A,TRUE,"제품실적";#N/A,#N/A,TRUE,"RAC";#N/A,#N/A,TRUE,"PAC ";#N/A,#N/A,TRUE,"재고현황";#N/A,#N/A,TRUE,"공지사항"}</definedName>
    <definedName name="______LG2" localSheetId="42" hidden="1">{#N/A,#N/A,TRUE,"매출진척-1";#N/A,#N/A,TRUE,"매출진척-2";#N/A,#N/A,TRUE,"제품실적";#N/A,#N/A,TRUE,"RAC";#N/A,#N/A,TRUE,"PAC ";#N/A,#N/A,TRUE,"재고현황";#N/A,#N/A,TRUE,"공지사항"}</definedName>
    <definedName name="______LG2" hidden="1">{#N/A,#N/A,TRUE,"매출진척-1";#N/A,#N/A,TRUE,"매출진척-2";#N/A,#N/A,TRUE,"제품실적";#N/A,#N/A,TRUE,"RAC";#N/A,#N/A,TRUE,"PAC ";#N/A,#N/A,TRUE,"재고현황";#N/A,#N/A,TRUE,"공지사항"}</definedName>
    <definedName name="______s1" localSheetId="12" hidden="1">{#N/A,#N/A,FALSE,"UNIT";#N/A,#N/A,FALSE,"UNIT";#N/A,#N/A,FALSE,"계정"}</definedName>
    <definedName name="______s1" localSheetId="42" hidden="1">{#N/A,#N/A,FALSE,"UNIT";#N/A,#N/A,FALSE,"UNIT";#N/A,#N/A,FALSE,"계정"}</definedName>
    <definedName name="______s1" hidden="1">{#N/A,#N/A,FALSE,"UNIT";#N/A,#N/A,FALSE,"UNIT";#N/A,#N/A,FALSE,"계정"}</definedName>
    <definedName name="______s10" localSheetId="12" hidden="1">{#N/A,#N/A,FALSE,"UNIT";#N/A,#N/A,FALSE,"UNIT";#N/A,#N/A,FALSE,"계정"}</definedName>
    <definedName name="______s10" localSheetId="42" hidden="1">{#N/A,#N/A,FALSE,"UNIT";#N/A,#N/A,FALSE,"UNIT";#N/A,#N/A,FALSE,"계정"}</definedName>
    <definedName name="______s10" hidden="1">{#N/A,#N/A,FALSE,"UNIT";#N/A,#N/A,FALSE,"UNIT";#N/A,#N/A,FALSE,"계정"}</definedName>
    <definedName name="______s11" localSheetId="12" hidden="1">{#N/A,#N/A,FALSE,"UNIT";#N/A,#N/A,FALSE,"UNIT";#N/A,#N/A,FALSE,"계정"}</definedName>
    <definedName name="______s11" localSheetId="42" hidden="1">{#N/A,#N/A,FALSE,"UNIT";#N/A,#N/A,FALSE,"UNIT";#N/A,#N/A,FALSE,"계정"}</definedName>
    <definedName name="______s11" hidden="1">{#N/A,#N/A,FALSE,"UNIT";#N/A,#N/A,FALSE,"UNIT";#N/A,#N/A,FALSE,"계정"}</definedName>
    <definedName name="______s12" localSheetId="12" hidden="1">{#N/A,#N/A,FALSE,"UNIT";#N/A,#N/A,FALSE,"UNIT";#N/A,#N/A,FALSE,"계정"}</definedName>
    <definedName name="______s12" localSheetId="42" hidden="1">{#N/A,#N/A,FALSE,"UNIT";#N/A,#N/A,FALSE,"UNIT";#N/A,#N/A,FALSE,"계정"}</definedName>
    <definedName name="______s12" hidden="1">{#N/A,#N/A,FALSE,"UNIT";#N/A,#N/A,FALSE,"UNIT";#N/A,#N/A,FALSE,"계정"}</definedName>
    <definedName name="______s13" localSheetId="12" hidden="1">{#N/A,#N/A,FALSE,"UNIT";#N/A,#N/A,FALSE,"UNIT";#N/A,#N/A,FALSE,"계정"}</definedName>
    <definedName name="______s13" localSheetId="42" hidden="1">{#N/A,#N/A,FALSE,"UNIT";#N/A,#N/A,FALSE,"UNIT";#N/A,#N/A,FALSE,"계정"}</definedName>
    <definedName name="______s13" hidden="1">{#N/A,#N/A,FALSE,"UNIT";#N/A,#N/A,FALSE,"UNIT";#N/A,#N/A,FALSE,"계정"}</definedName>
    <definedName name="______s14" localSheetId="12" hidden="1">{#N/A,#N/A,FALSE,"UNIT";#N/A,#N/A,FALSE,"UNIT";#N/A,#N/A,FALSE,"계정"}</definedName>
    <definedName name="______s14" localSheetId="42" hidden="1">{#N/A,#N/A,FALSE,"UNIT";#N/A,#N/A,FALSE,"UNIT";#N/A,#N/A,FALSE,"계정"}</definedName>
    <definedName name="______s14" hidden="1">{#N/A,#N/A,FALSE,"UNIT";#N/A,#N/A,FALSE,"UNIT";#N/A,#N/A,FALSE,"계정"}</definedName>
    <definedName name="______s16" localSheetId="12" hidden="1">{#N/A,#N/A,FALSE,"UNIT";#N/A,#N/A,FALSE,"UNIT";#N/A,#N/A,FALSE,"계정"}</definedName>
    <definedName name="______s16" localSheetId="42" hidden="1">{#N/A,#N/A,FALSE,"UNIT";#N/A,#N/A,FALSE,"UNIT";#N/A,#N/A,FALSE,"계정"}</definedName>
    <definedName name="______s16" hidden="1">{#N/A,#N/A,FALSE,"UNIT";#N/A,#N/A,FALSE,"UNIT";#N/A,#N/A,FALSE,"계정"}</definedName>
    <definedName name="______s17" localSheetId="12" hidden="1">{#N/A,#N/A,FALSE,"UNIT";#N/A,#N/A,FALSE,"UNIT";#N/A,#N/A,FALSE,"계정"}</definedName>
    <definedName name="______s17" localSheetId="42" hidden="1">{#N/A,#N/A,FALSE,"UNIT";#N/A,#N/A,FALSE,"UNIT";#N/A,#N/A,FALSE,"계정"}</definedName>
    <definedName name="______s17" hidden="1">{#N/A,#N/A,FALSE,"UNIT";#N/A,#N/A,FALSE,"UNIT";#N/A,#N/A,FALSE,"계정"}</definedName>
    <definedName name="______s2" localSheetId="12" hidden="1">{#N/A,#N/A,FALSE,"UNIT";#N/A,#N/A,FALSE,"UNIT";#N/A,#N/A,FALSE,"계정"}</definedName>
    <definedName name="______s2" localSheetId="42" hidden="1">{#N/A,#N/A,FALSE,"UNIT";#N/A,#N/A,FALSE,"UNIT";#N/A,#N/A,FALSE,"계정"}</definedName>
    <definedName name="______s2" hidden="1">{#N/A,#N/A,FALSE,"UNIT";#N/A,#N/A,FALSE,"UNIT";#N/A,#N/A,FALSE,"계정"}</definedName>
    <definedName name="______s3" localSheetId="12" hidden="1">{#N/A,#N/A,FALSE,"UNIT";#N/A,#N/A,FALSE,"UNIT";#N/A,#N/A,FALSE,"계정"}</definedName>
    <definedName name="______s3" localSheetId="42" hidden="1">{#N/A,#N/A,FALSE,"UNIT";#N/A,#N/A,FALSE,"UNIT";#N/A,#N/A,FALSE,"계정"}</definedName>
    <definedName name="______s3" hidden="1">{#N/A,#N/A,FALSE,"UNIT";#N/A,#N/A,FALSE,"UNIT";#N/A,#N/A,FALSE,"계정"}</definedName>
    <definedName name="______s4" localSheetId="12" hidden="1">{#N/A,#N/A,FALSE,"UNIT";#N/A,#N/A,FALSE,"UNIT";#N/A,#N/A,FALSE,"계정"}</definedName>
    <definedName name="______s4" localSheetId="42" hidden="1">{#N/A,#N/A,FALSE,"UNIT";#N/A,#N/A,FALSE,"UNIT";#N/A,#N/A,FALSE,"계정"}</definedName>
    <definedName name="______s4" hidden="1">{#N/A,#N/A,FALSE,"UNIT";#N/A,#N/A,FALSE,"UNIT";#N/A,#N/A,FALSE,"계정"}</definedName>
    <definedName name="______s5" localSheetId="12" hidden="1">{#N/A,#N/A,FALSE,"UNIT";#N/A,#N/A,FALSE,"UNIT";#N/A,#N/A,FALSE,"계정"}</definedName>
    <definedName name="______s5" localSheetId="42" hidden="1">{#N/A,#N/A,FALSE,"UNIT";#N/A,#N/A,FALSE,"UNIT";#N/A,#N/A,FALSE,"계정"}</definedName>
    <definedName name="______s5" hidden="1">{#N/A,#N/A,FALSE,"UNIT";#N/A,#N/A,FALSE,"UNIT";#N/A,#N/A,FALSE,"계정"}</definedName>
    <definedName name="______s6" localSheetId="12" hidden="1">{#N/A,#N/A,FALSE,"UNIT";#N/A,#N/A,FALSE,"UNIT";#N/A,#N/A,FALSE,"계정"}</definedName>
    <definedName name="______s6" localSheetId="42" hidden="1">{#N/A,#N/A,FALSE,"UNIT";#N/A,#N/A,FALSE,"UNIT";#N/A,#N/A,FALSE,"계정"}</definedName>
    <definedName name="______s6" hidden="1">{#N/A,#N/A,FALSE,"UNIT";#N/A,#N/A,FALSE,"UNIT";#N/A,#N/A,FALSE,"계정"}</definedName>
    <definedName name="______s9" localSheetId="12" hidden="1">{#N/A,#N/A,FALSE,"UNIT";#N/A,#N/A,FALSE,"UNIT";#N/A,#N/A,FALSE,"계정"}</definedName>
    <definedName name="______s9" localSheetId="42" hidden="1">{#N/A,#N/A,FALSE,"UNIT";#N/A,#N/A,FALSE,"UNIT";#N/A,#N/A,FALSE,"계정"}</definedName>
    <definedName name="______s9" hidden="1">{#N/A,#N/A,FALSE,"UNIT";#N/A,#N/A,FALSE,"UNIT";#N/A,#N/A,FALSE,"계정"}</definedName>
    <definedName name="_____bb1" localSheetId="42" hidden="1">{#N/A,#N/A,FALSE,"98소지이동TOTvs99.1 (2)";#N/A,#N/A,FALSE,"TOTAL";#N/A,#N/A,FALSE,"98소지이동TOTvs99.1(b) (2)"}</definedName>
    <definedName name="_____bb1" hidden="1">{#N/A,#N/A,FALSE,"98소지이동TOTvs99.1 (2)";#N/A,#N/A,FALSE,"TOTAL";#N/A,#N/A,FALSE,"98소지이동TOTvs99.1(b) (2)"}</definedName>
    <definedName name="_____bb2" localSheetId="42" hidden="1">{#N/A,#N/A,FALSE,"98소지이동TOTvs99.1 (2)";#N/A,#N/A,FALSE,"TOTAL";#N/A,#N/A,FALSE,"98소지이동TOTvs99.1(b) (2)"}</definedName>
    <definedName name="_____bb2" hidden="1">{#N/A,#N/A,FALSE,"98소지이동TOTvs99.1 (2)";#N/A,#N/A,FALSE,"TOTAL";#N/A,#N/A,FALSE,"98소지이동TOTvs99.1(b) (2)"}</definedName>
    <definedName name="_____bb3" localSheetId="42" hidden="1">{#N/A,#N/A,FALSE,"군산원가";#N/A,#N/A,FALSE,"팀별월별";#N/A,#N/A,FALSE,"타공정대체";#N/A,#N/A,FALSE,"기타경비";#N/A,#N/A,FALSE,"원료";#N/A,#N/A,FALSE,"연료"}</definedName>
    <definedName name="_____bb3" hidden="1">{#N/A,#N/A,FALSE,"군산원가";#N/A,#N/A,FALSE,"팀별월별";#N/A,#N/A,FALSE,"타공정대체";#N/A,#N/A,FALSE,"기타경비";#N/A,#N/A,FALSE,"원료";#N/A,#N/A,FALSE,"연료"}</definedName>
    <definedName name="_____bb4" localSheetId="42" hidden="1">{#N/A,#N/A,FALSE,"98소지이동TOTvs99.1 (2)";#N/A,#N/A,FALSE,"TOTAL";#N/A,#N/A,FALSE,"98소지이동TOTvs99.1(b) (2)"}</definedName>
    <definedName name="_____bb4" hidden="1">{#N/A,#N/A,FALSE,"98소지이동TOTvs99.1 (2)";#N/A,#N/A,FALSE,"TOTAL";#N/A,#N/A,FALSE,"98소지이동TOTvs99.1(b) (2)"}</definedName>
    <definedName name="_____bb5" localSheetId="42" hidden="1">{#N/A,#N/A,FALSE,"98소지이동TOTvs99.1 (2)";#N/A,#N/A,FALSE,"TOTAL";#N/A,#N/A,FALSE,"98소지이동TOTvs99.1(b) (2)"}</definedName>
    <definedName name="_____bb5" hidden="1">{#N/A,#N/A,FALSE,"98소지이동TOTvs99.1 (2)";#N/A,#N/A,FALSE,"TOTAL";#N/A,#N/A,FALSE,"98소지이동TOTvs99.1(b) (2)"}</definedName>
    <definedName name="_____bb6" localSheetId="42" hidden="1">{#N/A,#N/A,FALSE,"98소지이동TOTvs99.1 (2)";#N/A,#N/A,FALSE,"TOTAL";#N/A,#N/A,FALSE,"98소지이동TOTvs99.1(b) (2)"}</definedName>
    <definedName name="_____bb6" hidden="1">{#N/A,#N/A,FALSE,"98소지이동TOTvs99.1 (2)";#N/A,#N/A,FALSE,"TOTAL";#N/A,#N/A,FALSE,"98소지이동TOTvs99.1(b) (2)"}</definedName>
    <definedName name="_____bb7" localSheetId="42" hidden="1">{#N/A,#N/A,FALSE,"98소지이동TOTvs99.1 (2)";#N/A,#N/A,FALSE,"TOTAL";#N/A,#N/A,FALSE,"98소지이동TOTvs99.1(b) (2)"}</definedName>
    <definedName name="_____bb7" hidden="1">{#N/A,#N/A,FALSE,"98소지이동TOTvs99.1 (2)";#N/A,#N/A,FALSE,"TOTAL";#N/A,#N/A,FALSE,"98소지이동TOTvs99.1(b) (2)"}</definedName>
    <definedName name="_____bb8" localSheetId="42" hidden="1">{#N/A,#N/A,FALSE,"군산원가";#N/A,#N/A,FALSE,"팀별월별";#N/A,#N/A,FALSE,"타공정대체";#N/A,#N/A,FALSE,"기타경비";#N/A,#N/A,FALSE,"원료";#N/A,#N/A,FALSE,"연료"}</definedName>
    <definedName name="_____bb8" hidden="1">{#N/A,#N/A,FALSE,"군산원가";#N/A,#N/A,FALSE,"팀별월별";#N/A,#N/A,FALSE,"타공정대체";#N/A,#N/A,FALSE,"기타경비";#N/A,#N/A,FALSE,"원료";#N/A,#N/A,FALSE,"연료"}</definedName>
    <definedName name="_____bb9" localSheetId="42" hidden="1">{#N/A,#N/A,FALSE,"군산원가";#N/A,#N/A,FALSE,"팀별월별";#N/A,#N/A,FALSE,"타공정대체";#N/A,#N/A,FALSE,"기타경비";#N/A,#N/A,FALSE,"원료";#N/A,#N/A,FALSE,"연료"}</definedName>
    <definedName name="_____bb9" hidden="1">{#N/A,#N/A,FALSE,"군산원가";#N/A,#N/A,FALSE,"팀별월별";#N/A,#N/A,FALSE,"타공정대체";#N/A,#N/A,FALSE,"기타경비";#N/A,#N/A,FALSE,"원료";#N/A,#N/A,FALSE,"연료"}</definedName>
    <definedName name="_____cc1" localSheetId="42" hidden="1">{#N/A,#N/A,FALSE,"군산원가";#N/A,#N/A,FALSE,"팀별월별";#N/A,#N/A,FALSE,"타공정대체";#N/A,#N/A,FALSE,"기타경비";#N/A,#N/A,FALSE,"원료";#N/A,#N/A,FALSE,"연료"}</definedName>
    <definedName name="_____cc1" hidden="1">{#N/A,#N/A,FALSE,"군산원가";#N/A,#N/A,FALSE,"팀별월별";#N/A,#N/A,FALSE,"타공정대체";#N/A,#N/A,FALSE,"기타경비";#N/A,#N/A,FALSE,"원료";#N/A,#N/A,FALSE,"연료"}</definedName>
    <definedName name="_____cc2" localSheetId="42" hidden="1">{#N/A,#N/A,FALSE,"군산원가";#N/A,#N/A,FALSE,"팀별월별";#N/A,#N/A,FALSE,"타공정대체";#N/A,#N/A,FALSE,"기타경비";#N/A,#N/A,FALSE,"원료";#N/A,#N/A,FALSE,"연료"}</definedName>
    <definedName name="_____cc2" hidden="1">{#N/A,#N/A,FALSE,"군산원가";#N/A,#N/A,FALSE,"팀별월별";#N/A,#N/A,FALSE,"타공정대체";#N/A,#N/A,FALSE,"기타경비";#N/A,#N/A,FALSE,"원료";#N/A,#N/A,FALSE,"연료"}</definedName>
    <definedName name="_____cc3" localSheetId="42" hidden="1">{#N/A,#N/A,FALSE,"Yield";#N/A,#N/A,FALSE,"Loss1";#N/A,#N/A,FALSE,"Loss2";#N/A,#N/A,FALSE,"Hour-Labor(배분)";#N/A,#N/A,FALSE,"Capital Expenditure";#N/A,#N/A,FALSE,"Productivity"}</definedName>
    <definedName name="_____cc3" hidden="1">{#N/A,#N/A,FALSE,"Yield";#N/A,#N/A,FALSE,"Loss1";#N/A,#N/A,FALSE,"Loss2";#N/A,#N/A,FALSE,"Hour-Labor(배분)";#N/A,#N/A,FALSE,"Capital Expenditure";#N/A,#N/A,FALSE,"Productivity"}</definedName>
    <definedName name="_____cc4" localSheetId="42" hidden="1">{#N/A,#N/A,FALSE,"98소지이동TOTvs99.1 (2)";#N/A,#N/A,FALSE,"TOTAL";#N/A,#N/A,FALSE,"98소지이동TOTvs99.1(b) (2)"}</definedName>
    <definedName name="_____cc4" hidden="1">{#N/A,#N/A,FALSE,"98소지이동TOTvs99.1 (2)";#N/A,#N/A,FALSE,"TOTAL";#N/A,#N/A,FALSE,"98소지이동TOTvs99.1(b) (2)"}</definedName>
    <definedName name="_____cc5" localSheetId="42" hidden="1">{#N/A,#N/A,FALSE,"98소지이동TOTvs99.1 (2)";#N/A,#N/A,FALSE,"TOTAL";#N/A,#N/A,FALSE,"98소지이동TOTvs99.1(b) (2)"}</definedName>
    <definedName name="_____cc5" hidden="1">{#N/A,#N/A,FALSE,"98소지이동TOTvs99.1 (2)";#N/A,#N/A,FALSE,"TOTAL";#N/A,#N/A,FALSE,"98소지이동TOTvs99.1(b) (2)"}</definedName>
    <definedName name="_____cc6" localSheetId="42" hidden="1">{#N/A,#N/A,FALSE,"Yield";#N/A,#N/A,FALSE,"Loss1";#N/A,#N/A,FALSE,"Loss2";#N/A,#N/A,FALSE,"Hour-Labor(배분)";#N/A,#N/A,FALSE,"Capital Expenditure";#N/A,#N/A,FALSE,"Productivity"}</definedName>
    <definedName name="_____cc6" hidden="1">{#N/A,#N/A,FALSE,"Yield";#N/A,#N/A,FALSE,"Loss1";#N/A,#N/A,FALSE,"Loss2";#N/A,#N/A,FALSE,"Hour-Labor(배분)";#N/A,#N/A,FALSE,"Capital Expenditure";#N/A,#N/A,FALSE,"Productivity"}</definedName>
    <definedName name="_____cc7" localSheetId="42" hidden="1">{#N/A,#N/A,FALSE,"Yield";#N/A,#N/A,FALSE,"Loss1";#N/A,#N/A,FALSE,"Loss2";#N/A,#N/A,FALSE,"Hour-Labor(배분)";#N/A,#N/A,FALSE,"Capital Expenditure";#N/A,#N/A,FALSE,"Productivity"}</definedName>
    <definedName name="_____cc7" hidden="1">{#N/A,#N/A,FALSE,"Yield";#N/A,#N/A,FALSE,"Loss1";#N/A,#N/A,FALSE,"Loss2";#N/A,#N/A,FALSE,"Hour-Labor(배분)";#N/A,#N/A,FALSE,"Capital Expenditure";#N/A,#N/A,FALSE,"Productivity"}</definedName>
    <definedName name="_____cc8" localSheetId="42" hidden="1">{#N/A,#N/A,FALSE,"Yield";#N/A,#N/A,FALSE,"Loss1";#N/A,#N/A,FALSE,"Loss2";#N/A,#N/A,FALSE,"Hour-Labor(배분)";#N/A,#N/A,FALSE,"Capital Expenditure";#N/A,#N/A,FALSE,"Productivity"}</definedName>
    <definedName name="_____cc8" hidden="1">{#N/A,#N/A,FALSE,"Yield";#N/A,#N/A,FALSE,"Loss1";#N/A,#N/A,FALSE,"Loss2";#N/A,#N/A,FALSE,"Hour-Labor(배분)";#N/A,#N/A,FALSE,"Capital Expenditure";#N/A,#N/A,FALSE,"Productivity"}</definedName>
    <definedName name="_____cc9" localSheetId="42" hidden="1">{#N/A,#N/A,FALSE,"98소지이동TOTvs99.1 (2)";#N/A,#N/A,FALSE,"TOTAL";#N/A,#N/A,FALSE,"98소지이동TOTvs99.1(b) (2)"}</definedName>
    <definedName name="_____cc9" hidden="1">{#N/A,#N/A,FALSE,"98소지이동TOTvs99.1 (2)";#N/A,#N/A,FALSE,"TOTAL";#N/A,#N/A,FALSE,"98소지이동TOTvs99.1(b) (2)"}</definedName>
    <definedName name="_____jh1" localSheetId="42" hidden="1">{#N/A,#N/A,FALSE,"Yield";#N/A,#N/A,FALSE,"Loss1";#N/A,#N/A,FALSE,"Loss2";#N/A,#N/A,FALSE,"Hour-Labor(배분)";#N/A,#N/A,FALSE,"Capital Expenditure";#N/A,#N/A,FALSE,"Productivity"}</definedName>
    <definedName name="_____jh1" hidden="1">{#N/A,#N/A,FALSE,"Yield";#N/A,#N/A,FALSE,"Loss1";#N/A,#N/A,FALSE,"Loss2";#N/A,#N/A,FALSE,"Hour-Labor(배분)";#N/A,#N/A,FALSE,"Capital Expenditure";#N/A,#N/A,FALSE,"Productivity"}</definedName>
    <definedName name="_____jh3" localSheetId="42"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___jh3"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___jh4" localSheetId="42" hidden="1">{#N/A,#N/A,FALSE,"Yield";#N/A,#N/A,FALSE,"Loss1";#N/A,#N/A,FALSE,"Loss2";#N/A,#N/A,FALSE,"Hour-Labor(배분)";#N/A,#N/A,FALSE,"Capital Expenditure";#N/A,#N/A,FALSE,"Productivity"}</definedName>
    <definedName name="_____jh4" hidden="1">{#N/A,#N/A,FALSE,"Yield";#N/A,#N/A,FALSE,"Loss1";#N/A,#N/A,FALSE,"Loss2";#N/A,#N/A,FALSE,"Hour-Labor(배분)";#N/A,#N/A,FALSE,"Capital Expenditure";#N/A,#N/A,FALSE,"Productivity"}</definedName>
    <definedName name="_____jh5" localSheetId="42" hidden="1">{#N/A,#N/A,FALSE,"98소지이동TOTvs99.1 (2)";#N/A,#N/A,FALSE,"TOTAL";#N/A,#N/A,FALSE,"98소지이동TOTvs99.1(b) (2)"}</definedName>
    <definedName name="_____jh5" hidden="1">{#N/A,#N/A,FALSE,"98소지이동TOTvs99.1 (2)";#N/A,#N/A,FALSE,"TOTAL";#N/A,#N/A,FALSE,"98소지이동TOTvs99.1(b) (2)"}</definedName>
    <definedName name="_____jj1" localSheetId="42"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___jj1"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___jj2" localSheetId="42" hidden="1">{#N/A,#N/A,FALSE,"Yield";#N/A,#N/A,FALSE,"Loss1";#N/A,#N/A,FALSE,"Loss2";#N/A,#N/A,FALSE,"Hour-Labor(배분)";#N/A,#N/A,FALSE,"Capital Expenditure";#N/A,#N/A,FALSE,"Productivity"}</definedName>
    <definedName name="_____jj2" hidden="1">{#N/A,#N/A,FALSE,"Yield";#N/A,#N/A,FALSE,"Loss1";#N/A,#N/A,FALSE,"Loss2";#N/A,#N/A,FALSE,"Hour-Labor(배분)";#N/A,#N/A,FALSE,"Capital Expenditure";#N/A,#N/A,FALSE,"Productivity"}</definedName>
    <definedName name="_____jj3" localSheetId="42" hidden="1">{#N/A,#N/A,FALSE,"군산원가";#N/A,#N/A,FALSE,"팀별월별";#N/A,#N/A,FALSE,"타공정대체";#N/A,#N/A,FALSE,"기타경비";#N/A,#N/A,FALSE,"원료";#N/A,#N/A,FALSE,"연료"}</definedName>
    <definedName name="_____jj3" hidden="1">{#N/A,#N/A,FALSE,"군산원가";#N/A,#N/A,FALSE,"팀별월별";#N/A,#N/A,FALSE,"타공정대체";#N/A,#N/A,FALSE,"기타경비";#N/A,#N/A,FALSE,"원료";#N/A,#N/A,FALSE,"연료"}</definedName>
    <definedName name="_____jj4" localSheetId="42"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___jj4"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___jj5" localSheetId="42"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___jj5"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___jj6" localSheetId="42" hidden="1">{#N/A,#N/A,FALSE,"Yield";#N/A,#N/A,FALSE,"Loss1";#N/A,#N/A,FALSE,"Loss2";#N/A,#N/A,FALSE,"Hour-Labor(배분)";#N/A,#N/A,FALSE,"Capital Expenditure";#N/A,#N/A,FALSE,"Productivity"}</definedName>
    <definedName name="_____jj6" hidden="1">{#N/A,#N/A,FALSE,"Yield";#N/A,#N/A,FALSE,"Loss1";#N/A,#N/A,FALSE,"Loss2";#N/A,#N/A,FALSE,"Hour-Labor(배분)";#N/A,#N/A,FALSE,"Capital Expenditure";#N/A,#N/A,FALSE,"Productivity"}</definedName>
    <definedName name="_____jj7" localSheetId="42" hidden="1">{#N/A,#N/A,FALSE,"98소지이동TOTvs99.1 (2)";#N/A,#N/A,FALSE,"TOTAL";#N/A,#N/A,FALSE,"98소지이동TOTvs99.1(b) (2)"}</definedName>
    <definedName name="_____jj7" hidden="1">{#N/A,#N/A,FALSE,"98소지이동TOTvs99.1 (2)";#N/A,#N/A,FALSE,"TOTAL";#N/A,#N/A,FALSE,"98소지이동TOTvs99.1(b) (2)"}</definedName>
    <definedName name="_____kl505" localSheetId="42" hidden="1">{#N/A,#N/A,FALSE,"군산원가";#N/A,#N/A,FALSE,"팀별월별";#N/A,#N/A,FALSE,"타공정대체";#N/A,#N/A,FALSE,"기타경비";#N/A,#N/A,FALSE,"원료";#N/A,#N/A,FALSE,"연료"}</definedName>
    <definedName name="_____kl505" hidden="1">{#N/A,#N/A,FALSE,"군산원가";#N/A,#N/A,FALSE,"팀별월별";#N/A,#N/A,FALSE,"타공정대체";#N/A,#N/A,FALSE,"기타경비";#N/A,#N/A,FALSE,"원료";#N/A,#N/A,FALSE,"연료"}</definedName>
    <definedName name="_____KTM10" localSheetId="42" hidden="1">{#N/A,#N/A,FALSE,"현장 NCR 분석";#N/A,#N/A,FALSE,"현장품질감사";#N/A,#N/A,FALSE,"현장품질감사"}</definedName>
    <definedName name="_____KTM10" hidden="1">{#N/A,#N/A,FALSE,"현장 NCR 분석";#N/A,#N/A,FALSE,"현장품질감사";#N/A,#N/A,FALSE,"현장품질감사"}</definedName>
    <definedName name="_____ll1" localSheetId="42"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___ll1"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___ll2" localSheetId="42" hidden="1">{#N/A,#N/A,FALSE,"98소지이동TOTvs99.1 (2)";#N/A,#N/A,FALSE,"TOTAL";#N/A,#N/A,FALSE,"98소지이동TOTvs99.1(b) (2)"}</definedName>
    <definedName name="_____ll2" hidden="1">{#N/A,#N/A,FALSE,"98소지이동TOTvs99.1 (2)";#N/A,#N/A,FALSE,"TOTAL";#N/A,#N/A,FALSE,"98소지이동TOTvs99.1(b) (2)"}</definedName>
    <definedName name="_____ll3" localSheetId="42" hidden="1">{#N/A,#N/A,FALSE,"98소지이동TOTvs99.1 (2)";#N/A,#N/A,FALSE,"TOTAL";#N/A,#N/A,FALSE,"98소지이동TOTvs99.1(b) (2)"}</definedName>
    <definedName name="_____ll3" hidden="1">{#N/A,#N/A,FALSE,"98소지이동TOTvs99.1 (2)";#N/A,#N/A,FALSE,"TOTAL";#N/A,#N/A,FALSE,"98소지이동TOTvs99.1(b) (2)"}</definedName>
    <definedName name="_____ll4" localSheetId="42" hidden="1">{#N/A,#N/A,FALSE,"군산원가";#N/A,#N/A,FALSE,"팀별월별";#N/A,#N/A,FALSE,"타공정대체";#N/A,#N/A,FALSE,"기타경비";#N/A,#N/A,FALSE,"원료";#N/A,#N/A,FALSE,"연료"}</definedName>
    <definedName name="_____ll4" hidden="1">{#N/A,#N/A,FALSE,"군산원가";#N/A,#N/A,FALSE,"팀별월별";#N/A,#N/A,FALSE,"타공정대체";#N/A,#N/A,FALSE,"기타경비";#N/A,#N/A,FALSE,"원료";#N/A,#N/A,FALSE,"연료"}</definedName>
    <definedName name="_____ll5" localSheetId="42" hidden="1">{#N/A,#N/A,FALSE,"군산원가";#N/A,#N/A,FALSE,"팀별월별";#N/A,#N/A,FALSE,"타공정대체";#N/A,#N/A,FALSE,"기타경비";#N/A,#N/A,FALSE,"원료";#N/A,#N/A,FALSE,"연료"}</definedName>
    <definedName name="_____ll5" hidden="1">{#N/A,#N/A,FALSE,"군산원가";#N/A,#N/A,FALSE,"팀별월별";#N/A,#N/A,FALSE,"타공정대체";#N/A,#N/A,FALSE,"기타경비";#N/A,#N/A,FALSE,"원료";#N/A,#N/A,FALSE,"연료"}</definedName>
    <definedName name="_____ll6" localSheetId="42" hidden="1">{#N/A,#N/A,FALSE,"98소지이동TOTvs99.1 (2)";#N/A,#N/A,FALSE,"TOTAL";#N/A,#N/A,FALSE,"98소지이동TOTvs99.1(b) (2)"}</definedName>
    <definedName name="_____ll6" hidden="1">{#N/A,#N/A,FALSE,"98소지이동TOTvs99.1 (2)";#N/A,#N/A,FALSE,"TOTAL";#N/A,#N/A,FALSE,"98소지이동TOTvs99.1(b) (2)"}</definedName>
    <definedName name="_____ll7" localSheetId="42"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___ll7"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___ll8" localSheetId="42"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___ll8"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___ll9" localSheetId="42" hidden="1">{#N/A,#N/A,FALSE,"Yield";#N/A,#N/A,FALSE,"Loss1";#N/A,#N/A,FALSE,"Loss2";#N/A,#N/A,FALSE,"Hour-Labor(배분)";#N/A,#N/A,FALSE,"Capital Expenditure";#N/A,#N/A,FALSE,"Productivity"}</definedName>
    <definedName name="_____ll9" hidden="1">{#N/A,#N/A,FALSE,"Yield";#N/A,#N/A,FALSE,"Loss1";#N/A,#N/A,FALSE,"Loss2";#N/A,#N/A,FALSE,"Hour-Labor(배분)";#N/A,#N/A,FALSE,"Capital Expenditure";#N/A,#N/A,FALSE,"Productivity"}</definedName>
    <definedName name="_____ML6" localSheetId="42" hidden="1">{#N/A,#N/A,FALSE,"98소지이동TOTvs99.1 (2)";#N/A,#N/A,FALSE,"TOTAL";#N/A,#N/A,FALSE,"98소지이동TOTvs99.1(b) (2)"}</definedName>
    <definedName name="_____ML6" hidden="1">{#N/A,#N/A,FALSE,"98소지이동TOTvs99.1 (2)";#N/A,#N/A,FALSE,"TOTAL";#N/A,#N/A,FALSE,"98소지이동TOTvs99.1(b) (2)"}</definedName>
    <definedName name="_____mm1" localSheetId="42" hidden="1">{#N/A,#N/A,FALSE,"98소지이동TOTvs99.1 (2)";#N/A,#N/A,FALSE,"TOTAL";#N/A,#N/A,FALSE,"98소지이동TOTvs99.1(b) (2)"}</definedName>
    <definedName name="_____mm1" hidden="1">{#N/A,#N/A,FALSE,"98소지이동TOTvs99.1 (2)";#N/A,#N/A,FALSE,"TOTAL";#N/A,#N/A,FALSE,"98소지이동TOTvs99.1(b) (2)"}</definedName>
    <definedName name="_____mm2" localSheetId="42" hidden="1">{#N/A,#N/A,FALSE,"98소지이동TOTvs99.1 (2)";#N/A,#N/A,FALSE,"TOTAL";#N/A,#N/A,FALSE,"98소지이동TOTvs99.1(b) (2)"}</definedName>
    <definedName name="_____mm2" hidden="1">{#N/A,#N/A,FALSE,"98소지이동TOTvs99.1 (2)";#N/A,#N/A,FALSE,"TOTAL";#N/A,#N/A,FALSE,"98소지이동TOTvs99.1(b) (2)"}</definedName>
    <definedName name="_____mm3" localSheetId="42" hidden="1">{#N/A,#N/A,FALSE,"군산원가";#N/A,#N/A,FALSE,"팀별월별";#N/A,#N/A,FALSE,"타공정대체";#N/A,#N/A,FALSE,"기타경비";#N/A,#N/A,FALSE,"원료";#N/A,#N/A,FALSE,"연료"}</definedName>
    <definedName name="_____mm3" hidden="1">{#N/A,#N/A,FALSE,"군산원가";#N/A,#N/A,FALSE,"팀별월별";#N/A,#N/A,FALSE,"타공정대체";#N/A,#N/A,FALSE,"기타경비";#N/A,#N/A,FALSE,"원료";#N/A,#N/A,FALSE,"연료"}</definedName>
    <definedName name="_____mm4" localSheetId="42" hidden="1">{#N/A,#N/A,FALSE,"군산원가";#N/A,#N/A,FALSE,"팀별월별";#N/A,#N/A,FALSE,"타공정대체";#N/A,#N/A,FALSE,"기타경비";#N/A,#N/A,FALSE,"원료";#N/A,#N/A,FALSE,"연료"}</definedName>
    <definedName name="_____mm4" hidden="1">{#N/A,#N/A,FALSE,"군산원가";#N/A,#N/A,FALSE,"팀별월별";#N/A,#N/A,FALSE,"타공정대체";#N/A,#N/A,FALSE,"기타경비";#N/A,#N/A,FALSE,"원료";#N/A,#N/A,FALSE,"연료"}</definedName>
    <definedName name="_____mm5" localSheetId="42" hidden="1">{#N/A,#N/A,FALSE,"98소지이동TOTvs99.1 (2)";#N/A,#N/A,FALSE,"TOTAL";#N/A,#N/A,FALSE,"98소지이동TOTvs99.1(b) (2)"}</definedName>
    <definedName name="_____mm5" hidden="1">{#N/A,#N/A,FALSE,"98소지이동TOTvs99.1 (2)";#N/A,#N/A,FALSE,"TOTAL";#N/A,#N/A,FALSE,"98소지이동TOTvs99.1(b) (2)"}</definedName>
    <definedName name="_____mm6" localSheetId="42"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___mm6"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___mm7" localSheetId="42"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___mm7"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___mm8" localSheetId="42" hidden="1">{#N/A,#N/A,FALSE,"Yield";#N/A,#N/A,FALSE,"Loss1";#N/A,#N/A,FALSE,"Loss2";#N/A,#N/A,FALSE,"Hour-Labor(배분)";#N/A,#N/A,FALSE,"Capital Expenditure";#N/A,#N/A,FALSE,"Productivity"}</definedName>
    <definedName name="_____mm8" hidden="1">{#N/A,#N/A,FALSE,"Yield";#N/A,#N/A,FALSE,"Loss1";#N/A,#N/A,FALSE,"Loss2";#N/A,#N/A,FALSE,"Hour-Labor(배분)";#N/A,#N/A,FALSE,"Capital Expenditure";#N/A,#N/A,FALSE,"Productivity"}</definedName>
    <definedName name="_____mm9" localSheetId="42" hidden="1">{#N/A,#N/A,FALSE,"98소지이동TOTvs99.1 (2)";#N/A,#N/A,FALSE,"TOTAL";#N/A,#N/A,FALSE,"98소지이동TOTvs99.1(b) (2)"}</definedName>
    <definedName name="_____mm9" hidden="1">{#N/A,#N/A,FALSE,"98소지이동TOTvs99.1 (2)";#N/A,#N/A,FALSE,"TOTAL";#N/A,#N/A,FALSE,"98소지이동TOTvs99.1(b) (2)"}</definedName>
    <definedName name="_____PF1" localSheetId="42" hidden="1">{#N/A,#N/A,FALSE,"군산원가";#N/A,#N/A,FALSE,"팀별월별";#N/A,#N/A,FALSE,"타공정대체";#N/A,#N/A,FALSE,"기타경비";#N/A,#N/A,FALSE,"원료";#N/A,#N/A,FALSE,"연료"}</definedName>
    <definedName name="_____PF1" hidden="1">{#N/A,#N/A,FALSE,"군산원가";#N/A,#N/A,FALSE,"팀별월별";#N/A,#N/A,FALSE,"타공정대체";#N/A,#N/A,FALSE,"기타경비";#N/A,#N/A,FALSE,"원료";#N/A,#N/A,FALSE,"연료"}</definedName>
    <definedName name="_____RR1" localSheetId="42" hidden="1">{#N/A,#N/A,FALSE,"98소지이동TOTvs99.1 (2)";#N/A,#N/A,FALSE,"TOTAL";#N/A,#N/A,FALSE,"98소지이동TOTvs99.1(b) (2)"}</definedName>
    <definedName name="_____RR1" hidden="1">{#N/A,#N/A,FALSE,"98소지이동TOTvs99.1 (2)";#N/A,#N/A,FALSE,"TOTAL";#N/A,#N/A,FALSE,"98소지이동TOTvs99.1(b) (2)"}</definedName>
    <definedName name="_____RR2" localSheetId="42" hidden="1">{#N/A,#N/A,FALSE,"군산원가";#N/A,#N/A,FALSE,"팀별월별";#N/A,#N/A,FALSE,"타공정대체";#N/A,#N/A,FALSE,"기타경비";#N/A,#N/A,FALSE,"원료";#N/A,#N/A,FALSE,"연료"}</definedName>
    <definedName name="_____RR2" hidden="1">{#N/A,#N/A,FALSE,"군산원가";#N/A,#N/A,FALSE,"팀별월별";#N/A,#N/A,FALSE,"타공정대체";#N/A,#N/A,FALSE,"기타경비";#N/A,#N/A,FALSE,"원료";#N/A,#N/A,FALSE,"연료"}</definedName>
    <definedName name="_____RR3" localSheetId="42" hidden="1">{#N/A,#N/A,FALSE,"군산원가";#N/A,#N/A,FALSE,"팀별월별";#N/A,#N/A,FALSE,"타공정대체";#N/A,#N/A,FALSE,"기타경비";#N/A,#N/A,FALSE,"원료";#N/A,#N/A,FALSE,"연료"}</definedName>
    <definedName name="_____RR3" hidden="1">{#N/A,#N/A,FALSE,"군산원가";#N/A,#N/A,FALSE,"팀별월별";#N/A,#N/A,FALSE,"타공정대체";#N/A,#N/A,FALSE,"기타경비";#N/A,#N/A,FALSE,"원료";#N/A,#N/A,FALSE,"연료"}</definedName>
    <definedName name="_____RR4" localSheetId="42" hidden="1">{#N/A,#N/A,FALSE,"98소지이동TOTvs99.1 (2)";#N/A,#N/A,FALSE,"TOTAL";#N/A,#N/A,FALSE,"98소지이동TOTvs99.1(b) (2)"}</definedName>
    <definedName name="_____RR4" hidden="1">{#N/A,#N/A,FALSE,"98소지이동TOTvs99.1 (2)";#N/A,#N/A,FALSE,"TOTAL";#N/A,#N/A,FALSE,"98소지이동TOTvs99.1(b) (2)"}</definedName>
    <definedName name="_____RR5" localSheetId="42"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___RR5"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___RR6" localSheetId="42"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___RR6"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___RR7" localSheetId="42" hidden="1">{#N/A,#N/A,FALSE,"Yield";#N/A,#N/A,FALSE,"Loss1";#N/A,#N/A,FALSE,"Loss2";#N/A,#N/A,FALSE,"Hour-Labor(배분)";#N/A,#N/A,FALSE,"Capital Expenditure";#N/A,#N/A,FALSE,"Productivity"}</definedName>
    <definedName name="_____RR7" hidden="1">{#N/A,#N/A,FALSE,"Yield";#N/A,#N/A,FALSE,"Loss1";#N/A,#N/A,FALSE,"Loss2";#N/A,#N/A,FALSE,"Hour-Labor(배분)";#N/A,#N/A,FALSE,"Capital Expenditure";#N/A,#N/A,FALSE,"Productivity"}</definedName>
    <definedName name="_____RR8" localSheetId="42" hidden="1">{#N/A,#N/A,FALSE,"98소지이동TOTvs99.1 (2)";#N/A,#N/A,FALSE,"TOTAL";#N/A,#N/A,FALSE,"98소지이동TOTvs99.1(b) (2)"}</definedName>
    <definedName name="_____RR8" hidden="1">{#N/A,#N/A,FALSE,"98소지이동TOTvs99.1 (2)";#N/A,#N/A,FALSE,"TOTAL";#N/A,#N/A,FALSE,"98소지이동TOTvs99.1(b) (2)"}</definedName>
    <definedName name="_____SS1" localSheetId="42" hidden="1">{#N/A,#N/A,FALSE,"98소지이동TOTvs99.1 (2)";#N/A,#N/A,FALSE,"TOTAL";#N/A,#N/A,FALSE,"98소지이동TOTvs99.1(b) (2)"}</definedName>
    <definedName name="_____SS1" hidden="1">{#N/A,#N/A,FALSE,"98소지이동TOTvs99.1 (2)";#N/A,#N/A,FALSE,"TOTAL";#N/A,#N/A,FALSE,"98소지이동TOTvs99.1(b) (2)"}</definedName>
    <definedName name="_____SS10" localSheetId="42" hidden="1">{#N/A,#N/A,FALSE,"군산원가";#N/A,#N/A,FALSE,"팀별월별";#N/A,#N/A,FALSE,"타공정대체";#N/A,#N/A,FALSE,"기타경비";#N/A,#N/A,FALSE,"원료";#N/A,#N/A,FALSE,"연료"}</definedName>
    <definedName name="_____SS10" hidden="1">{#N/A,#N/A,FALSE,"군산원가";#N/A,#N/A,FALSE,"팀별월별";#N/A,#N/A,FALSE,"타공정대체";#N/A,#N/A,FALSE,"기타경비";#N/A,#N/A,FALSE,"원료";#N/A,#N/A,FALSE,"연료"}</definedName>
    <definedName name="_____SS11" localSheetId="42" hidden="1">{#N/A,#N/A,FALSE,"98소지이동TOTvs99.1 (2)";#N/A,#N/A,FALSE,"TOTAL";#N/A,#N/A,FALSE,"98소지이동TOTvs99.1(b) (2)"}</definedName>
    <definedName name="_____SS11" hidden="1">{#N/A,#N/A,FALSE,"98소지이동TOTvs99.1 (2)";#N/A,#N/A,FALSE,"TOTAL";#N/A,#N/A,FALSE,"98소지이동TOTvs99.1(b) (2)"}</definedName>
    <definedName name="_____SS12" localSheetId="42" hidden="1">{#N/A,#N/A,FALSE,"98소지이동TOTvs99.1 (2)";#N/A,#N/A,FALSE,"TOTAL";#N/A,#N/A,FALSE,"98소지이동TOTvs99.1(b) (2)"}</definedName>
    <definedName name="_____SS12" hidden="1">{#N/A,#N/A,FALSE,"98소지이동TOTvs99.1 (2)";#N/A,#N/A,FALSE,"TOTAL";#N/A,#N/A,FALSE,"98소지이동TOTvs99.1(b) (2)"}</definedName>
    <definedName name="_____SS13" localSheetId="42" hidden="1">{#N/A,#N/A,FALSE,"98소지이동TOTvs99.1 (2)";#N/A,#N/A,FALSE,"TOTAL";#N/A,#N/A,FALSE,"98소지이동TOTvs99.1(b) (2)"}</definedName>
    <definedName name="_____SS13" hidden="1">{#N/A,#N/A,FALSE,"98소지이동TOTvs99.1 (2)";#N/A,#N/A,FALSE,"TOTAL";#N/A,#N/A,FALSE,"98소지이동TOTvs99.1(b) (2)"}</definedName>
    <definedName name="_____SS14" localSheetId="42" hidden="1">{#N/A,#N/A,FALSE,"98소지이동TOTvs99.1 (2)";#N/A,#N/A,FALSE,"TOTAL";#N/A,#N/A,FALSE,"98소지이동TOTvs99.1(b) (2)"}</definedName>
    <definedName name="_____SS14" hidden="1">{#N/A,#N/A,FALSE,"98소지이동TOTvs99.1 (2)";#N/A,#N/A,FALSE,"TOTAL";#N/A,#N/A,FALSE,"98소지이동TOTvs99.1(b) (2)"}</definedName>
    <definedName name="_____SS15" localSheetId="42" hidden="1">{#N/A,#N/A,FALSE,"군산원가";#N/A,#N/A,FALSE,"팀별월별";#N/A,#N/A,FALSE,"타공정대체";#N/A,#N/A,FALSE,"기타경비";#N/A,#N/A,FALSE,"원료";#N/A,#N/A,FALSE,"연료"}</definedName>
    <definedName name="_____SS15" hidden="1">{#N/A,#N/A,FALSE,"군산원가";#N/A,#N/A,FALSE,"팀별월별";#N/A,#N/A,FALSE,"타공정대체";#N/A,#N/A,FALSE,"기타경비";#N/A,#N/A,FALSE,"원료";#N/A,#N/A,FALSE,"연료"}</definedName>
    <definedName name="_____SS16" localSheetId="42" hidden="1">{#N/A,#N/A,FALSE,"군산원가";#N/A,#N/A,FALSE,"팀별월별";#N/A,#N/A,FALSE,"타공정대체";#N/A,#N/A,FALSE,"기타경비";#N/A,#N/A,FALSE,"원료";#N/A,#N/A,FALSE,"연료"}</definedName>
    <definedName name="_____SS16" hidden="1">{#N/A,#N/A,FALSE,"군산원가";#N/A,#N/A,FALSE,"팀별월별";#N/A,#N/A,FALSE,"타공정대체";#N/A,#N/A,FALSE,"기타경비";#N/A,#N/A,FALSE,"원료";#N/A,#N/A,FALSE,"연료"}</definedName>
    <definedName name="_____SS17" localSheetId="42" hidden="1">{#N/A,#N/A,FALSE,"군산원가";#N/A,#N/A,FALSE,"팀별월별";#N/A,#N/A,FALSE,"타공정대체";#N/A,#N/A,FALSE,"기타경비";#N/A,#N/A,FALSE,"원료";#N/A,#N/A,FALSE,"연료"}</definedName>
    <definedName name="_____SS17" hidden="1">{#N/A,#N/A,FALSE,"군산원가";#N/A,#N/A,FALSE,"팀별월별";#N/A,#N/A,FALSE,"타공정대체";#N/A,#N/A,FALSE,"기타경비";#N/A,#N/A,FALSE,"원료";#N/A,#N/A,FALSE,"연료"}</definedName>
    <definedName name="_____SS18" localSheetId="42" hidden="1">{#N/A,#N/A,FALSE,"군산원가";#N/A,#N/A,FALSE,"팀별월별";#N/A,#N/A,FALSE,"타공정대체";#N/A,#N/A,FALSE,"기타경비";#N/A,#N/A,FALSE,"원료";#N/A,#N/A,FALSE,"연료"}</definedName>
    <definedName name="_____SS18" hidden="1">{#N/A,#N/A,FALSE,"군산원가";#N/A,#N/A,FALSE,"팀별월별";#N/A,#N/A,FALSE,"타공정대체";#N/A,#N/A,FALSE,"기타경비";#N/A,#N/A,FALSE,"원료";#N/A,#N/A,FALSE,"연료"}</definedName>
    <definedName name="_____SS19" localSheetId="42" hidden="1">{#N/A,#N/A,FALSE,"Yield";#N/A,#N/A,FALSE,"Loss1";#N/A,#N/A,FALSE,"Loss2";#N/A,#N/A,FALSE,"Hour-Labor(배분)";#N/A,#N/A,FALSE,"Capital Expenditure";#N/A,#N/A,FALSE,"Productivity"}</definedName>
    <definedName name="_____SS19" hidden="1">{#N/A,#N/A,FALSE,"Yield";#N/A,#N/A,FALSE,"Loss1";#N/A,#N/A,FALSE,"Loss2";#N/A,#N/A,FALSE,"Hour-Labor(배분)";#N/A,#N/A,FALSE,"Capital Expenditure";#N/A,#N/A,FALSE,"Productivity"}</definedName>
    <definedName name="_____SS2" localSheetId="42" hidden="1">{#N/A,#N/A,FALSE,"98소지이동TOTvs99.1 (2)";#N/A,#N/A,FALSE,"TOTAL";#N/A,#N/A,FALSE,"98소지이동TOTvs99.1(b) (2)"}</definedName>
    <definedName name="_____SS2" hidden="1">{#N/A,#N/A,FALSE,"98소지이동TOTvs99.1 (2)";#N/A,#N/A,FALSE,"TOTAL";#N/A,#N/A,FALSE,"98소지이동TOTvs99.1(b) (2)"}</definedName>
    <definedName name="_____SS20" localSheetId="42" hidden="1">{#N/A,#N/A,FALSE,"98소지이동TOTvs99.1 (2)";#N/A,#N/A,FALSE,"TOTAL";#N/A,#N/A,FALSE,"98소지이동TOTvs99.1(b) (2)"}</definedName>
    <definedName name="_____SS20" hidden="1">{#N/A,#N/A,FALSE,"98소지이동TOTvs99.1 (2)";#N/A,#N/A,FALSE,"TOTAL";#N/A,#N/A,FALSE,"98소지이동TOTvs99.1(b) (2)"}</definedName>
    <definedName name="_____SS21" localSheetId="42" hidden="1">{#N/A,#N/A,FALSE,"98소지이동TOTvs99.1 (2)";#N/A,#N/A,FALSE,"TOTAL";#N/A,#N/A,FALSE,"98소지이동TOTvs99.1(b) (2)"}</definedName>
    <definedName name="_____SS21" hidden="1">{#N/A,#N/A,FALSE,"98소지이동TOTvs99.1 (2)";#N/A,#N/A,FALSE,"TOTAL";#N/A,#N/A,FALSE,"98소지이동TOTvs99.1(b) (2)"}</definedName>
    <definedName name="_____SS22" localSheetId="42" hidden="1">{#N/A,#N/A,FALSE,"Yield";#N/A,#N/A,FALSE,"Loss1";#N/A,#N/A,FALSE,"Loss2";#N/A,#N/A,FALSE,"Hour-Labor(배분)";#N/A,#N/A,FALSE,"Capital Expenditure";#N/A,#N/A,FALSE,"Productivity"}</definedName>
    <definedName name="_____SS22" hidden="1">{#N/A,#N/A,FALSE,"Yield";#N/A,#N/A,FALSE,"Loss1";#N/A,#N/A,FALSE,"Loss2";#N/A,#N/A,FALSE,"Hour-Labor(배분)";#N/A,#N/A,FALSE,"Capital Expenditure";#N/A,#N/A,FALSE,"Productivity"}</definedName>
    <definedName name="_____SS23" localSheetId="42" hidden="1">{#N/A,#N/A,FALSE,"Yield";#N/A,#N/A,FALSE,"Loss1";#N/A,#N/A,FALSE,"Loss2";#N/A,#N/A,FALSE,"Hour-Labor(배분)";#N/A,#N/A,FALSE,"Capital Expenditure";#N/A,#N/A,FALSE,"Productivity"}</definedName>
    <definedName name="_____SS23" hidden="1">{#N/A,#N/A,FALSE,"Yield";#N/A,#N/A,FALSE,"Loss1";#N/A,#N/A,FALSE,"Loss2";#N/A,#N/A,FALSE,"Hour-Labor(배분)";#N/A,#N/A,FALSE,"Capital Expenditure";#N/A,#N/A,FALSE,"Productivity"}</definedName>
    <definedName name="_____SS24" localSheetId="42" hidden="1">{#N/A,#N/A,FALSE,"Yield";#N/A,#N/A,FALSE,"Loss1";#N/A,#N/A,FALSE,"Loss2";#N/A,#N/A,FALSE,"Hour-Labor(배분)";#N/A,#N/A,FALSE,"Capital Expenditure";#N/A,#N/A,FALSE,"Productivity"}</definedName>
    <definedName name="_____SS24" hidden="1">{#N/A,#N/A,FALSE,"Yield";#N/A,#N/A,FALSE,"Loss1";#N/A,#N/A,FALSE,"Loss2";#N/A,#N/A,FALSE,"Hour-Labor(배분)";#N/A,#N/A,FALSE,"Capital Expenditure";#N/A,#N/A,FALSE,"Productivity"}</definedName>
    <definedName name="_____SS25" localSheetId="42" hidden="1">{#N/A,#N/A,FALSE,"98소지이동TOTvs99.1 (2)";#N/A,#N/A,FALSE,"TOTAL";#N/A,#N/A,FALSE,"98소지이동TOTvs99.1(b) (2)"}</definedName>
    <definedName name="_____SS25" hidden="1">{#N/A,#N/A,FALSE,"98소지이동TOTvs99.1 (2)";#N/A,#N/A,FALSE,"TOTAL";#N/A,#N/A,FALSE,"98소지이동TOTvs99.1(b) (2)"}</definedName>
    <definedName name="_____SS26" localSheetId="42"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___SS26"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___SS27" localSheetId="42" hidden="1">{#N/A,#N/A,FALSE,"Yield";#N/A,#N/A,FALSE,"Loss1";#N/A,#N/A,FALSE,"Loss2";#N/A,#N/A,FALSE,"Hour-Labor(배분)";#N/A,#N/A,FALSE,"Capital Expenditure";#N/A,#N/A,FALSE,"Productivity"}</definedName>
    <definedName name="_____SS27" hidden="1">{#N/A,#N/A,FALSE,"Yield";#N/A,#N/A,FALSE,"Loss1";#N/A,#N/A,FALSE,"Loss2";#N/A,#N/A,FALSE,"Hour-Labor(배분)";#N/A,#N/A,FALSE,"Capital Expenditure";#N/A,#N/A,FALSE,"Productivity"}</definedName>
    <definedName name="_____SS28" localSheetId="42" hidden="1">{#N/A,#N/A,FALSE,"군산원가";#N/A,#N/A,FALSE,"팀별월별";#N/A,#N/A,FALSE,"타공정대체";#N/A,#N/A,FALSE,"기타경비";#N/A,#N/A,FALSE,"원료";#N/A,#N/A,FALSE,"연료"}</definedName>
    <definedName name="_____SS28" hidden="1">{#N/A,#N/A,FALSE,"군산원가";#N/A,#N/A,FALSE,"팀별월별";#N/A,#N/A,FALSE,"타공정대체";#N/A,#N/A,FALSE,"기타경비";#N/A,#N/A,FALSE,"원료";#N/A,#N/A,FALSE,"연료"}</definedName>
    <definedName name="_____SS29" localSheetId="42"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___SS29"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___SS3" localSheetId="42" hidden="1">{#N/A,#N/A,FALSE,"군산원가";#N/A,#N/A,FALSE,"팀별월별";#N/A,#N/A,FALSE,"타공정대체";#N/A,#N/A,FALSE,"기타경비";#N/A,#N/A,FALSE,"원료";#N/A,#N/A,FALSE,"연료"}</definedName>
    <definedName name="_____SS3" hidden="1">{#N/A,#N/A,FALSE,"군산원가";#N/A,#N/A,FALSE,"팀별월별";#N/A,#N/A,FALSE,"타공정대체";#N/A,#N/A,FALSE,"기타경비";#N/A,#N/A,FALSE,"원료";#N/A,#N/A,FALSE,"연료"}</definedName>
    <definedName name="_____SS30" localSheetId="42"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___SS30"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___SS31" localSheetId="42" hidden="1">{#N/A,#N/A,FALSE,"Yield";#N/A,#N/A,FALSE,"Loss1";#N/A,#N/A,FALSE,"Loss2";#N/A,#N/A,FALSE,"Hour-Labor(배분)";#N/A,#N/A,FALSE,"Capital Expenditure";#N/A,#N/A,FALSE,"Productivity"}</definedName>
    <definedName name="_____SS31" hidden="1">{#N/A,#N/A,FALSE,"Yield";#N/A,#N/A,FALSE,"Loss1";#N/A,#N/A,FALSE,"Loss2";#N/A,#N/A,FALSE,"Hour-Labor(배분)";#N/A,#N/A,FALSE,"Capital Expenditure";#N/A,#N/A,FALSE,"Productivity"}</definedName>
    <definedName name="_____SS32" localSheetId="42" hidden="1">{#N/A,#N/A,FALSE,"98소지이동TOTvs99.1 (2)";#N/A,#N/A,FALSE,"TOTAL";#N/A,#N/A,FALSE,"98소지이동TOTvs99.1(b) (2)"}</definedName>
    <definedName name="_____SS32" hidden="1">{#N/A,#N/A,FALSE,"98소지이동TOTvs99.1 (2)";#N/A,#N/A,FALSE,"TOTAL";#N/A,#N/A,FALSE,"98소지이동TOTvs99.1(b) (2)"}</definedName>
    <definedName name="_____SS4" localSheetId="42" hidden="1">{#N/A,#N/A,FALSE,"군산원가";#N/A,#N/A,FALSE,"팀별월별";#N/A,#N/A,FALSE,"타공정대체";#N/A,#N/A,FALSE,"기타경비";#N/A,#N/A,FALSE,"원료";#N/A,#N/A,FALSE,"연료"}</definedName>
    <definedName name="_____SS4" hidden="1">{#N/A,#N/A,FALSE,"군산원가";#N/A,#N/A,FALSE,"팀별월별";#N/A,#N/A,FALSE,"타공정대체";#N/A,#N/A,FALSE,"기타경비";#N/A,#N/A,FALSE,"원료";#N/A,#N/A,FALSE,"연료"}</definedName>
    <definedName name="_____SS5" localSheetId="42" hidden="1">{#N/A,#N/A,FALSE,"98소지이동TOTvs99.1 (2)";#N/A,#N/A,FALSE,"TOTAL";#N/A,#N/A,FALSE,"98소지이동TOTvs99.1(b) (2)"}</definedName>
    <definedName name="_____SS5" hidden="1">{#N/A,#N/A,FALSE,"98소지이동TOTvs99.1 (2)";#N/A,#N/A,FALSE,"TOTAL";#N/A,#N/A,FALSE,"98소지이동TOTvs99.1(b) (2)"}</definedName>
    <definedName name="_____SS6" localSheetId="42"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___SS6"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___SS7" localSheetId="42"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___SS7"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___SS8" localSheetId="42" hidden="1">{#N/A,#N/A,FALSE,"98소지이동TOTvs99.1 (2)";#N/A,#N/A,FALSE,"TOTAL";#N/A,#N/A,FALSE,"98소지이동TOTvs99.1(b) (2)"}</definedName>
    <definedName name="_____SS8" hidden="1">{#N/A,#N/A,FALSE,"98소지이동TOTvs99.1 (2)";#N/A,#N/A,FALSE,"TOTAL";#N/A,#N/A,FALSE,"98소지이동TOTvs99.1(b) (2)"}</definedName>
    <definedName name="_____SS9" localSheetId="42" hidden="1">{#N/A,#N/A,FALSE,"98소지이동TOTvs99.1 (2)";#N/A,#N/A,FALSE,"TOTAL";#N/A,#N/A,FALSE,"98소지이동TOTvs99.1(b) (2)"}</definedName>
    <definedName name="_____SS9" hidden="1">{#N/A,#N/A,FALSE,"98소지이동TOTvs99.1 (2)";#N/A,#N/A,FALSE,"TOTAL";#N/A,#N/A,FALSE,"98소지이동TOTvs99.1(b) (2)"}</definedName>
    <definedName name="_____www1" localSheetId="42"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_____www1"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_____XX1" localSheetId="42" hidden="1">{#N/A,#N/A,FALSE,"98소지이동TOTvs99.1 (2)";#N/A,#N/A,FALSE,"TOTAL";#N/A,#N/A,FALSE,"98소지이동TOTvs99.1(b) (2)"}</definedName>
    <definedName name="_____XX1" hidden="1">{#N/A,#N/A,FALSE,"98소지이동TOTvs99.1 (2)";#N/A,#N/A,FALSE,"TOTAL";#N/A,#N/A,FALSE,"98소지이동TOTvs99.1(b) (2)"}</definedName>
    <definedName name="_____XX10" localSheetId="42" hidden="1">{#N/A,#N/A,FALSE,"Yield";#N/A,#N/A,FALSE,"Loss1";#N/A,#N/A,FALSE,"Loss2";#N/A,#N/A,FALSE,"Hour-Labor(배분)";#N/A,#N/A,FALSE,"Capital Expenditure";#N/A,#N/A,FALSE,"Productivity"}</definedName>
    <definedName name="_____XX10" hidden="1">{#N/A,#N/A,FALSE,"Yield";#N/A,#N/A,FALSE,"Loss1";#N/A,#N/A,FALSE,"Loss2";#N/A,#N/A,FALSE,"Hour-Labor(배분)";#N/A,#N/A,FALSE,"Capital Expenditure";#N/A,#N/A,FALSE,"Productivity"}</definedName>
    <definedName name="_____XX2" localSheetId="42" hidden="1">{#N/A,#N/A,FALSE,"98소지이동TOTvs99.1 (2)";#N/A,#N/A,FALSE,"TOTAL";#N/A,#N/A,FALSE,"98소지이동TOTvs99.1(b) (2)"}</definedName>
    <definedName name="_____XX2" hidden="1">{#N/A,#N/A,FALSE,"98소지이동TOTvs99.1 (2)";#N/A,#N/A,FALSE,"TOTAL";#N/A,#N/A,FALSE,"98소지이동TOTvs99.1(b) (2)"}</definedName>
    <definedName name="_____XX3" localSheetId="42" hidden="1">{#N/A,#N/A,FALSE,"98소지이동TOTvs99.1 (2)";#N/A,#N/A,FALSE,"TOTAL";#N/A,#N/A,FALSE,"98소지이동TOTvs99.1(b) (2)"}</definedName>
    <definedName name="_____XX3" hidden="1">{#N/A,#N/A,FALSE,"98소지이동TOTvs99.1 (2)";#N/A,#N/A,FALSE,"TOTAL";#N/A,#N/A,FALSE,"98소지이동TOTvs99.1(b) (2)"}</definedName>
    <definedName name="_____XX4" localSheetId="42" hidden="1">{#N/A,#N/A,FALSE,"군산원가";#N/A,#N/A,FALSE,"팀별월별";#N/A,#N/A,FALSE,"타공정대체";#N/A,#N/A,FALSE,"기타경비";#N/A,#N/A,FALSE,"원료";#N/A,#N/A,FALSE,"연료"}</definedName>
    <definedName name="_____XX4" hidden="1">{#N/A,#N/A,FALSE,"군산원가";#N/A,#N/A,FALSE,"팀별월별";#N/A,#N/A,FALSE,"타공정대체";#N/A,#N/A,FALSE,"기타경비";#N/A,#N/A,FALSE,"원료";#N/A,#N/A,FALSE,"연료"}</definedName>
    <definedName name="_____XX5" localSheetId="42" hidden="1">{#N/A,#N/A,FALSE,"군산원가";#N/A,#N/A,FALSE,"팀별월별";#N/A,#N/A,FALSE,"타공정대체";#N/A,#N/A,FALSE,"기타경비";#N/A,#N/A,FALSE,"원료";#N/A,#N/A,FALSE,"연료"}</definedName>
    <definedName name="_____XX5" hidden="1">{#N/A,#N/A,FALSE,"군산원가";#N/A,#N/A,FALSE,"팀별월별";#N/A,#N/A,FALSE,"타공정대체";#N/A,#N/A,FALSE,"기타경비";#N/A,#N/A,FALSE,"원료";#N/A,#N/A,FALSE,"연료"}</definedName>
    <definedName name="_____XX6" localSheetId="42" hidden="1">{#N/A,#N/A,FALSE,"Yield";#N/A,#N/A,FALSE,"Loss1";#N/A,#N/A,FALSE,"Loss2";#N/A,#N/A,FALSE,"Hour-Labor(배분)";#N/A,#N/A,FALSE,"Capital Expenditure";#N/A,#N/A,FALSE,"Productivity"}</definedName>
    <definedName name="_____XX6" hidden="1">{#N/A,#N/A,FALSE,"Yield";#N/A,#N/A,FALSE,"Loss1";#N/A,#N/A,FALSE,"Loss2";#N/A,#N/A,FALSE,"Hour-Labor(배분)";#N/A,#N/A,FALSE,"Capital Expenditure";#N/A,#N/A,FALSE,"Productivity"}</definedName>
    <definedName name="_____XX7" localSheetId="42" hidden="1">{#N/A,#N/A,FALSE,"98소지이동TOTvs99.1 (2)";#N/A,#N/A,FALSE,"TOTAL";#N/A,#N/A,FALSE,"98소지이동TOTvs99.1(b) (2)"}</definedName>
    <definedName name="_____XX7" hidden="1">{#N/A,#N/A,FALSE,"98소지이동TOTvs99.1 (2)";#N/A,#N/A,FALSE,"TOTAL";#N/A,#N/A,FALSE,"98소지이동TOTvs99.1(b) (2)"}</definedName>
    <definedName name="_____XX8" localSheetId="42"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___XX8"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___XX9" localSheetId="42"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___XX9"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___ZZ1" localSheetId="42" hidden="1">{#N/A,#N/A,FALSE,"98소지이동TOTvs99.1 (2)";#N/A,#N/A,FALSE,"TOTAL";#N/A,#N/A,FALSE,"98소지이동TOTvs99.1(b) (2)"}</definedName>
    <definedName name="_____ZZ1" hidden="1">{#N/A,#N/A,FALSE,"98소지이동TOTvs99.1 (2)";#N/A,#N/A,FALSE,"TOTAL";#N/A,#N/A,FALSE,"98소지이동TOTvs99.1(b) (2)"}</definedName>
    <definedName name="____bb1" localSheetId="42" hidden="1">{#N/A,#N/A,FALSE,"98소지이동TOTvs99.1 (2)";#N/A,#N/A,FALSE,"TOTAL";#N/A,#N/A,FALSE,"98소지이동TOTvs99.1(b) (2)"}</definedName>
    <definedName name="____bb1" hidden="1">{#N/A,#N/A,FALSE,"98소지이동TOTvs99.1 (2)";#N/A,#N/A,FALSE,"TOTAL";#N/A,#N/A,FALSE,"98소지이동TOTvs99.1(b) (2)"}</definedName>
    <definedName name="____bb2" localSheetId="42" hidden="1">{#N/A,#N/A,FALSE,"98소지이동TOTvs99.1 (2)";#N/A,#N/A,FALSE,"TOTAL";#N/A,#N/A,FALSE,"98소지이동TOTvs99.1(b) (2)"}</definedName>
    <definedName name="____bb2" hidden="1">{#N/A,#N/A,FALSE,"98소지이동TOTvs99.1 (2)";#N/A,#N/A,FALSE,"TOTAL";#N/A,#N/A,FALSE,"98소지이동TOTvs99.1(b) (2)"}</definedName>
    <definedName name="____bb3" localSheetId="42" hidden="1">{#N/A,#N/A,FALSE,"군산원가";#N/A,#N/A,FALSE,"팀별월별";#N/A,#N/A,FALSE,"타공정대체";#N/A,#N/A,FALSE,"기타경비";#N/A,#N/A,FALSE,"원료";#N/A,#N/A,FALSE,"연료"}</definedName>
    <definedName name="____bb3" hidden="1">{#N/A,#N/A,FALSE,"군산원가";#N/A,#N/A,FALSE,"팀별월별";#N/A,#N/A,FALSE,"타공정대체";#N/A,#N/A,FALSE,"기타경비";#N/A,#N/A,FALSE,"원료";#N/A,#N/A,FALSE,"연료"}</definedName>
    <definedName name="____bb4" localSheetId="42" hidden="1">{#N/A,#N/A,FALSE,"98소지이동TOTvs99.1 (2)";#N/A,#N/A,FALSE,"TOTAL";#N/A,#N/A,FALSE,"98소지이동TOTvs99.1(b) (2)"}</definedName>
    <definedName name="____bb4" hidden="1">{#N/A,#N/A,FALSE,"98소지이동TOTvs99.1 (2)";#N/A,#N/A,FALSE,"TOTAL";#N/A,#N/A,FALSE,"98소지이동TOTvs99.1(b) (2)"}</definedName>
    <definedName name="____bb5" localSheetId="42" hidden="1">{#N/A,#N/A,FALSE,"98소지이동TOTvs99.1 (2)";#N/A,#N/A,FALSE,"TOTAL";#N/A,#N/A,FALSE,"98소지이동TOTvs99.1(b) (2)"}</definedName>
    <definedName name="____bb5" hidden="1">{#N/A,#N/A,FALSE,"98소지이동TOTvs99.1 (2)";#N/A,#N/A,FALSE,"TOTAL";#N/A,#N/A,FALSE,"98소지이동TOTvs99.1(b) (2)"}</definedName>
    <definedName name="____bb6" localSheetId="42" hidden="1">{#N/A,#N/A,FALSE,"98소지이동TOTvs99.1 (2)";#N/A,#N/A,FALSE,"TOTAL";#N/A,#N/A,FALSE,"98소지이동TOTvs99.1(b) (2)"}</definedName>
    <definedName name="____bb6" hidden="1">{#N/A,#N/A,FALSE,"98소지이동TOTvs99.1 (2)";#N/A,#N/A,FALSE,"TOTAL";#N/A,#N/A,FALSE,"98소지이동TOTvs99.1(b) (2)"}</definedName>
    <definedName name="____bb7" localSheetId="42" hidden="1">{#N/A,#N/A,FALSE,"98소지이동TOTvs99.1 (2)";#N/A,#N/A,FALSE,"TOTAL";#N/A,#N/A,FALSE,"98소지이동TOTvs99.1(b) (2)"}</definedName>
    <definedName name="____bb7" hidden="1">{#N/A,#N/A,FALSE,"98소지이동TOTvs99.1 (2)";#N/A,#N/A,FALSE,"TOTAL";#N/A,#N/A,FALSE,"98소지이동TOTvs99.1(b) (2)"}</definedName>
    <definedName name="____bb8" localSheetId="42" hidden="1">{#N/A,#N/A,FALSE,"군산원가";#N/A,#N/A,FALSE,"팀별월별";#N/A,#N/A,FALSE,"타공정대체";#N/A,#N/A,FALSE,"기타경비";#N/A,#N/A,FALSE,"원료";#N/A,#N/A,FALSE,"연료"}</definedName>
    <definedName name="____bb8" hidden="1">{#N/A,#N/A,FALSE,"군산원가";#N/A,#N/A,FALSE,"팀별월별";#N/A,#N/A,FALSE,"타공정대체";#N/A,#N/A,FALSE,"기타경비";#N/A,#N/A,FALSE,"원료";#N/A,#N/A,FALSE,"연료"}</definedName>
    <definedName name="____bb9" localSheetId="42" hidden="1">{#N/A,#N/A,FALSE,"군산원가";#N/A,#N/A,FALSE,"팀별월별";#N/A,#N/A,FALSE,"타공정대체";#N/A,#N/A,FALSE,"기타경비";#N/A,#N/A,FALSE,"원료";#N/A,#N/A,FALSE,"연료"}</definedName>
    <definedName name="____bb9" hidden="1">{#N/A,#N/A,FALSE,"군산원가";#N/A,#N/A,FALSE,"팀별월별";#N/A,#N/A,FALSE,"타공정대체";#N/A,#N/A,FALSE,"기타경비";#N/A,#N/A,FALSE,"원료";#N/A,#N/A,FALSE,"연료"}</definedName>
    <definedName name="____cc1" localSheetId="42" hidden="1">{#N/A,#N/A,FALSE,"군산원가";#N/A,#N/A,FALSE,"팀별월별";#N/A,#N/A,FALSE,"타공정대체";#N/A,#N/A,FALSE,"기타경비";#N/A,#N/A,FALSE,"원료";#N/A,#N/A,FALSE,"연료"}</definedName>
    <definedName name="____cc1" hidden="1">{#N/A,#N/A,FALSE,"군산원가";#N/A,#N/A,FALSE,"팀별월별";#N/A,#N/A,FALSE,"타공정대체";#N/A,#N/A,FALSE,"기타경비";#N/A,#N/A,FALSE,"원료";#N/A,#N/A,FALSE,"연료"}</definedName>
    <definedName name="____cc2" localSheetId="42" hidden="1">{#N/A,#N/A,FALSE,"군산원가";#N/A,#N/A,FALSE,"팀별월별";#N/A,#N/A,FALSE,"타공정대체";#N/A,#N/A,FALSE,"기타경비";#N/A,#N/A,FALSE,"원료";#N/A,#N/A,FALSE,"연료"}</definedName>
    <definedName name="____cc2" hidden="1">{#N/A,#N/A,FALSE,"군산원가";#N/A,#N/A,FALSE,"팀별월별";#N/A,#N/A,FALSE,"타공정대체";#N/A,#N/A,FALSE,"기타경비";#N/A,#N/A,FALSE,"원료";#N/A,#N/A,FALSE,"연료"}</definedName>
    <definedName name="____cc3" localSheetId="42" hidden="1">{#N/A,#N/A,FALSE,"Yield";#N/A,#N/A,FALSE,"Loss1";#N/A,#N/A,FALSE,"Loss2";#N/A,#N/A,FALSE,"Hour-Labor(배분)";#N/A,#N/A,FALSE,"Capital Expenditure";#N/A,#N/A,FALSE,"Productivity"}</definedName>
    <definedName name="____cc3" hidden="1">{#N/A,#N/A,FALSE,"Yield";#N/A,#N/A,FALSE,"Loss1";#N/A,#N/A,FALSE,"Loss2";#N/A,#N/A,FALSE,"Hour-Labor(배분)";#N/A,#N/A,FALSE,"Capital Expenditure";#N/A,#N/A,FALSE,"Productivity"}</definedName>
    <definedName name="____cc4" localSheetId="42" hidden="1">{#N/A,#N/A,FALSE,"98소지이동TOTvs99.1 (2)";#N/A,#N/A,FALSE,"TOTAL";#N/A,#N/A,FALSE,"98소지이동TOTvs99.1(b) (2)"}</definedName>
    <definedName name="____cc4" hidden="1">{#N/A,#N/A,FALSE,"98소지이동TOTvs99.1 (2)";#N/A,#N/A,FALSE,"TOTAL";#N/A,#N/A,FALSE,"98소지이동TOTvs99.1(b) (2)"}</definedName>
    <definedName name="____cc5" localSheetId="42" hidden="1">{#N/A,#N/A,FALSE,"98소지이동TOTvs99.1 (2)";#N/A,#N/A,FALSE,"TOTAL";#N/A,#N/A,FALSE,"98소지이동TOTvs99.1(b) (2)"}</definedName>
    <definedName name="____cc5" hidden="1">{#N/A,#N/A,FALSE,"98소지이동TOTvs99.1 (2)";#N/A,#N/A,FALSE,"TOTAL";#N/A,#N/A,FALSE,"98소지이동TOTvs99.1(b) (2)"}</definedName>
    <definedName name="____cc6" localSheetId="42" hidden="1">{#N/A,#N/A,FALSE,"Yield";#N/A,#N/A,FALSE,"Loss1";#N/A,#N/A,FALSE,"Loss2";#N/A,#N/A,FALSE,"Hour-Labor(배분)";#N/A,#N/A,FALSE,"Capital Expenditure";#N/A,#N/A,FALSE,"Productivity"}</definedName>
    <definedName name="____cc6" hidden="1">{#N/A,#N/A,FALSE,"Yield";#N/A,#N/A,FALSE,"Loss1";#N/A,#N/A,FALSE,"Loss2";#N/A,#N/A,FALSE,"Hour-Labor(배분)";#N/A,#N/A,FALSE,"Capital Expenditure";#N/A,#N/A,FALSE,"Productivity"}</definedName>
    <definedName name="____cc7" localSheetId="42" hidden="1">{#N/A,#N/A,FALSE,"Yield";#N/A,#N/A,FALSE,"Loss1";#N/A,#N/A,FALSE,"Loss2";#N/A,#N/A,FALSE,"Hour-Labor(배분)";#N/A,#N/A,FALSE,"Capital Expenditure";#N/A,#N/A,FALSE,"Productivity"}</definedName>
    <definedName name="____cc7" hidden="1">{#N/A,#N/A,FALSE,"Yield";#N/A,#N/A,FALSE,"Loss1";#N/A,#N/A,FALSE,"Loss2";#N/A,#N/A,FALSE,"Hour-Labor(배분)";#N/A,#N/A,FALSE,"Capital Expenditure";#N/A,#N/A,FALSE,"Productivity"}</definedName>
    <definedName name="____cc8" localSheetId="42" hidden="1">{#N/A,#N/A,FALSE,"Yield";#N/A,#N/A,FALSE,"Loss1";#N/A,#N/A,FALSE,"Loss2";#N/A,#N/A,FALSE,"Hour-Labor(배분)";#N/A,#N/A,FALSE,"Capital Expenditure";#N/A,#N/A,FALSE,"Productivity"}</definedName>
    <definedName name="____cc8" hidden="1">{#N/A,#N/A,FALSE,"Yield";#N/A,#N/A,FALSE,"Loss1";#N/A,#N/A,FALSE,"Loss2";#N/A,#N/A,FALSE,"Hour-Labor(배분)";#N/A,#N/A,FALSE,"Capital Expenditure";#N/A,#N/A,FALSE,"Productivity"}</definedName>
    <definedName name="____cc9" localSheetId="42" hidden="1">{#N/A,#N/A,FALSE,"98소지이동TOTvs99.1 (2)";#N/A,#N/A,FALSE,"TOTAL";#N/A,#N/A,FALSE,"98소지이동TOTvs99.1(b) (2)"}</definedName>
    <definedName name="____cc9" hidden="1">{#N/A,#N/A,FALSE,"98소지이동TOTvs99.1 (2)";#N/A,#N/A,FALSE,"TOTAL";#N/A,#N/A,FALSE,"98소지이동TOTvs99.1(b) (2)"}</definedName>
    <definedName name="____jh1" localSheetId="42" hidden="1">{#N/A,#N/A,FALSE,"Yield";#N/A,#N/A,FALSE,"Loss1";#N/A,#N/A,FALSE,"Loss2";#N/A,#N/A,FALSE,"Hour-Labor(배분)";#N/A,#N/A,FALSE,"Capital Expenditure";#N/A,#N/A,FALSE,"Productivity"}</definedName>
    <definedName name="____jh1" hidden="1">{#N/A,#N/A,FALSE,"Yield";#N/A,#N/A,FALSE,"Loss1";#N/A,#N/A,FALSE,"Loss2";#N/A,#N/A,FALSE,"Hour-Labor(배분)";#N/A,#N/A,FALSE,"Capital Expenditure";#N/A,#N/A,FALSE,"Productivity"}</definedName>
    <definedName name="____jh3" localSheetId="42"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__jh3"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__jh4" localSheetId="42" hidden="1">{#N/A,#N/A,FALSE,"Yield";#N/A,#N/A,FALSE,"Loss1";#N/A,#N/A,FALSE,"Loss2";#N/A,#N/A,FALSE,"Hour-Labor(배분)";#N/A,#N/A,FALSE,"Capital Expenditure";#N/A,#N/A,FALSE,"Productivity"}</definedName>
    <definedName name="____jh4" hidden="1">{#N/A,#N/A,FALSE,"Yield";#N/A,#N/A,FALSE,"Loss1";#N/A,#N/A,FALSE,"Loss2";#N/A,#N/A,FALSE,"Hour-Labor(배분)";#N/A,#N/A,FALSE,"Capital Expenditure";#N/A,#N/A,FALSE,"Productivity"}</definedName>
    <definedName name="____jh5" localSheetId="42" hidden="1">{#N/A,#N/A,FALSE,"98소지이동TOTvs99.1 (2)";#N/A,#N/A,FALSE,"TOTAL";#N/A,#N/A,FALSE,"98소지이동TOTvs99.1(b) (2)"}</definedName>
    <definedName name="____jh5" hidden="1">{#N/A,#N/A,FALSE,"98소지이동TOTvs99.1 (2)";#N/A,#N/A,FALSE,"TOTAL";#N/A,#N/A,FALSE,"98소지이동TOTvs99.1(b) (2)"}</definedName>
    <definedName name="____jj1" localSheetId="42"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__jj1"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__jj2" localSheetId="42" hidden="1">{#N/A,#N/A,FALSE,"Yield";#N/A,#N/A,FALSE,"Loss1";#N/A,#N/A,FALSE,"Loss2";#N/A,#N/A,FALSE,"Hour-Labor(배분)";#N/A,#N/A,FALSE,"Capital Expenditure";#N/A,#N/A,FALSE,"Productivity"}</definedName>
    <definedName name="____jj2" hidden="1">{#N/A,#N/A,FALSE,"Yield";#N/A,#N/A,FALSE,"Loss1";#N/A,#N/A,FALSE,"Loss2";#N/A,#N/A,FALSE,"Hour-Labor(배분)";#N/A,#N/A,FALSE,"Capital Expenditure";#N/A,#N/A,FALSE,"Productivity"}</definedName>
    <definedName name="____jj3" localSheetId="42" hidden="1">{#N/A,#N/A,FALSE,"군산원가";#N/A,#N/A,FALSE,"팀별월별";#N/A,#N/A,FALSE,"타공정대체";#N/A,#N/A,FALSE,"기타경비";#N/A,#N/A,FALSE,"원료";#N/A,#N/A,FALSE,"연료"}</definedName>
    <definedName name="____jj3" hidden="1">{#N/A,#N/A,FALSE,"군산원가";#N/A,#N/A,FALSE,"팀별월별";#N/A,#N/A,FALSE,"타공정대체";#N/A,#N/A,FALSE,"기타경비";#N/A,#N/A,FALSE,"원료";#N/A,#N/A,FALSE,"연료"}</definedName>
    <definedName name="____jj4" localSheetId="42"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__jj4"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__jj5" localSheetId="42"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__jj5"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__jj6" localSheetId="42" hidden="1">{#N/A,#N/A,FALSE,"Yield";#N/A,#N/A,FALSE,"Loss1";#N/A,#N/A,FALSE,"Loss2";#N/A,#N/A,FALSE,"Hour-Labor(배분)";#N/A,#N/A,FALSE,"Capital Expenditure";#N/A,#N/A,FALSE,"Productivity"}</definedName>
    <definedName name="____jj6" hidden="1">{#N/A,#N/A,FALSE,"Yield";#N/A,#N/A,FALSE,"Loss1";#N/A,#N/A,FALSE,"Loss2";#N/A,#N/A,FALSE,"Hour-Labor(배분)";#N/A,#N/A,FALSE,"Capital Expenditure";#N/A,#N/A,FALSE,"Productivity"}</definedName>
    <definedName name="____jj7" localSheetId="42" hidden="1">{#N/A,#N/A,FALSE,"98소지이동TOTvs99.1 (2)";#N/A,#N/A,FALSE,"TOTAL";#N/A,#N/A,FALSE,"98소지이동TOTvs99.1(b) (2)"}</definedName>
    <definedName name="____jj7" hidden="1">{#N/A,#N/A,FALSE,"98소지이동TOTvs99.1 (2)";#N/A,#N/A,FALSE,"TOTAL";#N/A,#N/A,FALSE,"98소지이동TOTvs99.1(b) (2)"}</definedName>
    <definedName name="____jyr6" localSheetId="4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_jyr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_kl505" localSheetId="42" hidden="1">{#N/A,#N/A,FALSE,"군산원가";#N/A,#N/A,FALSE,"팀별월별";#N/A,#N/A,FALSE,"타공정대체";#N/A,#N/A,FALSE,"기타경비";#N/A,#N/A,FALSE,"원료";#N/A,#N/A,FALSE,"연료"}</definedName>
    <definedName name="____kl505" hidden="1">{#N/A,#N/A,FALSE,"군산원가";#N/A,#N/A,FALSE,"팀별월별";#N/A,#N/A,FALSE,"타공정대체";#N/A,#N/A,FALSE,"기타경비";#N/A,#N/A,FALSE,"원료";#N/A,#N/A,FALSE,"연료"}</definedName>
    <definedName name="____KTM10" localSheetId="12" hidden="1">{#N/A,#N/A,FALSE,"현장 NCR 분석";#N/A,#N/A,FALSE,"현장품질감사";#N/A,#N/A,FALSE,"현장품질감사"}</definedName>
    <definedName name="____KTM10" localSheetId="42" hidden="1">{#N/A,#N/A,FALSE,"현장 NCR 분석";#N/A,#N/A,FALSE,"현장품질감사";#N/A,#N/A,FALSE,"현장품질감사"}</definedName>
    <definedName name="____KTM10" hidden="1">{#N/A,#N/A,FALSE,"현장 NCR 분석";#N/A,#N/A,FALSE,"현장품질감사";#N/A,#N/A,FALSE,"현장품질감사"}</definedName>
    <definedName name="____LG2" localSheetId="12" hidden="1">{#N/A,#N/A,TRUE,"매출진척-1";#N/A,#N/A,TRUE,"매출진척-2";#N/A,#N/A,TRUE,"제품실적";#N/A,#N/A,TRUE,"RAC";#N/A,#N/A,TRUE,"PAC ";#N/A,#N/A,TRUE,"재고현황";#N/A,#N/A,TRUE,"공지사항"}</definedName>
    <definedName name="____LG2" localSheetId="42" hidden="1">{#N/A,#N/A,TRUE,"매출진척-1";#N/A,#N/A,TRUE,"매출진척-2";#N/A,#N/A,TRUE,"제품실적";#N/A,#N/A,TRUE,"RAC";#N/A,#N/A,TRUE,"PAC ";#N/A,#N/A,TRUE,"재고현황";#N/A,#N/A,TRUE,"공지사항"}</definedName>
    <definedName name="____LG2" hidden="1">{#N/A,#N/A,TRUE,"매출진척-1";#N/A,#N/A,TRUE,"매출진척-2";#N/A,#N/A,TRUE,"제품실적";#N/A,#N/A,TRUE,"RAC";#N/A,#N/A,TRUE,"PAC ";#N/A,#N/A,TRUE,"재고현황";#N/A,#N/A,TRUE,"공지사항"}</definedName>
    <definedName name="____ll1" localSheetId="42"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__ll1"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__ll2" localSheetId="42" hidden="1">{#N/A,#N/A,FALSE,"98소지이동TOTvs99.1 (2)";#N/A,#N/A,FALSE,"TOTAL";#N/A,#N/A,FALSE,"98소지이동TOTvs99.1(b) (2)"}</definedName>
    <definedName name="____ll2" hidden="1">{#N/A,#N/A,FALSE,"98소지이동TOTvs99.1 (2)";#N/A,#N/A,FALSE,"TOTAL";#N/A,#N/A,FALSE,"98소지이동TOTvs99.1(b) (2)"}</definedName>
    <definedName name="____ll3" localSheetId="42" hidden="1">{#N/A,#N/A,FALSE,"98소지이동TOTvs99.1 (2)";#N/A,#N/A,FALSE,"TOTAL";#N/A,#N/A,FALSE,"98소지이동TOTvs99.1(b) (2)"}</definedName>
    <definedName name="____ll3" hidden="1">{#N/A,#N/A,FALSE,"98소지이동TOTvs99.1 (2)";#N/A,#N/A,FALSE,"TOTAL";#N/A,#N/A,FALSE,"98소지이동TOTvs99.1(b) (2)"}</definedName>
    <definedName name="____ll4" localSheetId="42" hidden="1">{#N/A,#N/A,FALSE,"군산원가";#N/A,#N/A,FALSE,"팀별월별";#N/A,#N/A,FALSE,"타공정대체";#N/A,#N/A,FALSE,"기타경비";#N/A,#N/A,FALSE,"원료";#N/A,#N/A,FALSE,"연료"}</definedName>
    <definedName name="____ll4" hidden="1">{#N/A,#N/A,FALSE,"군산원가";#N/A,#N/A,FALSE,"팀별월별";#N/A,#N/A,FALSE,"타공정대체";#N/A,#N/A,FALSE,"기타경비";#N/A,#N/A,FALSE,"원료";#N/A,#N/A,FALSE,"연료"}</definedName>
    <definedName name="____ll5" localSheetId="42" hidden="1">{#N/A,#N/A,FALSE,"군산원가";#N/A,#N/A,FALSE,"팀별월별";#N/A,#N/A,FALSE,"타공정대체";#N/A,#N/A,FALSE,"기타경비";#N/A,#N/A,FALSE,"원료";#N/A,#N/A,FALSE,"연료"}</definedName>
    <definedName name="____ll5" hidden="1">{#N/A,#N/A,FALSE,"군산원가";#N/A,#N/A,FALSE,"팀별월별";#N/A,#N/A,FALSE,"타공정대체";#N/A,#N/A,FALSE,"기타경비";#N/A,#N/A,FALSE,"원료";#N/A,#N/A,FALSE,"연료"}</definedName>
    <definedName name="____ll6" localSheetId="42" hidden="1">{#N/A,#N/A,FALSE,"98소지이동TOTvs99.1 (2)";#N/A,#N/A,FALSE,"TOTAL";#N/A,#N/A,FALSE,"98소지이동TOTvs99.1(b) (2)"}</definedName>
    <definedName name="____ll6" hidden="1">{#N/A,#N/A,FALSE,"98소지이동TOTvs99.1 (2)";#N/A,#N/A,FALSE,"TOTAL";#N/A,#N/A,FALSE,"98소지이동TOTvs99.1(b) (2)"}</definedName>
    <definedName name="____ll7" localSheetId="42"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__ll7"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__ll8" localSheetId="42"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__ll8"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__ll9" localSheetId="42" hidden="1">{#N/A,#N/A,FALSE,"Yield";#N/A,#N/A,FALSE,"Loss1";#N/A,#N/A,FALSE,"Loss2";#N/A,#N/A,FALSE,"Hour-Labor(배분)";#N/A,#N/A,FALSE,"Capital Expenditure";#N/A,#N/A,FALSE,"Productivity"}</definedName>
    <definedName name="____ll9" hidden="1">{#N/A,#N/A,FALSE,"Yield";#N/A,#N/A,FALSE,"Loss1";#N/A,#N/A,FALSE,"Loss2";#N/A,#N/A,FALSE,"Hour-Labor(배분)";#N/A,#N/A,FALSE,"Capital Expenditure";#N/A,#N/A,FALSE,"Productivity"}</definedName>
    <definedName name="____ML6" localSheetId="42" hidden="1">{#N/A,#N/A,FALSE,"98소지이동TOTvs99.1 (2)";#N/A,#N/A,FALSE,"TOTAL";#N/A,#N/A,FALSE,"98소지이동TOTvs99.1(b) (2)"}</definedName>
    <definedName name="____ML6" hidden="1">{#N/A,#N/A,FALSE,"98소지이동TOTvs99.1 (2)";#N/A,#N/A,FALSE,"TOTAL";#N/A,#N/A,FALSE,"98소지이동TOTvs99.1(b) (2)"}</definedName>
    <definedName name="____mm1" localSheetId="42" hidden="1">{#N/A,#N/A,FALSE,"98소지이동TOTvs99.1 (2)";#N/A,#N/A,FALSE,"TOTAL";#N/A,#N/A,FALSE,"98소지이동TOTvs99.1(b) (2)"}</definedName>
    <definedName name="____mm1" hidden="1">{#N/A,#N/A,FALSE,"98소지이동TOTvs99.1 (2)";#N/A,#N/A,FALSE,"TOTAL";#N/A,#N/A,FALSE,"98소지이동TOTvs99.1(b) (2)"}</definedName>
    <definedName name="____mm2" localSheetId="42" hidden="1">{#N/A,#N/A,FALSE,"98소지이동TOTvs99.1 (2)";#N/A,#N/A,FALSE,"TOTAL";#N/A,#N/A,FALSE,"98소지이동TOTvs99.1(b) (2)"}</definedName>
    <definedName name="____mm2" hidden="1">{#N/A,#N/A,FALSE,"98소지이동TOTvs99.1 (2)";#N/A,#N/A,FALSE,"TOTAL";#N/A,#N/A,FALSE,"98소지이동TOTvs99.1(b) (2)"}</definedName>
    <definedName name="____mm3" localSheetId="42" hidden="1">{#N/A,#N/A,FALSE,"군산원가";#N/A,#N/A,FALSE,"팀별월별";#N/A,#N/A,FALSE,"타공정대체";#N/A,#N/A,FALSE,"기타경비";#N/A,#N/A,FALSE,"원료";#N/A,#N/A,FALSE,"연료"}</definedName>
    <definedName name="____mm3" hidden="1">{#N/A,#N/A,FALSE,"군산원가";#N/A,#N/A,FALSE,"팀별월별";#N/A,#N/A,FALSE,"타공정대체";#N/A,#N/A,FALSE,"기타경비";#N/A,#N/A,FALSE,"원료";#N/A,#N/A,FALSE,"연료"}</definedName>
    <definedName name="____mm4" localSheetId="42" hidden="1">{#N/A,#N/A,FALSE,"군산원가";#N/A,#N/A,FALSE,"팀별월별";#N/A,#N/A,FALSE,"타공정대체";#N/A,#N/A,FALSE,"기타경비";#N/A,#N/A,FALSE,"원료";#N/A,#N/A,FALSE,"연료"}</definedName>
    <definedName name="____mm4" hidden="1">{#N/A,#N/A,FALSE,"군산원가";#N/A,#N/A,FALSE,"팀별월별";#N/A,#N/A,FALSE,"타공정대체";#N/A,#N/A,FALSE,"기타경비";#N/A,#N/A,FALSE,"원료";#N/A,#N/A,FALSE,"연료"}</definedName>
    <definedName name="____mm5" localSheetId="42" hidden="1">{#N/A,#N/A,FALSE,"98소지이동TOTvs99.1 (2)";#N/A,#N/A,FALSE,"TOTAL";#N/A,#N/A,FALSE,"98소지이동TOTvs99.1(b) (2)"}</definedName>
    <definedName name="____mm5" hidden="1">{#N/A,#N/A,FALSE,"98소지이동TOTvs99.1 (2)";#N/A,#N/A,FALSE,"TOTAL";#N/A,#N/A,FALSE,"98소지이동TOTvs99.1(b) (2)"}</definedName>
    <definedName name="____mm6" localSheetId="42"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__mm6"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__mm7" localSheetId="42"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__mm7"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__mm8" localSheetId="42" hidden="1">{#N/A,#N/A,FALSE,"Yield";#N/A,#N/A,FALSE,"Loss1";#N/A,#N/A,FALSE,"Loss2";#N/A,#N/A,FALSE,"Hour-Labor(배분)";#N/A,#N/A,FALSE,"Capital Expenditure";#N/A,#N/A,FALSE,"Productivity"}</definedName>
    <definedName name="____mm8" hidden="1">{#N/A,#N/A,FALSE,"Yield";#N/A,#N/A,FALSE,"Loss1";#N/A,#N/A,FALSE,"Loss2";#N/A,#N/A,FALSE,"Hour-Labor(배분)";#N/A,#N/A,FALSE,"Capital Expenditure";#N/A,#N/A,FALSE,"Productivity"}</definedName>
    <definedName name="____mm9" localSheetId="42" hidden="1">{#N/A,#N/A,FALSE,"98소지이동TOTvs99.1 (2)";#N/A,#N/A,FALSE,"TOTAL";#N/A,#N/A,FALSE,"98소지이동TOTvs99.1(b) (2)"}</definedName>
    <definedName name="____mm9" hidden="1">{#N/A,#N/A,FALSE,"98소지이동TOTvs99.1 (2)";#N/A,#N/A,FALSE,"TOTAL";#N/A,#N/A,FALSE,"98소지이동TOTvs99.1(b) (2)"}</definedName>
    <definedName name="____PF1" localSheetId="42" hidden="1">{#N/A,#N/A,FALSE,"군산원가";#N/A,#N/A,FALSE,"팀별월별";#N/A,#N/A,FALSE,"타공정대체";#N/A,#N/A,FALSE,"기타경비";#N/A,#N/A,FALSE,"원료";#N/A,#N/A,FALSE,"연료"}</definedName>
    <definedName name="____PF1" hidden="1">{#N/A,#N/A,FALSE,"군산원가";#N/A,#N/A,FALSE,"팀별월별";#N/A,#N/A,FALSE,"타공정대체";#N/A,#N/A,FALSE,"기타경비";#N/A,#N/A,FALSE,"원료";#N/A,#N/A,FALSE,"연료"}</definedName>
    <definedName name="____RR1" localSheetId="42" hidden="1">{#N/A,#N/A,FALSE,"98소지이동TOTvs99.1 (2)";#N/A,#N/A,FALSE,"TOTAL";#N/A,#N/A,FALSE,"98소지이동TOTvs99.1(b) (2)"}</definedName>
    <definedName name="____RR1" hidden="1">{#N/A,#N/A,FALSE,"98소지이동TOTvs99.1 (2)";#N/A,#N/A,FALSE,"TOTAL";#N/A,#N/A,FALSE,"98소지이동TOTvs99.1(b) (2)"}</definedName>
    <definedName name="____RR2" localSheetId="42" hidden="1">{#N/A,#N/A,FALSE,"군산원가";#N/A,#N/A,FALSE,"팀별월별";#N/A,#N/A,FALSE,"타공정대체";#N/A,#N/A,FALSE,"기타경비";#N/A,#N/A,FALSE,"원료";#N/A,#N/A,FALSE,"연료"}</definedName>
    <definedName name="____RR2" hidden="1">{#N/A,#N/A,FALSE,"군산원가";#N/A,#N/A,FALSE,"팀별월별";#N/A,#N/A,FALSE,"타공정대체";#N/A,#N/A,FALSE,"기타경비";#N/A,#N/A,FALSE,"원료";#N/A,#N/A,FALSE,"연료"}</definedName>
    <definedName name="____RR3" localSheetId="42" hidden="1">{#N/A,#N/A,FALSE,"군산원가";#N/A,#N/A,FALSE,"팀별월별";#N/A,#N/A,FALSE,"타공정대체";#N/A,#N/A,FALSE,"기타경비";#N/A,#N/A,FALSE,"원료";#N/A,#N/A,FALSE,"연료"}</definedName>
    <definedName name="____RR3" hidden="1">{#N/A,#N/A,FALSE,"군산원가";#N/A,#N/A,FALSE,"팀별월별";#N/A,#N/A,FALSE,"타공정대체";#N/A,#N/A,FALSE,"기타경비";#N/A,#N/A,FALSE,"원료";#N/A,#N/A,FALSE,"연료"}</definedName>
    <definedName name="____RR4" localSheetId="42" hidden="1">{#N/A,#N/A,FALSE,"98소지이동TOTvs99.1 (2)";#N/A,#N/A,FALSE,"TOTAL";#N/A,#N/A,FALSE,"98소지이동TOTvs99.1(b) (2)"}</definedName>
    <definedName name="____RR4" hidden="1">{#N/A,#N/A,FALSE,"98소지이동TOTvs99.1 (2)";#N/A,#N/A,FALSE,"TOTAL";#N/A,#N/A,FALSE,"98소지이동TOTvs99.1(b) (2)"}</definedName>
    <definedName name="____RR5" localSheetId="42"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__RR5"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__RR6" localSheetId="42"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__RR6"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__RR7" localSheetId="42" hidden="1">{#N/A,#N/A,FALSE,"Yield";#N/A,#N/A,FALSE,"Loss1";#N/A,#N/A,FALSE,"Loss2";#N/A,#N/A,FALSE,"Hour-Labor(배분)";#N/A,#N/A,FALSE,"Capital Expenditure";#N/A,#N/A,FALSE,"Productivity"}</definedName>
    <definedName name="____RR7" hidden="1">{#N/A,#N/A,FALSE,"Yield";#N/A,#N/A,FALSE,"Loss1";#N/A,#N/A,FALSE,"Loss2";#N/A,#N/A,FALSE,"Hour-Labor(배분)";#N/A,#N/A,FALSE,"Capital Expenditure";#N/A,#N/A,FALSE,"Productivity"}</definedName>
    <definedName name="____RR8" localSheetId="42" hidden="1">{#N/A,#N/A,FALSE,"98소지이동TOTvs99.1 (2)";#N/A,#N/A,FALSE,"TOTAL";#N/A,#N/A,FALSE,"98소지이동TOTvs99.1(b) (2)"}</definedName>
    <definedName name="____RR8" hidden="1">{#N/A,#N/A,FALSE,"98소지이동TOTvs99.1 (2)";#N/A,#N/A,FALSE,"TOTAL";#N/A,#N/A,FALSE,"98소지이동TOTvs99.1(b) (2)"}</definedName>
    <definedName name="____s1" localSheetId="12" hidden="1">{#N/A,#N/A,FALSE,"UNIT";#N/A,#N/A,FALSE,"UNIT";#N/A,#N/A,FALSE,"계정"}</definedName>
    <definedName name="____s1" localSheetId="42" hidden="1">{#N/A,#N/A,FALSE,"UNIT";#N/A,#N/A,FALSE,"UNIT";#N/A,#N/A,FALSE,"계정"}</definedName>
    <definedName name="____s1" hidden="1">{#N/A,#N/A,FALSE,"UNIT";#N/A,#N/A,FALSE,"UNIT";#N/A,#N/A,FALSE,"계정"}</definedName>
    <definedName name="____s10" localSheetId="12" hidden="1">{#N/A,#N/A,FALSE,"UNIT";#N/A,#N/A,FALSE,"UNIT";#N/A,#N/A,FALSE,"계정"}</definedName>
    <definedName name="____s10" localSheetId="42" hidden="1">{#N/A,#N/A,FALSE,"UNIT";#N/A,#N/A,FALSE,"UNIT";#N/A,#N/A,FALSE,"계정"}</definedName>
    <definedName name="____s10" hidden="1">{#N/A,#N/A,FALSE,"UNIT";#N/A,#N/A,FALSE,"UNIT";#N/A,#N/A,FALSE,"계정"}</definedName>
    <definedName name="____s11" localSheetId="12" hidden="1">{#N/A,#N/A,FALSE,"UNIT";#N/A,#N/A,FALSE,"UNIT";#N/A,#N/A,FALSE,"계정"}</definedName>
    <definedName name="____s11" localSheetId="42" hidden="1">{#N/A,#N/A,FALSE,"UNIT";#N/A,#N/A,FALSE,"UNIT";#N/A,#N/A,FALSE,"계정"}</definedName>
    <definedName name="____s11" hidden="1">{#N/A,#N/A,FALSE,"UNIT";#N/A,#N/A,FALSE,"UNIT";#N/A,#N/A,FALSE,"계정"}</definedName>
    <definedName name="____s12" localSheetId="12" hidden="1">{#N/A,#N/A,FALSE,"UNIT";#N/A,#N/A,FALSE,"UNIT";#N/A,#N/A,FALSE,"계정"}</definedName>
    <definedName name="____s12" localSheetId="42" hidden="1">{#N/A,#N/A,FALSE,"UNIT";#N/A,#N/A,FALSE,"UNIT";#N/A,#N/A,FALSE,"계정"}</definedName>
    <definedName name="____s12" hidden="1">{#N/A,#N/A,FALSE,"UNIT";#N/A,#N/A,FALSE,"UNIT";#N/A,#N/A,FALSE,"계정"}</definedName>
    <definedName name="____s13" localSheetId="12" hidden="1">{#N/A,#N/A,FALSE,"UNIT";#N/A,#N/A,FALSE,"UNIT";#N/A,#N/A,FALSE,"계정"}</definedName>
    <definedName name="____s13" localSheetId="42" hidden="1">{#N/A,#N/A,FALSE,"UNIT";#N/A,#N/A,FALSE,"UNIT";#N/A,#N/A,FALSE,"계정"}</definedName>
    <definedName name="____s13" hidden="1">{#N/A,#N/A,FALSE,"UNIT";#N/A,#N/A,FALSE,"UNIT";#N/A,#N/A,FALSE,"계정"}</definedName>
    <definedName name="____s14" localSheetId="12" hidden="1">{#N/A,#N/A,FALSE,"UNIT";#N/A,#N/A,FALSE,"UNIT";#N/A,#N/A,FALSE,"계정"}</definedName>
    <definedName name="____s14" localSheetId="42" hidden="1">{#N/A,#N/A,FALSE,"UNIT";#N/A,#N/A,FALSE,"UNIT";#N/A,#N/A,FALSE,"계정"}</definedName>
    <definedName name="____s14" hidden="1">{#N/A,#N/A,FALSE,"UNIT";#N/A,#N/A,FALSE,"UNIT";#N/A,#N/A,FALSE,"계정"}</definedName>
    <definedName name="____s16" localSheetId="12" hidden="1">{#N/A,#N/A,FALSE,"UNIT";#N/A,#N/A,FALSE,"UNIT";#N/A,#N/A,FALSE,"계정"}</definedName>
    <definedName name="____s16" localSheetId="42" hidden="1">{#N/A,#N/A,FALSE,"UNIT";#N/A,#N/A,FALSE,"UNIT";#N/A,#N/A,FALSE,"계정"}</definedName>
    <definedName name="____s16" hidden="1">{#N/A,#N/A,FALSE,"UNIT";#N/A,#N/A,FALSE,"UNIT";#N/A,#N/A,FALSE,"계정"}</definedName>
    <definedName name="____s17" localSheetId="12" hidden="1">{#N/A,#N/A,FALSE,"UNIT";#N/A,#N/A,FALSE,"UNIT";#N/A,#N/A,FALSE,"계정"}</definedName>
    <definedName name="____s17" localSheetId="42" hidden="1">{#N/A,#N/A,FALSE,"UNIT";#N/A,#N/A,FALSE,"UNIT";#N/A,#N/A,FALSE,"계정"}</definedName>
    <definedName name="____s17" hidden="1">{#N/A,#N/A,FALSE,"UNIT";#N/A,#N/A,FALSE,"UNIT";#N/A,#N/A,FALSE,"계정"}</definedName>
    <definedName name="____s2" localSheetId="12" hidden="1">{#N/A,#N/A,FALSE,"UNIT";#N/A,#N/A,FALSE,"UNIT";#N/A,#N/A,FALSE,"계정"}</definedName>
    <definedName name="____s2" localSheetId="42" hidden="1">{#N/A,#N/A,FALSE,"UNIT";#N/A,#N/A,FALSE,"UNIT";#N/A,#N/A,FALSE,"계정"}</definedName>
    <definedName name="____s2" hidden="1">{#N/A,#N/A,FALSE,"UNIT";#N/A,#N/A,FALSE,"UNIT";#N/A,#N/A,FALSE,"계정"}</definedName>
    <definedName name="____s3" localSheetId="12" hidden="1">{#N/A,#N/A,FALSE,"UNIT";#N/A,#N/A,FALSE,"UNIT";#N/A,#N/A,FALSE,"계정"}</definedName>
    <definedName name="____s3" localSheetId="42" hidden="1">{#N/A,#N/A,FALSE,"UNIT";#N/A,#N/A,FALSE,"UNIT";#N/A,#N/A,FALSE,"계정"}</definedName>
    <definedName name="____s3" hidden="1">{#N/A,#N/A,FALSE,"UNIT";#N/A,#N/A,FALSE,"UNIT";#N/A,#N/A,FALSE,"계정"}</definedName>
    <definedName name="____s4" localSheetId="12" hidden="1">{#N/A,#N/A,FALSE,"UNIT";#N/A,#N/A,FALSE,"UNIT";#N/A,#N/A,FALSE,"계정"}</definedName>
    <definedName name="____s4" localSheetId="42" hidden="1">{#N/A,#N/A,FALSE,"UNIT";#N/A,#N/A,FALSE,"UNIT";#N/A,#N/A,FALSE,"계정"}</definedName>
    <definedName name="____s4" hidden="1">{#N/A,#N/A,FALSE,"UNIT";#N/A,#N/A,FALSE,"UNIT";#N/A,#N/A,FALSE,"계정"}</definedName>
    <definedName name="____s5" localSheetId="12" hidden="1">{#N/A,#N/A,FALSE,"UNIT";#N/A,#N/A,FALSE,"UNIT";#N/A,#N/A,FALSE,"계정"}</definedName>
    <definedName name="____s5" localSheetId="42" hidden="1">{#N/A,#N/A,FALSE,"UNIT";#N/A,#N/A,FALSE,"UNIT";#N/A,#N/A,FALSE,"계정"}</definedName>
    <definedName name="____s5" hidden="1">{#N/A,#N/A,FALSE,"UNIT";#N/A,#N/A,FALSE,"UNIT";#N/A,#N/A,FALSE,"계정"}</definedName>
    <definedName name="____s6" localSheetId="12" hidden="1">{#N/A,#N/A,FALSE,"UNIT";#N/A,#N/A,FALSE,"UNIT";#N/A,#N/A,FALSE,"계정"}</definedName>
    <definedName name="____s6" localSheetId="42" hidden="1">{#N/A,#N/A,FALSE,"UNIT";#N/A,#N/A,FALSE,"UNIT";#N/A,#N/A,FALSE,"계정"}</definedName>
    <definedName name="____s6" hidden="1">{#N/A,#N/A,FALSE,"UNIT";#N/A,#N/A,FALSE,"UNIT";#N/A,#N/A,FALSE,"계정"}</definedName>
    <definedName name="____s9" localSheetId="12" hidden="1">{#N/A,#N/A,FALSE,"UNIT";#N/A,#N/A,FALSE,"UNIT";#N/A,#N/A,FALSE,"계정"}</definedName>
    <definedName name="____s9" localSheetId="42" hidden="1">{#N/A,#N/A,FALSE,"UNIT";#N/A,#N/A,FALSE,"UNIT";#N/A,#N/A,FALSE,"계정"}</definedName>
    <definedName name="____s9" hidden="1">{#N/A,#N/A,FALSE,"UNIT";#N/A,#N/A,FALSE,"UNIT";#N/A,#N/A,FALSE,"계정"}</definedName>
    <definedName name="____SS1" localSheetId="42" hidden="1">{#N/A,#N/A,FALSE,"98소지이동TOTvs99.1 (2)";#N/A,#N/A,FALSE,"TOTAL";#N/A,#N/A,FALSE,"98소지이동TOTvs99.1(b) (2)"}</definedName>
    <definedName name="____SS1" hidden="1">{#N/A,#N/A,FALSE,"98소지이동TOTvs99.1 (2)";#N/A,#N/A,FALSE,"TOTAL";#N/A,#N/A,FALSE,"98소지이동TOTvs99.1(b) (2)"}</definedName>
    <definedName name="____SS10" localSheetId="42" hidden="1">{#N/A,#N/A,FALSE,"군산원가";#N/A,#N/A,FALSE,"팀별월별";#N/A,#N/A,FALSE,"타공정대체";#N/A,#N/A,FALSE,"기타경비";#N/A,#N/A,FALSE,"원료";#N/A,#N/A,FALSE,"연료"}</definedName>
    <definedName name="____SS10" hidden="1">{#N/A,#N/A,FALSE,"군산원가";#N/A,#N/A,FALSE,"팀별월별";#N/A,#N/A,FALSE,"타공정대체";#N/A,#N/A,FALSE,"기타경비";#N/A,#N/A,FALSE,"원료";#N/A,#N/A,FALSE,"연료"}</definedName>
    <definedName name="____SS11" localSheetId="42" hidden="1">{#N/A,#N/A,FALSE,"98소지이동TOTvs99.1 (2)";#N/A,#N/A,FALSE,"TOTAL";#N/A,#N/A,FALSE,"98소지이동TOTvs99.1(b) (2)"}</definedName>
    <definedName name="____SS11" hidden="1">{#N/A,#N/A,FALSE,"98소지이동TOTvs99.1 (2)";#N/A,#N/A,FALSE,"TOTAL";#N/A,#N/A,FALSE,"98소지이동TOTvs99.1(b) (2)"}</definedName>
    <definedName name="____SS12" localSheetId="42" hidden="1">{#N/A,#N/A,FALSE,"98소지이동TOTvs99.1 (2)";#N/A,#N/A,FALSE,"TOTAL";#N/A,#N/A,FALSE,"98소지이동TOTvs99.1(b) (2)"}</definedName>
    <definedName name="____SS12" hidden="1">{#N/A,#N/A,FALSE,"98소지이동TOTvs99.1 (2)";#N/A,#N/A,FALSE,"TOTAL";#N/A,#N/A,FALSE,"98소지이동TOTvs99.1(b) (2)"}</definedName>
    <definedName name="____SS13" localSheetId="42" hidden="1">{#N/A,#N/A,FALSE,"98소지이동TOTvs99.1 (2)";#N/A,#N/A,FALSE,"TOTAL";#N/A,#N/A,FALSE,"98소지이동TOTvs99.1(b) (2)"}</definedName>
    <definedName name="____SS13" hidden="1">{#N/A,#N/A,FALSE,"98소지이동TOTvs99.1 (2)";#N/A,#N/A,FALSE,"TOTAL";#N/A,#N/A,FALSE,"98소지이동TOTvs99.1(b) (2)"}</definedName>
    <definedName name="____SS14" localSheetId="42" hidden="1">{#N/A,#N/A,FALSE,"98소지이동TOTvs99.1 (2)";#N/A,#N/A,FALSE,"TOTAL";#N/A,#N/A,FALSE,"98소지이동TOTvs99.1(b) (2)"}</definedName>
    <definedName name="____SS14" hidden="1">{#N/A,#N/A,FALSE,"98소지이동TOTvs99.1 (2)";#N/A,#N/A,FALSE,"TOTAL";#N/A,#N/A,FALSE,"98소지이동TOTvs99.1(b) (2)"}</definedName>
    <definedName name="____SS15" localSheetId="42" hidden="1">{#N/A,#N/A,FALSE,"군산원가";#N/A,#N/A,FALSE,"팀별월별";#N/A,#N/A,FALSE,"타공정대체";#N/A,#N/A,FALSE,"기타경비";#N/A,#N/A,FALSE,"원료";#N/A,#N/A,FALSE,"연료"}</definedName>
    <definedName name="____SS15" hidden="1">{#N/A,#N/A,FALSE,"군산원가";#N/A,#N/A,FALSE,"팀별월별";#N/A,#N/A,FALSE,"타공정대체";#N/A,#N/A,FALSE,"기타경비";#N/A,#N/A,FALSE,"원료";#N/A,#N/A,FALSE,"연료"}</definedName>
    <definedName name="____SS16" localSheetId="42" hidden="1">{#N/A,#N/A,FALSE,"군산원가";#N/A,#N/A,FALSE,"팀별월별";#N/A,#N/A,FALSE,"타공정대체";#N/A,#N/A,FALSE,"기타경비";#N/A,#N/A,FALSE,"원료";#N/A,#N/A,FALSE,"연료"}</definedName>
    <definedName name="____SS16" hidden="1">{#N/A,#N/A,FALSE,"군산원가";#N/A,#N/A,FALSE,"팀별월별";#N/A,#N/A,FALSE,"타공정대체";#N/A,#N/A,FALSE,"기타경비";#N/A,#N/A,FALSE,"원료";#N/A,#N/A,FALSE,"연료"}</definedName>
    <definedName name="____SS17" localSheetId="42" hidden="1">{#N/A,#N/A,FALSE,"군산원가";#N/A,#N/A,FALSE,"팀별월별";#N/A,#N/A,FALSE,"타공정대체";#N/A,#N/A,FALSE,"기타경비";#N/A,#N/A,FALSE,"원료";#N/A,#N/A,FALSE,"연료"}</definedName>
    <definedName name="____SS17" hidden="1">{#N/A,#N/A,FALSE,"군산원가";#N/A,#N/A,FALSE,"팀별월별";#N/A,#N/A,FALSE,"타공정대체";#N/A,#N/A,FALSE,"기타경비";#N/A,#N/A,FALSE,"원료";#N/A,#N/A,FALSE,"연료"}</definedName>
    <definedName name="____SS18" localSheetId="42" hidden="1">{#N/A,#N/A,FALSE,"군산원가";#N/A,#N/A,FALSE,"팀별월별";#N/A,#N/A,FALSE,"타공정대체";#N/A,#N/A,FALSE,"기타경비";#N/A,#N/A,FALSE,"원료";#N/A,#N/A,FALSE,"연료"}</definedName>
    <definedName name="____SS18" hidden="1">{#N/A,#N/A,FALSE,"군산원가";#N/A,#N/A,FALSE,"팀별월별";#N/A,#N/A,FALSE,"타공정대체";#N/A,#N/A,FALSE,"기타경비";#N/A,#N/A,FALSE,"원료";#N/A,#N/A,FALSE,"연료"}</definedName>
    <definedName name="____SS19" localSheetId="42" hidden="1">{#N/A,#N/A,FALSE,"Yield";#N/A,#N/A,FALSE,"Loss1";#N/A,#N/A,FALSE,"Loss2";#N/A,#N/A,FALSE,"Hour-Labor(배분)";#N/A,#N/A,FALSE,"Capital Expenditure";#N/A,#N/A,FALSE,"Productivity"}</definedName>
    <definedName name="____SS19" hidden="1">{#N/A,#N/A,FALSE,"Yield";#N/A,#N/A,FALSE,"Loss1";#N/A,#N/A,FALSE,"Loss2";#N/A,#N/A,FALSE,"Hour-Labor(배분)";#N/A,#N/A,FALSE,"Capital Expenditure";#N/A,#N/A,FALSE,"Productivity"}</definedName>
    <definedName name="____SS2" localSheetId="42" hidden="1">{#N/A,#N/A,FALSE,"98소지이동TOTvs99.1 (2)";#N/A,#N/A,FALSE,"TOTAL";#N/A,#N/A,FALSE,"98소지이동TOTvs99.1(b) (2)"}</definedName>
    <definedName name="____SS2" hidden="1">{#N/A,#N/A,FALSE,"98소지이동TOTvs99.1 (2)";#N/A,#N/A,FALSE,"TOTAL";#N/A,#N/A,FALSE,"98소지이동TOTvs99.1(b) (2)"}</definedName>
    <definedName name="____SS20" localSheetId="42" hidden="1">{#N/A,#N/A,FALSE,"98소지이동TOTvs99.1 (2)";#N/A,#N/A,FALSE,"TOTAL";#N/A,#N/A,FALSE,"98소지이동TOTvs99.1(b) (2)"}</definedName>
    <definedName name="____SS20" hidden="1">{#N/A,#N/A,FALSE,"98소지이동TOTvs99.1 (2)";#N/A,#N/A,FALSE,"TOTAL";#N/A,#N/A,FALSE,"98소지이동TOTvs99.1(b) (2)"}</definedName>
    <definedName name="____SS21" localSheetId="42" hidden="1">{#N/A,#N/A,FALSE,"98소지이동TOTvs99.1 (2)";#N/A,#N/A,FALSE,"TOTAL";#N/A,#N/A,FALSE,"98소지이동TOTvs99.1(b) (2)"}</definedName>
    <definedName name="____SS21" hidden="1">{#N/A,#N/A,FALSE,"98소지이동TOTvs99.1 (2)";#N/A,#N/A,FALSE,"TOTAL";#N/A,#N/A,FALSE,"98소지이동TOTvs99.1(b) (2)"}</definedName>
    <definedName name="____SS22" localSheetId="42" hidden="1">{#N/A,#N/A,FALSE,"Yield";#N/A,#N/A,FALSE,"Loss1";#N/A,#N/A,FALSE,"Loss2";#N/A,#N/A,FALSE,"Hour-Labor(배분)";#N/A,#N/A,FALSE,"Capital Expenditure";#N/A,#N/A,FALSE,"Productivity"}</definedName>
    <definedName name="____SS22" hidden="1">{#N/A,#N/A,FALSE,"Yield";#N/A,#N/A,FALSE,"Loss1";#N/A,#N/A,FALSE,"Loss2";#N/A,#N/A,FALSE,"Hour-Labor(배분)";#N/A,#N/A,FALSE,"Capital Expenditure";#N/A,#N/A,FALSE,"Productivity"}</definedName>
    <definedName name="____SS23" localSheetId="42" hidden="1">{#N/A,#N/A,FALSE,"Yield";#N/A,#N/A,FALSE,"Loss1";#N/A,#N/A,FALSE,"Loss2";#N/A,#N/A,FALSE,"Hour-Labor(배분)";#N/A,#N/A,FALSE,"Capital Expenditure";#N/A,#N/A,FALSE,"Productivity"}</definedName>
    <definedName name="____SS23" hidden="1">{#N/A,#N/A,FALSE,"Yield";#N/A,#N/A,FALSE,"Loss1";#N/A,#N/A,FALSE,"Loss2";#N/A,#N/A,FALSE,"Hour-Labor(배분)";#N/A,#N/A,FALSE,"Capital Expenditure";#N/A,#N/A,FALSE,"Productivity"}</definedName>
    <definedName name="____SS24" localSheetId="42" hidden="1">{#N/A,#N/A,FALSE,"Yield";#N/A,#N/A,FALSE,"Loss1";#N/A,#N/A,FALSE,"Loss2";#N/A,#N/A,FALSE,"Hour-Labor(배분)";#N/A,#N/A,FALSE,"Capital Expenditure";#N/A,#N/A,FALSE,"Productivity"}</definedName>
    <definedName name="____SS24" hidden="1">{#N/A,#N/A,FALSE,"Yield";#N/A,#N/A,FALSE,"Loss1";#N/A,#N/A,FALSE,"Loss2";#N/A,#N/A,FALSE,"Hour-Labor(배분)";#N/A,#N/A,FALSE,"Capital Expenditure";#N/A,#N/A,FALSE,"Productivity"}</definedName>
    <definedName name="____SS25" localSheetId="42" hidden="1">{#N/A,#N/A,FALSE,"98소지이동TOTvs99.1 (2)";#N/A,#N/A,FALSE,"TOTAL";#N/A,#N/A,FALSE,"98소지이동TOTvs99.1(b) (2)"}</definedName>
    <definedName name="____SS25" hidden="1">{#N/A,#N/A,FALSE,"98소지이동TOTvs99.1 (2)";#N/A,#N/A,FALSE,"TOTAL";#N/A,#N/A,FALSE,"98소지이동TOTvs99.1(b) (2)"}</definedName>
    <definedName name="____SS26" localSheetId="42"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__SS26"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__SS27" localSheetId="42" hidden="1">{#N/A,#N/A,FALSE,"Yield";#N/A,#N/A,FALSE,"Loss1";#N/A,#N/A,FALSE,"Loss2";#N/A,#N/A,FALSE,"Hour-Labor(배분)";#N/A,#N/A,FALSE,"Capital Expenditure";#N/A,#N/A,FALSE,"Productivity"}</definedName>
    <definedName name="____SS27" hidden="1">{#N/A,#N/A,FALSE,"Yield";#N/A,#N/A,FALSE,"Loss1";#N/A,#N/A,FALSE,"Loss2";#N/A,#N/A,FALSE,"Hour-Labor(배분)";#N/A,#N/A,FALSE,"Capital Expenditure";#N/A,#N/A,FALSE,"Productivity"}</definedName>
    <definedName name="____SS28" localSheetId="42" hidden="1">{#N/A,#N/A,FALSE,"군산원가";#N/A,#N/A,FALSE,"팀별월별";#N/A,#N/A,FALSE,"타공정대체";#N/A,#N/A,FALSE,"기타경비";#N/A,#N/A,FALSE,"원료";#N/A,#N/A,FALSE,"연료"}</definedName>
    <definedName name="____SS28" hidden="1">{#N/A,#N/A,FALSE,"군산원가";#N/A,#N/A,FALSE,"팀별월별";#N/A,#N/A,FALSE,"타공정대체";#N/A,#N/A,FALSE,"기타경비";#N/A,#N/A,FALSE,"원료";#N/A,#N/A,FALSE,"연료"}</definedName>
    <definedName name="____SS29" localSheetId="42"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__SS29"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__SS3" localSheetId="42" hidden="1">{#N/A,#N/A,FALSE,"군산원가";#N/A,#N/A,FALSE,"팀별월별";#N/A,#N/A,FALSE,"타공정대체";#N/A,#N/A,FALSE,"기타경비";#N/A,#N/A,FALSE,"원료";#N/A,#N/A,FALSE,"연료"}</definedName>
    <definedName name="____SS3" hidden="1">{#N/A,#N/A,FALSE,"군산원가";#N/A,#N/A,FALSE,"팀별월별";#N/A,#N/A,FALSE,"타공정대체";#N/A,#N/A,FALSE,"기타경비";#N/A,#N/A,FALSE,"원료";#N/A,#N/A,FALSE,"연료"}</definedName>
    <definedName name="____SS30" localSheetId="42"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__SS30"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__SS31" localSheetId="42" hidden="1">{#N/A,#N/A,FALSE,"Yield";#N/A,#N/A,FALSE,"Loss1";#N/A,#N/A,FALSE,"Loss2";#N/A,#N/A,FALSE,"Hour-Labor(배분)";#N/A,#N/A,FALSE,"Capital Expenditure";#N/A,#N/A,FALSE,"Productivity"}</definedName>
    <definedName name="____SS31" hidden="1">{#N/A,#N/A,FALSE,"Yield";#N/A,#N/A,FALSE,"Loss1";#N/A,#N/A,FALSE,"Loss2";#N/A,#N/A,FALSE,"Hour-Labor(배분)";#N/A,#N/A,FALSE,"Capital Expenditure";#N/A,#N/A,FALSE,"Productivity"}</definedName>
    <definedName name="____SS32" localSheetId="42" hidden="1">{#N/A,#N/A,FALSE,"98소지이동TOTvs99.1 (2)";#N/A,#N/A,FALSE,"TOTAL";#N/A,#N/A,FALSE,"98소지이동TOTvs99.1(b) (2)"}</definedName>
    <definedName name="____SS32" hidden="1">{#N/A,#N/A,FALSE,"98소지이동TOTvs99.1 (2)";#N/A,#N/A,FALSE,"TOTAL";#N/A,#N/A,FALSE,"98소지이동TOTvs99.1(b) (2)"}</definedName>
    <definedName name="____SS4" localSheetId="42" hidden="1">{#N/A,#N/A,FALSE,"군산원가";#N/A,#N/A,FALSE,"팀별월별";#N/A,#N/A,FALSE,"타공정대체";#N/A,#N/A,FALSE,"기타경비";#N/A,#N/A,FALSE,"원료";#N/A,#N/A,FALSE,"연료"}</definedName>
    <definedName name="____SS4" hidden="1">{#N/A,#N/A,FALSE,"군산원가";#N/A,#N/A,FALSE,"팀별월별";#N/A,#N/A,FALSE,"타공정대체";#N/A,#N/A,FALSE,"기타경비";#N/A,#N/A,FALSE,"원료";#N/A,#N/A,FALSE,"연료"}</definedName>
    <definedName name="____SS5" localSheetId="42" hidden="1">{#N/A,#N/A,FALSE,"98소지이동TOTvs99.1 (2)";#N/A,#N/A,FALSE,"TOTAL";#N/A,#N/A,FALSE,"98소지이동TOTvs99.1(b) (2)"}</definedName>
    <definedName name="____SS5" hidden="1">{#N/A,#N/A,FALSE,"98소지이동TOTvs99.1 (2)";#N/A,#N/A,FALSE,"TOTAL";#N/A,#N/A,FALSE,"98소지이동TOTvs99.1(b) (2)"}</definedName>
    <definedName name="____SS6" localSheetId="42"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__SS6"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__SS7" localSheetId="42"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__SS7"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__SS8" localSheetId="42" hidden="1">{#N/A,#N/A,FALSE,"98소지이동TOTvs99.1 (2)";#N/A,#N/A,FALSE,"TOTAL";#N/A,#N/A,FALSE,"98소지이동TOTvs99.1(b) (2)"}</definedName>
    <definedName name="____SS8" hidden="1">{#N/A,#N/A,FALSE,"98소지이동TOTvs99.1 (2)";#N/A,#N/A,FALSE,"TOTAL";#N/A,#N/A,FALSE,"98소지이동TOTvs99.1(b) (2)"}</definedName>
    <definedName name="____SS9" localSheetId="42" hidden="1">{#N/A,#N/A,FALSE,"98소지이동TOTvs99.1 (2)";#N/A,#N/A,FALSE,"TOTAL";#N/A,#N/A,FALSE,"98소지이동TOTvs99.1(b) (2)"}</definedName>
    <definedName name="____SS9" hidden="1">{#N/A,#N/A,FALSE,"98소지이동TOTvs99.1 (2)";#N/A,#N/A,FALSE,"TOTAL";#N/A,#N/A,FALSE,"98소지이동TOTvs99.1(b) (2)"}</definedName>
    <definedName name="____www1" localSheetId="42"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____www1"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____XX1" localSheetId="42" hidden="1">{#N/A,#N/A,FALSE,"98소지이동TOTvs99.1 (2)";#N/A,#N/A,FALSE,"TOTAL";#N/A,#N/A,FALSE,"98소지이동TOTvs99.1(b) (2)"}</definedName>
    <definedName name="____XX1" hidden="1">{#N/A,#N/A,FALSE,"98소지이동TOTvs99.1 (2)";#N/A,#N/A,FALSE,"TOTAL";#N/A,#N/A,FALSE,"98소지이동TOTvs99.1(b) (2)"}</definedName>
    <definedName name="____XX10" localSheetId="42" hidden="1">{#N/A,#N/A,FALSE,"Yield";#N/A,#N/A,FALSE,"Loss1";#N/A,#N/A,FALSE,"Loss2";#N/A,#N/A,FALSE,"Hour-Labor(배분)";#N/A,#N/A,FALSE,"Capital Expenditure";#N/A,#N/A,FALSE,"Productivity"}</definedName>
    <definedName name="____XX10" hidden="1">{#N/A,#N/A,FALSE,"Yield";#N/A,#N/A,FALSE,"Loss1";#N/A,#N/A,FALSE,"Loss2";#N/A,#N/A,FALSE,"Hour-Labor(배분)";#N/A,#N/A,FALSE,"Capital Expenditure";#N/A,#N/A,FALSE,"Productivity"}</definedName>
    <definedName name="____XX2" localSheetId="42" hidden="1">{#N/A,#N/A,FALSE,"98소지이동TOTvs99.1 (2)";#N/A,#N/A,FALSE,"TOTAL";#N/A,#N/A,FALSE,"98소지이동TOTvs99.1(b) (2)"}</definedName>
    <definedName name="____XX2" hidden="1">{#N/A,#N/A,FALSE,"98소지이동TOTvs99.1 (2)";#N/A,#N/A,FALSE,"TOTAL";#N/A,#N/A,FALSE,"98소지이동TOTvs99.1(b) (2)"}</definedName>
    <definedName name="____XX3" localSheetId="42" hidden="1">{#N/A,#N/A,FALSE,"98소지이동TOTvs99.1 (2)";#N/A,#N/A,FALSE,"TOTAL";#N/A,#N/A,FALSE,"98소지이동TOTvs99.1(b) (2)"}</definedName>
    <definedName name="____XX3" hidden="1">{#N/A,#N/A,FALSE,"98소지이동TOTvs99.1 (2)";#N/A,#N/A,FALSE,"TOTAL";#N/A,#N/A,FALSE,"98소지이동TOTvs99.1(b) (2)"}</definedName>
    <definedName name="____XX4" localSheetId="42" hidden="1">{#N/A,#N/A,FALSE,"군산원가";#N/A,#N/A,FALSE,"팀별월별";#N/A,#N/A,FALSE,"타공정대체";#N/A,#N/A,FALSE,"기타경비";#N/A,#N/A,FALSE,"원료";#N/A,#N/A,FALSE,"연료"}</definedName>
    <definedName name="____XX4" hidden="1">{#N/A,#N/A,FALSE,"군산원가";#N/A,#N/A,FALSE,"팀별월별";#N/A,#N/A,FALSE,"타공정대체";#N/A,#N/A,FALSE,"기타경비";#N/A,#N/A,FALSE,"원료";#N/A,#N/A,FALSE,"연료"}</definedName>
    <definedName name="____XX5" localSheetId="42" hidden="1">{#N/A,#N/A,FALSE,"군산원가";#N/A,#N/A,FALSE,"팀별월별";#N/A,#N/A,FALSE,"타공정대체";#N/A,#N/A,FALSE,"기타경비";#N/A,#N/A,FALSE,"원료";#N/A,#N/A,FALSE,"연료"}</definedName>
    <definedName name="____XX5" hidden="1">{#N/A,#N/A,FALSE,"군산원가";#N/A,#N/A,FALSE,"팀별월별";#N/A,#N/A,FALSE,"타공정대체";#N/A,#N/A,FALSE,"기타경비";#N/A,#N/A,FALSE,"원료";#N/A,#N/A,FALSE,"연료"}</definedName>
    <definedName name="____XX6" localSheetId="42" hidden="1">{#N/A,#N/A,FALSE,"Yield";#N/A,#N/A,FALSE,"Loss1";#N/A,#N/A,FALSE,"Loss2";#N/A,#N/A,FALSE,"Hour-Labor(배분)";#N/A,#N/A,FALSE,"Capital Expenditure";#N/A,#N/A,FALSE,"Productivity"}</definedName>
    <definedName name="____XX6" hidden="1">{#N/A,#N/A,FALSE,"Yield";#N/A,#N/A,FALSE,"Loss1";#N/A,#N/A,FALSE,"Loss2";#N/A,#N/A,FALSE,"Hour-Labor(배분)";#N/A,#N/A,FALSE,"Capital Expenditure";#N/A,#N/A,FALSE,"Productivity"}</definedName>
    <definedName name="____XX7" localSheetId="42" hidden="1">{#N/A,#N/A,FALSE,"98소지이동TOTvs99.1 (2)";#N/A,#N/A,FALSE,"TOTAL";#N/A,#N/A,FALSE,"98소지이동TOTvs99.1(b) (2)"}</definedName>
    <definedName name="____XX7" hidden="1">{#N/A,#N/A,FALSE,"98소지이동TOTvs99.1 (2)";#N/A,#N/A,FALSE,"TOTAL";#N/A,#N/A,FALSE,"98소지이동TOTvs99.1(b) (2)"}</definedName>
    <definedName name="____XX8" localSheetId="42"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__XX8"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__XX9" localSheetId="42"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__XX9"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__ZZ1" localSheetId="42" hidden="1">{#N/A,#N/A,FALSE,"98소지이동TOTvs99.1 (2)";#N/A,#N/A,FALSE,"TOTAL";#N/A,#N/A,FALSE,"98소지이동TOTvs99.1(b) (2)"}</definedName>
    <definedName name="____ZZ1" hidden="1">{#N/A,#N/A,FALSE,"98소지이동TOTvs99.1 (2)";#N/A,#N/A,FALSE,"TOTAL";#N/A,#N/A,FALSE,"98소지이동TOTvs99.1(b) (2)"}</definedName>
    <definedName name="___B31" localSheetId="15" hidden="1">{"adj95mult",#N/A,FALSE,"COMPCO";"adj95est",#N/A,FALSE,"COMPCO"}</definedName>
    <definedName name="___B31" localSheetId="6" hidden="1">{"adj95mult",#N/A,FALSE,"COMPCO";"adj95est",#N/A,FALSE,"COMPCO"}</definedName>
    <definedName name="___B31" localSheetId="45" hidden="1">{"adj95mult",#N/A,FALSE,"COMPCO";"adj95est",#N/A,FALSE,"COMPCO"}</definedName>
    <definedName name="___B31" localSheetId="42" hidden="1">{"adj95mult",#N/A,FALSE,"COMPCO";"adj95est",#N/A,FALSE,"COMPCO"}</definedName>
    <definedName name="___B31" hidden="1">{"adj95mult",#N/A,FALSE,"COMPCO";"adj95est",#N/A,FALSE,"COMPCO"}</definedName>
    <definedName name="___bb1" localSheetId="42" hidden="1">{#N/A,#N/A,FALSE,"98소지이동TOTvs99.1 (2)";#N/A,#N/A,FALSE,"TOTAL";#N/A,#N/A,FALSE,"98소지이동TOTvs99.1(b) (2)"}</definedName>
    <definedName name="___bb1" hidden="1">{#N/A,#N/A,FALSE,"98소지이동TOTvs99.1 (2)";#N/A,#N/A,FALSE,"TOTAL";#N/A,#N/A,FALSE,"98소지이동TOTvs99.1(b) (2)"}</definedName>
    <definedName name="___bb2" localSheetId="42" hidden="1">{#N/A,#N/A,FALSE,"98소지이동TOTvs99.1 (2)";#N/A,#N/A,FALSE,"TOTAL";#N/A,#N/A,FALSE,"98소지이동TOTvs99.1(b) (2)"}</definedName>
    <definedName name="___bb2" hidden="1">{#N/A,#N/A,FALSE,"98소지이동TOTvs99.1 (2)";#N/A,#N/A,FALSE,"TOTAL";#N/A,#N/A,FALSE,"98소지이동TOTvs99.1(b) (2)"}</definedName>
    <definedName name="___bb3" localSheetId="42" hidden="1">{#N/A,#N/A,FALSE,"군산원가";#N/A,#N/A,FALSE,"팀별월별";#N/A,#N/A,FALSE,"타공정대체";#N/A,#N/A,FALSE,"기타경비";#N/A,#N/A,FALSE,"원료";#N/A,#N/A,FALSE,"연료"}</definedName>
    <definedName name="___bb3" hidden="1">{#N/A,#N/A,FALSE,"군산원가";#N/A,#N/A,FALSE,"팀별월별";#N/A,#N/A,FALSE,"타공정대체";#N/A,#N/A,FALSE,"기타경비";#N/A,#N/A,FALSE,"원료";#N/A,#N/A,FALSE,"연료"}</definedName>
    <definedName name="___bb4" localSheetId="42" hidden="1">{#N/A,#N/A,FALSE,"98소지이동TOTvs99.1 (2)";#N/A,#N/A,FALSE,"TOTAL";#N/A,#N/A,FALSE,"98소지이동TOTvs99.1(b) (2)"}</definedName>
    <definedName name="___bb4" hidden="1">{#N/A,#N/A,FALSE,"98소지이동TOTvs99.1 (2)";#N/A,#N/A,FALSE,"TOTAL";#N/A,#N/A,FALSE,"98소지이동TOTvs99.1(b) (2)"}</definedName>
    <definedName name="___bb5" localSheetId="42" hidden="1">{#N/A,#N/A,FALSE,"98소지이동TOTvs99.1 (2)";#N/A,#N/A,FALSE,"TOTAL";#N/A,#N/A,FALSE,"98소지이동TOTvs99.1(b) (2)"}</definedName>
    <definedName name="___bb5" hidden="1">{#N/A,#N/A,FALSE,"98소지이동TOTvs99.1 (2)";#N/A,#N/A,FALSE,"TOTAL";#N/A,#N/A,FALSE,"98소지이동TOTvs99.1(b) (2)"}</definedName>
    <definedName name="___bb6" localSheetId="42" hidden="1">{#N/A,#N/A,FALSE,"98소지이동TOTvs99.1 (2)";#N/A,#N/A,FALSE,"TOTAL";#N/A,#N/A,FALSE,"98소지이동TOTvs99.1(b) (2)"}</definedName>
    <definedName name="___bb6" hidden="1">{#N/A,#N/A,FALSE,"98소지이동TOTvs99.1 (2)";#N/A,#N/A,FALSE,"TOTAL";#N/A,#N/A,FALSE,"98소지이동TOTvs99.1(b) (2)"}</definedName>
    <definedName name="___bb7" localSheetId="42" hidden="1">{#N/A,#N/A,FALSE,"98소지이동TOTvs99.1 (2)";#N/A,#N/A,FALSE,"TOTAL";#N/A,#N/A,FALSE,"98소지이동TOTvs99.1(b) (2)"}</definedName>
    <definedName name="___bb7" hidden="1">{#N/A,#N/A,FALSE,"98소지이동TOTvs99.1 (2)";#N/A,#N/A,FALSE,"TOTAL";#N/A,#N/A,FALSE,"98소지이동TOTvs99.1(b) (2)"}</definedName>
    <definedName name="___bb8" localSheetId="42" hidden="1">{#N/A,#N/A,FALSE,"군산원가";#N/A,#N/A,FALSE,"팀별월별";#N/A,#N/A,FALSE,"타공정대체";#N/A,#N/A,FALSE,"기타경비";#N/A,#N/A,FALSE,"원료";#N/A,#N/A,FALSE,"연료"}</definedName>
    <definedName name="___bb8" hidden="1">{#N/A,#N/A,FALSE,"군산원가";#N/A,#N/A,FALSE,"팀별월별";#N/A,#N/A,FALSE,"타공정대체";#N/A,#N/A,FALSE,"기타경비";#N/A,#N/A,FALSE,"원료";#N/A,#N/A,FALSE,"연료"}</definedName>
    <definedName name="___bb9" localSheetId="42" hidden="1">{#N/A,#N/A,FALSE,"군산원가";#N/A,#N/A,FALSE,"팀별월별";#N/A,#N/A,FALSE,"타공정대체";#N/A,#N/A,FALSE,"기타경비";#N/A,#N/A,FALSE,"원료";#N/A,#N/A,FALSE,"연료"}</definedName>
    <definedName name="___bb9" hidden="1">{#N/A,#N/A,FALSE,"군산원가";#N/A,#N/A,FALSE,"팀별월별";#N/A,#N/A,FALSE,"타공정대체";#N/A,#N/A,FALSE,"기타경비";#N/A,#N/A,FALSE,"원료";#N/A,#N/A,FALSE,"연료"}</definedName>
    <definedName name="___cc1" localSheetId="42" hidden="1">{#N/A,#N/A,FALSE,"군산원가";#N/A,#N/A,FALSE,"팀별월별";#N/A,#N/A,FALSE,"타공정대체";#N/A,#N/A,FALSE,"기타경비";#N/A,#N/A,FALSE,"원료";#N/A,#N/A,FALSE,"연료"}</definedName>
    <definedName name="___cc1" hidden="1">{#N/A,#N/A,FALSE,"군산원가";#N/A,#N/A,FALSE,"팀별월별";#N/A,#N/A,FALSE,"타공정대체";#N/A,#N/A,FALSE,"기타경비";#N/A,#N/A,FALSE,"원료";#N/A,#N/A,FALSE,"연료"}</definedName>
    <definedName name="___cc2" localSheetId="42" hidden="1">{#N/A,#N/A,FALSE,"군산원가";#N/A,#N/A,FALSE,"팀별월별";#N/A,#N/A,FALSE,"타공정대체";#N/A,#N/A,FALSE,"기타경비";#N/A,#N/A,FALSE,"원료";#N/A,#N/A,FALSE,"연료"}</definedName>
    <definedName name="___cc2" hidden="1">{#N/A,#N/A,FALSE,"군산원가";#N/A,#N/A,FALSE,"팀별월별";#N/A,#N/A,FALSE,"타공정대체";#N/A,#N/A,FALSE,"기타경비";#N/A,#N/A,FALSE,"원료";#N/A,#N/A,FALSE,"연료"}</definedName>
    <definedName name="___cc3" localSheetId="42" hidden="1">{#N/A,#N/A,FALSE,"Yield";#N/A,#N/A,FALSE,"Loss1";#N/A,#N/A,FALSE,"Loss2";#N/A,#N/A,FALSE,"Hour-Labor(배분)";#N/A,#N/A,FALSE,"Capital Expenditure";#N/A,#N/A,FALSE,"Productivity"}</definedName>
    <definedName name="___cc3" hidden="1">{#N/A,#N/A,FALSE,"Yield";#N/A,#N/A,FALSE,"Loss1";#N/A,#N/A,FALSE,"Loss2";#N/A,#N/A,FALSE,"Hour-Labor(배분)";#N/A,#N/A,FALSE,"Capital Expenditure";#N/A,#N/A,FALSE,"Productivity"}</definedName>
    <definedName name="___cc4" localSheetId="42" hidden="1">{#N/A,#N/A,FALSE,"98소지이동TOTvs99.1 (2)";#N/A,#N/A,FALSE,"TOTAL";#N/A,#N/A,FALSE,"98소지이동TOTvs99.1(b) (2)"}</definedName>
    <definedName name="___cc4" hidden="1">{#N/A,#N/A,FALSE,"98소지이동TOTvs99.1 (2)";#N/A,#N/A,FALSE,"TOTAL";#N/A,#N/A,FALSE,"98소지이동TOTvs99.1(b) (2)"}</definedName>
    <definedName name="___cc5" localSheetId="42" hidden="1">{#N/A,#N/A,FALSE,"98소지이동TOTvs99.1 (2)";#N/A,#N/A,FALSE,"TOTAL";#N/A,#N/A,FALSE,"98소지이동TOTvs99.1(b) (2)"}</definedName>
    <definedName name="___cc5" hidden="1">{#N/A,#N/A,FALSE,"98소지이동TOTvs99.1 (2)";#N/A,#N/A,FALSE,"TOTAL";#N/A,#N/A,FALSE,"98소지이동TOTvs99.1(b) (2)"}</definedName>
    <definedName name="___cc6" localSheetId="42" hidden="1">{#N/A,#N/A,FALSE,"Yield";#N/A,#N/A,FALSE,"Loss1";#N/A,#N/A,FALSE,"Loss2";#N/A,#N/A,FALSE,"Hour-Labor(배분)";#N/A,#N/A,FALSE,"Capital Expenditure";#N/A,#N/A,FALSE,"Productivity"}</definedName>
    <definedName name="___cc6" hidden="1">{#N/A,#N/A,FALSE,"Yield";#N/A,#N/A,FALSE,"Loss1";#N/A,#N/A,FALSE,"Loss2";#N/A,#N/A,FALSE,"Hour-Labor(배분)";#N/A,#N/A,FALSE,"Capital Expenditure";#N/A,#N/A,FALSE,"Productivity"}</definedName>
    <definedName name="___cc7" localSheetId="42" hidden="1">{#N/A,#N/A,FALSE,"Yield";#N/A,#N/A,FALSE,"Loss1";#N/A,#N/A,FALSE,"Loss2";#N/A,#N/A,FALSE,"Hour-Labor(배분)";#N/A,#N/A,FALSE,"Capital Expenditure";#N/A,#N/A,FALSE,"Productivity"}</definedName>
    <definedName name="___cc7" hidden="1">{#N/A,#N/A,FALSE,"Yield";#N/A,#N/A,FALSE,"Loss1";#N/A,#N/A,FALSE,"Loss2";#N/A,#N/A,FALSE,"Hour-Labor(배분)";#N/A,#N/A,FALSE,"Capital Expenditure";#N/A,#N/A,FALSE,"Productivity"}</definedName>
    <definedName name="___cc8" localSheetId="42" hidden="1">{#N/A,#N/A,FALSE,"Yield";#N/A,#N/A,FALSE,"Loss1";#N/A,#N/A,FALSE,"Loss2";#N/A,#N/A,FALSE,"Hour-Labor(배분)";#N/A,#N/A,FALSE,"Capital Expenditure";#N/A,#N/A,FALSE,"Productivity"}</definedName>
    <definedName name="___cc8" hidden="1">{#N/A,#N/A,FALSE,"Yield";#N/A,#N/A,FALSE,"Loss1";#N/A,#N/A,FALSE,"Loss2";#N/A,#N/A,FALSE,"Hour-Labor(배분)";#N/A,#N/A,FALSE,"Capital Expenditure";#N/A,#N/A,FALSE,"Productivity"}</definedName>
    <definedName name="___cc9" localSheetId="42" hidden="1">{#N/A,#N/A,FALSE,"98소지이동TOTvs99.1 (2)";#N/A,#N/A,FALSE,"TOTAL";#N/A,#N/A,FALSE,"98소지이동TOTvs99.1(b) (2)"}</definedName>
    <definedName name="___cc9" hidden="1">{#N/A,#N/A,FALSE,"98소지이동TOTvs99.1 (2)";#N/A,#N/A,FALSE,"TOTAL";#N/A,#N/A,FALSE,"98소지이동TOTvs99.1(b) (2)"}</definedName>
    <definedName name="___jh1" localSheetId="42" hidden="1">{#N/A,#N/A,FALSE,"Yield";#N/A,#N/A,FALSE,"Loss1";#N/A,#N/A,FALSE,"Loss2";#N/A,#N/A,FALSE,"Hour-Labor(배분)";#N/A,#N/A,FALSE,"Capital Expenditure";#N/A,#N/A,FALSE,"Productivity"}</definedName>
    <definedName name="___jh1" hidden="1">{#N/A,#N/A,FALSE,"Yield";#N/A,#N/A,FALSE,"Loss1";#N/A,#N/A,FALSE,"Loss2";#N/A,#N/A,FALSE,"Hour-Labor(배분)";#N/A,#N/A,FALSE,"Capital Expenditure";#N/A,#N/A,FALSE,"Productivity"}</definedName>
    <definedName name="___jh3" localSheetId="42"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_jh3"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_jh4" localSheetId="42" hidden="1">{#N/A,#N/A,FALSE,"Yield";#N/A,#N/A,FALSE,"Loss1";#N/A,#N/A,FALSE,"Loss2";#N/A,#N/A,FALSE,"Hour-Labor(배분)";#N/A,#N/A,FALSE,"Capital Expenditure";#N/A,#N/A,FALSE,"Productivity"}</definedName>
    <definedName name="___jh4" hidden="1">{#N/A,#N/A,FALSE,"Yield";#N/A,#N/A,FALSE,"Loss1";#N/A,#N/A,FALSE,"Loss2";#N/A,#N/A,FALSE,"Hour-Labor(배분)";#N/A,#N/A,FALSE,"Capital Expenditure";#N/A,#N/A,FALSE,"Productivity"}</definedName>
    <definedName name="___jh5" localSheetId="42" hidden="1">{#N/A,#N/A,FALSE,"98소지이동TOTvs99.1 (2)";#N/A,#N/A,FALSE,"TOTAL";#N/A,#N/A,FALSE,"98소지이동TOTvs99.1(b) (2)"}</definedName>
    <definedName name="___jh5" hidden="1">{#N/A,#N/A,FALSE,"98소지이동TOTvs99.1 (2)";#N/A,#N/A,FALSE,"TOTAL";#N/A,#N/A,FALSE,"98소지이동TOTvs99.1(b) (2)"}</definedName>
    <definedName name="___jj1" localSheetId="42"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_jj1"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_jj2" localSheetId="42" hidden="1">{#N/A,#N/A,FALSE,"Yield";#N/A,#N/A,FALSE,"Loss1";#N/A,#N/A,FALSE,"Loss2";#N/A,#N/A,FALSE,"Hour-Labor(배분)";#N/A,#N/A,FALSE,"Capital Expenditure";#N/A,#N/A,FALSE,"Productivity"}</definedName>
    <definedName name="___jj2" hidden="1">{#N/A,#N/A,FALSE,"Yield";#N/A,#N/A,FALSE,"Loss1";#N/A,#N/A,FALSE,"Loss2";#N/A,#N/A,FALSE,"Hour-Labor(배분)";#N/A,#N/A,FALSE,"Capital Expenditure";#N/A,#N/A,FALSE,"Productivity"}</definedName>
    <definedName name="___jj3" localSheetId="42" hidden="1">{#N/A,#N/A,FALSE,"군산원가";#N/A,#N/A,FALSE,"팀별월별";#N/A,#N/A,FALSE,"타공정대체";#N/A,#N/A,FALSE,"기타경비";#N/A,#N/A,FALSE,"원료";#N/A,#N/A,FALSE,"연료"}</definedName>
    <definedName name="___jj3" hidden="1">{#N/A,#N/A,FALSE,"군산원가";#N/A,#N/A,FALSE,"팀별월별";#N/A,#N/A,FALSE,"타공정대체";#N/A,#N/A,FALSE,"기타경비";#N/A,#N/A,FALSE,"원료";#N/A,#N/A,FALSE,"연료"}</definedName>
    <definedName name="___jj4" localSheetId="42"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_jj4"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_jj5" localSheetId="42"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_jj5"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_jj6" localSheetId="42" hidden="1">{#N/A,#N/A,FALSE,"Yield";#N/A,#N/A,FALSE,"Loss1";#N/A,#N/A,FALSE,"Loss2";#N/A,#N/A,FALSE,"Hour-Labor(배분)";#N/A,#N/A,FALSE,"Capital Expenditure";#N/A,#N/A,FALSE,"Productivity"}</definedName>
    <definedName name="___jj6" hidden="1">{#N/A,#N/A,FALSE,"Yield";#N/A,#N/A,FALSE,"Loss1";#N/A,#N/A,FALSE,"Loss2";#N/A,#N/A,FALSE,"Hour-Labor(배분)";#N/A,#N/A,FALSE,"Capital Expenditure";#N/A,#N/A,FALSE,"Productivity"}</definedName>
    <definedName name="___jj7" localSheetId="42" hidden="1">{#N/A,#N/A,FALSE,"98소지이동TOTvs99.1 (2)";#N/A,#N/A,FALSE,"TOTAL";#N/A,#N/A,FALSE,"98소지이동TOTvs99.1(b) (2)"}</definedName>
    <definedName name="___jj7" hidden="1">{#N/A,#N/A,FALSE,"98소지이동TOTvs99.1 (2)";#N/A,#N/A,FALSE,"TOTAL";#N/A,#N/A,FALSE,"98소지이동TOTvs99.1(b) (2)"}</definedName>
    <definedName name="___kl505" localSheetId="42" hidden="1">{#N/A,#N/A,FALSE,"군산원가";#N/A,#N/A,FALSE,"팀별월별";#N/A,#N/A,FALSE,"타공정대체";#N/A,#N/A,FALSE,"기타경비";#N/A,#N/A,FALSE,"원료";#N/A,#N/A,FALSE,"연료"}</definedName>
    <definedName name="___kl505" hidden="1">{#N/A,#N/A,FALSE,"군산원가";#N/A,#N/A,FALSE,"팀별월별";#N/A,#N/A,FALSE,"타공정대체";#N/A,#N/A,FALSE,"기타경비";#N/A,#N/A,FALSE,"원료";#N/A,#N/A,FALSE,"연료"}</definedName>
    <definedName name="___KTM10" localSheetId="12" hidden="1">{#N/A,#N/A,FALSE,"현장 NCR 분석";#N/A,#N/A,FALSE,"현장품질감사";#N/A,#N/A,FALSE,"현장품질감사"}</definedName>
    <definedName name="___KTM10" localSheetId="42" hidden="1">{#N/A,#N/A,FALSE,"현장 NCR 분석";#N/A,#N/A,FALSE,"현장품질감사";#N/A,#N/A,FALSE,"현장품질감사"}</definedName>
    <definedName name="___KTM10" hidden="1">{#N/A,#N/A,FALSE,"현장 NCR 분석";#N/A,#N/A,FALSE,"현장품질감사";#N/A,#N/A,FALSE,"현장품질감사"}</definedName>
    <definedName name="___LG2" localSheetId="12" hidden="1">{#N/A,#N/A,TRUE,"매출진척-1";#N/A,#N/A,TRUE,"매출진척-2";#N/A,#N/A,TRUE,"제품실적";#N/A,#N/A,TRUE,"RAC";#N/A,#N/A,TRUE,"PAC ";#N/A,#N/A,TRUE,"재고현황";#N/A,#N/A,TRUE,"공지사항"}</definedName>
    <definedName name="___LG2" localSheetId="42" hidden="1">{#N/A,#N/A,TRUE,"매출진척-1";#N/A,#N/A,TRUE,"매출진척-2";#N/A,#N/A,TRUE,"제품실적";#N/A,#N/A,TRUE,"RAC";#N/A,#N/A,TRUE,"PAC ";#N/A,#N/A,TRUE,"재고현황";#N/A,#N/A,TRUE,"공지사항"}</definedName>
    <definedName name="___LG2" hidden="1">{#N/A,#N/A,TRUE,"매출진척-1";#N/A,#N/A,TRUE,"매출진척-2";#N/A,#N/A,TRUE,"제품실적";#N/A,#N/A,TRUE,"RAC";#N/A,#N/A,TRUE,"PAC ";#N/A,#N/A,TRUE,"재고현황";#N/A,#N/A,TRUE,"공지사항"}</definedName>
    <definedName name="___ll1" localSheetId="42"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_ll1"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_ll2" localSheetId="42" hidden="1">{#N/A,#N/A,FALSE,"98소지이동TOTvs99.1 (2)";#N/A,#N/A,FALSE,"TOTAL";#N/A,#N/A,FALSE,"98소지이동TOTvs99.1(b) (2)"}</definedName>
    <definedName name="___ll2" hidden="1">{#N/A,#N/A,FALSE,"98소지이동TOTvs99.1 (2)";#N/A,#N/A,FALSE,"TOTAL";#N/A,#N/A,FALSE,"98소지이동TOTvs99.1(b) (2)"}</definedName>
    <definedName name="___ll3" localSheetId="42" hidden="1">{#N/A,#N/A,FALSE,"98소지이동TOTvs99.1 (2)";#N/A,#N/A,FALSE,"TOTAL";#N/A,#N/A,FALSE,"98소지이동TOTvs99.1(b) (2)"}</definedName>
    <definedName name="___ll3" hidden="1">{#N/A,#N/A,FALSE,"98소지이동TOTvs99.1 (2)";#N/A,#N/A,FALSE,"TOTAL";#N/A,#N/A,FALSE,"98소지이동TOTvs99.1(b) (2)"}</definedName>
    <definedName name="___ll4" localSheetId="42" hidden="1">{#N/A,#N/A,FALSE,"군산원가";#N/A,#N/A,FALSE,"팀별월별";#N/A,#N/A,FALSE,"타공정대체";#N/A,#N/A,FALSE,"기타경비";#N/A,#N/A,FALSE,"원료";#N/A,#N/A,FALSE,"연료"}</definedName>
    <definedName name="___ll4" hidden="1">{#N/A,#N/A,FALSE,"군산원가";#N/A,#N/A,FALSE,"팀별월별";#N/A,#N/A,FALSE,"타공정대체";#N/A,#N/A,FALSE,"기타경비";#N/A,#N/A,FALSE,"원료";#N/A,#N/A,FALSE,"연료"}</definedName>
    <definedName name="___ll5" localSheetId="42" hidden="1">{#N/A,#N/A,FALSE,"군산원가";#N/A,#N/A,FALSE,"팀별월별";#N/A,#N/A,FALSE,"타공정대체";#N/A,#N/A,FALSE,"기타경비";#N/A,#N/A,FALSE,"원료";#N/A,#N/A,FALSE,"연료"}</definedName>
    <definedName name="___ll5" hidden="1">{#N/A,#N/A,FALSE,"군산원가";#N/A,#N/A,FALSE,"팀별월별";#N/A,#N/A,FALSE,"타공정대체";#N/A,#N/A,FALSE,"기타경비";#N/A,#N/A,FALSE,"원료";#N/A,#N/A,FALSE,"연료"}</definedName>
    <definedName name="___ll6" localSheetId="42" hidden="1">{#N/A,#N/A,FALSE,"98소지이동TOTvs99.1 (2)";#N/A,#N/A,FALSE,"TOTAL";#N/A,#N/A,FALSE,"98소지이동TOTvs99.1(b) (2)"}</definedName>
    <definedName name="___ll6" hidden="1">{#N/A,#N/A,FALSE,"98소지이동TOTvs99.1 (2)";#N/A,#N/A,FALSE,"TOTAL";#N/A,#N/A,FALSE,"98소지이동TOTvs99.1(b) (2)"}</definedName>
    <definedName name="___ll7" localSheetId="42"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_ll7"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_ll8" localSheetId="42"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_ll8"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_ll9" localSheetId="42" hidden="1">{#N/A,#N/A,FALSE,"Yield";#N/A,#N/A,FALSE,"Loss1";#N/A,#N/A,FALSE,"Loss2";#N/A,#N/A,FALSE,"Hour-Labor(배분)";#N/A,#N/A,FALSE,"Capital Expenditure";#N/A,#N/A,FALSE,"Productivity"}</definedName>
    <definedName name="___ll9" hidden="1">{#N/A,#N/A,FALSE,"Yield";#N/A,#N/A,FALSE,"Loss1";#N/A,#N/A,FALSE,"Loss2";#N/A,#N/A,FALSE,"Hour-Labor(배분)";#N/A,#N/A,FALSE,"Capital Expenditure";#N/A,#N/A,FALSE,"Productivity"}</definedName>
    <definedName name="___ML6" localSheetId="42" hidden="1">{#N/A,#N/A,FALSE,"98소지이동TOTvs99.1 (2)";#N/A,#N/A,FALSE,"TOTAL";#N/A,#N/A,FALSE,"98소지이동TOTvs99.1(b) (2)"}</definedName>
    <definedName name="___ML6" hidden="1">{#N/A,#N/A,FALSE,"98소지이동TOTvs99.1 (2)";#N/A,#N/A,FALSE,"TOTAL";#N/A,#N/A,FALSE,"98소지이동TOTvs99.1(b) (2)"}</definedName>
    <definedName name="___mm1" localSheetId="42" hidden="1">{#N/A,#N/A,FALSE,"98소지이동TOTvs99.1 (2)";#N/A,#N/A,FALSE,"TOTAL";#N/A,#N/A,FALSE,"98소지이동TOTvs99.1(b) (2)"}</definedName>
    <definedName name="___mm1" hidden="1">{#N/A,#N/A,FALSE,"98소지이동TOTvs99.1 (2)";#N/A,#N/A,FALSE,"TOTAL";#N/A,#N/A,FALSE,"98소지이동TOTvs99.1(b) (2)"}</definedName>
    <definedName name="___mm2" localSheetId="42" hidden="1">{#N/A,#N/A,FALSE,"98소지이동TOTvs99.1 (2)";#N/A,#N/A,FALSE,"TOTAL";#N/A,#N/A,FALSE,"98소지이동TOTvs99.1(b) (2)"}</definedName>
    <definedName name="___mm2" hidden="1">{#N/A,#N/A,FALSE,"98소지이동TOTvs99.1 (2)";#N/A,#N/A,FALSE,"TOTAL";#N/A,#N/A,FALSE,"98소지이동TOTvs99.1(b) (2)"}</definedName>
    <definedName name="___mm3" localSheetId="42" hidden="1">{#N/A,#N/A,FALSE,"군산원가";#N/A,#N/A,FALSE,"팀별월별";#N/A,#N/A,FALSE,"타공정대체";#N/A,#N/A,FALSE,"기타경비";#N/A,#N/A,FALSE,"원료";#N/A,#N/A,FALSE,"연료"}</definedName>
    <definedName name="___mm3" hidden="1">{#N/A,#N/A,FALSE,"군산원가";#N/A,#N/A,FALSE,"팀별월별";#N/A,#N/A,FALSE,"타공정대체";#N/A,#N/A,FALSE,"기타경비";#N/A,#N/A,FALSE,"원료";#N/A,#N/A,FALSE,"연료"}</definedName>
    <definedName name="___mm4" localSheetId="42" hidden="1">{#N/A,#N/A,FALSE,"군산원가";#N/A,#N/A,FALSE,"팀별월별";#N/A,#N/A,FALSE,"타공정대체";#N/A,#N/A,FALSE,"기타경비";#N/A,#N/A,FALSE,"원료";#N/A,#N/A,FALSE,"연료"}</definedName>
    <definedName name="___mm4" hidden="1">{#N/A,#N/A,FALSE,"군산원가";#N/A,#N/A,FALSE,"팀별월별";#N/A,#N/A,FALSE,"타공정대체";#N/A,#N/A,FALSE,"기타경비";#N/A,#N/A,FALSE,"원료";#N/A,#N/A,FALSE,"연료"}</definedName>
    <definedName name="___mm5" localSheetId="42" hidden="1">{#N/A,#N/A,FALSE,"98소지이동TOTvs99.1 (2)";#N/A,#N/A,FALSE,"TOTAL";#N/A,#N/A,FALSE,"98소지이동TOTvs99.1(b) (2)"}</definedName>
    <definedName name="___mm5" hidden="1">{#N/A,#N/A,FALSE,"98소지이동TOTvs99.1 (2)";#N/A,#N/A,FALSE,"TOTAL";#N/A,#N/A,FALSE,"98소지이동TOTvs99.1(b) (2)"}</definedName>
    <definedName name="___mm6" localSheetId="42"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_mm6"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_mm7" localSheetId="42"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_mm7"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_mm8" localSheetId="42" hidden="1">{#N/A,#N/A,FALSE,"Yield";#N/A,#N/A,FALSE,"Loss1";#N/A,#N/A,FALSE,"Loss2";#N/A,#N/A,FALSE,"Hour-Labor(배분)";#N/A,#N/A,FALSE,"Capital Expenditure";#N/A,#N/A,FALSE,"Productivity"}</definedName>
    <definedName name="___mm8" hidden="1">{#N/A,#N/A,FALSE,"Yield";#N/A,#N/A,FALSE,"Loss1";#N/A,#N/A,FALSE,"Loss2";#N/A,#N/A,FALSE,"Hour-Labor(배분)";#N/A,#N/A,FALSE,"Capital Expenditure";#N/A,#N/A,FALSE,"Productivity"}</definedName>
    <definedName name="___mm9" localSheetId="42" hidden="1">{#N/A,#N/A,FALSE,"98소지이동TOTvs99.1 (2)";#N/A,#N/A,FALSE,"TOTAL";#N/A,#N/A,FALSE,"98소지이동TOTvs99.1(b) (2)"}</definedName>
    <definedName name="___mm9" hidden="1">{#N/A,#N/A,FALSE,"98소지이동TOTvs99.1 (2)";#N/A,#N/A,FALSE,"TOTAL";#N/A,#N/A,FALSE,"98소지이동TOTvs99.1(b) (2)"}</definedName>
    <definedName name="___PF1" localSheetId="42" hidden="1">{#N/A,#N/A,FALSE,"군산원가";#N/A,#N/A,FALSE,"팀별월별";#N/A,#N/A,FALSE,"타공정대체";#N/A,#N/A,FALSE,"기타경비";#N/A,#N/A,FALSE,"원료";#N/A,#N/A,FALSE,"연료"}</definedName>
    <definedName name="___PF1" hidden="1">{#N/A,#N/A,FALSE,"군산원가";#N/A,#N/A,FALSE,"팀별월별";#N/A,#N/A,FALSE,"타공정대체";#N/A,#N/A,FALSE,"기타경비";#N/A,#N/A,FALSE,"원료";#N/A,#N/A,FALSE,"연료"}</definedName>
    <definedName name="___RR1" localSheetId="42" hidden="1">{#N/A,#N/A,FALSE,"98소지이동TOTvs99.1 (2)";#N/A,#N/A,FALSE,"TOTAL";#N/A,#N/A,FALSE,"98소지이동TOTvs99.1(b) (2)"}</definedName>
    <definedName name="___RR1" hidden="1">{#N/A,#N/A,FALSE,"98소지이동TOTvs99.1 (2)";#N/A,#N/A,FALSE,"TOTAL";#N/A,#N/A,FALSE,"98소지이동TOTvs99.1(b) (2)"}</definedName>
    <definedName name="___RR2" localSheetId="42" hidden="1">{#N/A,#N/A,FALSE,"군산원가";#N/A,#N/A,FALSE,"팀별월별";#N/A,#N/A,FALSE,"타공정대체";#N/A,#N/A,FALSE,"기타경비";#N/A,#N/A,FALSE,"원료";#N/A,#N/A,FALSE,"연료"}</definedName>
    <definedName name="___RR2" hidden="1">{#N/A,#N/A,FALSE,"군산원가";#N/A,#N/A,FALSE,"팀별월별";#N/A,#N/A,FALSE,"타공정대체";#N/A,#N/A,FALSE,"기타경비";#N/A,#N/A,FALSE,"원료";#N/A,#N/A,FALSE,"연료"}</definedName>
    <definedName name="___RR3" localSheetId="42" hidden="1">{#N/A,#N/A,FALSE,"군산원가";#N/A,#N/A,FALSE,"팀별월별";#N/A,#N/A,FALSE,"타공정대체";#N/A,#N/A,FALSE,"기타경비";#N/A,#N/A,FALSE,"원료";#N/A,#N/A,FALSE,"연료"}</definedName>
    <definedName name="___RR3" hidden="1">{#N/A,#N/A,FALSE,"군산원가";#N/A,#N/A,FALSE,"팀별월별";#N/A,#N/A,FALSE,"타공정대체";#N/A,#N/A,FALSE,"기타경비";#N/A,#N/A,FALSE,"원료";#N/A,#N/A,FALSE,"연료"}</definedName>
    <definedName name="___RR4" localSheetId="42" hidden="1">{#N/A,#N/A,FALSE,"98소지이동TOTvs99.1 (2)";#N/A,#N/A,FALSE,"TOTAL";#N/A,#N/A,FALSE,"98소지이동TOTvs99.1(b) (2)"}</definedName>
    <definedName name="___RR4" hidden="1">{#N/A,#N/A,FALSE,"98소지이동TOTvs99.1 (2)";#N/A,#N/A,FALSE,"TOTAL";#N/A,#N/A,FALSE,"98소지이동TOTvs99.1(b) (2)"}</definedName>
    <definedName name="___RR5" localSheetId="42"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_RR5"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_RR6" localSheetId="42"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_RR6"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_RR7" localSheetId="42" hidden="1">{#N/A,#N/A,FALSE,"Yield";#N/A,#N/A,FALSE,"Loss1";#N/A,#N/A,FALSE,"Loss2";#N/A,#N/A,FALSE,"Hour-Labor(배분)";#N/A,#N/A,FALSE,"Capital Expenditure";#N/A,#N/A,FALSE,"Productivity"}</definedName>
    <definedName name="___RR7" hidden="1">{#N/A,#N/A,FALSE,"Yield";#N/A,#N/A,FALSE,"Loss1";#N/A,#N/A,FALSE,"Loss2";#N/A,#N/A,FALSE,"Hour-Labor(배분)";#N/A,#N/A,FALSE,"Capital Expenditure";#N/A,#N/A,FALSE,"Productivity"}</definedName>
    <definedName name="___RR8" localSheetId="42" hidden="1">{#N/A,#N/A,FALSE,"98소지이동TOTvs99.1 (2)";#N/A,#N/A,FALSE,"TOTAL";#N/A,#N/A,FALSE,"98소지이동TOTvs99.1(b) (2)"}</definedName>
    <definedName name="___RR8" hidden="1">{#N/A,#N/A,FALSE,"98소지이동TOTvs99.1 (2)";#N/A,#N/A,FALSE,"TOTAL";#N/A,#N/A,FALSE,"98소지이동TOTvs99.1(b) (2)"}</definedName>
    <definedName name="___s1" localSheetId="12" hidden="1">{#N/A,#N/A,FALSE,"UNIT";#N/A,#N/A,FALSE,"UNIT";#N/A,#N/A,FALSE,"계정"}</definedName>
    <definedName name="___s1" localSheetId="42" hidden="1">{#N/A,#N/A,FALSE,"UNIT";#N/A,#N/A,FALSE,"UNIT";#N/A,#N/A,FALSE,"계정"}</definedName>
    <definedName name="___s1" hidden="1">{#N/A,#N/A,FALSE,"UNIT";#N/A,#N/A,FALSE,"UNIT";#N/A,#N/A,FALSE,"계정"}</definedName>
    <definedName name="___s10" localSheetId="12" hidden="1">{#N/A,#N/A,FALSE,"UNIT";#N/A,#N/A,FALSE,"UNIT";#N/A,#N/A,FALSE,"계정"}</definedName>
    <definedName name="___s10" localSheetId="42" hidden="1">{#N/A,#N/A,FALSE,"UNIT";#N/A,#N/A,FALSE,"UNIT";#N/A,#N/A,FALSE,"계정"}</definedName>
    <definedName name="___s10" hidden="1">{#N/A,#N/A,FALSE,"UNIT";#N/A,#N/A,FALSE,"UNIT";#N/A,#N/A,FALSE,"계정"}</definedName>
    <definedName name="___s11" localSheetId="12" hidden="1">{#N/A,#N/A,FALSE,"UNIT";#N/A,#N/A,FALSE,"UNIT";#N/A,#N/A,FALSE,"계정"}</definedName>
    <definedName name="___s11" localSheetId="42" hidden="1">{#N/A,#N/A,FALSE,"UNIT";#N/A,#N/A,FALSE,"UNIT";#N/A,#N/A,FALSE,"계정"}</definedName>
    <definedName name="___s11" hidden="1">{#N/A,#N/A,FALSE,"UNIT";#N/A,#N/A,FALSE,"UNIT";#N/A,#N/A,FALSE,"계정"}</definedName>
    <definedName name="___s12" localSheetId="12" hidden="1">{#N/A,#N/A,FALSE,"UNIT";#N/A,#N/A,FALSE,"UNIT";#N/A,#N/A,FALSE,"계정"}</definedName>
    <definedName name="___s12" localSheetId="42" hidden="1">{#N/A,#N/A,FALSE,"UNIT";#N/A,#N/A,FALSE,"UNIT";#N/A,#N/A,FALSE,"계정"}</definedName>
    <definedName name="___s12" hidden="1">{#N/A,#N/A,FALSE,"UNIT";#N/A,#N/A,FALSE,"UNIT";#N/A,#N/A,FALSE,"계정"}</definedName>
    <definedName name="___s13" localSheetId="12" hidden="1">{#N/A,#N/A,FALSE,"UNIT";#N/A,#N/A,FALSE,"UNIT";#N/A,#N/A,FALSE,"계정"}</definedName>
    <definedName name="___s13" localSheetId="42" hidden="1">{#N/A,#N/A,FALSE,"UNIT";#N/A,#N/A,FALSE,"UNIT";#N/A,#N/A,FALSE,"계정"}</definedName>
    <definedName name="___s13" hidden="1">{#N/A,#N/A,FALSE,"UNIT";#N/A,#N/A,FALSE,"UNIT";#N/A,#N/A,FALSE,"계정"}</definedName>
    <definedName name="___s14" localSheetId="12" hidden="1">{#N/A,#N/A,FALSE,"UNIT";#N/A,#N/A,FALSE,"UNIT";#N/A,#N/A,FALSE,"계정"}</definedName>
    <definedName name="___s14" localSheetId="42" hidden="1">{#N/A,#N/A,FALSE,"UNIT";#N/A,#N/A,FALSE,"UNIT";#N/A,#N/A,FALSE,"계정"}</definedName>
    <definedName name="___s14" hidden="1">{#N/A,#N/A,FALSE,"UNIT";#N/A,#N/A,FALSE,"UNIT";#N/A,#N/A,FALSE,"계정"}</definedName>
    <definedName name="___s16" localSheetId="12" hidden="1">{#N/A,#N/A,FALSE,"UNIT";#N/A,#N/A,FALSE,"UNIT";#N/A,#N/A,FALSE,"계정"}</definedName>
    <definedName name="___s16" localSheetId="42" hidden="1">{#N/A,#N/A,FALSE,"UNIT";#N/A,#N/A,FALSE,"UNIT";#N/A,#N/A,FALSE,"계정"}</definedName>
    <definedName name="___s16" hidden="1">{#N/A,#N/A,FALSE,"UNIT";#N/A,#N/A,FALSE,"UNIT";#N/A,#N/A,FALSE,"계정"}</definedName>
    <definedName name="___s17" localSheetId="12" hidden="1">{#N/A,#N/A,FALSE,"UNIT";#N/A,#N/A,FALSE,"UNIT";#N/A,#N/A,FALSE,"계정"}</definedName>
    <definedName name="___s17" localSheetId="42" hidden="1">{#N/A,#N/A,FALSE,"UNIT";#N/A,#N/A,FALSE,"UNIT";#N/A,#N/A,FALSE,"계정"}</definedName>
    <definedName name="___s17" hidden="1">{#N/A,#N/A,FALSE,"UNIT";#N/A,#N/A,FALSE,"UNIT";#N/A,#N/A,FALSE,"계정"}</definedName>
    <definedName name="___s2" localSheetId="12" hidden="1">{#N/A,#N/A,FALSE,"UNIT";#N/A,#N/A,FALSE,"UNIT";#N/A,#N/A,FALSE,"계정"}</definedName>
    <definedName name="___s2" localSheetId="42" hidden="1">{#N/A,#N/A,FALSE,"UNIT";#N/A,#N/A,FALSE,"UNIT";#N/A,#N/A,FALSE,"계정"}</definedName>
    <definedName name="___s2" hidden="1">{#N/A,#N/A,FALSE,"UNIT";#N/A,#N/A,FALSE,"UNIT";#N/A,#N/A,FALSE,"계정"}</definedName>
    <definedName name="___s3" localSheetId="12" hidden="1">{#N/A,#N/A,FALSE,"UNIT";#N/A,#N/A,FALSE,"UNIT";#N/A,#N/A,FALSE,"계정"}</definedName>
    <definedName name="___s3" localSheetId="42" hidden="1">{#N/A,#N/A,FALSE,"UNIT";#N/A,#N/A,FALSE,"UNIT";#N/A,#N/A,FALSE,"계정"}</definedName>
    <definedName name="___s3" hidden="1">{#N/A,#N/A,FALSE,"UNIT";#N/A,#N/A,FALSE,"UNIT";#N/A,#N/A,FALSE,"계정"}</definedName>
    <definedName name="___s4" localSheetId="12" hidden="1">{#N/A,#N/A,FALSE,"UNIT";#N/A,#N/A,FALSE,"UNIT";#N/A,#N/A,FALSE,"계정"}</definedName>
    <definedName name="___s4" localSheetId="42" hidden="1">{#N/A,#N/A,FALSE,"UNIT";#N/A,#N/A,FALSE,"UNIT";#N/A,#N/A,FALSE,"계정"}</definedName>
    <definedName name="___s4" hidden="1">{#N/A,#N/A,FALSE,"UNIT";#N/A,#N/A,FALSE,"UNIT";#N/A,#N/A,FALSE,"계정"}</definedName>
    <definedName name="___s5" localSheetId="12" hidden="1">{#N/A,#N/A,FALSE,"UNIT";#N/A,#N/A,FALSE,"UNIT";#N/A,#N/A,FALSE,"계정"}</definedName>
    <definedName name="___s5" localSheetId="42" hidden="1">{#N/A,#N/A,FALSE,"UNIT";#N/A,#N/A,FALSE,"UNIT";#N/A,#N/A,FALSE,"계정"}</definedName>
    <definedName name="___s5" hidden="1">{#N/A,#N/A,FALSE,"UNIT";#N/A,#N/A,FALSE,"UNIT";#N/A,#N/A,FALSE,"계정"}</definedName>
    <definedName name="___s6" localSheetId="12" hidden="1">{#N/A,#N/A,FALSE,"UNIT";#N/A,#N/A,FALSE,"UNIT";#N/A,#N/A,FALSE,"계정"}</definedName>
    <definedName name="___s6" localSheetId="42" hidden="1">{#N/A,#N/A,FALSE,"UNIT";#N/A,#N/A,FALSE,"UNIT";#N/A,#N/A,FALSE,"계정"}</definedName>
    <definedName name="___s6" hidden="1">{#N/A,#N/A,FALSE,"UNIT";#N/A,#N/A,FALSE,"UNIT";#N/A,#N/A,FALSE,"계정"}</definedName>
    <definedName name="___s9" localSheetId="12" hidden="1">{#N/A,#N/A,FALSE,"UNIT";#N/A,#N/A,FALSE,"UNIT";#N/A,#N/A,FALSE,"계정"}</definedName>
    <definedName name="___s9" localSheetId="42" hidden="1">{#N/A,#N/A,FALSE,"UNIT";#N/A,#N/A,FALSE,"UNIT";#N/A,#N/A,FALSE,"계정"}</definedName>
    <definedName name="___s9" hidden="1">{#N/A,#N/A,FALSE,"UNIT";#N/A,#N/A,FALSE,"UNIT";#N/A,#N/A,FALSE,"계정"}</definedName>
    <definedName name="___SS1" localSheetId="42" hidden="1">{#N/A,#N/A,FALSE,"98소지이동TOTvs99.1 (2)";#N/A,#N/A,FALSE,"TOTAL";#N/A,#N/A,FALSE,"98소지이동TOTvs99.1(b) (2)"}</definedName>
    <definedName name="___SS1" hidden="1">{#N/A,#N/A,FALSE,"98소지이동TOTvs99.1 (2)";#N/A,#N/A,FALSE,"TOTAL";#N/A,#N/A,FALSE,"98소지이동TOTvs99.1(b) (2)"}</definedName>
    <definedName name="___SS10" localSheetId="42" hidden="1">{#N/A,#N/A,FALSE,"군산원가";#N/A,#N/A,FALSE,"팀별월별";#N/A,#N/A,FALSE,"타공정대체";#N/A,#N/A,FALSE,"기타경비";#N/A,#N/A,FALSE,"원료";#N/A,#N/A,FALSE,"연료"}</definedName>
    <definedName name="___SS10" hidden="1">{#N/A,#N/A,FALSE,"군산원가";#N/A,#N/A,FALSE,"팀별월별";#N/A,#N/A,FALSE,"타공정대체";#N/A,#N/A,FALSE,"기타경비";#N/A,#N/A,FALSE,"원료";#N/A,#N/A,FALSE,"연료"}</definedName>
    <definedName name="___SS11" localSheetId="42" hidden="1">{#N/A,#N/A,FALSE,"98소지이동TOTvs99.1 (2)";#N/A,#N/A,FALSE,"TOTAL";#N/A,#N/A,FALSE,"98소지이동TOTvs99.1(b) (2)"}</definedName>
    <definedName name="___SS11" hidden="1">{#N/A,#N/A,FALSE,"98소지이동TOTvs99.1 (2)";#N/A,#N/A,FALSE,"TOTAL";#N/A,#N/A,FALSE,"98소지이동TOTvs99.1(b) (2)"}</definedName>
    <definedName name="___SS12" localSheetId="42" hidden="1">{#N/A,#N/A,FALSE,"98소지이동TOTvs99.1 (2)";#N/A,#N/A,FALSE,"TOTAL";#N/A,#N/A,FALSE,"98소지이동TOTvs99.1(b) (2)"}</definedName>
    <definedName name="___SS12" hidden="1">{#N/A,#N/A,FALSE,"98소지이동TOTvs99.1 (2)";#N/A,#N/A,FALSE,"TOTAL";#N/A,#N/A,FALSE,"98소지이동TOTvs99.1(b) (2)"}</definedName>
    <definedName name="___SS13" localSheetId="42" hidden="1">{#N/A,#N/A,FALSE,"98소지이동TOTvs99.1 (2)";#N/A,#N/A,FALSE,"TOTAL";#N/A,#N/A,FALSE,"98소지이동TOTvs99.1(b) (2)"}</definedName>
    <definedName name="___SS13" hidden="1">{#N/A,#N/A,FALSE,"98소지이동TOTvs99.1 (2)";#N/A,#N/A,FALSE,"TOTAL";#N/A,#N/A,FALSE,"98소지이동TOTvs99.1(b) (2)"}</definedName>
    <definedName name="___SS14" localSheetId="42" hidden="1">{#N/A,#N/A,FALSE,"98소지이동TOTvs99.1 (2)";#N/A,#N/A,FALSE,"TOTAL";#N/A,#N/A,FALSE,"98소지이동TOTvs99.1(b) (2)"}</definedName>
    <definedName name="___SS14" hidden="1">{#N/A,#N/A,FALSE,"98소지이동TOTvs99.1 (2)";#N/A,#N/A,FALSE,"TOTAL";#N/A,#N/A,FALSE,"98소지이동TOTvs99.1(b) (2)"}</definedName>
    <definedName name="___SS15" localSheetId="42" hidden="1">{#N/A,#N/A,FALSE,"군산원가";#N/A,#N/A,FALSE,"팀별월별";#N/A,#N/A,FALSE,"타공정대체";#N/A,#N/A,FALSE,"기타경비";#N/A,#N/A,FALSE,"원료";#N/A,#N/A,FALSE,"연료"}</definedName>
    <definedName name="___SS15" hidden="1">{#N/A,#N/A,FALSE,"군산원가";#N/A,#N/A,FALSE,"팀별월별";#N/A,#N/A,FALSE,"타공정대체";#N/A,#N/A,FALSE,"기타경비";#N/A,#N/A,FALSE,"원료";#N/A,#N/A,FALSE,"연료"}</definedName>
    <definedName name="___SS16" localSheetId="42" hidden="1">{#N/A,#N/A,FALSE,"군산원가";#N/A,#N/A,FALSE,"팀별월별";#N/A,#N/A,FALSE,"타공정대체";#N/A,#N/A,FALSE,"기타경비";#N/A,#N/A,FALSE,"원료";#N/A,#N/A,FALSE,"연료"}</definedName>
    <definedName name="___SS16" hidden="1">{#N/A,#N/A,FALSE,"군산원가";#N/A,#N/A,FALSE,"팀별월별";#N/A,#N/A,FALSE,"타공정대체";#N/A,#N/A,FALSE,"기타경비";#N/A,#N/A,FALSE,"원료";#N/A,#N/A,FALSE,"연료"}</definedName>
    <definedName name="___SS17" localSheetId="42" hidden="1">{#N/A,#N/A,FALSE,"군산원가";#N/A,#N/A,FALSE,"팀별월별";#N/A,#N/A,FALSE,"타공정대체";#N/A,#N/A,FALSE,"기타경비";#N/A,#N/A,FALSE,"원료";#N/A,#N/A,FALSE,"연료"}</definedName>
    <definedName name="___SS17" hidden="1">{#N/A,#N/A,FALSE,"군산원가";#N/A,#N/A,FALSE,"팀별월별";#N/A,#N/A,FALSE,"타공정대체";#N/A,#N/A,FALSE,"기타경비";#N/A,#N/A,FALSE,"원료";#N/A,#N/A,FALSE,"연료"}</definedName>
    <definedName name="___SS18" localSheetId="42" hidden="1">{#N/A,#N/A,FALSE,"군산원가";#N/A,#N/A,FALSE,"팀별월별";#N/A,#N/A,FALSE,"타공정대체";#N/A,#N/A,FALSE,"기타경비";#N/A,#N/A,FALSE,"원료";#N/A,#N/A,FALSE,"연료"}</definedName>
    <definedName name="___SS18" hidden="1">{#N/A,#N/A,FALSE,"군산원가";#N/A,#N/A,FALSE,"팀별월별";#N/A,#N/A,FALSE,"타공정대체";#N/A,#N/A,FALSE,"기타경비";#N/A,#N/A,FALSE,"원료";#N/A,#N/A,FALSE,"연료"}</definedName>
    <definedName name="___SS19" localSheetId="42" hidden="1">{#N/A,#N/A,FALSE,"Yield";#N/A,#N/A,FALSE,"Loss1";#N/A,#N/A,FALSE,"Loss2";#N/A,#N/A,FALSE,"Hour-Labor(배분)";#N/A,#N/A,FALSE,"Capital Expenditure";#N/A,#N/A,FALSE,"Productivity"}</definedName>
    <definedName name="___SS19" hidden="1">{#N/A,#N/A,FALSE,"Yield";#N/A,#N/A,FALSE,"Loss1";#N/A,#N/A,FALSE,"Loss2";#N/A,#N/A,FALSE,"Hour-Labor(배분)";#N/A,#N/A,FALSE,"Capital Expenditure";#N/A,#N/A,FALSE,"Productivity"}</definedName>
    <definedName name="___SS2" localSheetId="42" hidden="1">{#N/A,#N/A,FALSE,"98소지이동TOTvs99.1 (2)";#N/A,#N/A,FALSE,"TOTAL";#N/A,#N/A,FALSE,"98소지이동TOTvs99.1(b) (2)"}</definedName>
    <definedName name="___SS2" hidden="1">{#N/A,#N/A,FALSE,"98소지이동TOTvs99.1 (2)";#N/A,#N/A,FALSE,"TOTAL";#N/A,#N/A,FALSE,"98소지이동TOTvs99.1(b) (2)"}</definedName>
    <definedName name="___SS20" localSheetId="42" hidden="1">{#N/A,#N/A,FALSE,"98소지이동TOTvs99.1 (2)";#N/A,#N/A,FALSE,"TOTAL";#N/A,#N/A,FALSE,"98소지이동TOTvs99.1(b) (2)"}</definedName>
    <definedName name="___SS20" hidden="1">{#N/A,#N/A,FALSE,"98소지이동TOTvs99.1 (2)";#N/A,#N/A,FALSE,"TOTAL";#N/A,#N/A,FALSE,"98소지이동TOTvs99.1(b) (2)"}</definedName>
    <definedName name="___SS21" localSheetId="42" hidden="1">{#N/A,#N/A,FALSE,"98소지이동TOTvs99.1 (2)";#N/A,#N/A,FALSE,"TOTAL";#N/A,#N/A,FALSE,"98소지이동TOTvs99.1(b) (2)"}</definedName>
    <definedName name="___SS21" hidden="1">{#N/A,#N/A,FALSE,"98소지이동TOTvs99.1 (2)";#N/A,#N/A,FALSE,"TOTAL";#N/A,#N/A,FALSE,"98소지이동TOTvs99.1(b) (2)"}</definedName>
    <definedName name="___SS22" localSheetId="42" hidden="1">{#N/A,#N/A,FALSE,"Yield";#N/A,#N/A,FALSE,"Loss1";#N/A,#N/A,FALSE,"Loss2";#N/A,#N/A,FALSE,"Hour-Labor(배분)";#N/A,#N/A,FALSE,"Capital Expenditure";#N/A,#N/A,FALSE,"Productivity"}</definedName>
    <definedName name="___SS22" hidden="1">{#N/A,#N/A,FALSE,"Yield";#N/A,#N/A,FALSE,"Loss1";#N/A,#N/A,FALSE,"Loss2";#N/A,#N/A,FALSE,"Hour-Labor(배분)";#N/A,#N/A,FALSE,"Capital Expenditure";#N/A,#N/A,FALSE,"Productivity"}</definedName>
    <definedName name="___SS23" localSheetId="42" hidden="1">{#N/A,#N/A,FALSE,"Yield";#N/A,#N/A,FALSE,"Loss1";#N/A,#N/A,FALSE,"Loss2";#N/A,#N/A,FALSE,"Hour-Labor(배분)";#N/A,#N/A,FALSE,"Capital Expenditure";#N/A,#N/A,FALSE,"Productivity"}</definedName>
    <definedName name="___SS23" hidden="1">{#N/A,#N/A,FALSE,"Yield";#N/A,#N/A,FALSE,"Loss1";#N/A,#N/A,FALSE,"Loss2";#N/A,#N/A,FALSE,"Hour-Labor(배분)";#N/A,#N/A,FALSE,"Capital Expenditure";#N/A,#N/A,FALSE,"Productivity"}</definedName>
    <definedName name="___SS24" localSheetId="42" hidden="1">{#N/A,#N/A,FALSE,"Yield";#N/A,#N/A,FALSE,"Loss1";#N/A,#N/A,FALSE,"Loss2";#N/A,#N/A,FALSE,"Hour-Labor(배분)";#N/A,#N/A,FALSE,"Capital Expenditure";#N/A,#N/A,FALSE,"Productivity"}</definedName>
    <definedName name="___SS24" hidden="1">{#N/A,#N/A,FALSE,"Yield";#N/A,#N/A,FALSE,"Loss1";#N/A,#N/A,FALSE,"Loss2";#N/A,#N/A,FALSE,"Hour-Labor(배분)";#N/A,#N/A,FALSE,"Capital Expenditure";#N/A,#N/A,FALSE,"Productivity"}</definedName>
    <definedName name="___SS25" localSheetId="42" hidden="1">{#N/A,#N/A,FALSE,"98소지이동TOTvs99.1 (2)";#N/A,#N/A,FALSE,"TOTAL";#N/A,#N/A,FALSE,"98소지이동TOTvs99.1(b) (2)"}</definedName>
    <definedName name="___SS25" hidden="1">{#N/A,#N/A,FALSE,"98소지이동TOTvs99.1 (2)";#N/A,#N/A,FALSE,"TOTAL";#N/A,#N/A,FALSE,"98소지이동TOTvs99.1(b) (2)"}</definedName>
    <definedName name="___SS26" localSheetId="42"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_SS26"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_SS27" localSheetId="42" hidden="1">{#N/A,#N/A,FALSE,"Yield";#N/A,#N/A,FALSE,"Loss1";#N/A,#N/A,FALSE,"Loss2";#N/A,#N/A,FALSE,"Hour-Labor(배분)";#N/A,#N/A,FALSE,"Capital Expenditure";#N/A,#N/A,FALSE,"Productivity"}</definedName>
    <definedName name="___SS27" hidden="1">{#N/A,#N/A,FALSE,"Yield";#N/A,#N/A,FALSE,"Loss1";#N/A,#N/A,FALSE,"Loss2";#N/A,#N/A,FALSE,"Hour-Labor(배분)";#N/A,#N/A,FALSE,"Capital Expenditure";#N/A,#N/A,FALSE,"Productivity"}</definedName>
    <definedName name="___SS28" localSheetId="42" hidden="1">{#N/A,#N/A,FALSE,"군산원가";#N/A,#N/A,FALSE,"팀별월별";#N/A,#N/A,FALSE,"타공정대체";#N/A,#N/A,FALSE,"기타경비";#N/A,#N/A,FALSE,"원료";#N/A,#N/A,FALSE,"연료"}</definedName>
    <definedName name="___SS28" hidden="1">{#N/A,#N/A,FALSE,"군산원가";#N/A,#N/A,FALSE,"팀별월별";#N/A,#N/A,FALSE,"타공정대체";#N/A,#N/A,FALSE,"기타경비";#N/A,#N/A,FALSE,"원료";#N/A,#N/A,FALSE,"연료"}</definedName>
    <definedName name="___SS29" localSheetId="42"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_SS29"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_SS3" localSheetId="42" hidden="1">{#N/A,#N/A,FALSE,"군산원가";#N/A,#N/A,FALSE,"팀별월별";#N/A,#N/A,FALSE,"타공정대체";#N/A,#N/A,FALSE,"기타경비";#N/A,#N/A,FALSE,"원료";#N/A,#N/A,FALSE,"연료"}</definedName>
    <definedName name="___SS3" hidden="1">{#N/A,#N/A,FALSE,"군산원가";#N/A,#N/A,FALSE,"팀별월별";#N/A,#N/A,FALSE,"타공정대체";#N/A,#N/A,FALSE,"기타경비";#N/A,#N/A,FALSE,"원료";#N/A,#N/A,FALSE,"연료"}</definedName>
    <definedName name="___SS30" localSheetId="42"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_SS30"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_SS31" localSheetId="42" hidden="1">{#N/A,#N/A,FALSE,"Yield";#N/A,#N/A,FALSE,"Loss1";#N/A,#N/A,FALSE,"Loss2";#N/A,#N/A,FALSE,"Hour-Labor(배분)";#N/A,#N/A,FALSE,"Capital Expenditure";#N/A,#N/A,FALSE,"Productivity"}</definedName>
    <definedName name="___SS31" hidden="1">{#N/A,#N/A,FALSE,"Yield";#N/A,#N/A,FALSE,"Loss1";#N/A,#N/A,FALSE,"Loss2";#N/A,#N/A,FALSE,"Hour-Labor(배분)";#N/A,#N/A,FALSE,"Capital Expenditure";#N/A,#N/A,FALSE,"Productivity"}</definedName>
    <definedName name="___SS32" localSheetId="42" hidden="1">{#N/A,#N/A,FALSE,"98소지이동TOTvs99.1 (2)";#N/A,#N/A,FALSE,"TOTAL";#N/A,#N/A,FALSE,"98소지이동TOTvs99.1(b) (2)"}</definedName>
    <definedName name="___SS32" hidden="1">{#N/A,#N/A,FALSE,"98소지이동TOTvs99.1 (2)";#N/A,#N/A,FALSE,"TOTAL";#N/A,#N/A,FALSE,"98소지이동TOTvs99.1(b) (2)"}</definedName>
    <definedName name="___SS4" localSheetId="42" hidden="1">{#N/A,#N/A,FALSE,"군산원가";#N/A,#N/A,FALSE,"팀별월별";#N/A,#N/A,FALSE,"타공정대체";#N/A,#N/A,FALSE,"기타경비";#N/A,#N/A,FALSE,"원료";#N/A,#N/A,FALSE,"연료"}</definedName>
    <definedName name="___SS4" hidden="1">{#N/A,#N/A,FALSE,"군산원가";#N/A,#N/A,FALSE,"팀별월별";#N/A,#N/A,FALSE,"타공정대체";#N/A,#N/A,FALSE,"기타경비";#N/A,#N/A,FALSE,"원료";#N/A,#N/A,FALSE,"연료"}</definedName>
    <definedName name="___SS5" localSheetId="42" hidden="1">{#N/A,#N/A,FALSE,"98소지이동TOTvs99.1 (2)";#N/A,#N/A,FALSE,"TOTAL";#N/A,#N/A,FALSE,"98소지이동TOTvs99.1(b) (2)"}</definedName>
    <definedName name="___SS5" hidden="1">{#N/A,#N/A,FALSE,"98소지이동TOTvs99.1 (2)";#N/A,#N/A,FALSE,"TOTAL";#N/A,#N/A,FALSE,"98소지이동TOTvs99.1(b) (2)"}</definedName>
    <definedName name="___SS6" localSheetId="42"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_SS6"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_SS7" localSheetId="42"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_SS7"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_SS8" localSheetId="42" hidden="1">{#N/A,#N/A,FALSE,"98소지이동TOTvs99.1 (2)";#N/A,#N/A,FALSE,"TOTAL";#N/A,#N/A,FALSE,"98소지이동TOTvs99.1(b) (2)"}</definedName>
    <definedName name="___SS8" hidden="1">{#N/A,#N/A,FALSE,"98소지이동TOTvs99.1 (2)";#N/A,#N/A,FALSE,"TOTAL";#N/A,#N/A,FALSE,"98소지이동TOTvs99.1(b) (2)"}</definedName>
    <definedName name="___SS9" localSheetId="42" hidden="1">{#N/A,#N/A,FALSE,"98소지이동TOTvs99.1 (2)";#N/A,#N/A,FALSE,"TOTAL";#N/A,#N/A,FALSE,"98소지이동TOTvs99.1(b) (2)"}</definedName>
    <definedName name="___SS9" hidden="1">{#N/A,#N/A,FALSE,"98소지이동TOTvs99.1 (2)";#N/A,#N/A,FALSE,"TOTAL";#N/A,#N/A,FALSE,"98소지이동TOTvs99.1(b) (2)"}</definedName>
    <definedName name="___www1" localSheetId="42"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___www1"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___XX1" localSheetId="42" hidden="1">{#N/A,#N/A,FALSE,"98소지이동TOTvs99.1 (2)";#N/A,#N/A,FALSE,"TOTAL";#N/A,#N/A,FALSE,"98소지이동TOTvs99.1(b) (2)"}</definedName>
    <definedName name="___XX1" hidden="1">{#N/A,#N/A,FALSE,"98소지이동TOTvs99.1 (2)";#N/A,#N/A,FALSE,"TOTAL";#N/A,#N/A,FALSE,"98소지이동TOTvs99.1(b) (2)"}</definedName>
    <definedName name="___XX10" localSheetId="42" hidden="1">{#N/A,#N/A,FALSE,"Yield";#N/A,#N/A,FALSE,"Loss1";#N/A,#N/A,FALSE,"Loss2";#N/A,#N/A,FALSE,"Hour-Labor(배분)";#N/A,#N/A,FALSE,"Capital Expenditure";#N/A,#N/A,FALSE,"Productivity"}</definedName>
    <definedName name="___XX10" hidden="1">{#N/A,#N/A,FALSE,"Yield";#N/A,#N/A,FALSE,"Loss1";#N/A,#N/A,FALSE,"Loss2";#N/A,#N/A,FALSE,"Hour-Labor(배분)";#N/A,#N/A,FALSE,"Capital Expenditure";#N/A,#N/A,FALSE,"Productivity"}</definedName>
    <definedName name="___XX2" localSheetId="42" hidden="1">{#N/A,#N/A,FALSE,"98소지이동TOTvs99.1 (2)";#N/A,#N/A,FALSE,"TOTAL";#N/A,#N/A,FALSE,"98소지이동TOTvs99.1(b) (2)"}</definedName>
    <definedName name="___XX2" hidden="1">{#N/A,#N/A,FALSE,"98소지이동TOTvs99.1 (2)";#N/A,#N/A,FALSE,"TOTAL";#N/A,#N/A,FALSE,"98소지이동TOTvs99.1(b) (2)"}</definedName>
    <definedName name="___XX3" localSheetId="42" hidden="1">{#N/A,#N/A,FALSE,"98소지이동TOTvs99.1 (2)";#N/A,#N/A,FALSE,"TOTAL";#N/A,#N/A,FALSE,"98소지이동TOTvs99.1(b) (2)"}</definedName>
    <definedName name="___XX3" hidden="1">{#N/A,#N/A,FALSE,"98소지이동TOTvs99.1 (2)";#N/A,#N/A,FALSE,"TOTAL";#N/A,#N/A,FALSE,"98소지이동TOTvs99.1(b) (2)"}</definedName>
    <definedName name="___XX4" localSheetId="42" hidden="1">{#N/A,#N/A,FALSE,"군산원가";#N/A,#N/A,FALSE,"팀별월별";#N/A,#N/A,FALSE,"타공정대체";#N/A,#N/A,FALSE,"기타경비";#N/A,#N/A,FALSE,"원료";#N/A,#N/A,FALSE,"연료"}</definedName>
    <definedName name="___XX4" hidden="1">{#N/A,#N/A,FALSE,"군산원가";#N/A,#N/A,FALSE,"팀별월별";#N/A,#N/A,FALSE,"타공정대체";#N/A,#N/A,FALSE,"기타경비";#N/A,#N/A,FALSE,"원료";#N/A,#N/A,FALSE,"연료"}</definedName>
    <definedName name="___XX5" localSheetId="42" hidden="1">{#N/A,#N/A,FALSE,"군산원가";#N/A,#N/A,FALSE,"팀별월별";#N/A,#N/A,FALSE,"타공정대체";#N/A,#N/A,FALSE,"기타경비";#N/A,#N/A,FALSE,"원료";#N/A,#N/A,FALSE,"연료"}</definedName>
    <definedName name="___XX5" hidden="1">{#N/A,#N/A,FALSE,"군산원가";#N/A,#N/A,FALSE,"팀별월별";#N/A,#N/A,FALSE,"타공정대체";#N/A,#N/A,FALSE,"기타경비";#N/A,#N/A,FALSE,"원료";#N/A,#N/A,FALSE,"연료"}</definedName>
    <definedName name="___XX6" localSheetId="42" hidden="1">{#N/A,#N/A,FALSE,"Yield";#N/A,#N/A,FALSE,"Loss1";#N/A,#N/A,FALSE,"Loss2";#N/A,#N/A,FALSE,"Hour-Labor(배분)";#N/A,#N/A,FALSE,"Capital Expenditure";#N/A,#N/A,FALSE,"Productivity"}</definedName>
    <definedName name="___XX6" hidden="1">{#N/A,#N/A,FALSE,"Yield";#N/A,#N/A,FALSE,"Loss1";#N/A,#N/A,FALSE,"Loss2";#N/A,#N/A,FALSE,"Hour-Labor(배분)";#N/A,#N/A,FALSE,"Capital Expenditure";#N/A,#N/A,FALSE,"Productivity"}</definedName>
    <definedName name="___XX7" localSheetId="42" hidden="1">{#N/A,#N/A,FALSE,"98소지이동TOTvs99.1 (2)";#N/A,#N/A,FALSE,"TOTAL";#N/A,#N/A,FALSE,"98소지이동TOTvs99.1(b) (2)"}</definedName>
    <definedName name="___XX7" hidden="1">{#N/A,#N/A,FALSE,"98소지이동TOTvs99.1 (2)";#N/A,#N/A,FALSE,"TOTAL";#N/A,#N/A,FALSE,"98소지이동TOTvs99.1(b) (2)"}</definedName>
    <definedName name="___XX8" localSheetId="42"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_XX8"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_XX9" localSheetId="42"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_XX9"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_ZZ1" localSheetId="42" hidden="1">{#N/A,#N/A,FALSE,"98소지이동TOTvs99.1 (2)";#N/A,#N/A,FALSE,"TOTAL";#N/A,#N/A,FALSE,"98소지이동TOTvs99.1(b) (2)"}</definedName>
    <definedName name="___ZZ1" hidden="1">{#N/A,#N/A,FALSE,"98소지이동TOTvs99.1 (2)";#N/A,#N/A,FALSE,"TOTAL";#N/A,#N/A,FALSE,"98소지이동TOTvs99.1(b) (2)"}</definedName>
    <definedName name="__123Graph_A" localSheetId="12" hidden="1">#REF!</definedName>
    <definedName name="__123Graph_A" localSheetId="30" hidden="1">#REF!</definedName>
    <definedName name="__123Graph_A" localSheetId="29" hidden="1">#REF!</definedName>
    <definedName name="__123Graph_A" localSheetId="33" hidden="1">#REF!</definedName>
    <definedName name="__123Graph_A" localSheetId="15" hidden="1">#REF!</definedName>
    <definedName name="__123Graph_A" localSheetId="31" hidden="1">#REF!</definedName>
    <definedName name="__123Graph_A" localSheetId="6" hidden="1">#REF!</definedName>
    <definedName name="__123Graph_A" localSheetId="32" hidden="1">#REF!</definedName>
    <definedName name="__123Graph_A" localSheetId="42" hidden="1">#REF!</definedName>
    <definedName name="__123Graph_A" hidden="1">#REF!</definedName>
    <definedName name="__123Graph_B" localSheetId="12" hidden="1">#REF!</definedName>
    <definedName name="__123Graph_B" localSheetId="30" hidden="1">#REF!</definedName>
    <definedName name="__123Graph_B" localSheetId="29" hidden="1">#REF!</definedName>
    <definedName name="__123Graph_B" localSheetId="33" hidden="1">#REF!</definedName>
    <definedName name="__123Graph_B" localSheetId="15" hidden="1">#REF!</definedName>
    <definedName name="__123Graph_B" localSheetId="31" hidden="1">#REF!</definedName>
    <definedName name="__123Graph_B" localSheetId="6" hidden="1">#REF!</definedName>
    <definedName name="__123Graph_B" localSheetId="32" hidden="1">#REF!</definedName>
    <definedName name="__123Graph_B" localSheetId="42" hidden="1">#REF!</definedName>
    <definedName name="__123Graph_B" hidden="1">#REF!</definedName>
    <definedName name="__123Graph_C" localSheetId="15" hidden="1">#REF!</definedName>
    <definedName name="__123Graph_C" localSheetId="6" hidden="1">#REF!</definedName>
    <definedName name="__123Graph_C" localSheetId="42" hidden="1">#REF!</definedName>
    <definedName name="__123Graph_C" hidden="1">#REF!</definedName>
    <definedName name="__123Graph_D" localSheetId="30" hidden="1">#REF!</definedName>
    <definedName name="__123Graph_D" localSheetId="29" hidden="1">#REF!</definedName>
    <definedName name="__123Graph_D" localSheetId="33" hidden="1">#REF!</definedName>
    <definedName name="__123Graph_D" localSheetId="31" hidden="1">#REF!</definedName>
    <definedName name="__123Graph_D" localSheetId="32" hidden="1">#REF!</definedName>
    <definedName name="__123Graph_D" hidden="1">#REF!</definedName>
    <definedName name="__123Graph_F" hidden="1">#REF!</definedName>
    <definedName name="__123Graph_LBL_A" localSheetId="12" hidden="1">#REF!</definedName>
    <definedName name="__123Graph_LBL_A" localSheetId="30" hidden="1">#REF!</definedName>
    <definedName name="__123Graph_LBL_A" localSheetId="29" hidden="1">#REF!</definedName>
    <definedName name="__123Graph_LBL_A" localSheetId="33" hidden="1">#REF!</definedName>
    <definedName name="__123Graph_LBL_A" localSheetId="15" hidden="1">#REF!</definedName>
    <definedName name="__123Graph_LBL_A" localSheetId="31" hidden="1">#REF!</definedName>
    <definedName name="__123Graph_LBL_A" localSheetId="6" hidden="1">#REF!</definedName>
    <definedName name="__123Graph_LBL_A" localSheetId="32" hidden="1">#REF!</definedName>
    <definedName name="__123Graph_LBL_A" localSheetId="42" hidden="1">#REF!</definedName>
    <definedName name="__123Graph_LBL_A" hidden="1">#REF!</definedName>
    <definedName name="__123Graph_LBL_B" localSheetId="12" hidden="1">#REF!</definedName>
    <definedName name="__123Graph_LBL_B" localSheetId="30" hidden="1">#REF!</definedName>
    <definedName name="__123Graph_LBL_B" localSheetId="29" hidden="1">#REF!</definedName>
    <definedName name="__123Graph_LBL_B" localSheetId="33" hidden="1">#REF!</definedName>
    <definedName name="__123Graph_LBL_B" localSheetId="15" hidden="1">#REF!</definedName>
    <definedName name="__123Graph_LBL_B" localSheetId="31" hidden="1">#REF!</definedName>
    <definedName name="__123Graph_LBL_B" localSheetId="6" hidden="1">#REF!</definedName>
    <definedName name="__123Graph_LBL_B" localSheetId="32" hidden="1">#REF!</definedName>
    <definedName name="__123Graph_LBL_B" localSheetId="42" hidden="1">#REF!</definedName>
    <definedName name="__123Graph_LBL_B" hidden="1">#REF!</definedName>
    <definedName name="__123Graph_X" localSheetId="12" hidden="1">#REF!</definedName>
    <definedName name="__123Graph_X" localSheetId="30" hidden="1">#REF!</definedName>
    <definedName name="__123Graph_X" localSheetId="29" hidden="1">#REF!</definedName>
    <definedName name="__123Graph_X" localSheetId="33" hidden="1">#REF!</definedName>
    <definedName name="__123Graph_X" localSheetId="15" hidden="1">#REF!</definedName>
    <definedName name="__123Graph_X" localSheetId="31" hidden="1">#REF!</definedName>
    <definedName name="__123Graph_X" localSheetId="6" hidden="1">#REF!</definedName>
    <definedName name="__123Graph_X" localSheetId="32" hidden="1">#REF!</definedName>
    <definedName name="__123Graph_X" localSheetId="42" hidden="1">#REF!</definedName>
    <definedName name="__123Graph_X" hidden="1">#REF!</definedName>
    <definedName name="__A9" localSheetId="42" hidden="1">{#N/A,#N/A,FALSE,"손익표지";#N/A,#N/A,FALSE,"손익계산";#N/A,#N/A,FALSE,"일반관리비";#N/A,#N/A,FALSE,"영업외수익";#N/A,#N/A,FALSE,"영업외비용";#N/A,#N/A,FALSE,"매출액";#N/A,#N/A,FALSE,"요약손익";#N/A,#N/A,FALSE,"요약대차";#N/A,#N/A,FALSE,"매출채권현황";#N/A,#N/A,FALSE,"매출채권명세"}</definedName>
    <definedName name="__A9" hidden="1">{#N/A,#N/A,FALSE,"손익표지";#N/A,#N/A,FALSE,"손익계산";#N/A,#N/A,FALSE,"일반관리비";#N/A,#N/A,FALSE,"영업외수익";#N/A,#N/A,FALSE,"영업외비용";#N/A,#N/A,FALSE,"매출액";#N/A,#N/A,FALSE,"요약손익";#N/A,#N/A,FALSE,"요약대차";#N/A,#N/A,FALSE,"매출채권현황";#N/A,#N/A,FALSE,"매출채권명세"}</definedName>
    <definedName name="__bb1" localSheetId="45" hidden="1">{#N/A,#N/A,FALSE,"98소지이동TOTvs99.1 (2)";#N/A,#N/A,FALSE,"TOTAL";#N/A,#N/A,FALSE,"98소지이동TOTvs99.1(b) (2)"}</definedName>
    <definedName name="__bb1" localSheetId="42" hidden="1">{#N/A,#N/A,FALSE,"98소지이동TOTvs99.1 (2)";#N/A,#N/A,FALSE,"TOTAL";#N/A,#N/A,FALSE,"98소지이동TOTvs99.1(b) (2)"}</definedName>
    <definedName name="__bb1" hidden="1">{#N/A,#N/A,FALSE,"98소지이동TOTvs99.1 (2)";#N/A,#N/A,FALSE,"TOTAL";#N/A,#N/A,FALSE,"98소지이동TOTvs99.1(b) (2)"}</definedName>
    <definedName name="__bb2" localSheetId="45" hidden="1">{#N/A,#N/A,FALSE,"98소지이동TOTvs99.1 (2)";#N/A,#N/A,FALSE,"TOTAL";#N/A,#N/A,FALSE,"98소지이동TOTvs99.1(b) (2)"}</definedName>
    <definedName name="__bb2" localSheetId="42" hidden="1">{#N/A,#N/A,FALSE,"98소지이동TOTvs99.1 (2)";#N/A,#N/A,FALSE,"TOTAL";#N/A,#N/A,FALSE,"98소지이동TOTvs99.1(b) (2)"}</definedName>
    <definedName name="__bb2" hidden="1">{#N/A,#N/A,FALSE,"98소지이동TOTvs99.1 (2)";#N/A,#N/A,FALSE,"TOTAL";#N/A,#N/A,FALSE,"98소지이동TOTvs99.1(b) (2)"}</definedName>
    <definedName name="__bb3" localSheetId="45" hidden="1">{#N/A,#N/A,FALSE,"군산원가";#N/A,#N/A,FALSE,"팀별월별";#N/A,#N/A,FALSE,"타공정대체";#N/A,#N/A,FALSE,"기타경비";#N/A,#N/A,FALSE,"원료";#N/A,#N/A,FALSE,"연료"}</definedName>
    <definedName name="__bb3" localSheetId="42" hidden="1">{#N/A,#N/A,FALSE,"군산원가";#N/A,#N/A,FALSE,"팀별월별";#N/A,#N/A,FALSE,"타공정대체";#N/A,#N/A,FALSE,"기타경비";#N/A,#N/A,FALSE,"원료";#N/A,#N/A,FALSE,"연료"}</definedName>
    <definedName name="__bb3" hidden="1">{#N/A,#N/A,FALSE,"군산원가";#N/A,#N/A,FALSE,"팀별월별";#N/A,#N/A,FALSE,"타공정대체";#N/A,#N/A,FALSE,"기타경비";#N/A,#N/A,FALSE,"원료";#N/A,#N/A,FALSE,"연료"}</definedName>
    <definedName name="__bb4" localSheetId="45" hidden="1">{#N/A,#N/A,FALSE,"98소지이동TOTvs99.1 (2)";#N/A,#N/A,FALSE,"TOTAL";#N/A,#N/A,FALSE,"98소지이동TOTvs99.1(b) (2)"}</definedName>
    <definedName name="__bb4" localSheetId="42" hidden="1">{#N/A,#N/A,FALSE,"98소지이동TOTvs99.1 (2)";#N/A,#N/A,FALSE,"TOTAL";#N/A,#N/A,FALSE,"98소지이동TOTvs99.1(b) (2)"}</definedName>
    <definedName name="__bb4" hidden="1">{#N/A,#N/A,FALSE,"98소지이동TOTvs99.1 (2)";#N/A,#N/A,FALSE,"TOTAL";#N/A,#N/A,FALSE,"98소지이동TOTvs99.1(b) (2)"}</definedName>
    <definedName name="__bb5" localSheetId="45" hidden="1">{#N/A,#N/A,FALSE,"98소지이동TOTvs99.1 (2)";#N/A,#N/A,FALSE,"TOTAL";#N/A,#N/A,FALSE,"98소지이동TOTvs99.1(b) (2)"}</definedName>
    <definedName name="__bb5" localSheetId="42" hidden="1">{#N/A,#N/A,FALSE,"98소지이동TOTvs99.1 (2)";#N/A,#N/A,FALSE,"TOTAL";#N/A,#N/A,FALSE,"98소지이동TOTvs99.1(b) (2)"}</definedName>
    <definedName name="__bb5" hidden="1">{#N/A,#N/A,FALSE,"98소지이동TOTvs99.1 (2)";#N/A,#N/A,FALSE,"TOTAL";#N/A,#N/A,FALSE,"98소지이동TOTvs99.1(b) (2)"}</definedName>
    <definedName name="__bb6" localSheetId="45" hidden="1">{#N/A,#N/A,FALSE,"98소지이동TOTvs99.1 (2)";#N/A,#N/A,FALSE,"TOTAL";#N/A,#N/A,FALSE,"98소지이동TOTvs99.1(b) (2)"}</definedName>
    <definedName name="__bb6" localSheetId="42" hidden="1">{#N/A,#N/A,FALSE,"98소지이동TOTvs99.1 (2)";#N/A,#N/A,FALSE,"TOTAL";#N/A,#N/A,FALSE,"98소지이동TOTvs99.1(b) (2)"}</definedName>
    <definedName name="__bb6" hidden="1">{#N/A,#N/A,FALSE,"98소지이동TOTvs99.1 (2)";#N/A,#N/A,FALSE,"TOTAL";#N/A,#N/A,FALSE,"98소지이동TOTvs99.1(b) (2)"}</definedName>
    <definedName name="__bb7" localSheetId="45" hidden="1">{#N/A,#N/A,FALSE,"98소지이동TOTvs99.1 (2)";#N/A,#N/A,FALSE,"TOTAL";#N/A,#N/A,FALSE,"98소지이동TOTvs99.1(b) (2)"}</definedName>
    <definedName name="__bb7" localSheetId="42" hidden="1">{#N/A,#N/A,FALSE,"98소지이동TOTvs99.1 (2)";#N/A,#N/A,FALSE,"TOTAL";#N/A,#N/A,FALSE,"98소지이동TOTvs99.1(b) (2)"}</definedName>
    <definedName name="__bb7" hidden="1">{#N/A,#N/A,FALSE,"98소지이동TOTvs99.1 (2)";#N/A,#N/A,FALSE,"TOTAL";#N/A,#N/A,FALSE,"98소지이동TOTvs99.1(b) (2)"}</definedName>
    <definedName name="__bb8" localSheetId="45" hidden="1">{#N/A,#N/A,FALSE,"군산원가";#N/A,#N/A,FALSE,"팀별월별";#N/A,#N/A,FALSE,"타공정대체";#N/A,#N/A,FALSE,"기타경비";#N/A,#N/A,FALSE,"원료";#N/A,#N/A,FALSE,"연료"}</definedName>
    <definedName name="__bb8" localSheetId="42" hidden="1">{#N/A,#N/A,FALSE,"군산원가";#N/A,#N/A,FALSE,"팀별월별";#N/A,#N/A,FALSE,"타공정대체";#N/A,#N/A,FALSE,"기타경비";#N/A,#N/A,FALSE,"원료";#N/A,#N/A,FALSE,"연료"}</definedName>
    <definedName name="__bb8" hidden="1">{#N/A,#N/A,FALSE,"군산원가";#N/A,#N/A,FALSE,"팀별월별";#N/A,#N/A,FALSE,"타공정대체";#N/A,#N/A,FALSE,"기타경비";#N/A,#N/A,FALSE,"원료";#N/A,#N/A,FALSE,"연료"}</definedName>
    <definedName name="__bb9" localSheetId="45" hidden="1">{#N/A,#N/A,FALSE,"군산원가";#N/A,#N/A,FALSE,"팀별월별";#N/A,#N/A,FALSE,"타공정대체";#N/A,#N/A,FALSE,"기타경비";#N/A,#N/A,FALSE,"원료";#N/A,#N/A,FALSE,"연료"}</definedName>
    <definedName name="__bb9" localSheetId="42" hidden="1">{#N/A,#N/A,FALSE,"군산원가";#N/A,#N/A,FALSE,"팀별월별";#N/A,#N/A,FALSE,"타공정대체";#N/A,#N/A,FALSE,"기타경비";#N/A,#N/A,FALSE,"원료";#N/A,#N/A,FALSE,"연료"}</definedName>
    <definedName name="__bb9" hidden="1">{#N/A,#N/A,FALSE,"군산원가";#N/A,#N/A,FALSE,"팀별월별";#N/A,#N/A,FALSE,"타공정대체";#N/A,#N/A,FALSE,"기타경비";#N/A,#N/A,FALSE,"원료";#N/A,#N/A,FALSE,"연료"}</definedName>
    <definedName name="__cc1" localSheetId="45" hidden="1">{#N/A,#N/A,FALSE,"군산원가";#N/A,#N/A,FALSE,"팀별월별";#N/A,#N/A,FALSE,"타공정대체";#N/A,#N/A,FALSE,"기타경비";#N/A,#N/A,FALSE,"원료";#N/A,#N/A,FALSE,"연료"}</definedName>
    <definedName name="__cc1" localSheetId="42" hidden="1">{#N/A,#N/A,FALSE,"군산원가";#N/A,#N/A,FALSE,"팀별월별";#N/A,#N/A,FALSE,"타공정대체";#N/A,#N/A,FALSE,"기타경비";#N/A,#N/A,FALSE,"원료";#N/A,#N/A,FALSE,"연료"}</definedName>
    <definedName name="__cc1" hidden="1">{#N/A,#N/A,FALSE,"군산원가";#N/A,#N/A,FALSE,"팀별월별";#N/A,#N/A,FALSE,"타공정대체";#N/A,#N/A,FALSE,"기타경비";#N/A,#N/A,FALSE,"원료";#N/A,#N/A,FALSE,"연료"}</definedName>
    <definedName name="__cc2" localSheetId="45" hidden="1">{#N/A,#N/A,FALSE,"군산원가";#N/A,#N/A,FALSE,"팀별월별";#N/A,#N/A,FALSE,"타공정대체";#N/A,#N/A,FALSE,"기타경비";#N/A,#N/A,FALSE,"원료";#N/A,#N/A,FALSE,"연료"}</definedName>
    <definedName name="__cc2" localSheetId="42" hidden="1">{#N/A,#N/A,FALSE,"군산원가";#N/A,#N/A,FALSE,"팀별월별";#N/A,#N/A,FALSE,"타공정대체";#N/A,#N/A,FALSE,"기타경비";#N/A,#N/A,FALSE,"원료";#N/A,#N/A,FALSE,"연료"}</definedName>
    <definedName name="__cc2" hidden="1">{#N/A,#N/A,FALSE,"군산원가";#N/A,#N/A,FALSE,"팀별월별";#N/A,#N/A,FALSE,"타공정대체";#N/A,#N/A,FALSE,"기타경비";#N/A,#N/A,FALSE,"원료";#N/A,#N/A,FALSE,"연료"}</definedName>
    <definedName name="__cc3" localSheetId="45" hidden="1">{#N/A,#N/A,FALSE,"Yield";#N/A,#N/A,FALSE,"Loss1";#N/A,#N/A,FALSE,"Loss2";#N/A,#N/A,FALSE,"Hour-Labor(배분)";#N/A,#N/A,FALSE,"Capital Expenditure";#N/A,#N/A,FALSE,"Productivity"}</definedName>
    <definedName name="__cc3" localSheetId="42" hidden="1">{#N/A,#N/A,FALSE,"Yield";#N/A,#N/A,FALSE,"Loss1";#N/A,#N/A,FALSE,"Loss2";#N/A,#N/A,FALSE,"Hour-Labor(배분)";#N/A,#N/A,FALSE,"Capital Expenditure";#N/A,#N/A,FALSE,"Productivity"}</definedName>
    <definedName name="__cc3" hidden="1">{#N/A,#N/A,FALSE,"Yield";#N/A,#N/A,FALSE,"Loss1";#N/A,#N/A,FALSE,"Loss2";#N/A,#N/A,FALSE,"Hour-Labor(배분)";#N/A,#N/A,FALSE,"Capital Expenditure";#N/A,#N/A,FALSE,"Productivity"}</definedName>
    <definedName name="__cc4" localSheetId="45" hidden="1">{#N/A,#N/A,FALSE,"98소지이동TOTvs99.1 (2)";#N/A,#N/A,FALSE,"TOTAL";#N/A,#N/A,FALSE,"98소지이동TOTvs99.1(b) (2)"}</definedName>
    <definedName name="__cc4" localSheetId="42" hidden="1">{#N/A,#N/A,FALSE,"98소지이동TOTvs99.1 (2)";#N/A,#N/A,FALSE,"TOTAL";#N/A,#N/A,FALSE,"98소지이동TOTvs99.1(b) (2)"}</definedName>
    <definedName name="__cc4" hidden="1">{#N/A,#N/A,FALSE,"98소지이동TOTvs99.1 (2)";#N/A,#N/A,FALSE,"TOTAL";#N/A,#N/A,FALSE,"98소지이동TOTvs99.1(b) (2)"}</definedName>
    <definedName name="__cc5" localSheetId="45" hidden="1">{#N/A,#N/A,FALSE,"98소지이동TOTvs99.1 (2)";#N/A,#N/A,FALSE,"TOTAL";#N/A,#N/A,FALSE,"98소지이동TOTvs99.1(b) (2)"}</definedName>
    <definedName name="__cc5" localSheetId="42" hidden="1">{#N/A,#N/A,FALSE,"98소지이동TOTvs99.1 (2)";#N/A,#N/A,FALSE,"TOTAL";#N/A,#N/A,FALSE,"98소지이동TOTvs99.1(b) (2)"}</definedName>
    <definedName name="__cc5" hidden="1">{#N/A,#N/A,FALSE,"98소지이동TOTvs99.1 (2)";#N/A,#N/A,FALSE,"TOTAL";#N/A,#N/A,FALSE,"98소지이동TOTvs99.1(b) (2)"}</definedName>
    <definedName name="__cc6" localSheetId="45" hidden="1">{#N/A,#N/A,FALSE,"Yield";#N/A,#N/A,FALSE,"Loss1";#N/A,#N/A,FALSE,"Loss2";#N/A,#N/A,FALSE,"Hour-Labor(배분)";#N/A,#N/A,FALSE,"Capital Expenditure";#N/A,#N/A,FALSE,"Productivity"}</definedName>
    <definedName name="__cc6" localSheetId="42" hidden="1">{#N/A,#N/A,FALSE,"Yield";#N/A,#N/A,FALSE,"Loss1";#N/A,#N/A,FALSE,"Loss2";#N/A,#N/A,FALSE,"Hour-Labor(배분)";#N/A,#N/A,FALSE,"Capital Expenditure";#N/A,#N/A,FALSE,"Productivity"}</definedName>
    <definedName name="__cc6" hidden="1">{#N/A,#N/A,FALSE,"Yield";#N/A,#N/A,FALSE,"Loss1";#N/A,#N/A,FALSE,"Loss2";#N/A,#N/A,FALSE,"Hour-Labor(배분)";#N/A,#N/A,FALSE,"Capital Expenditure";#N/A,#N/A,FALSE,"Productivity"}</definedName>
    <definedName name="__cc7" localSheetId="45" hidden="1">{#N/A,#N/A,FALSE,"Yield";#N/A,#N/A,FALSE,"Loss1";#N/A,#N/A,FALSE,"Loss2";#N/A,#N/A,FALSE,"Hour-Labor(배분)";#N/A,#N/A,FALSE,"Capital Expenditure";#N/A,#N/A,FALSE,"Productivity"}</definedName>
    <definedName name="__cc7" localSheetId="42" hidden="1">{#N/A,#N/A,FALSE,"Yield";#N/A,#N/A,FALSE,"Loss1";#N/A,#N/A,FALSE,"Loss2";#N/A,#N/A,FALSE,"Hour-Labor(배분)";#N/A,#N/A,FALSE,"Capital Expenditure";#N/A,#N/A,FALSE,"Productivity"}</definedName>
    <definedName name="__cc7" hidden="1">{#N/A,#N/A,FALSE,"Yield";#N/A,#N/A,FALSE,"Loss1";#N/A,#N/A,FALSE,"Loss2";#N/A,#N/A,FALSE,"Hour-Labor(배분)";#N/A,#N/A,FALSE,"Capital Expenditure";#N/A,#N/A,FALSE,"Productivity"}</definedName>
    <definedName name="__cc8" localSheetId="45" hidden="1">{#N/A,#N/A,FALSE,"Yield";#N/A,#N/A,FALSE,"Loss1";#N/A,#N/A,FALSE,"Loss2";#N/A,#N/A,FALSE,"Hour-Labor(배분)";#N/A,#N/A,FALSE,"Capital Expenditure";#N/A,#N/A,FALSE,"Productivity"}</definedName>
    <definedName name="__cc8" localSheetId="42" hidden="1">{#N/A,#N/A,FALSE,"Yield";#N/A,#N/A,FALSE,"Loss1";#N/A,#N/A,FALSE,"Loss2";#N/A,#N/A,FALSE,"Hour-Labor(배분)";#N/A,#N/A,FALSE,"Capital Expenditure";#N/A,#N/A,FALSE,"Productivity"}</definedName>
    <definedName name="__cc8" hidden="1">{#N/A,#N/A,FALSE,"Yield";#N/A,#N/A,FALSE,"Loss1";#N/A,#N/A,FALSE,"Loss2";#N/A,#N/A,FALSE,"Hour-Labor(배분)";#N/A,#N/A,FALSE,"Capital Expenditure";#N/A,#N/A,FALSE,"Productivity"}</definedName>
    <definedName name="__cc9" localSheetId="45" hidden="1">{#N/A,#N/A,FALSE,"98소지이동TOTvs99.1 (2)";#N/A,#N/A,FALSE,"TOTAL";#N/A,#N/A,FALSE,"98소지이동TOTvs99.1(b) (2)"}</definedName>
    <definedName name="__cc9" localSheetId="42" hidden="1">{#N/A,#N/A,FALSE,"98소지이동TOTvs99.1 (2)";#N/A,#N/A,FALSE,"TOTAL";#N/A,#N/A,FALSE,"98소지이동TOTvs99.1(b) (2)"}</definedName>
    <definedName name="__cc9" hidden="1">{#N/A,#N/A,FALSE,"98소지이동TOTvs99.1 (2)";#N/A,#N/A,FALSE,"TOTAL";#N/A,#N/A,FALSE,"98소지이동TOTvs99.1(b) (2)"}</definedName>
    <definedName name="__IntlFixup" hidden="1">TRUE</definedName>
    <definedName name="__j1" localSheetId="42" hidden="1">{#N/A,#N/A,FALSE,"손익표지";#N/A,#N/A,FALSE,"손익계산";#N/A,#N/A,FALSE,"일반관리비";#N/A,#N/A,FALSE,"영업외수익";#N/A,#N/A,FALSE,"영업외비용";#N/A,#N/A,FALSE,"매출액";#N/A,#N/A,FALSE,"요약손익";#N/A,#N/A,FALSE,"요약대차";#N/A,#N/A,FALSE,"매출채권현황";#N/A,#N/A,FALSE,"매출채권명세"}</definedName>
    <definedName name="__j1" hidden="1">{#N/A,#N/A,FALSE,"손익표지";#N/A,#N/A,FALSE,"손익계산";#N/A,#N/A,FALSE,"일반관리비";#N/A,#N/A,FALSE,"영업외수익";#N/A,#N/A,FALSE,"영업외비용";#N/A,#N/A,FALSE,"매출액";#N/A,#N/A,FALSE,"요약손익";#N/A,#N/A,FALSE,"요약대차";#N/A,#N/A,FALSE,"매출채권현황";#N/A,#N/A,FALSE,"매출채권명세"}</definedName>
    <definedName name="__jh1" localSheetId="45" hidden="1">{#N/A,#N/A,FALSE,"Yield";#N/A,#N/A,FALSE,"Loss1";#N/A,#N/A,FALSE,"Loss2";#N/A,#N/A,FALSE,"Hour-Labor(배분)";#N/A,#N/A,FALSE,"Capital Expenditure";#N/A,#N/A,FALSE,"Productivity"}</definedName>
    <definedName name="__jh1" localSheetId="42" hidden="1">{#N/A,#N/A,FALSE,"Yield";#N/A,#N/A,FALSE,"Loss1";#N/A,#N/A,FALSE,"Loss2";#N/A,#N/A,FALSE,"Hour-Labor(배분)";#N/A,#N/A,FALSE,"Capital Expenditure";#N/A,#N/A,FALSE,"Productivity"}</definedName>
    <definedName name="__jh1" hidden="1">{#N/A,#N/A,FALSE,"Yield";#N/A,#N/A,FALSE,"Loss1";#N/A,#N/A,FALSE,"Loss2";#N/A,#N/A,FALSE,"Hour-Labor(배분)";#N/A,#N/A,FALSE,"Capital Expenditure";#N/A,#N/A,FALSE,"Productivity"}</definedName>
    <definedName name="__jh3" localSheetId="45"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jh3" localSheetId="42"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jh3"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jh4" localSheetId="45" hidden="1">{#N/A,#N/A,FALSE,"Yield";#N/A,#N/A,FALSE,"Loss1";#N/A,#N/A,FALSE,"Loss2";#N/A,#N/A,FALSE,"Hour-Labor(배분)";#N/A,#N/A,FALSE,"Capital Expenditure";#N/A,#N/A,FALSE,"Productivity"}</definedName>
    <definedName name="__jh4" localSheetId="42" hidden="1">{#N/A,#N/A,FALSE,"Yield";#N/A,#N/A,FALSE,"Loss1";#N/A,#N/A,FALSE,"Loss2";#N/A,#N/A,FALSE,"Hour-Labor(배분)";#N/A,#N/A,FALSE,"Capital Expenditure";#N/A,#N/A,FALSE,"Productivity"}</definedName>
    <definedName name="__jh4" hidden="1">{#N/A,#N/A,FALSE,"Yield";#N/A,#N/A,FALSE,"Loss1";#N/A,#N/A,FALSE,"Loss2";#N/A,#N/A,FALSE,"Hour-Labor(배분)";#N/A,#N/A,FALSE,"Capital Expenditure";#N/A,#N/A,FALSE,"Productivity"}</definedName>
    <definedName name="__jh5" localSheetId="45" hidden="1">{#N/A,#N/A,FALSE,"98소지이동TOTvs99.1 (2)";#N/A,#N/A,FALSE,"TOTAL";#N/A,#N/A,FALSE,"98소지이동TOTvs99.1(b) (2)"}</definedName>
    <definedName name="__jh5" localSheetId="42" hidden="1">{#N/A,#N/A,FALSE,"98소지이동TOTvs99.1 (2)";#N/A,#N/A,FALSE,"TOTAL";#N/A,#N/A,FALSE,"98소지이동TOTvs99.1(b) (2)"}</definedName>
    <definedName name="__jh5" hidden="1">{#N/A,#N/A,FALSE,"98소지이동TOTvs99.1 (2)";#N/A,#N/A,FALSE,"TOTAL";#N/A,#N/A,FALSE,"98소지이동TOTvs99.1(b) (2)"}</definedName>
    <definedName name="__jj1" localSheetId="45"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jj1" localSheetId="42"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jj1"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jj2" localSheetId="45" hidden="1">{#N/A,#N/A,FALSE,"Yield";#N/A,#N/A,FALSE,"Loss1";#N/A,#N/A,FALSE,"Loss2";#N/A,#N/A,FALSE,"Hour-Labor(배분)";#N/A,#N/A,FALSE,"Capital Expenditure";#N/A,#N/A,FALSE,"Productivity"}</definedName>
    <definedName name="__jj2" localSheetId="42" hidden="1">{#N/A,#N/A,FALSE,"Yield";#N/A,#N/A,FALSE,"Loss1";#N/A,#N/A,FALSE,"Loss2";#N/A,#N/A,FALSE,"Hour-Labor(배분)";#N/A,#N/A,FALSE,"Capital Expenditure";#N/A,#N/A,FALSE,"Productivity"}</definedName>
    <definedName name="__jj2" hidden="1">{#N/A,#N/A,FALSE,"Yield";#N/A,#N/A,FALSE,"Loss1";#N/A,#N/A,FALSE,"Loss2";#N/A,#N/A,FALSE,"Hour-Labor(배분)";#N/A,#N/A,FALSE,"Capital Expenditure";#N/A,#N/A,FALSE,"Productivity"}</definedName>
    <definedName name="__jj3" localSheetId="45" hidden="1">{#N/A,#N/A,FALSE,"군산원가";#N/A,#N/A,FALSE,"팀별월별";#N/A,#N/A,FALSE,"타공정대체";#N/A,#N/A,FALSE,"기타경비";#N/A,#N/A,FALSE,"원료";#N/A,#N/A,FALSE,"연료"}</definedName>
    <definedName name="__jj3" localSheetId="42" hidden="1">{#N/A,#N/A,FALSE,"군산원가";#N/A,#N/A,FALSE,"팀별월별";#N/A,#N/A,FALSE,"타공정대체";#N/A,#N/A,FALSE,"기타경비";#N/A,#N/A,FALSE,"원료";#N/A,#N/A,FALSE,"연료"}</definedName>
    <definedName name="__jj3" hidden="1">{#N/A,#N/A,FALSE,"군산원가";#N/A,#N/A,FALSE,"팀별월별";#N/A,#N/A,FALSE,"타공정대체";#N/A,#N/A,FALSE,"기타경비";#N/A,#N/A,FALSE,"원료";#N/A,#N/A,FALSE,"연료"}</definedName>
    <definedName name="__jj4" localSheetId="45"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jj4" localSheetId="42"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jj4"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jj5" localSheetId="45"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jj5" localSheetId="42"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jj5"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jj6" localSheetId="45" hidden="1">{#N/A,#N/A,FALSE,"Yield";#N/A,#N/A,FALSE,"Loss1";#N/A,#N/A,FALSE,"Loss2";#N/A,#N/A,FALSE,"Hour-Labor(배분)";#N/A,#N/A,FALSE,"Capital Expenditure";#N/A,#N/A,FALSE,"Productivity"}</definedName>
    <definedName name="__jj6" localSheetId="42" hidden="1">{#N/A,#N/A,FALSE,"Yield";#N/A,#N/A,FALSE,"Loss1";#N/A,#N/A,FALSE,"Loss2";#N/A,#N/A,FALSE,"Hour-Labor(배분)";#N/A,#N/A,FALSE,"Capital Expenditure";#N/A,#N/A,FALSE,"Productivity"}</definedName>
    <definedName name="__jj6" hidden="1">{#N/A,#N/A,FALSE,"Yield";#N/A,#N/A,FALSE,"Loss1";#N/A,#N/A,FALSE,"Loss2";#N/A,#N/A,FALSE,"Hour-Labor(배분)";#N/A,#N/A,FALSE,"Capital Expenditure";#N/A,#N/A,FALSE,"Productivity"}</definedName>
    <definedName name="__jj7" localSheetId="45" hidden="1">{#N/A,#N/A,FALSE,"98소지이동TOTvs99.1 (2)";#N/A,#N/A,FALSE,"TOTAL";#N/A,#N/A,FALSE,"98소지이동TOTvs99.1(b) (2)"}</definedName>
    <definedName name="__jj7" localSheetId="42" hidden="1">{#N/A,#N/A,FALSE,"98소지이동TOTvs99.1 (2)";#N/A,#N/A,FALSE,"TOTAL";#N/A,#N/A,FALSE,"98소지이동TOTvs99.1(b) (2)"}</definedName>
    <definedName name="__jj7" hidden="1">{#N/A,#N/A,FALSE,"98소지이동TOTvs99.1 (2)";#N/A,#N/A,FALSE,"TOTAL";#N/A,#N/A,FALSE,"98소지이동TOTvs99.1(b) (2)"}</definedName>
    <definedName name="__jyr6" localSheetId="4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jyr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kl505" localSheetId="45" hidden="1">{#N/A,#N/A,FALSE,"군산원가";#N/A,#N/A,FALSE,"팀별월별";#N/A,#N/A,FALSE,"타공정대체";#N/A,#N/A,FALSE,"기타경비";#N/A,#N/A,FALSE,"원료";#N/A,#N/A,FALSE,"연료"}</definedName>
    <definedName name="__kl505" localSheetId="42" hidden="1">{#N/A,#N/A,FALSE,"군산원가";#N/A,#N/A,FALSE,"팀별월별";#N/A,#N/A,FALSE,"타공정대체";#N/A,#N/A,FALSE,"기타경비";#N/A,#N/A,FALSE,"원료";#N/A,#N/A,FALSE,"연료"}</definedName>
    <definedName name="__kl505" hidden="1">{#N/A,#N/A,FALSE,"군산원가";#N/A,#N/A,FALSE,"팀별월별";#N/A,#N/A,FALSE,"타공정대체";#N/A,#N/A,FALSE,"기타경비";#N/A,#N/A,FALSE,"원료";#N/A,#N/A,FALSE,"연료"}</definedName>
    <definedName name="__KTM10" localSheetId="12" hidden="1">{#N/A,#N/A,FALSE,"현장 NCR 분석";#N/A,#N/A,FALSE,"현장품질감사";#N/A,#N/A,FALSE,"현장품질감사"}</definedName>
    <definedName name="__KTM10" localSheetId="45" hidden="1">{#N/A,#N/A,FALSE,"현장 NCR 분석";#N/A,#N/A,FALSE,"현장품질감사";#N/A,#N/A,FALSE,"현장품질감사"}</definedName>
    <definedName name="__KTM10" localSheetId="42" hidden="1">{#N/A,#N/A,FALSE,"현장 NCR 분석";#N/A,#N/A,FALSE,"현장품질감사";#N/A,#N/A,FALSE,"현장품질감사"}</definedName>
    <definedName name="__KTM10" hidden="1">{#N/A,#N/A,FALSE,"현장 NCR 분석";#N/A,#N/A,FALSE,"현장품질감사";#N/A,#N/A,FALSE,"현장품질감사"}</definedName>
    <definedName name="__LG2" localSheetId="12" hidden="1">{#N/A,#N/A,TRUE,"매출진척-1";#N/A,#N/A,TRUE,"매출진척-2";#N/A,#N/A,TRUE,"제품실적";#N/A,#N/A,TRUE,"RAC";#N/A,#N/A,TRUE,"PAC ";#N/A,#N/A,TRUE,"재고현황";#N/A,#N/A,TRUE,"공지사항"}</definedName>
    <definedName name="__LG2" localSheetId="42" hidden="1">{#N/A,#N/A,TRUE,"매출진척-1";#N/A,#N/A,TRUE,"매출진척-2";#N/A,#N/A,TRUE,"제품실적";#N/A,#N/A,TRUE,"RAC";#N/A,#N/A,TRUE,"PAC ";#N/A,#N/A,TRUE,"재고현황";#N/A,#N/A,TRUE,"공지사항"}</definedName>
    <definedName name="__LG2" hidden="1">{#N/A,#N/A,TRUE,"매출진척-1";#N/A,#N/A,TRUE,"매출진척-2";#N/A,#N/A,TRUE,"제품실적";#N/A,#N/A,TRUE,"RAC";#N/A,#N/A,TRUE,"PAC ";#N/A,#N/A,TRUE,"재고현황";#N/A,#N/A,TRUE,"공지사항"}</definedName>
    <definedName name="__ll1" localSheetId="45"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ll1" localSheetId="42"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ll1"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ll2" localSheetId="45" hidden="1">{#N/A,#N/A,FALSE,"98소지이동TOTvs99.1 (2)";#N/A,#N/A,FALSE,"TOTAL";#N/A,#N/A,FALSE,"98소지이동TOTvs99.1(b) (2)"}</definedName>
    <definedName name="__ll2" localSheetId="42" hidden="1">{#N/A,#N/A,FALSE,"98소지이동TOTvs99.1 (2)";#N/A,#N/A,FALSE,"TOTAL";#N/A,#N/A,FALSE,"98소지이동TOTvs99.1(b) (2)"}</definedName>
    <definedName name="__ll2" hidden="1">{#N/A,#N/A,FALSE,"98소지이동TOTvs99.1 (2)";#N/A,#N/A,FALSE,"TOTAL";#N/A,#N/A,FALSE,"98소지이동TOTvs99.1(b) (2)"}</definedName>
    <definedName name="__ll3" localSheetId="45" hidden="1">{#N/A,#N/A,FALSE,"98소지이동TOTvs99.1 (2)";#N/A,#N/A,FALSE,"TOTAL";#N/A,#N/A,FALSE,"98소지이동TOTvs99.1(b) (2)"}</definedName>
    <definedName name="__ll3" localSheetId="42" hidden="1">{#N/A,#N/A,FALSE,"98소지이동TOTvs99.1 (2)";#N/A,#N/A,FALSE,"TOTAL";#N/A,#N/A,FALSE,"98소지이동TOTvs99.1(b) (2)"}</definedName>
    <definedName name="__ll3" hidden="1">{#N/A,#N/A,FALSE,"98소지이동TOTvs99.1 (2)";#N/A,#N/A,FALSE,"TOTAL";#N/A,#N/A,FALSE,"98소지이동TOTvs99.1(b) (2)"}</definedName>
    <definedName name="__ll4" localSheetId="45" hidden="1">{#N/A,#N/A,FALSE,"군산원가";#N/A,#N/A,FALSE,"팀별월별";#N/A,#N/A,FALSE,"타공정대체";#N/A,#N/A,FALSE,"기타경비";#N/A,#N/A,FALSE,"원료";#N/A,#N/A,FALSE,"연료"}</definedName>
    <definedName name="__ll4" localSheetId="42" hidden="1">{#N/A,#N/A,FALSE,"군산원가";#N/A,#N/A,FALSE,"팀별월별";#N/A,#N/A,FALSE,"타공정대체";#N/A,#N/A,FALSE,"기타경비";#N/A,#N/A,FALSE,"원료";#N/A,#N/A,FALSE,"연료"}</definedName>
    <definedName name="__ll4" hidden="1">{#N/A,#N/A,FALSE,"군산원가";#N/A,#N/A,FALSE,"팀별월별";#N/A,#N/A,FALSE,"타공정대체";#N/A,#N/A,FALSE,"기타경비";#N/A,#N/A,FALSE,"원료";#N/A,#N/A,FALSE,"연료"}</definedName>
    <definedName name="__ll5" localSheetId="45" hidden="1">{#N/A,#N/A,FALSE,"군산원가";#N/A,#N/A,FALSE,"팀별월별";#N/A,#N/A,FALSE,"타공정대체";#N/A,#N/A,FALSE,"기타경비";#N/A,#N/A,FALSE,"원료";#N/A,#N/A,FALSE,"연료"}</definedName>
    <definedName name="__ll5" localSheetId="42" hidden="1">{#N/A,#N/A,FALSE,"군산원가";#N/A,#N/A,FALSE,"팀별월별";#N/A,#N/A,FALSE,"타공정대체";#N/A,#N/A,FALSE,"기타경비";#N/A,#N/A,FALSE,"원료";#N/A,#N/A,FALSE,"연료"}</definedName>
    <definedName name="__ll5" hidden="1">{#N/A,#N/A,FALSE,"군산원가";#N/A,#N/A,FALSE,"팀별월별";#N/A,#N/A,FALSE,"타공정대체";#N/A,#N/A,FALSE,"기타경비";#N/A,#N/A,FALSE,"원료";#N/A,#N/A,FALSE,"연료"}</definedName>
    <definedName name="__ll6" localSheetId="45" hidden="1">{#N/A,#N/A,FALSE,"98소지이동TOTvs99.1 (2)";#N/A,#N/A,FALSE,"TOTAL";#N/A,#N/A,FALSE,"98소지이동TOTvs99.1(b) (2)"}</definedName>
    <definedName name="__ll6" localSheetId="42" hidden="1">{#N/A,#N/A,FALSE,"98소지이동TOTvs99.1 (2)";#N/A,#N/A,FALSE,"TOTAL";#N/A,#N/A,FALSE,"98소지이동TOTvs99.1(b) (2)"}</definedName>
    <definedName name="__ll6" hidden="1">{#N/A,#N/A,FALSE,"98소지이동TOTvs99.1 (2)";#N/A,#N/A,FALSE,"TOTAL";#N/A,#N/A,FALSE,"98소지이동TOTvs99.1(b) (2)"}</definedName>
    <definedName name="__ll7" localSheetId="45"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ll7" localSheetId="42"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ll7"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ll8" localSheetId="45"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ll8" localSheetId="42"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ll8"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ll9" localSheetId="45" hidden="1">{#N/A,#N/A,FALSE,"Yield";#N/A,#N/A,FALSE,"Loss1";#N/A,#N/A,FALSE,"Loss2";#N/A,#N/A,FALSE,"Hour-Labor(배분)";#N/A,#N/A,FALSE,"Capital Expenditure";#N/A,#N/A,FALSE,"Productivity"}</definedName>
    <definedName name="__ll9" localSheetId="42" hidden="1">{#N/A,#N/A,FALSE,"Yield";#N/A,#N/A,FALSE,"Loss1";#N/A,#N/A,FALSE,"Loss2";#N/A,#N/A,FALSE,"Hour-Labor(배분)";#N/A,#N/A,FALSE,"Capital Expenditure";#N/A,#N/A,FALSE,"Productivity"}</definedName>
    <definedName name="__ll9" hidden="1">{#N/A,#N/A,FALSE,"Yield";#N/A,#N/A,FALSE,"Loss1";#N/A,#N/A,FALSE,"Loss2";#N/A,#N/A,FALSE,"Hour-Labor(배분)";#N/A,#N/A,FALSE,"Capital Expenditure";#N/A,#N/A,FALSE,"Productivity"}</definedName>
    <definedName name="__ML6" localSheetId="45" hidden="1">{#N/A,#N/A,FALSE,"98소지이동TOTvs99.1 (2)";#N/A,#N/A,FALSE,"TOTAL";#N/A,#N/A,FALSE,"98소지이동TOTvs99.1(b) (2)"}</definedName>
    <definedName name="__ML6" localSheetId="42" hidden="1">{#N/A,#N/A,FALSE,"98소지이동TOTvs99.1 (2)";#N/A,#N/A,FALSE,"TOTAL";#N/A,#N/A,FALSE,"98소지이동TOTvs99.1(b) (2)"}</definedName>
    <definedName name="__ML6" hidden="1">{#N/A,#N/A,FALSE,"98소지이동TOTvs99.1 (2)";#N/A,#N/A,FALSE,"TOTAL";#N/A,#N/A,FALSE,"98소지이동TOTvs99.1(b) (2)"}</definedName>
    <definedName name="__mm1" localSheetId="45" hidden="1">{#N/A,#N/A,FALSE,"98소지이동TOTvs99.1 (2)";#N/A,#N/A,FALSE,"TOTAL";#N/A,#N/A,FALSE,"98소지이동TOTvs99.1(b) (2)"}</definedName>
    <definedName name="__mm1" localSheetId="42" hidden="1">{#N/A,#N/A,FALSE,"98소지이동TOTvs99.1 (2)";#N/A,#N/A,FALSE,"TOTAL";#N/A,#N/A,FALSE,"98소지이동TOTvs99.1(b) (2)"}</definedName>
    <definedName name="__mm1" hidden="1">{#N/A,#N/A,FALSE,"98소지이동TOTvs99.1 (2)";#N/A,#N/A,FALSE,"TOTAL";#N/A,#N/A,FALSE,"98소지이동TOTvs99.1(b) (2)"}</definedName>
    <definedName name="__mm2" localSheetId="45" hidden="1">{#N/A,#N/A,FALSE,"98소지이동TOTvs99.1 (2)";#N/A,#N/A,FALSE,"TOTAL";#N/A,#N/A,FALSE,"98소지이동TOTvs99.1(b) (2)"}</definedName>
    <definedName name="__mm2" localSheetId="42" hidden="1">{#N/A,#N/A,FALSE,"98소지이동TOTvs99.1 (2)";#N/A,#N/A,FALSE,"TOTAL";#N/A,#N/A,FALSE,"98소지이동TOTvs99.1(b) (2)"}</definedName>
    <definedName name="__mm2" hidden="1">{#N/A,#N/A,FALSE,"98소지이동TOTvs99.1 (2)";#N/A,#N/A,FALSE,"TOTAL";#N/A,#N/A,FALSE,"98소지이동TOTvs99.1(b) (2)"}</definedName>
    <definedName name="__mm3" localSheetId="45" hidden="1">{#N/A,#N/A,FALSE,"군산원가";#N/A,#N/A,FALSE,"팀별월별";#N/A,#N/A,FALSE,"타공정대체";#N/A,#N/A,FALSE,"기타경비";#N/A,#N/A,FALSE,"원료";#N/A,#N/A,FALSE,"연료"}</definedName>
    <definedName name="__mm3" localSheetId="42" hidden="1">{#N/A,#N/A,FALSE,"군산원가";#N/A,#N/A,FALSE,"팀별월별";#N/A,#N/A,FALSE,"타공정대체";#N/A,#N/A,FALSE,"기타경비";#N/A,#N/A,FALSE,"원료";#N/A,#N/A,FALSE,"연료"}</definedName>
    <definedName name="__mm3" hidden="1">{#N/A,#N/A,FALSE,"군산원가";#N/A,#N/A,FALSE,"팀별월별";#N/A,#N/A,FALSE,"타공정대체";#N/A,#N/A,FALSE,"기타경비";#N/A,#N/A,FALSE,"원료";#N/A,#N/A,FALSE,"연료"}</definedName>
    <definedName name="__mm4" localSheetId="45" hidden="1">{#N/A,#N/A,FALSE,"군산원가";#N/A,#N/A,FALSE,"팀별월별";#N/A,#N/A,FALSE,"타공정대체";#N/A,#N/A,FALSE,"기타경비";#N/A,#N/A,FALSE,"원료";#N/A,#N/A,FALSE,"연료"}</definedName>
    <definedName name="__mm4" localSheetId="42" hidden="1">{#N/A,#N/A,FALSE,"군산원가";#N/A,#N/A,FALSE,"팀별월별";#N/A,#N/A,FALSE,"타공정대체";#N/A,#N/A,FALSE,"기타경비";#N/A,#N/A,FALSE,"원료";#N/A,#N/A,FALSE,"연료"}</definedName>
    <definedName name="__mm4" hidden="1">{#N/A,#N/A,FALSE,"군산원가";#N/A,#N/A,FALSE,"팀별월별";#N/A,#N/A,FALSE,"타공정대체";#N/A,#N/A,FALSE,"기타경비";#N/A,#N/A,FALSE,"원료";#N/A,#N/A,FALSE,"연료"}</definedName>
    <definedName name="__mm5" localSheetId="45" hidden="1">{#N/A,#N/A,FALSE,"98소지이동TOTvs99.1 (2)";#N/A,#N/A,FALSE,"TOTAL";#N/A,#N/A,FALSE,"98소지이동TOTvs99.1(b) (2)"}</definedName>
    <definedName name="__mm5" localSheetId="42" hidden="1">{#N/A,#N/A,FALSE,"98소지이동TOTvs99.1 (2)";#N/A,#N/A,FALSE,"TOTAL";#N/A,#N/A,FALSE,"98소지이동TOTvs99.1(b) (2)"}</definedName>
    <definedName name="__mm5" hidden="1">{#N/A,#N/A,FALSE,"98소지이동TOTvs99.1 (2)";#N/A,#N/A,FALSE,"TOTAL";#N/A,#N/A,FALSE,"98소지이동TOTvs99.1(b) (2)"}</definedName>
    <definedName name="__mm6" localSheetId="45"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mm6" localSheetId="42"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mm6"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mm7" localSheetId="45"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mm7" localSheetId="42"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mm7"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mm8" localSheetId="45" hidden="1">{#N/A,#N/A,FALSE,"Yield";#N/A,#N/A,FALSE,"Loss1";#N/A,#N/A,FALSE,"Loss2";#N/A,#N/A,FALSE,"Hour-Labor(배분)";#N/A,#N/A,FALSE,"Capital Expenditure";#N/A,#N/A,FALSE,"Productivity"}</definedName>
    <definedName name="__mm8" localSheetId="42" hidden="1">{#N/A,#N/A,FALSE,"Yield";#N/A,#N/A,FALSE,"Loss1";#N/A,#N/A,FALSE,"Loss2";#N/A,#N/A,FALSE,"Hour-Labor(배분)";#N/A,#N/A,FALSE,"Capital Expenditure";#N/A,#N/A,FALSE,"Productivity"}</definedName>
    <definedName name="__mm8" hidden="1">{#N/A,#N/A,FALSE,"Yield";#N/A,#N/A,FALSE,"Loss1";#N/A,#N/A,FALSE,"Loss2";#N/A,#N/A,FALSE,"Hour-Labor(배분)";#N/A,#N/A,FALSE,"Capital Expenditure";#N/A,#N/A,FALSE,"Productivity"}</definedName>
    <definedName name="__mm9" localSheetId="45" hidden="1">{#N/A,#N/A,FALSE,"98소지이동TOTvs99.1 (2)";#N/A,#N/A,FALSE,"TOTAL";#N/A,#N/A,FALSE,"98소지이동TOTvs99.1(b) (2)"}</definedName>
    <definedName name="__mm9" localSheetId="42" hidden="1">{#N/A,#N/A,FALSE,"98소지이동TOTvs99.1 (2)";#N/A,#N/A,FALSE,"TOTAL";#N/A,#N/A,FALSE,"98소지이동TOTvs99.1(b) (2)"}</definedName>
    <definedName name="__mm9" hidden="1">{#N/A,#N/A,FALSE,"98소지이동TOTvs99.1 (2)";#N/A,#N/A,FALSE,"TOTAL";#N/A,#N/A,FALSE,"98소지이동TOTvs99.1(b) (2)"}</definedName>
    <definedName name="__PF1" localSheetId="45" hidden="1">{#N/A,#N/A,FALSE,"군산원가";#N/A,#N/A,FALSE,"팀별월별";#N/A,#N/A,FALSE,"타공정대체";#N/A,#N/A,FALSE,"기타경비";#N/A,#N/A,FALSE,"원료";#N/A,#N/A,FALSE,"연료"}</definedName>
    <definedName name="__PF1" localSheetId="42" hidden="1">{#N/A,#N/A,FALSE,"군산원가";#N/A,#N/A,FALSE,"팀별월별";#N/A,#N/A,FALSE,"타공정대체";#N/A,#N/A,FALSE,"기타경비";#N/A,#N/A,FALSE,"원료";#N/A,#N/A,FALSE,"연료"}</definedName>
    <definedName name="__PF1" hidden="1">{#N/A,#N/A,FALSE,"군산원가";#N/A,#N/A,FALSE,"팀별월별";#N/A,#N/A,FALSE,"타공정대체";#N/A,#N/A,FALSE,"기타경비";#N/A,#N/A,FALSE,"원료";#N/A,#N/A,FALSE,"연료"}</definedName>
    <definedName name="__RR1" localSheetId="45" hidden="1">{#N/A,#N/A,FALSE,"98소지이동TOTvs99.1 (2)";#N/A,#N/A,FALSE,"TOTAL";#N/A,#N/A,FALSE,"98소지이동TOTvs99.1(b) (2)"}</definedName>
    <definedName name="__RR1" localSheetId="42" hidden="1">{#N/A,#N/A,FALSE,"98소지이동TOTvs99.1 (2)";#N/A,#N/A,FALSE,"TOTAL";#N/A,#N/A,FALSE,"98소지이동TOTvs99.1(b) (2)"}</definedName>
    <definedName name="__RR1" hidden="1">{#N/A,#N/A,FALSE,"98소지이동TOTvs99.1 (2)";#N/A,#N/A,FALSE,"TOTAL";#N/A,#N/A,FALSE,"98소지이동TOTvs99.1(b) (2)"}</definedName>
    <definedName name="__RR2" localSheetId="45" hidden="1">{#N/A,#N/A,FALSE,"군산원가";#N/A,#N/A,FALSE,"팀별월별";#N/A,#N/A,FALSE,"타공정대체";#N/A,#N/A,FALSE,"기타경비";#N/A,#N/A,FALSE,"원료";#N/A,#N/A,FALSE,"연료"}</definedName>
    <definedName name="__RR2" localSheetId="42" hidden="1">{#N/A,#N/A,FALSE,"군산원가";#N/A,#N/A,FALSE,"팀별월별";#N/A,#N/A,FALSE,"타공정대체";#N/A,#N/A,FALSE,"기타경비";#N/A,#N/A,FALSE,"원료";#N/A,#N/A,FALSE,"연료"}</definedName>
    <definedName name="__RR2" hidden="1">{#N/A,#N/A,FALSE,"군산원가";#N/A,#N/A,FALSE,"팀별월별";#N/A,#N/A,FALSE,"타공정대체";#N/A,#N/A,FALSE,"기타경비";#N/A,#N/A,FALSE,"원료";#N/A,#N/A,FALSE,"연료"}</definedName>
    <definedName name="__RR3" localSheetId="45" hidden="1">{#N/A,#N/A,FALSE,"군산원가";#N/A,#N/A,FALSE,"팀별월별";#N/A,#N/A,FALSE,"타공정대체";#N/A,#N/A,FALSE,"기타경비";#N/A,#N/A,FALSE,"원료";#N/A,#N/A,FALSE,"연료"}</definedName>
    <definedName name="__RR3" localSheetId="42" hidden="1">{#N/A,#N/A,FALSE,"군산원가";#N/A,#N/A,FALSE,"팀별월별";#N/A,#N/A,FALSE,"타공정대체";#N/A,#N/A,FALSE,"기타경비";#N/A,#N/A,FALSE,"원료";#N/A,#N/A,FALSE,"연료"}</definedName>
    <definedName name="__RR3" hidden="1">{#N/A,#N/A,FALSE,"군산원가";#N/A,#N/A,FALSE,"팀별월별";#N/A,#N/A,FALSE,"타공정대체";#N/A,#N/A,FALSE,"기타경비";#N/A,#N/A,FALSE,"원료";#N/A,#N/A,FALSE,"연료"}</definedName>
    <definedName name="__RR4" localSheetId="45" hidden="1">{#N/A,#N/A,FALSE,"98소지이동TOTvs99.1 (2)";#N/A,#N/A,FALSE,"TOTAL";#N/A,#N/A,FALSE,"98소지이동TOTvs99.1(b) (2)"}</definedName>
    <definedName name="__RR4" localSheetId="42" hidden="1">{#N/A,#N/A,FALSE,"98소지이동TOTvs99.1 (2)";#N/A,#N/A,FALSE,"TOTAL";#N/A,#N/A,FALSE,"98소지이동TOTvs99.1(b) (2)"}</definedName>
    <definedName name="__RR4" hidden="1">{#N/A,#N/A,FALSE,"98소지이동TOTvs99.1 (2)";#N/A,#N/A,FALSE,"TOTAL";#N/A,#N/A,FALSE,"98소지이동TOTvs99.1(b) (2)"}</definedName>
    <definedName name="__RR5" localSheetId="45"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RR5" localSheetId="42"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RR5"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RR6" localSheetId="45"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RR6" localSheetId="42"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RR6"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RR7" localSheetId="45" hidden="1">{#N/A,#N/A,FALSE,"Yield";#N/A,#N/A,FALSE,"Loss1";#N/A,#N/A,FALSE,"Loss2";#N/A,#N/A,FALSE,"Hour-Labor(배분)";#N/A,#N/A,FALSE,"Capital Expenditure";#N/A,#N/A,FALSE,"Productivity"}</definedName>
    <definedName name="__RR7" localSheetId="42" hidden="1">{#N/A,#N/A,FALSE,"Yield";#N/A,#N/A,FALSE,"Loss1";#N/A,#N/A,FALSE,"Loss2";#N/A,#N/A,FALSE,"Hour-Labor(배분)";#N/A,#N/A,FALSE,"Capital Expenditure";#N/A,#N/A,FALSE,"Productivity"}</definedName>
    <definedName name="__RR7" hidden="1">{#N/A,#N/A,FALSE,"Yield";#N/A,#N/A,FALSE,"Loss1";#N/A,#N/A,FALSE,"Loss2";#N/A,#N/A,FALSE,"Hour-Labor(배분)";#N/A,#N/A,FALSE,"Capital Expenditure";#N/A,#N/A,FALSE,"Productivity"}</definedName>
    <definedName name="__RR8" localSheetId="45" hidden="1">{#N/A,#N/A,FALSE,"98소지이동TOTvs99.1 (2)";#N/A,#N/A,FALSE,"TOTAL";#N/A,#N/A,FALSE,"98소지이동TOTvs99.1(b) (2)"}</definedName>
    <definedName name="__RR8" localSheetId="42" hidden="1">{#N/A,#N/A,FALSE,"98소지이동TOTvs99.1 (2)";#N/A,#N/A,FALSE,"TOTAL";#N/A,#N/A,FALSE,"98소지이동TOTvs99.1(b) (2)"}</definedName>
    <definedName name="__RR8" hidden="1">{#N/A,#N/A,FALSE,"98소지이동TOTvs99.1 (2)";#N/A,#N/A,FALSE,"TOTAL";#N/A,#N/A,FALSE,"98소지이동TOTvs99.1(b) (2)"}</definedName>
    <definedName name="__s1" localSheetId="12" hidden="1">{#N/A,#N/A,FALSE,"UNIT";#N/A,#N/A,FALSE,"UNIT";#N/A,#N/A,FALSE,"계정"}</definedName>
    <definedName name="__s1" localSheetId="42" hidden="1">{#N/A,#N/A,FALSE,"UNIT";#N/A,#N/A,FALSE,"UNIT";#N/A,#N/A,FALSE,"계정"}</definedName>
    <definedName name="__s1" hidden="1">{#N/A,#N/A,FALSE,"UNIT";#N/A,#N/A,FALSE,"UNIT";#N/A,#N/A,FALSE,"계정"}</definedName>
    <definedName name="__s10" localSheetId="12" hidden="1">{#N/A,#N/A,FALSE,"UNIT";#N/A,#N/A,FALSE,"UNIT";#N/A,#N/A,FALSE,"계정"}</definedName>
    <definedName name="__s10" localSheetId="42" hidden="1">{#N/A,#N/A,FALSE,"UNIT";#N/A,#N/A,FALSE,"UNIT";#N/A,#N/A,FALSE,"계정"}</definedName>
    <definedName name="__s10" hidden="1">{#N/A,#N/A,FALSE,"UNIT";#N/A,#N/A,FALSE,"UNIT";#N/A,#N/A,FALSE,"계정"}</definedName>
    <definedName name="__s11" localSheetId="12" hidden="1">{#N/A,#N/A,FALSE,"UNIT";#N/A,#N/A,FALSE,"UNIT";#N/A,#N/A,FALSE,"계정"}</definedName>
    <definedName name="__s11" localSheetId="42" hidden="1">{#N/A,#N/A,FALSE,"UNIT";#N/A,#N/A,FALSE,"UNIT";#N/A,#N/A,FALSE,"계정"}</definedName>
    <definedName name="__s11" hidden="1">{#N/A,#N/A,FALSE,"UNIT";#N/A,#N/A,FALSE,"UNIT";#N/A,#N/A,FALSE,"계정"}</definedName>
    <definedName name="__s12" localSheetId="12" hidden="1">{#N/A,#N/A,FALSE,"UNIT";#N/A,#N/A,FALSE,"UNIT";#N/A,#N/A,FALSE,"계정"}</definedName>
    <definedName name="__s12" localSheetId="42" hidden="1">{#N/A,#N/A,FALSE,"UNIT";#N/A,#N/A,FALSE,"UNIT";#N/A,#N/A,FALSE,"계정"}</definedName>
    <definedName name="__s12" hidden="1">{#N/A,#N/A,FALSE,"UNIT";#N/A,#N/A,FALSE,"UNIT";#N/A,#N/A,FALSE,"계정"}</definedName>
    <definedName name="__s13" localSheetId="12" hidden="1">{#N/A,#N/A,FALSE,"UNIT";#N/A,#N/A,FALSE,"UNIT";#N/A,#N/A,FALSE,"계정"}</definedName>
    <definedName name="__s13" localSheetId="42" hidden="1">{#N/A,#N/A,FALSE,"UNIT";#N/A,#N/A,FALSE,"UNIT";#N/A,#N/A,FALSE,"계정"}</definedName>
    <definedName name="__s13" hidden="1">{#N/A,#N/A,FALSE,"UNIT";#N/A,#N/A,FALSE,"UNIT";#N/A,#N/A,FALSE,"계정"}</definedName>
    <definedName name="__s14" localSheetId="12" hidden="1">{#N/A,#N/A,FALSE,"UNIT";#N/A,#N/A,FALSE,"UNIT";#N/A,#N/A,FALSE,"계정"}</definedName>
    <definedName name="__s14" localSheetId="42" hidden="1">{#N/A,#N/A,FALSE,"UNIT";#N/A,#N/A,FALSE,"UNIT";#N/A,#N/A,FALSE,"계정"}</definedName>
    <definedName name="__s14" hidden="1">{#N/A,#N/A,FALSE,"UNIT";#N/A,#N/A,FALSE,"UNIT";#N/A,#N/A,FALSE,"계정"}</definedName>
    <definedName name="__s16" localSheetId="12" hidden="1">{#N/A,#N/A,FALSE,"UNIT";#N/A,#N/A,FALSE,"UNIT";#N/A,#N/A,FALSE,"계정"}</definedName>
    <definedName name="__s16" localSheetId="42" hidden="1">{#N/A,#N/A,FALSE,"UNIT";#N/A,#N/A,FALSE,"UNIT";#N/A,#N/A,FALSE,"계정"}</definedName>
    <definedName name="__s16" hidden="1">{#N/A,#N/A,FALSE,"UNIT";#N/A,#N/A,FALSE,"UNIT";#N/A,#N/A,FALSE,"계정"}</definedName>
    <definedName name="__s17" localSheetId="12" hidden="1">{#N/A,#N/A,FALSE,"UNIT";#N/A,#N/A,FALSE,"UNIT";#N/A,#N/A,FALSE,"계정"}</definedName>
    <definedName name="__s17" localSheetId="42" hidden="1">{#N/A,#N/A,FALSE,"UNIT";#N/A,#N/A,FALSE,"UNIT";#N/A,#N/A,FALSE,"계정"}</definedName>
    <definedName name="__s17" hidden="1">{#N/A,#N/A,FALSE,"UNIT";#N/A,#N/A,FALSE,"UNIT";#N/A,#N/A,FALSE,"계정"}</definedName>
    <definedName name="__s2" localSheetId="12" hidden="1">{#N/A,#N/A,FALSE,"UNIT";#N/A,#N/A,FALSE,"UNIT";#N/A,#N/A,FALSE,"계정"}</definedName>
    <definedName name="__s2" localSheetId="42" hidden="1">{#N/A,#N/A,FALSE,"UNIT";#N/A,#N/A,FALSE,"UNIT";#N/A,#N/A,FALSE,"계정"}</definedName>
    <definedName name="__s2" hidden="1">{#N/A,#N/A,FALSE,"UNIT";#N/A,#N/A,FALSE,"UNIT";#N/A,#N/A,FALSE,"계정"}</definedName>
    <definedName name="__s3" localSheetId="12" hidden="1">{#N/A,#N/A,FALSE,"UNIT";#N/A,#N/A,FALSE,"UNIT";#N/A,#N/A,FALSE,"계정"}</definedName>
    <definedName name="__s3" localSheetId="42" hidden="1">{#N/A,#N/A,FALSE,"UNIT";#N/A,#N/A,FALSE,"UNIT";#N/A,#N/A,FALSE,"계정"}</definedName>
    <definedName name="__s3" hidden="1">{#N/A,#N/A,FALSE,"UNIT";#N/A,#N/A,FALSE,"UNIT";#N/A,#N/A,FALSE,"계정"}</definedName>
    <definedName name="__s4" localSheetId="12" hidden="1">{#N/A,#N/A,FALSE,"UNIT";#N/A,#N/A,FALSE,"UNIT";#N/A,#N/A,FALSE,"계정"}</definedName>
    <definedName name="__s4" localSheetId="42" hidden="1">{#N/A,#N/A,FALSE,"UNIT";#N/A,#N/A,FALSE,"UNIT";#N/A,#N/A,FALSE,"계정"}</definedName>
    <definedName name="__s4" hidden="1">{#N/A,#N/A,FALSE,"UNIT";#N/A,#N/A,FALSE,"UNIT";#N/A,#N/A,FALSE,"계정"}</definedName>
    <definedName name="__s5" localSheetId="12" hidden="1">{#N/A,#N/A,FALSE,"UNIT";#N/A,#N/A,FALSE,"UNIT";#N/A,#N/A,FALSE,"계정"}</definedName>
    <definedName name="__s5" localSheetId="42" hidden="1">{#N/A,#N/A,FALSE,"UNIT";#N/A,#N/A,FALSE,"UNIT";#N/A,#N/A,FALSE,"계정"}</definedName>
    <definedName name="__s5" hidden="1">{#N/A,#N/A,FALSE,"UNIT";#N/A,#N/A,FALSE,"UNIT";#N/A,#N/A,FALSE,"계정"}</definedName>
    <definedName name="__s6" localSheetId="12" hidden="1">{#N/A,#N/A,FALSE,"UNIT";#N/A,#N/A,FALSE,"UNIT";#N/A,#N/A,FALSE,"계정"}</definedName>
    <definedName name="__s6" localSheetId="42" hidden="1">{#N/A,#N/A,FALSE,"UNIT";#N/A,#N/A,FALSE,"UNIT";#N/A,#N/A,FALSE,"계정"}</definedName>
    <definedName name="__s6" hidden="1">{#N/A,#N/A,FALSE,"UNIT";#N/A,#N/A,FALSE,"UNIT";#N/A,#N/A,FALSE,"계정"}</definedName>
    <definedName name="__s9" localSheetId="12" hidden="1">{#N/A,#N/A,FALSE,"UNIT";#N/A,#N/A,FALSE,"UNIT";#N/A,#N/A,FALSE,"계정"}</definedName>
    <definedName name="__s9" localSheetId="42" hidden="1">{#N/A,#N/A,FALSE,"UNIT";#N/A,#N/A,FALSE,"UNIT";#N/A,#N/A,FALSE,"계정"}</definedName>
    <definedName name="__s9" hidden="1">{#N/A,#N/A,FALSE,"UNIT";#N/A,#N/A,FALSE,"UNIT";#N/A,#N/A,FALSE,"계정"}</definedName>
    <definedName name="__SS1" localSheetId="45" hidden="1">{#N/A,#N/A,FALSE,"98소지이동TOTvs99.1 (2)";#N/A,#N/A,FALSE,"TOTAL";#N/A,#N/A,FALSE,"98소지이동TOTvs99.1(b) (2)"}</definedName>
    <definedName name="__SS1" localSheetId="42" hidden="1">{#N/A,#N/A,FALSE,"98소지이동TOTvs99.1 (2)";#N/A,#N/A,FALSE,"TOTAL";#N/A,#N/A,FALSE,"98소지이동TOTvs99.1(b) (2)"}</definedName>
    <definedName name="__SS1" hidden="1">{#N/A,#N/A,FALSE,"98소지이동TOTvs99.1 (2)";#N/A,#N/A,FALSE,"TOTAL";#N/A,#N/A,FALSE,"98소지이동TOTvs99.1(b) (2)"}</definedName>
    <definedName name="__SS10" localSheetId="45" hidden="1">{#N/A,#N/A,FALSE,"군산원가";#N/A,#N/A,FALSE,"팀별월별";#N/A,#N/A,FALSE,"타공정대체";#N/A,#N/A,FALSE,"기타경비";#N/A,#N/A,FALSE,"원료";#N/A,#N/A,FALSE,"연료"}</definedName>
    <definedName name="__SS10" localSheetId="42" hidden="1">{#N/A,#N/A,FALSE,"군산원가";#N/A,#N/A,FALSE,"팀별월별";#N/A,#N/A,FALSE,"타공정대체";#N/A,#N/A,FALSE,"기타경비";#N/A,#N/A,FALSE,"원료";#N/A,#N/A,FALSE,"연료"}</definedName>
    <definedName name="__SS10" hidden="1">{#N/A,#N/A,FALSE,"군산원가";#N/A,#N/A,FALSE,"팀별월별";#N/A,#N/A,FALSE,"타공정대체";#N/A,#N/A,FALSE,"기타경비";#N/A,#N/A,FALSE,"원료";#N/A,#N/A,FALSE,"연료"}</definedName>
    <definedName name="__SS11" localSheetId="45" hidden="1">{#N/A,#N/A,FALSE,"98소지이동TOTvs99.1 (2)";#N/A,#N/A,FALSE,"TOTAL";#N/A,#N/A,FALSE,"98소지이동TOTvs99.1(b) (2)"}</definedName>
    <definedName name="__SS11" localSheetId="42" hidden="1">{#N/A,#N/A,FALSE,"98소지이동TOTvs99.1 (2)";#N/A,#N/A,FALSE,"TOTAL";#N/A,#N/A,FALSE,"98소지이동TOTvs99.1(b) (2)"}</definedName>
    <definedName name="__SS11" hidden="1">{#N/A,#N/A,FALSE,"98소지이동TOTvs99.1 (2)";#N/A,#N/A,FALSE,"TOTAL";#N/A,#N/A,FALSE,"98소지이동TOTvs99.1(b) (2)"}</definedName>
    <definedName name="__SS12" localSheetId="45" hidden="1">{#N/A,#N/A,FALSE,"98소지이동TOTvs99.1 (2)";#N/A,#N/A,FALSE,"TOTAL";#N/A,#N/A,FALSE,"98소지이동TOTvs99.1(b) (2)"}</definedName>
    <definedName name="__SS12" localSheetId="42" hidden="1">{#N/A,#N/A,FALSE,"98소지이동TOTvs99.1 (2)";#N/A,#N/A,FALSE,"TOTAL";#N/A,#N/A,FALSE,"98소지이동TOTvs99.1(b) (2)"}</definedName>
    <definedName name="__SS12" hidden="1">{#N/A,#N/A,FALSE,"98소지이동TOTvs99.1 (2)";#N/A,#N/A,FALSE,"TOTAL";#N/A,#N/A,FALSE,"98소지이동TOTvs99.1(b) (2)"}</definedName>
    <definedName name="__SS13" localSheetId="45" hidden="1">{#N/A,#N/A,FALSE,"98소지이동TOTvs99.1 (2)";#N/A,#N/A,FALSE,"TOTAL";#N/A,#N/A,FALSE,"98소지이동TOTvs99.1(b) (2)"}</definedName>
    <definedName name="__SS13" localSheetId="42" hidden="1">{#N/A,#N/A,FALSE,"98소지이동TOTvs99.1 (2)";#N/A,#N/A,FALSE,"TOTAL";#N/A,#N/A,FALSE,"98소지이동TOTvs99.1(b) (2)"}</definedName>
    <definedName name="__SS13" hidden="1">{#N/A,#N/A,FALSE,"98소지이동TOTvs99.1 (2)";#N/A,#N/A,FALSE,"TOTAL";#N/A,#N/A,FALSE,"98소지이동TOTvs99.1(b) (2)"}</definedName>
    <definedName name="__SS14" localSheetId="45" hidden="1">{#N/A,#N/A,FALSE,"98소지이동TOTvs99.1 (2)";#N/A,#N/A,FALSE,"TOTAL";#N/A,#N/A,FALSE,"98소지이동TOTvs99.1(b) (2)"}</definedName>
    <definedName name="__SS14" localSheetId="42" hidden="1">{#N/A,#N/A,FALSE,"98소지이동TOTvs99.1 (2)";#N/A,#N/A,FALSE,"TOTAL";#N/A,#N/A,FALSE,"98소지이동TOTvs99.1(b) (2)"}</definedName>
    <definedName name="__SS14" hidden="1">{#N/A,#N/A,FALSE,"98소지이동TOTvs99.1 (2)";#N/A,#N/A,FALSE,"TOTAL";#N/A,#N/A,FALSE,"98소지이동TOTvs99.1(b) (2)"}</definedName>
    <definedName name="__SS15" localSheetId="45" hidden="1">{#N/A,#N/A,FALSE,"군산원가";#N/A,#N/A,FALSE,"팀별월별";#N/A,#N/A,FALSE,"타공정대체";#N/A,#N/A,FALSE,"기타경비";#N/A,#N/A,FALSE,"원료";#N/A,#N/A,FALSE,"연료"}</definedName>
    <definedName name="__SS15" localSheetId="42" hidden="1">{#N/A,#N/A,FALSE,"군산원가";#N/A,#N/A,FALSE,"팀별월별";#N/A,#N/A,FALSE,"타공정대체";#N/A,#N/A,FALSE,"기타경비";#N/A,#N/A,FALSE,"원료";#N/A,#N/A,FALSE,"연료"}</definedName>
    <definedName name="__SS15" hidden="1">{#N/A,#N/A,FALSE,"군산원가";#N/A,#N/A,FALSE,"팀별월별";#N/A,#N/A,FALSE,"타공정대체";#N/A,#N/A,FALSE,"기타경비";#N/A,#N/A,FALSE,"원료";#N/A,#N/A,FALSE,"연료"}</definedName>
    <definedName name="__SS16" localSheetId="45" hidden="1">{#N/A,#N/A,FALSE,"군산원가";#N/A,#N/A,FALSE,"팀별월별";#N/A,#N/A,FALSE,"타공정대체";#N/A,#N/A,FALSE,"기타경비";#N/A,#N/A,FALSE,"원료";#N/A,#N/A,FALSE,"연료"}</definedName>
    <definedName name="__SS16" localSheetId="42" hidden="1">{#N/A,#N/A,FALSE,"군산원가";#N/A,#N/A,FALSE,"팀별월별";#N/A,#N/A,FALSE,"타공정대체";#N/A,#N/A,FALSE,"기타경비";#N/A,#N/A,FALSE,"원료";#N/A,#N/A,FALSE,"연료"}</definedName>
    <definedName name="__SS16" hidden="1">{#N/A,#N/A,FALSE,"군산원가";#N/A,#N/A,FALSE,"팀별월별";#N/A,#N/A,FALSE,"타공정대체";#N/A,#N/A,FALSE,"기타경비";#N/A,#N/A,FALSE,"원료";#N/A,#N/A,FALSE,"연료"}</definedName>
    <definedName name="__SS17" localSheetId="45" hidden="1">{#N/A,#N/A,FALSE,"군산원가";#N/A,#N/A,FALSE,"팀별월별";#N/A,#N/A,FALSE,"타공정대체";#N/A,#N/A,FALSE,"기타경비";#N/A,#N/A,FALSE,"원료";#N/A,#N/A,FALSE,"연료"}</definedName>
    <definedName name="__SS17" localSheetId="42" hidden="1">{#N/A,#N/A,FALSE,"군산원가";#N/A,#N/A,FALSE,"팀별월별";#N/A,#N/A,FALSE,"타공정대체";#N/A,#N/A,FALSE,"기타경비";#N/A,#N/A,FALSE,"원료";#N/A,#N/A,FALSE,"연료"}</definedName>
    <definedName name="__SS17" hidden="1">{#N/A,#N/A,FALSE,"군산원가";#N/A,#N/A,FALSE,"팀별월별";#N/A,#N/A,FALSE,"타공정대체";#N/A,#N/A,FALSE,"기타경비";#N/A,#N/A,FALSE,"원료";#N/A,#N/A,FALSE,"연료"}</definedName>
    <definedName name="__SS18" localSheetId="45" hidden="1">{#N/A,#N/A,FALSE,"군산원가";#N/A,#N/A,FALSE,"팀별월별";#N/A,#N/A,FALSE,"타공정대체";#N/A,#N/A,FALSE,"기타경비";#N/A,#N/A,FALSE,"원료";#N/A,#N/A,FALSE,"연료"}</definedName>
    <definedName name="__SS18" localSheetId="42" hidden="1">{#N/A,#N/A,FALSE,"군산원가";#N/A,#N/A,FALSE,"팀별월별";#N/A,#N/A,FALSE,"타공정대체";#N/A,#N/A,FALSE,"기타경비";#N/A,#N/A,FALSE,"원료";#N/A,#N/A,FALSE,"연료"}</definedName>
    <definedName name="__SS18" hidden="1">{#N/A,#N/A,FALSE,"군산원가";#N/A,#N/A,FALSE,"팀별월별";#N/A,#N/A,FALSE,"타공정대체";#N/A,#N/A,FALSE,"기타경비";#N/A,#N/A,FALSE,"원료";#N/A,#N/A,FALSE,"연료"}</definedName>
    <definedName name="__SS19" localSheetId="45" hidden="1">{#N/A,#N/A,FALSE,"Yield";#N/A,#N/A,FALSE,"Loss1";#N/A,#N/A,FALSE,"Loss2";#N/A,#N/A,FALSE,"Hour-Labor(배분)";#N/A,#N/A,FALSE,"Capital Expenditure";#N/A,#N/A,FALSE,"Productivity"}</definedName>
    <definedName name="__SS19" localSheetId="42" hidden="1">{#N/A,#N/A,FALSE,"Yield";#N/A,#N/A,FALSE,"Loss1";#N/A,#N/A,FALSE,"Loss2";#N/A,#N/A,FALSE,"Hour-Labor(배분)";#N/A,#N/A,FALSE,"Capital Expenditure";#N/A,#N/A,FALSE,"Productivity"}</definedName>
    <definedName name="__SS19" hidden="1">{#N/A,#N/A,FALSE,"Yield";#N/A,#N/A,FALSE,"Loss1";#N/A,#N/A,FALSE,"Loss2";#N/A,#N/A,FALSE,"Hour-Labor(배분)";#N/A,#N/A,FALSE,"Capital Expenditure";#N/A,#N/A,FALSE,"Productivity"}</definedName>
    <definedName name="__SS2" localSheetId="45" hidden="1">{#N/A,#N/A,FALSE,"98소지이동TOTvs99.1 (2)";#N/A,#N/A,FALSE,"TOTAL";#N/A,#N/A,FALSE,"98소지이동TOTvs99.1(b) (2)"}</definedName>
    <definedName name="__SS2" localSheetId="42" hidden="1">{#N/A,#N/A,FALSE,"98소지이동TOTvs99.1 (2)";#N/A,#N/A,FALSE,"TOTAL";#N/A,#N/A,FALSE,"98소지이동TOTvs99.1(b) (2)"}</definedName>
    <definedName name="__SS2" hidden="1">{#N/A,#N/A,FALSE,"98소지이동TOTvs99.1 (2)";#N/A,#N/A,FALSE,"TOTAL";#N/A,#N/A,FALSE,"98소지이동TOTvs99.1(b) (2)"}</definedName>
    <definedName name="__SS20" localSheetId="45" hidden="1">{#N/A,#N/A,FALSE,"98소지이동TOTvs99.1 (2)";#N/A,#N/A,FALSE,"TOTAL";#N/A,#N/A,FALSE,"98소지이동TOTvs99.1(b) (2)"}</definedName>
    <definedName name="__SS20" localSheetId="42" hidden="1">{#N/A,#N/A,FALSE,"98소지이동TOTvs99.1 (2)";#N/A,#N/A,FALSE,"TOTAL";#N/A,#N/A,FALSE,"98소지이동TOTvs99.1(b) (2)"}</definedName>
    <definedName name="__SS20" hidden="1">{#N/A,#N/A,FALSE,"98소지이동TOTvs99.1 (2)";#N/A,#N/A,FALSE,"TOTAL";#N/A,#N/A,FALSE,"98소지이동TOTvs99.1(b) (2)"}</definedName>
    <definedName name="__SS21" localSheetId="45" hidden="1">{#N/A,#N/A,FALSE,"98소지이동TOTvs99.1 (2)";#N/A,#N/A,FALSE,"TOTAL";#N/A,#N/A,FALSE,"98소지이동TOTvs99.1(b) (2)"}</definedName>
    <definedName name="__SS21" localSheetId="42" hidden="1">{#N/A,#N/A,FALSE,"98소지이동TOTvs99.1 (2)";#N/A,#N/A,FALSE,"TOTAL";#N/A,#N/A,FALSE,"98소지이동TOTvs99.1(b) (2)"}</definedName>
    <definedName name="__SS21" hidden="1">{#N/A,#N/A,FALSE,"98소지이동TOTvs99.1 (2)";#N/A,#N/A,FALSE,"TOTAL";#N/A,#N/A,FALSE,"98소지이동TOTvs99.1(b) (2)"}</definedName>
    <definedName name="__SS22" localSheetId="45" hidden="1">{#N/A,#N/A,FALSE,"Yield";#N/A,#N/A,FALSE,"Loss1";#N/A,#N/A,FALSE,"Loss2";#N/A,#N/A,FALSE,"Hour-Labor(배분)";#N/A,#N/A,FALSE,"Capital Expenditure";#N/A,#N/A,FALSE,"Productivity"}</definedName>
    <definedName name="__SS22" localSheetId="42" hidden="1">{#N/A,#N/A,FALSE,"Yield";#N/A,#N/A,FALSE,"Loss1";#N/A,#N/A,FALSE,"Loss2";#N/A,#N/A,FALSE,"Hour-Labor(배분)";#N/A,#N/A,FALSE,"Capital Expenditure";#N/A,#N/A,FALSE,"Productivity"}</definedName>
    <definedName name="__SS22" hidden="1">{#N/A,#N/A,FALSE,"Yield";#N/A,#N/A,FALSE,"Loss1";#N/A,#N/A,FALSE,"Loss2";#N/A,#N/A,FALSE,"Hour-Labor(배분)";#N/A,#N/A,FALSE,"Capital Expenditure";#N/A,#N/A,FALSE,"Productivity"}</definedName>
    <definedName name="__SS23" localSheetId="45" hidden="1">{#N/A,#N/A,FALSE,"Yield";#N/A,#N/A,FALSE,"Loss1";#N/A,#N/A,FALSE,"Loss2";#N/A,#N/A,FALSE,"Hour-Labor(배분)";#N/A,#N/A,FALSE,"Capital Expenditure";#N/A,#N/A,FALSE,"Productivity"}</definedName>
    <definedName name="__SS23" localSheetId="42" hidden="1">{#N/A,#N/A,FALSE,"Yield";#N/A,#N/A,FALSE,"Loss1";#N/A,#N/A,FALSE,"Loss2";#N/A,#N/A,FALSE,"Hour-Labor(배분)";#N/A,#N/A,FALSE,"Capital Expenditure";#N/A,#N/A,FALSE,"Productivity"}</definedName>
    <definedName name="__SS23" hidden="1">{#N/A,#N/A,FALSE,"Yield";#N/A,#N/A,FALSE,"Loss1";#N/A,#N/A,FALSE,"Loss2";#N/A,#N/A,FALSE,"Hour-Labor(배분)";#N/A,#N/A,FALSE,"Capital Expenditure";#N/A,#N/A,FALSE,"Productivity"}</definedName>
    <definedName name="__SS24" localSheetId="45" hidden="1">{#N/A,#N/A,FALSE,"Yield";#N/A,#N/A,FALSE,"Loss1";#N/A,#N/A,FALSE,"Loss2";#N/A,#N/A,FALSE,"Hour-Labor(배분)";#N/A,#N/A,FALSE,"Capital Expenditure";#N/A,#N/A,FALSE,"Productivity"}</definedName>
    <definedName name="__SS24" localSheetId="42" hidden="1">{#N/A,#N/A,FALSE,"Yield";#N/A,#N/A,FALSE,"Loss1";#N/A,#N/A,FALSE,"Loss2";#N/A,#N/A,FALSE,"Hour-Labor(배분)";#N/A,#N/A,FALSE,"Capital Expenditure";#N/A,#N/A,FALSE,"Productivity"}</definedName>
    <definedName name="__SS24" hidden="1">{#N/A,#N/A,FALSE,"Yield";#N/A,#N/A,FALSE,"Loss1";#N/A,#N/A,FALSE,"Loss2";#N/A,#N/A,FALSE,"Hour-Labor(배분)";#N/A,#N/A,FALSE,"Capital Expenditure";#N/A,#N/A,FALSE,"Productivity"}</definedName>
    <definedName name="__SS25" localSheetId="45" hidden="1">{#N/A,#N/A,FALSE,"98소지이동TOTvs99.1 (2)";#N/A,#N/A,FALSE,"TOTAL";#N/A,#N/A,FALSE,"98소지이동TOTvs99.1(b) (2)"}</definedName>
    <definedName name="__SS25" localSheetId="42" hidden="1">{#N/A,#N/A,FALSE,"98소지이동TOTvs99.1 (2)";#N/A,#N/A,FALSE,"TOTAL";#N/A,#N/A,FALSE,"98소지이동TOTvs99.1(b) (2)"}</definedName>
    <definedName name="__SS25" hidden="1">{#N/A,#N/A,FALSE,"98소지이동TOTvs99.1 (2)";#N/A,#N/A,FALSE,"TOTAL";#N/A,#N/A,FALSE,"98소지이동TOTvs99.1(b) (2)"}</definedName>
    <definedName name="__SS26" localSheetId="45"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SS26" localSheetId="42"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SS26"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SS27" localSheetId="45" hidden="1">{#N/A,#N/A,FALSE,"Yield";#N/A,#N/A,FALSE,"Loss1";#N/A,#N/A,FALSE,"Loss2";#N/A,#N/A,FALSE,"Hour-Labor(배분)";#N/A,#N/A,FALSE,"Capital Expenditure";#N/A,#N/A,FALSE,"Productivity"}</definedName>
    <definedName name="__SS27" localSheetId="42" hidden="1">{#N/A,#N/A,FALSE,"Yield";#N/A,#N/A,FALSE,"Loss1";#N/A,#N/A,FALSE,"Loss2";#N/A,#N/A,FALSE,"Hour-Labor(배분)";#N/A,#N/A,FALSE,"Capital Expenditure";#N/A,#N/A,FALSE,"Productivity"}</definedName>
    <definedName name="__SS27" hidden="1">{#N/A,#N/A,FALSE,"Yield";#N/A,#N/A,FALSE,"Loss1";#N/A,#N/A,FALSE,"Loss2";#N/A,#N/A,FALSE,"Hour-Labor(배분)";#N/A,#N/A,FALSE,"Capital Expenditure";#N/A,#N/A,FALSE,"Productivity"}</definedName>
    <definedName name="__SS28" localSheetId="45" hidden="1">{#N/A,#N/A,FALSE,"군산원가";#N/A,#N/A,FALSE,"팀별월별";#N/A,#N/A,FALSE,"타공정대체";#N/A,#N/A,FALSE,"기타경비";#N/A,#N/A,FALSE,"원료";#N/A,#N/A,FALSE,"연료"}</definedName>
    <definedName name="__SS28" localSheetId="42" hidden="1">{#N/A,#N/A,FALSE,"군산원가";#N/A,#N/A,FALSE,"팀별월별";#N/A,#N/A,FALSE,"타공정대체";#N/A,#N/A,FALSE,"기타경비";#N/A,#N/A,FALSE,"원료";#N/A,#N/A,FALSE,"연료"}</definedName>
    <definedName name="__SS28" hidden="1">{#N/A,#N/A,FALSE,"군산원가";#N/A,#N/A,FALSE,"팀별월별";#N/A,#N/A,FALSE,"타공정대체";#N/A,#N/A,FALSE,"기타경비";#N/A,#N/A,FALSE,"원료";#N/A,#N/A,FALSE,"연료"}</definedName>
    <definedName name="__SS29" localSheetId="45"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SS29" localSheetId="42"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SS29"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SS3" localSheetId="45" hidden="1">{#N/A,#N/A,FALSE,"군산원가";#N/A,#N/A,FALSE,"팀별월별";#N/A,#N/A,FALSE,"타공정대체";#N/A,#N/A,FALSE,"기타경비";#N/A,#N/A,FALSE,"원료";#N/A,#N/A,FALSE,"연료"}</definedName>
    <definedName name="__SS3" localSheetId="42" hidden="1">{#N/A,#N/A,FALSE,"군산원가";#N/A,#N/A,FALSE,"팀별월별";#N/A,#N/A,FALSE,"타공정대체";#N/A,#N/A,FALSE,"기타경비";#N/A,#N/A,FALSE,"원료";#N/A,#N/A,FALSE,"연료"}</definedName>
    <definedName name="__SS3" hidden="1">{#N/A,#N/A,FALSE,"군산원가";#N/A,#N/A,FALSE,"팀별월별";#N/A,#N/A,FALSE,"타공정대체";#N/A,#N/A,FALSE,"기타경비";#N/A,#N/A,FALSE,"원료";#N/A,#N/A,FALSE,"연료"}</definedName>
    <definedName name="__SS30" localSheetId="45"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SS30" localSheetId="42"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SS30"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SS31" localSheetId="45" hidden="1">{#N/A,#N/A,FALSE,"Yield";#N/A,#N/A,FALSE,"Loss1";#N/A,#N/A,FALSE,"Loss2";#N/A,#N/A,FALSE,"Hour-Labor(배분)";#N/A,#N/A,FALSE,"Capital Expenditure";#N/A,#N/A,FALSE,"Productivity"}</definedName>
    <definedName name="__SS31" localSheetId="42" hidden="1">{#N/A,#N/A,FALSE,"Yield";#N/A,#N/A,FALSE,"Loss1";#N/A,#N/A,FALSE,"Loss2";#N/A,#N/A,FALSE,"Hour-Labor(배분)";#N/A,#N/A,FALSE,"Capital Expenditure";#N/A,#N/A,FALSE,"Productivity"}</definedName>
    <definedName name="__SS31" hidden="1">{#N/A,#N/A,FALSE,"Yield";#N/A,#N/A,FALSE,"Loss1";#N/A,#N/A,FALSE,"Loss2";#N/A,#N/A,FALSE,"Hour-Labor(배분)";#N/A,#N/A,FALSE,"Capital Expenditure";#N/A,#N/A,FALSE,"Productivity"}</definedName>
    <definedName name="__SS32" localSheetId="45" hidden="1">{#N/A,#N/A,FALSE,"98소지이동TOTvs99.1 (2)";#N/A,#N/A,FALSE,"TOTAL";#N/A,#N/A,FALSE,"98소지이동TOTvs99.1(b) (2)"}</definedName>
    <definedName name="__SS32" localSheetId="42" hidden="1">{#N/A,#N/A,FALSE,"98소지이동TOTvs99.1 (2)";#N/A,#N/A,FALSE,"TOTAL";#N/A,#N/A,FALSE,"98소지이동TOTvs99.1(b) (2)"}</definedName>
    <definedName name="__SS32" hidden="1">{#N/A,#N/A,FALSE,"98소지이동TOTvs99.1 (2)";#N/A,#N/A,FALSE,"TOTAL";#N/A,#N/A,FALSE,"98소지이동TOTvs99.1(b) (2)"}</definedName>
    <definedName name="__SS4" localSheetId="45" hidden="1">{#N/A,#N/A,FALSE,"군산원가";#N/A,#N/A,FALSE,"팀별월별";#N/A,#N/A,FALSE,"타공정대체";#N/A,#N/A,FALSE,"기타경비";#N/A,#N/A,FALSE,"원료";#N/A,#N/A,FALSE,"연료"}</definedName>
    <definedName name="__SS4" localSheetId="42" hidden="1">{#N/A,#N/A,FALSE,"군산원가";#N/A,#N/A,FALSE,"팀별월별";#N/A,#N/A,FALSE,"타공정대체";#N/A,#N/A,FALSE,"기타경비";#N/A,#N/A,FALSE,"원료";#N/A,#N/A,FALSE,"연료"}</definedName>
    <definedName name="__SS4" hidden="1">{#N/A,#N/A,FALSE,"군산원가";#N/A,#N/A,FALSE,"팀별월별";#N/A,#N/A,FALSE,"타공정대체";#N/A,#N/A,FALSE,"기타경비";#N/A,#N/A,FALSE,"원료";#N/A,#N/A,FALSE,"연료"}</definedName>
    <definedName name="__SS5" localSheetId="45" hidden="1">{#N/A,#N/A,FALSE,"98소지이동TOTvs99.1 (2)";#N/A,#N/A,FALSE,"TOTAL";#N/A,#N/A,FALSE,"98소지이동TOTvs99.1(b) (2)"}</definedName>
    <definedName name="__SS5" localSheetId="42" hidden="1">{#N/A,#N/A,FALSE,"98소지이동TOTvs99.1 (2)";#N/A,#N/A,FALSE,"TOTAL";#N/A,#N/A,FALSE,"98소지이동TOTvs99.1(b) (2)"}</definedName>
    <definedName name="__SS5" hidden="1">{#N/A,#N/A,FALSE,"98소지이동TOTvs99.1 (2)";#N/A,#N/A,FALSE,"TOTAL";#N/A,#N/A,FALSE,"98소지이동TOTvs99.1(b) (2)"}</definedName>
    <definedName name="__SS6" localSheetId="45"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SS6" localSheetId="42"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SS6"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SS7" localSheetId="45"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SS7" localSheetId="42"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SS7"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SS8" localSheetId="45" hidden="1">{#N/A,#N/A,FALSE,"98소지이동TOTvs99.1 (2)";#N/A,#N/A,FALSE,"TOTAL";#N/A,#N/A,FALSE,"98소지이동TOTvs99.1(b) (2)"}</definedName>
    <definedName name="__SS8" localSheetId="42" hidden="1">{#N/A,#N/A,FALSE,"98소지이동TOTvs99.1 (2)";#N/A,#N/A,FALSE,"TOTAL";#N/A,#N/A,FALSE,"98소지이동TOTvs99.1(b) (2)"}</definedName>
    <definedName name="__SS8" hidden="1">{#N/A,#N/A,FALSE,"98소지이동TOTvs99.1 (2)";#N/A,#N/A,FALSE,"TOTAL";#N/A,#N/A,FALSE,"98소지이동TOTvs99.1(b) (2)"}</definedName>
    <definedName name="__SS9" localSheetId="45" hidden="1">{#N/A,#N/A,FALSE,"98소지이동TOTvs99.1 (2)";#N/A,#N/A,FALSE,"TOTAL";#N/A,#N/A,FALSE,"98소지이동TOTvs99.1(b) (2)"}</definedName>
    <definedName name="__SS9" localSheetId="42" hidden="1">{#N/A,#N/A,FALSE,"98소지이동TOTvs99.1 (2)";#N/A,#N/A,FALSE,"TOTAL";#N/A,#N/A,FALSE,"98소지이동TOTvs99.1(b) (2)"}</definedName>
    <definedName name="__SS9" hidden="1">{#N/A,#N/A,FALSE,"98소지이동TOTvs99.1 (2)";#N/A,#N/A,FALSE,"TOTAL";#N/A,#N/A,FALSE,"98소지이동TOTvs99.1(b) (2)"}</definedName>
    <definedName name="__www1" localSheetId="45"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__www1" localSheetId="42"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__www1"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__XX1" localSheetId="45" hidden="1">{#N/A,#N/A,FALSE,"98소지이동TOTvs99.1 (2)";#N/A,#N/A,FALSE,"TOTAL";#N/A,#N/A,FALSE,"98소지이동TOTvs99.1(b) (2)"}</definedName>
    <definedName name="__XX1" localSheetId="42" hidden="1">{#N/A,#N/A,FALSE,"98소지이동TOTvs99.1 (2)";#N/A,#N/A,FALSE,"TOTAL";#N/A,#N/A,FALSE,"98소지이동TOTvs99.1(b) (2)"}</definedName>
    <definedName name="__XX1" hidden="1">{#N/A,#N/A,FALSE,"98소지이동TOTvs99.1 (2)";#N/A,#N/A,FALSE,"TOTAL";#N/A,#N/A,FALSE,"98소지이동TOTvs99.1(b) (2)"}</definedName>
    <definedName name="__XX10" localSheetId="45" hidden="1">{#N/A,#N/A,FALSE,"Yield";#N/A,#N/A,FALSE,"Loss1";#N/A,#N/A,FALSE,"Loss2";#N/A,#N/A,FALSE,"Hour-Labor(배분)";#N/A,#N/A,FALSE,"Capital Expenditure";#N/A,#N/A,FALSE,"Productivity"}</definedName>
    <definedName name="__XX10" localSheetId="42" hidden="1">{#N/A,#N/A,FALSE,"Yield";#N/A,#N/A,FALSE,"Loss1";#N/A,#N/A,FALSE,"Loss2";#N/A,#N/A,FALSE,"Hour-Labor(배분)";#N/A,#N/A,FALSE,"Capital Expenditure";#N/A,#N/A,FALSE,"Productivity"}</definedName>
    <definedName name="__XX10" hidden="1">{#N/A,#N/A,FALSE,"Yield";#N/A,#N/A,FALSE,"Loss1";#N/A,#N/A,FALSE,"Loss2";#N/A,#N/A,FALSE,"Hour-Labor(배분)";#N/A,#N/A,FALSE,"Capital Expenditure";#N/A,#N/A,FALSE,"Productivity"}</definedName>
    <definedName name="__XX2" localSheetId="45" hidden="1">{#N/A,#N/A,FALSE,"98소지이동TOTvs99.1 (2)";#N/A,#N/A,FALSE,"TOTAL";#N/A,#N/A,FALSE,"98소지이동TOTvs99.1(b) (2)"}</definedName>
    <definedName name="__XX2" localSheetId="42" hidden="1">{#N/A,#N/A,FALSE,"98소지이동TOTvs99.1 (2)";#N/A,#N/A,FALSE,"TOTAL";#N/A,#N/A,FALSE,"98소지이동TOTvs99.1(b) (2)"}</definedName>
    <definedName name="__XX2" hidden="1">{#N/A,#N/A,FALSE,"98소지이동TOTvs99.1 (2)";#N/A,#N/A,FALSE,"TOTAL";#N/A,#N/A,FALSE,"98소지이동TOTvs99.1(b) (2)"}</definedName>
    <definedName name="__XX3" localSheetId="45" hidden="1">{#N/A,#N/A,FALSE,"98소지이동TOTvs99.1 (2)";#N/A,#N/A,FALSE,"TOTAL";#N/A,#N/A,FALSE,"98소지이동TOTvs99.1(b) (2)"}</definedName>
    <definedName name="__XX3" localSheetId="42" hidden="1">{#N/A,#N/A,FALSE,"98소지이동TOTvs99.1 (2)";#N/A,#N/A,FALSE,"TOTAL";#N/A,#N/A,FALSE,"98소지이동TOTvs99.1(b) (2)"}</definedName>
    <definedName name="__XX3" hidden="1">{#N/A,#N/A,FALSE,"98소지이동TOTvs99.1 (2)";#N/A,#N/A,FALSE,"TOTAL";#N/A,#N/A,FALSE,"98소지이동TOTvs99.1(b) (2)"}</definedName>
    <definedName name="__XX4" localSheetId="45" hidden="1">{#N/A,#N/A,FALSE,"군산원가";#N/A,#N/A,FALSE,"팀별월별";#N/A,#N/A,FALSE,"타공정대체";#N/A,#N/A,FALSE,"기타경비";#N/A,#N/A,FALSE,"원료";#N/A,#N/A,FALSE,"연료"}</definedName>
    <definedName name="__XX4" localSheetId="42" hidden="1">{#N/A,#N/A,FALSE,"군산원가";#N/A,#N/A,FALSE,"팀별월별";#N/A,#N/A,FALSE,"타공정대체";#N/A,#N/A,FALSE,"기타경비";#N/A,#N/A,FALSE,"원료";#N/A,#N/A,FALSE,"연료"}</definedName>
    <definedName name="__XX4" hidden="1">{#N/A,#N/A,FALSE,"군산원가";#N/A,#N/A,FALSE,"팀별월별";#N/A,#N/A,FALSE,"타공정대체";#N/A,#N/A,FALSE,"기타경비";#N/A,#N/A,FALSE,"원료";#N/A,#N/A,FALSE,"연료"}</definedName>
    <definedName name="__XX5" localSheetId="45" hidden="1">{#N/A,#N/A,FALSE,"군산원가";#N/A,#N/A,FALSE,"팀별월별";#N/A,#N/A,FALSE,"타공정대체";#N/A,#N/A,FALSE,"기타경비";#N/A,#N/A,FALSE,"원료";#N/A,#N/A,FALSE,"연료"}</definedName>
    <definedName name="__XX5" localSheetId="42" hidden="1">{#N/A,#N/A,FALSE,"군산원가";#N/A,#N/A,FALSE,"팀별월별";#N/A,#N/A,FALSE,"타공정대체";#N/A,#N/A,FALSE,"기타경비";#N/A,#N/A,FALSE,"원료";#N/A,#N/A,FALSE,"연료"}</definedName>
    <definedName name="__XX5" hidden="1">{#N/A,#N/A,FALSE,"군산원가";#N/A,#N/A,FALSE,"팀별월별";#N/A,#N/A,FALSE,"타공정대체";#N/A,#N/A,FALSE,"기타경비";#N/A,#N/A,FALSE,"원료";#N/A,#N/A,FALSE,"연료"}</definedName>
    <definedName name="__XX6" localSheetId="45" hidden="1">{#N/A,#N/A,FALSE,"Yield";#N/A,#N/A,FALSE,"Loss1";#N/A,#N/A,FALSE,"Loss2";#N/A,#N/A,FALSE,"Hour-Labor(배분)";#N/A,#N/A,FALSE,"Capital Expenditure";#N/A,#N/A,FALSE,"Productivity"}</definedName>
    <definedName name="__XX6" localSheetId="42" hidden="1">{#N/A,#N/A,FALSE,"Yield";#N/A,#N/A,FALSE,"Loss1";#N/A,#N/A,FALSE,"Loss2";#N/A,#N/A,FALSE,"Hour-Labor(배분)";#N/A,#N/A,FALSE,"Capital Expenditure";#N/A,#N/A,FALSE,"Productivity"}</definedName>
    <definedName name="__XX6" hidden="1">{#N/A,#N/A,FALSE,"Yield";#N/A,#N/A,FALSE,"Loss1";#N/A,#N/A,FALSE,"Loss2";#N/A,#N/A,FALSE,"Hour-Labor(배분)";#N/A,#N/A,FALSE,"Capital Expenditure";#N/A,#N/A,FALSE,"Productivity"}</definedName>
    <definedName name="__XX7" localSheetId="45" hidden="1">{#N/A,#N/A,FALSE,"98소지이동TOTvs99.1 (2)";#N/A,#N/A,FALSE,"TOTAL";#N/A,#N/A,FALSE,"98소지이동TOTvs99.1(b) (2)"}</definedName>
    <definedName name="__XX7" localSheetId="42" hidden="1">{#N/A,#N/A,FALSE,"98소지이동TOTvs99.1 (2)";#N/A,#N/A,FALSE,"TOTAL";#N/A,#N/A,FALSE,"98소지이동TOTvs99.1(b) (2)"}</definedName>
    <definedName name="__XX7" hidden="1">{#N/A,#N/A,FALSE,"98소지이동TOTvs99.1 (2)";#N/A,#N/A,FALSE,"TOTAL";#N/A,#N/A,FALSE,"98소지이동TOTvs99.1(b) (2)"}</definedName>
    <definedName name="__XX8" localSheetId="45"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XX8" localSheetId="42"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XX8"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XX9" localSheetId="45"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XX9" localSheetId="42"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XX9"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ZZ1" localSheetId="45" hidden="1">{#N/A,#N/A,FALSE,"98소지이동TOTvs99.1 (2)";#N/A,#N/A,FALSE,"TOTAL";#N/A,#N/A,FALSE,"98소지이동TOTvs99.1(b) (2)"}</definedName>
    <definedName name="__ZZ1" localSheetId="42" hidden="1">{#N/A,#N/A,FALSE,"98소지이동TOTvs99.1 (2)";#N/A,#N/A,FALSE,"TOTAL";#N/A,#N/A,FALSE,"98소지이동TOTvs99.1(b) (2)"}</definedName>
    <definedName name="__ZZ1" hidden="1">{#N/A,#N/A,FALSE,"98소지이동TOTvs99.1 (2)";#N/A,#N/A,FALSE,"TOTAL";#N/A,#N/A,FALSE,"98소지이동TOTvs99.1(b) (2)"}</definedName>
    <definedName name="_1_5____123Grap" localSheetId="30" hidden="1">#REF!</definedName>
    <definedName name="_1_5____123Grap" localSheetId="29" hidden="1">#REF!</definedName>
    <definedName name="_1_5____123Grap" localSheetId="33" hidden="1">#REF!</definedName>
    <definedName name="_1_5____123Grap" localSheetId="31" hidden="1">#REF!</definedName>
    <definedName name="_1_5____123Grap" localSheetId="32" hidden="1">#REF!</definedName>
    <definedName name="_1_5____123Grap" hidden="1">#REF!</definedName>
    <definedName name="_10__123Graph_A차트_6" hidden="1">#REF!</definedName>
    <definedName name="_10__123Graph_A차트_8" hidden="1">#REF!</definedName>
    <definedName name="_10_9____123Graph_LB" localSheetId="30" hidden="1">#REF!</definedName>
    <definedName name="_10_9____123Graph_LB" localSheetId="29" hidden="1">#REF!</definedName>
    <definedName name="_10_9____123Graph_LB" localSheetId="33" hidden="1">#REF!</definedName>
    <definedName name="_10_9____123Graph_LB" localSheetId="31" hidden="1">#REF!</definedName>
    <definedName name="_10_9____123Graph_LB" hidden="1">#REF!</definedName>
    <definedName name="_10_9_0__123Graph_LB" localSheetId="30" hidden="1">#REF!</definedName>
    <definedName name="_10_9_0__123Graph_LB" localSheetId="29" hidden="1">#REF!</definedName>
    <definedName name="_10_9_0__123Graph_LB" localSheetId="33" hidden="1">#REF!</definedName>
    <definedName name="_10_9_0__123Graph_LB" localSheetId="31" hidden="1">#REF!</definedName>
    <definedName name="_10_9_0__123Graph_LB" localSheetId="32" hidden="1">#REF!</definedName>
    <definedName name="_10_9_0__123Graph_LB" hidden="1">#REF!</definedName>
    <definedName name="_107s1_" localSheetId="42" hidden="1">{#N/A,#N/A,FALSE,"UNIT";#N/A,#N/A,FALSE,"UNIT";#N/A,#N/A,FALSE,"계정"}</definedName>
    <definedName name="_107s1_" hidden="1">{#N/A,#N/A,FALSE,"UNIT";#N/A,#N/A,FALSE,"UNIT";#N/A,#N/A,FALSE,"계정"}</definedName>
    <definedName name="_108s10_" localSheetId="42" hidden="1">{#N/A,#N/A,FALSE,"UNIT";#N/A,#N/A,FALSE,"UNIT";#N/A,#N/A,FALSE,"계정"}</definedName>
    <definedName name="_108s10_" hidden="1">{#N/A,#N/A,FALSE,"UNIT";#N/A,#N/A,FALSE,"UNIT";#N/A,#N/A,FALSE,"계정"}</definedName>
    <definedName name="_109s11_" localSheetId="42" hidden="1">{#N/A,#N/A,FALSE,"UNIT";#N/A,#N/A,FALSE,"UNIT";#N/A,#N/A,FALSE,"계정"}</definedName>
    <definedName name="_109s11_" hidden="1">{#N/A,#N/A,FALSE,"UNIT";#N/A,#N/A,FALSE,"UNIT";#N/A,#N/A,FALSE,"계정"}</definedName>
    <definedName name="_10cc1_" localSheetId="45" hidden="1">{#N/A,#N/A,FALSE,"군산원가";#N/A,#N/A,FALSE,"팀별월별";#N/A,#N/A,FALSE,"타공정대체";#N/A,#N/A,FALSE,"기타경비";#N/A,#N/A,FALSE,"원료";#N/A,#N/A,FALSE,"연료"}</definedName>
    <definedName name="_10cc1_" localSheetId="42" hidden="1">{#N/A,#N/A,FALSE,"군산원가";#N/A,#N/A,FALSE,"팀별월별";#N/A,#N/A,FALSE,"타공정대체";#N/A,#N/A,FALSE,"기타경비";#N/A,#N/A,FALSE,"원료";#N/A,#N/A,FALSE,"연료"}</definedName>
    <definedName name="_10cc1_" hidden="1">{#N/A,#N/A,FALSE,"군산원가";#N/A,#N/A,FALSE,"팀별월별";#N/A,#N/A,FALSE,"타공정대체";#N/A,#N/A,FALSE,"기타경비";#N/A,#N/A,FALSE,"원료";#N/A,#N/A,FALSE,"연료"}</definedName>
    <definedName name="_11__123Graph_A차트_7" hidden="1">#REF!</definedName>
    <definedName name="_11__123Graph_B차트_1" hidden="1">#REF!</definedName>
    <definedName name="_11_9_0__123Grap" localSheetId="30" hidden="1">#REF!</definedName>
    <definedName name="_11_9_0__123Grap" localSheetId="29" hidden="1">#REF!</definedName>
    <definedName name="_11_9_0__123Grap" localSheetId="33" hidden="1">#REF!</definedName>
    <definedName name="_11_9_0__123Grap" localSheetId="31" hidden="1">#REF!</definedName>
    <definedName name="_11_9_0__123Grap" hidden="1">#REF!</definedName>
    <definedName name="_110s12_" localSheetId="42" hidden="1">{#N/A,#N/A,FALSE,"UNIT";#N/A,#N/A,FALSE,"UNIT";#N/A,#N/A,FALSE,"계정"}</definedName>
    <definedName name="_110s12_" hidden="1">{#N/A,#N/A,FALSE,"UNIT";#N/A,#N/A,FALSE,"UNIT";#N/A,#N/A,FALSE,"계정"}</definedName>
    <definedName name="_111s13_" localSheetId="42" hidden="1">{#N/A,#N/A,FALSE,"UNIT";#N/A,#N/A,FALSE,"UNIT";#N/A,#N/A,FALSE,"계정"}</definedName>
    <definedName name="_111s13_" hidden="1">{#N/A,#N/A,FALSE,"UNIT";#N/A,#N/A,FALSE,"UNIT";#N/A,#N/A,FALSE,"계정"}</definedName>
    <definedName name="_112s14_" localSheetId="42" hidden="1">{#N/A,#N/A,FALSE,"UNIT";#N/A,#N/A,FALSE,"UNIT";#N/A,#N/A,FALSE,"계정"}</definedName>
    <definedName name="_112s14_" hidden="1">{#N/A,#N/A,FALSE,"UNIT";#N/A,#N/A,FALSE,"UNIT";#N/A,#N/A,FALSE,"계정"}</definedName>
    <definedName name="_113s16_" localSheetId="42" hidden="1">{#N/A,#N/A,FALSE,"UNIT";#N/A,#N/A,FALSE,"UNIT";#N/A,#N/A,FALSE,"계정"}</definedName>
    <definedName name="_113s16_" hidden="1">{#N/A,#N/A,FALSE,"UNIT";#N/A,#N/A,FALSE,"UNIT";#N/A,#N/A,FALSE,"계정"}</definedName>
    <definedName name="_114s17_" localSheetId="42" hidden="1">{#N/A,#N/A,FALSE,"UNIT";#N/A,#N/A,FALSE,"UNIT";#N/A,#N/A,FALSE,"계정"}</definedName>
    <definedName name="_114s17_" hidden="1">{#N/A,#N/A,FALSE,"UNIT";#N/A,#N/A,FALSE,"UNIT";#N/A,#N/A,FALSE,"계정"}</definedName>
    <definedName name="_115s2_" localSheetId="42" hidden="1">{#N/A,#N/A,FALSE,"UNIT";#N/A,#N/A,FALSE,"UNIT";#N/A,#N/A,FALSE,"계정"}</definedName>
    <definedName name="_115s2_" hidden="1">{#N/A,#N/A,FALSE,"UNIT";#N/A,#N/A,FALSE,"UNIT";#N/A,#N/A,FALSE,"계정"}</definedName>
    <definedName name="_116s3_" localSheetId="42" hidden="1">{#N/A,#N/A,FALSE,"UNIT";#N/A,#N/A,FALSE,"UNIT";#N/A,#N/A,FALSE,"계정"}</definedName>
    <definedName name="_116s3_" hidden="1">{#N/A,#N/A,FALSE,"UNIT";#N/A,#N/A,FALSE,"UNIT";#N/A,#N/A,FALSE,"계정"}</definedName>
    <definedName name="_117s4_" localSheetId="42" hidden="1">{#N/A,#N/A,FALSE,"UNIT";#N/A,#N/A,FALSE,"UNIT";#N/A,#N/A,FALSE,"계정"}</definedName>
    <definedName name="_117s4_" hidden="1">{#N/A,#N/A,FALSE,"UNIT";#N/A,#N/A,FALSE,"UNIT";#N/A,#N/A,FALSE,"계정"}</definedName>
    <definedName name="_118s5_" localSheetId="42" hidden="1">{#N/A,#N/A,FALSE,"UNIT";#N/A,#N/A,FALSE,"UNIT";#N/A,#N/A,FALSE,"계정"}</definedName>
    <definedName name="_118s5_" hidden="1">{#N/A,#N/A,FALSE,"UNIT";#N/A,#N/A,FALSE,"UNIT";#N/A,#N/A,FALSE,"계정"}</definedName>
    <definedName name="_119s6_" localSheetId="42" hidden="1">{#N/A,#N/A,FALSE,"UNIT";#N/A,#N/A,FALSE,"UNIT";#N/A,#N/A,FALSE,"계정"}</definedName>
    <definedName name="_119s6_" hidden="1">{#N/A,#N/A,FALSE,"UNIT";#N/A,#N/A,FALSE,"UNIT";#N/A,#N/A,FALSE,"계정"}</definedName>
    <definedName name="_11cc2_" localSheetId="45" hidden="1">{#N/A,#N/A,FALSE,"군산원가";#N/A,#N/A,FALSE,"팀별월별";#N/A,#N/A,FALSE,"타공정대체";#N/A,#N/A,FALSE,"기타경비";#N/A,#N/A,FALSE,"원료";#N/A,#N/A,FALSE,"연료"}</definedName>
    <definedName name="_11cc2_" localSheetId="42" hidden="1">{#N/A,#N/A,FALSE,"군산원가";#N/A,#N/A,FALSE,"팀별월별";#N/A,#N/A,FALSE,"타공정대체";#N/A,#N/A,FALSE,"기타경비";#N/A,#N/A,FALSE,"원료";#N/A,#N/A,FALSE,"연료"}</definedName>
    <definedName name="_11cc2_" hidden="1">{#N/A,#N/A,FALSE,"군산원가";#N/A,#N/A,FALSE,"팀별월별";#N/A,#N/A,FALSE,"타공정대체";#N/A,#N/A,FALSE,"기타경비";#N/A,#N/A,FALSE,"원료";#N/A,#N/A,FALSE,"연료"}</definedName>
    <definedName name="_12__123Graph_A차트_8" hidden="1">#REF!</definedName>
    <definedName name="_12__123Graph_B차트_2" hidden="1">#REF!</definedName>
    <definedName name="_12_9_0__123Graph_LB" localSheetId="30" hidden="1">#REF!</definedName>
    <definedName name="_12_9_0__123Graph_LB" localSheetId="29" hidden="1">#REF!</definedName>
    <definedName name="_12_9_0__123Graph_LB" localSheetId="33" hidden="1">#REF!</definedName>
    <definedName name="_12_9_0__123Graph_LB" localSheetId="31" hidden="1">#REF!</definedName>
    <definedName name="_12_9_0__123Graph_LB" hidden="1">#REF!</definedName>
    <definedName name="_120s9_" localSheetId="42" hidden="1">{#N/A,#N/A,FALSE,"UNIT";#N/A,#N/A,FALSE,"UNIT";#N/A,#N/A,FALSE,"계정"}</definedName>
    <definedName name="_120s9_" hidden="1">{#N/A,#N/A,FALSE,"UNIT";#N/A,#N/A,FALSE,"UNIT";#N/A,#N/A,FALSE,"계정"}</definedName>
    <definedName name="_12cc3_" localSheetId="45" hidden="1">{#N/A,#N/A,FALSE,"Yield";#N/A,#N/A,FALSE,"Loss1";#N/A,#N/A,FALSE,"Loss2";#N/A,#N/A,FALSE,"Hour-Labor(배분)";#N/A,#N/A,FALSE,"Capital Expenditure";#N/A,#N/A,FALSE,"Productivity"}</definedName>
    <definedName name="_12cc3_" localSheetId="42" hidden="1">{#N/A,#N/A,FALSE,"Yield";#N/A,#N/A,FALSE,"Loss1";#N/A,#N/A,FALSE,"Loss2";#N/A,#N/A,FALSE,"Hour-Labor(배분)";#N/A,#N/A,FALSE,"Capital Expenditure";#N/A,#N/A,FALSE,"Productivity"}</definedName>
    <definedName name="_12cc3_" hidden="1">{#N/A,#N/A,FALSE,"Yield";#N/A,#N/A,FALSE,"Loss1";#N/A,#N/A,FALSE,"Loss2";#N/A,#N/A,FALSE,"Hour-Labor(배분)";#N/A,#N/A,FALSE,"Capital Expenditure";#N/A,#N/A,FALSE,"Productivity"}</definedName>
    <definedName name="_13__123Graph_B차트_1" hidden="1">#REF!</definedName>
    <definedName name="_13__123Graph_B차트_3" hidden="1">#REF!</definedName>
    <definedName name="_13cc4_" localSheetId="45" hidden="1">{#N/A,#N/A,FALSE,"98소지이동TOTvs99.1 (2)";#N/A,#N/A,FALSE,"TOTAL";#N/A,#N/A,FALSE,"98소지이동TOTvs99.1(b) (2)"}</definedName>
    <definedName name="_13cc4_" localSheetId="42" hidden="1">{#N/A,#N/A,FALSE,"98소지이동TOTvs99.1 (2)";#N/A,#N/A,FALSE,"TOTAL";#N/A,#N/A,FALSE,"98소지이동TOTvs99.1(b) (2)"}</definedName>
    <definedName name="_13cc4_" hidden="1">{#N/A,#N/A,FALSE,"98소지이동TOTvs99.1 (2)";#N/A,#N/A,FALSE,"TOTAL";#N/A,#N/A,FALSE,"98소지이동TOTvs99.1(b) (2)"}</definedName>
    <definedName name="_14__123Graph_B차트_2" hidden="1">#REF!</definedName>
    <definedName name="_14__123Graph_B차트_4" hidden="1">#REF!</definedName>
    <definedName name="_14cc5_" localSheetId="45" hidden="1">{#N/A,#N/A,FALSE,"98소지이동TOTvs99.1 (2)";#N/A,#N/A,FALSE,"TOTAL";#N/A,#N/A,FALSE,"98소지이동TOTvs99.1(b) (2)"}</definedName>
    <definedName name="_14cc5_" localSheetId="42" hidden="1">{#N/A,#N/A,FALSE,"98소지이동TOTvs99.1 (2)";#N/A,#N/A,FALSE,"TOTAL";#N/A,#N/A,FALSE,"98소지이동TOTvs99.1(b) (2)"}</definedName>
    <definedName name="_14cc5_" hidden="1">{#N/A,#N/A,FALSE,"98소지이동TOTvs99.1 (2)";#N/A,#N/A,FALSE,"TOTAL";#N/A,#N/A,FALSE,"98소지이동TOTvs99.1(b) (2)"}</definedName>
    <definedName name="_14s10_" localSheetId="12" hidden="1">{#N/A,#N/A,FALSE,"UNIT";#N/A,#N/A,FALSE,"UNIT";#N/A,#N/A,FALSE,"계정"}</definedName>
    <definedName name="_14s10_" localSheetId="42" hidden="1">{#N/A,#N/A,FALSE,"UNIT";#N/A,#N/A,FALSE,"UNIT";#N/A,#N/A,FALSE,"계정"}</definedName>
    <definedName name="_14s10_" hidden="1">{#N/A,#N/A,FALSE,"UNIT";#N/A,#N/A,FALSE,"UNIT";#N/A,#N/A,FALSE,"계정"}</definedName>
    <definedName name="_15__123Graph_B차트_3" hidden="1">#REF!</definedName>
    <definedName name="_15__123Graph_B차트_5" hidden="1">#REF!</definedName>
    <definedName name="_15cc6_" localSheetId="45" hidden="1">{#N/A,#N/A,FALSE,"Yield";#N/A,#N/A,FALSE,"Loss1";#N/A,#N/A,FALSE,"Loss2";#N/A,#N/A,FALSE,"Hour-Labor(배분)";#N/A,#N/A,FALSE,"Capital Expenditure";#N/A,#N/A,FALSE,"Productivity"}</definedName>
    <definedName name="_15cc6_" localSheetId="42" hidden="1">{#N/A,#N/A,FALSE,"Yield";#N/A,#N/A,FALSE,"Loss1";#N/A,#N/A,FALSE,"Loss2";#N/A,#N/A,FALSE,"Hour-Labor(배분)";#N/A,#N/A,FALSE,"Capital Expenditure";#N/A,#N/A,FALSE,"Productivity"}</definedName>
    <definedName name="_15cc6_" hidden="1">{#N/A,#N/A,FALSE,"Yield";#N/A,#N/A,FALSE,"Loss1";#N/A,#N/A,FALSE,"Loss2";#N/A,#N/A,FALSE,"Hour-Labor(배분)";#N/A,#N/A,FALSE,"Capital Expenditure";#N/A,#N/A,FALSE,"Productivity"}</definedName>
    <definedName name="_16__123Graph_B차트_4" hidden="1">#REF!</definedName>
    <definedName name="_16__123Graph_B차트_6" hidden="1">#REF!</definedName>
    <definedName name="_16cc7_" localSheetId="45" hidden="1">{#N/A,#N/A,FALSE,"Yield";#N/A,#N/A,FALSE,"Loss1";#N/A,#N/A,FALSE,"Loss2";#N/A,#N/A,FALSE,"Hour-Labor(배분)";#N/A,#N/A,FALSE,"Capital Expenditure";#N/A,#N/A,FALSE,"Productivity"}</definedName>
    <definedName name="_16cc7_" localSheetId="42" hidden="1">{#N/A,#N/A,FALSE,"Yield";#N/A,#N/A,FALSE,"Loss1";#N/A,#N/A,FALSE,"Loss2";#N/A,#N/A,FALSE,"Hour-Labor(배분)";#N/A,#N/A,FALSE,"Capital Expenditure";#N/A,#N/A,FALSE,"Productivity"}</definedName>
    <definedName name="_16cc7_" hidden="1">{#N/A,#N/A,FALSE,"Yield";#N/A,#N/A,FALSE,"Loss1";#N/A,#N/A,FALSE,"Loss2";#N/A,#N/A,FALSE,"Hour-Labor(배분)";#N/A,#N/A,FALSE,"Capital Expenditure";#N/A,#N/A,FALSE,"Productivity"}</definedName>
    <definedName name="_17__123Graph_B차트_5" hidden="1">#REF!</definedName>
    <definedName name="_17__123Graph_B차트_7" hidden="1">#REF!</definedName>
    <definedName name="_177s1_" localSheetId="42" hidden="1">{#N/A,#N/A,FALSE,"UNIT";#N/A,#N/A,FALSE,"UNIT";#N/A,#N/A,FALSE,"계정"}</definedName>
    <definedName name="_177s1_" hidden="1">{#N/A,#N/A,FALSE,"UNIT";#N/A,#N/A,FALSE,"UNIT";#N/A,#N/A,FALSE,"계정"}</definedName>
    <definedName name="_17cc8_" localSheetId="45" hidden="1">{#N/A,#N/A,FALSE,"Yield";#N/A,#N/A,FALSE,"Loss1";#N/A,#N/A,FALSE,"Loss2";#N/A,#N/A,FALSE,"Hour-Labor(배분)";#N/A,#N/A,FALSE,"Capital Expenditure";#N/A,#N/A,FALSE,"Productivity"}</definedName>
    <definedName name="_17cc8_" localSheetId="42" hidden="1">{#N/A,#N/A,FALSE,"Yield";#N/A,#N/A,FALSE,"Loss1";#N/A,#N/A,FALSE,"Loss2";#N/A,#N/A,FALSE,"Hour-Labor(배분)";#N/A,#N/A,FALSE,"Capital Expenditure";#N/A,#N/A,FALSE,"Productivity"}</definedName>
    <definedName name="_17cc8_" hidden="1">{#N/A,#N/A,FALSE,"Yield";#N/A,#N/A,FALSE,"Loss1";#N/A,#N/A,FALSE,"Loss2";#N/A,#N/A,FALSE,"Hour-Labor(배분)";#N/A,#N/A,FALSE,"Capital Expenditure";#N/A,#N/A,FALSE,"Productivity"}</definedName>
    <definedName name="_18__123Graph_B차트_6" hidden="1">#REF!</definedName>
    <definedName name="_18__123Graph_B차트_8" hidden="1">#REF!</definedName>
    <definedName name="_181" localSheetId="42" hidden="1">{#N/A,#N/A,FALSE,"UNIT";#N/A,#N/A,FALSE,"UNIT";#N/A,#N/A,FALSE,"계정"}</definedName>
    <definedName name="_181" hidden="1">{#N/A,#N/A,FALSE,"UNIT";#N/A,#N/A,FALSE,"UNIT";#N/A,#N/A,FALSE,"계정"}</definedName>
    <definedName name="_181s10_" localSheetId="42" hidden="1">{#N/A,#N/A,FALSE,"UNIT";#N/A,#N/A,FALSE,"UNIT";#N/A,#N/A,FALSE,"계정"}</definedName>
    <definedName name="_181s10_" hidden="1">{#N/A,#N/A,FALSE,"UNIT";#N/A,#N/A,FALSE,"UNIT";#N/A,#N/A,FALSE,"계정"}</definedName>
    <definedName name="_185s11_" localSheetId="42" hidden="1">{#N/A,#N/A,FALSE,"UNIT";#N/A,#N/A,FALSE,"UNIT";#N/A,#N/A,FALSE,"계정"}</definedName>
    <definedName name="_185s11_" hidden="1">{#N/A,#N/A,FALSE,"UNIT";#N/A,#N/A,FALSE,"UNIT";#N/A,#N/A,FALSE,"계정"}</definedName>
    <definedName name="_189s12_" localSheetId="42" hidden="1">{#N/A,#N/A,FALSE,"UNIT";#N/A,#N/A,FALSE,"UNIT";#N/A,#N/A,FALSE,"계정"}</definedName>
    <definedName name="_189s12_" hidden="1">{#N/A,#N/A,FALSE,"UNIT";#N/A,#N/A,FALSE,"UNIT";#N/A,#N/A,FALSE,"계정"}</definedName>
    <definedName name="_18cc9_" localSheetId="45" hidden="1">{#N/A,#N/A,FALSE,"98소지이동TOTvs99.1 (2)";#N/A,#N/A,FALSE,"TOTAL";#N/A,#N/A,FALSE,"98소지이동TOTvs99.1(b) (2)"}</definedName>
    <definedName name="_18cc9_" localSheetId="42" hidden="1">{#N/A,#N/A,FALSE,"98소지이동TOTvs99.1 (2)";#N/A,#N/A,FALSE,"TOTAL";#N/A,#N/A,FALSE,"98소지이동TOTvs99.1(b) (2)"}</definedName>
    <definedName name="_18cc9_" hidden="1">{#N/A,#N/A,FALSE,"98소지이동TOTvs99.1 (2)";#N/A,#N/A,FALSE,"TOTAL";#N/A,#N/A,FALSE,"98소지이동TOTvs99.1(b) (2)"}</definedName>
    <definedName name="_18s1_" localSheetId="12" hidden="1">{#N/A,#N/A,FALSE,"UNIT";#N/A,#N/A,FALSE,"UNIT";#N/A,#N/A,FALSE,"계정"}</definedName>
    <definedName name="_18s1_" localSheetId="42" hidden="1">{#N/A,#N/A,FALSE,"UNIT";#N/A,#N/A,FALSE,"UNIT";#N/A,#N/A,FALSE,"계정"}</definedName>
    <definedName name="_18s1_" hidden="1">{#N/A,#N/A,FALSE,"UNIT";#N/A,#N/A,FALSE,"UNIT";#N/A,#N/A,FALSE,"계정"}</definedName>
    <definedName name="_19__123Graph_B차트_7" hidden="1">#REF!</definedName>
    <definedName name="_19__123Graph_X차트_1" hidden="1">#REF!</definedName>
    <definedName name="_193s13_" localSheetId="42" hidden="1">{#N/A,#N/A,FALSE,"UNIT";#N/A,#N/A,FALSE,"UNIT";#N/A,#N/A,FALSE,"계정"}</definedName>
    <definedName name="_193s13_" hidden="1">{#N/A,#N/A,FALSE,"UNIT";#N/A,#N/A,FALSE,"UNIT";#N/A,#N/A,FALSE,"계정"}</definedName>
    <definedName name="_197s14_" localSheetId="42" hidden="1">{#N/A,#N/A,FALSE,"UNIT";#N/A,#N/A,FALSE,"UNIT";#N/A,#N/A,FALSE,"계정"}</definedName>
    <definedName name="_197s14_" hidden="1">{#N/A,#N/A,FALSE,"UNIT";#N/A,#N/A,FALSE,"UNIT";#N/A,#N/A,FALSE,"계정"}</definedName>
    <definedName name="_1bb1_" localSheetId="45" hidden="1">{#N/A,#N/A,FALSE,"98소지이동TOTvs99.1 (2)";#N/A,#N/A,FALSE,"TOTAL";#N/A,#N/A,FALSE,"98소지이동TOTvs99.1(b) (2)"}</definedName>
    <definedName name="_1bb1_" localSheetId="42" hidden="1">{#N/A,#N/A,FALSE,"98소지이동TOTvs99.1 (2)";#N/A,#N/A,FALSE,"TOTAL";#N/A,#N/A,FALSE,"98소지이동TOTvs99.1(b) (2)"}</definedName>
    <definedName name="_1bb1_" hidden="1">{#N/A,#N/A,FALSE,"98소지이동TOTvs99.1 (2)";#N/A,#N/A,FALSE,"TOTAL";#N/A,#N/A,FALSE,"98소지이동TOTvs99.1(b) (2)"}</definedName>
    <definedName name="_2_5_0__123Grap" localSheetId="30" hidden="1">#REF!</definedName>
    <definedName name="_2_5_0__123Grap" localSheetId="29" hidden="1">#REF!</definedName>
    <definedName name="_2_5_0__123Grap" localSheetId="33" hidden="1">#REF!</definedName>
    <definedName name="_2_5_0__123Grap" localSheetId="31" hidden="1">#REF!</definedName>
    <definedName name="_2_5_0__123Grap" localSheetId="32" hidden="1">#REF!</definedName>
    <definedName name="_2_5_0__123Grap" hidden="1">#REF!</definedName>
    <definedName name="_20__123Graph_B차트_8" hidden="1">#REF!</definedName>
    <definedName name="_20__123Graph_X차트_2" hidden="1">#REF!</definedName>
    <definedName name="_201s16_" localSheetId="42" hidden="1">{#N/A,#N/A,FALSE,"UNIT";#N/A,#N/A,FALSE,"UNIT";#N/A,#N/A,FALSE,"계정"}</definedName>
    <definedName name="_201s16_" hidden="1">{#N/A,#N/A,FALSE,"UNIT";#N/A,#N/A,FALSE,"UNIT";#N/A,#N/A,FALSE,"계정"}</definedName>
    <definedName name="_205s17_" localSheetId="42" hidden="1">{#N/A,#N/A,FALSE,"UNIT";#N/A,#N/A,FALSE,"UNIT";#N/A,#N/A,FALSE,"계정"}</definedName>
    <definedName name="_205s17_" hidden="1">{#N/A,#N/A,FALSE,"UNIT";#N/A,#N/A,FALSE,"UNIT";#N/A,#N/A,FALSE,"계정"}</definedName>
    <definedName name="_209s2_" localSheetId="42" hidden="1">{#N/A,#N/A,FALSE,"UNIT";#N/A,#N/A,FALSE,"UNIT";#N/A,#N/A,FALSE,"계정"}</definedName>
    <definedName name="_209s2_" hidden="1">{#N/A,#N/A,FALSE,"UNIT";#N/A,#N/A,FALSE,"UNIT";#N/A,#N/A,FALSE,"계정"}</definedName>
    <definedName name="_20s11_" localSheetId="12" hidden="1">{#N/A,#N/A,FALSE,"UNIT";#N/A,#N/A,FALSE,"UNIT";#N/A,#N/A,FALSE,"계정"}</definedName>
    <definedName name="_20s11_" localSheetId="42" hidden="1">{#N/A,#N/A,FALSE,"UNIT";#N/A,#N/A,FALSE,"UNIT";#N/A,#N/A,FALSE,"계정"}</definedName>
    <definedName name="_20s11_" hidden="1">{#N/A,#N/A,FALSE,"UNIT";#N/A,#N/A,FALSE,"UNIT";#N/A,#N/A,FALSE,"계정"}</definedName>
    <definedName name="_21__123Graph_X차트_1" hidden="1">#REF!</definedName>
    <definedName name="_21__123Graph_X차트_3" hidden="1">#REF!</definedName>
    <definedName name="_213s3_" localSheetId="42" hidden="1">{#N/A,#N/A,FALSE,"UNIT";#N/A,#N/A,FALSE,"UNIT";#N/A,#N/A,FALSE,"계정"}</definedName>
    <definedName name="_213s3_" hidden="1">{#N/A,#N/A,FALSE,"UNIT";#N/A,#N/A,FALSE,"UNIT";#N/A,#N/A,FALSE,"계정"}</definedName>
    <definedName name="_217s4_" localSheetId="42" hidden="1">{#N/A,#N/A,FALSE,"UNIT";#N/A,#N/A,FALSE,"UNIT";#N/A,#N/A,FALSE,"계정"}</definedName>
    <definedName name="_217s4_" hidden="1">{#N/A,#N/A,FALSE,"UNIT";#N/A,#N/A,FALSE,"UNIT";#N/A,#N/A,FALSE,"계정"}</definedName>
    <definedName name="_21s10_" localSheetId="12" hidden="1">{#N/A,#N/A,FALSE,"UNIT";#N/A,#N/A,FALSE,"UNIT";#N/A,#N/A,FALSE,"계정"}</definedName>
    <definedName name="_21s10_" localSheetId="42" hidden="1">{#N/A,#N/A,FALSE,"UNIT";#N/A,#N/A,FALSE,"UNIT";#N/A,#N/A,FALSE,"계정"}</definedName>
    <definedName name="_21s10_" hidden="1">{#N/A,#N/A,FALSE,"UNIT";#N/A,#N/A,FALSE,"UNIT";#N/A,#N/A,FALSE,"계정"}</definedName>
    <definedName name="_22__123Graph_X차트_2" hidden="1">#REF!</definedName>
    <definedName name="_22__123Graph_X차트_4" hidden="1">#REF!</definedName>
    <definedName name="_221s5_" localSheetId="42" hidden="1">{#N/A,#N/A,FALSE,"UNIT";#N/A,#N/A,FALSE,"UNIT";#N/A,#N/A,FALSE,"계정"}</definedName>
    <definedName name="_221s5_" hidden="1">{#N/A,#N/A,FALSE,"UNIT";#N/A,#N/A,FALSE,"UNIT";#N/A,#N/A,FALSE,"계정"}</definedName>
    <definedName name="_225s6_" localSheetId="42" hidden="1">{#N/A,#N/A,FALSE,"UNIT";#N/A,#N/A,FALSE,"UNIT";#N/A,#N/A,FALSE,"계정"}</definedName>
    <definedName name="_225s6_" hidden="1">{#N/A,#N/A,FALSE,"UNIT";#N/A,#N/A,FALSE,"UNIT";#N/A,#N/A,FALSE,"계정"}</definedName>
    <definedName name="_229s9_" localSheetId="42" hidden="1">{#N/A,#N/A,FALSE,"UNIT";#N/A,#N/A,FALSE,"UNIT";#N/A,#N/A,FALSE,"계정"}</definedName>
    <definedName name="_229s9_" hidden="1">{#N/A,#N/A,FALSE,"UNIT";#N/A,#N/A,FALSE,"UNIT";#N/A,#N/A,FALSE,"계정"}</definedName>
    <definedName name="_23__123Graph_X차트_3" hidden="1">#REF!</definedName>
    <definedName name="_23__123Graph_X차트_5" hidden="1">#REF!</definedName>
    <definedName name="_24__123Graph_X차트_4" hidden="1">#REF!</definedName>
    <definedName name="_24__123Graph_X차트_6" hidden="1">#REF!</definedName>
    <definedName name="_24s11_" localSheetId="12" hidden="1">{#N/A,#N/A,FALSE,"UNIT";#N/A,#N/A,FALSE,"UNIT";#N/A,#N/A,FALSE,"계정"}</definedName>
    <definedName name="_24s11_" localSheetId="42" hidden="1">{#N/A,#N/A,FALSE,"UNIT";#N/A,#N/A,FALSE,"UNIT";#N/A,#N/A,FALSE,"계정"}</definedName>
    <definedName name="_24s11_" hidden="1">{#N/A,#N/A,FALSE,"UNIT";#N/A,#N/A,FALSE,"UNIT";#N/A,#N/A,FALSE,"계정"}</definedName>
    <definedName name="_25__123Graph_X차트_5" hidden="1">#REF!</definedName>
    <definedName name="_25__123Graph_X차트_7" hidden="1">#REF!</definedName>
    <definedName name="_26__123Graph_X차트_6" hidden="1">#REF!</definedName>
    <definedName name="_26__123Graph_X차트_8" hidden="1">#REF!</definedName>
    <definedName name="_26s12_" localSheetId="12" hidden="1">{#N/A,#N/A,FALSE,"UNIT";#N/A,#N/A,FALSE,"UNIT";#N/A,#N/A,FALSE,"계정"}</definedName>
    <definedName name="_26s12_" localSheetId="42" hidden="1">{#N/A,#N/A,FALSE,"UNIT";#N/A,#N/A,FALSE,"UNIT";#N/A,#N/A,FALSE,"계정"}</definedName>
    <definedName name="_26s12_" hidden="1">{#N/A,#N/A,FALSE,"UNIT";#N/A,#N/A,FALSE,"UNIT";#N/A,#N/A,FALSE,"계정"}</definedName>
    <definedName name="_27__123Graph_X차트_7" hidden="1">#REF!</definedName>
    <definedName name="_27s12_" localSheetId="12" hidden="1">{#N/A,#N/A,FALSE,"UNIT";#N/A,#N/A,FALSE,"UNIT";#N/A,#N/A,FALSE,"계정"}</definedName>
    <definedName name="_27s12_" localSheetId="42" hidden="1">{#N/A,#N/A,FALSE,"UNIT";#N/A,#N/A,FALSE,"UNIT";#N/A,#N/A,FALSE,"계정"}</definedName>
    <definedName name="_27s12_" hidden="1">{#N/A,#N/A,FALSE,"UNIT";#N/A,#N/A,FALSE,"UNIT";#N/A,#N/A,FALSE,"계정"}</definedName>
    <definedName name="_28__123Graph_X차트_8" hidden="1">#REF!</definedName>
    <definedName name="_2bb2_" localSheetId="45" hidden="1">{#N/A,#N/A,FALSE,"98소지이동TOTvs99.1 (2)";#N/A,#N/A,FALSE,"TOTAL";#N/A,#N/A,FALSE,"98소지이동TOTvs99.1(b) (2)"}</definedName>
    <definedName name="_2bb2_" localSheetId="42" hidden="1">{#N/A,#N/A,FALSE,"98소지이동TOTvs99.1 (2)";#N/A,#N/A,FALSE,"TOTAL";#N/A,#N/A,FALSE,"98소지이동TOTvs99.1(b) (2)"}</definedName>
    <definedName name="_2bb2_" hidden="1">{#N/A,#N/A,FALSE,"98소지이동TOTvs99.1 (2)";#N/A,#N/A,FALSE,"TOTAL";#N/A,#N/A,FALSE,"98소지이동TOTvs99.1(b) (2)"}</definedName>
    <definedName name="_3__123Graph_A차트_1" hidden="1">#REF!</definedName>
    <definedName name="_3_5____123Grap" localSheetId="30" hidden="1">#REF!</definedName>
    <definedName name="_3_5____123Grap" localSheetId="29" hidden="1">#REF!</definedName>
    <definedName name="_3_5____123Grap" localSheetId="33" hidden="1">#REF!</definedName>
    <definedName name="_3_5____123Grap" localSheetId="31" hidden="1">#REF!</definedName>
    <definedName name="_3_5____123Grap" hidden="1">#REF!</definedName>
    <definedName name="_3_7____123Grap" localSheetId="30" hidden="1">#REF!</definedName>
    <definedName name="_3_7____123Grap" localSheetId="29" hidden="1">#REF!</definedName>
    <definedName name="_3_7____123Grap" localSheetId="33" hidden="1">#REF!</definedName>
    <definedName name="_3_7____123Grap" localSheetId="31" hidden="1">#REF!</definedName>
    <definedName name="_3_7____123Grap" localSheetId="32" hidden="1">#REF!</definedName>
    <definedName name="_3_7____123Grap" hidden="1">#REF!</definedName>
    <definedName name="_30s13_" localSheetId="12" hidden="1">{#N/A,#N/A,FALSE,"UNIT";#N/A,#N/A,FALSE,"UNIT";#N/A,#N/A,FALSE,"계정"}</definedName>
    <definedName name="_30s13_" localSheetId="42" hidden="1">{#N/A,#N/A,FALSE,"UNIT";#N/A,#N/A,FALSE,"UNIT";#N/A,#N/A,FALSE,"계정"}</definedName>
    <definedName name="_30s13_" hidden="1">{#N/A,#N/A,FALSE,"UNIT";#N/A,#N/A,FALSE,"UNIT";#N/A,#N/A,FALSE,"계정"}</definedName>
    <definedName name="_32s13_" localSheetId="12" hidden="1">{#N/A,#N/A,FALSE,"UNIT";#N/A,#N/A,FALSE,"UNIT";#N/A,#N/A,FALSE,"계정"}</definedName>
    <definedName name="_32s13_" localSheetId="42" hidden="1">{#N/A,#N/A,FALSE,"UNIT";#N/A,#N/A,FALSE,"UNIT";#N/A,#N/A,FALSE,"계정"}</definedName>
    <definedName name="_32s13_" hidden="1">{#N/A,#N/A,FALSE,"UNIT";#N/A,#N/A,FALSE,"UNIT";#N/A,#N/A,FALSE,"계정"}</definedName>
    <definedName name="_33s14_" localSheetId="12" hidden="1">{#N/A,#N/A,FALSE,"UNIT";#N/A,#N/A,FALSE,"UNIT";#N/A,#N/A,FALSE,"계정"}</definedName>
    <definedName name="_33s14_" localSheetId="42" hidden="1">{#N/A,#N/A,FALSE,"UNIT";#N/A,#N/A,FALSE,"UNIT";#N/A,#N/A,FALSE,"계정"}</definedName>
    <definedName name="_33s14_" hidden="1">{#N/A,#N/A,FALSE,"UNIT";#N/A,#N/A,FALSE,"UNIT";#N/A,#N/A,FALSE,"계정"}</definedName>
    <definedName name="_36s16_" localSheetId="12" hidden="1">{#N/A,#N/A,FALSE,"UNIT";#N/A,#N/A,FALSE,"UNIT";#N/A,#N/A,FALSE,"계정"}</definedName>
    <definedName name="_36s16_" localSheetId="42" hidden="1">{#N/A,#N/A,FALSE,"UNIT";#N/A,#N/A,FALSE,"UNIT";#N/A,#N/A,FALSE,"계정"}</definedName>
    <definedName name="_36s16_" hidden="1">{#N/A,#N/A,FALSE,"UNIT";#N/A,#N/A,FALSE,"UNIT";#N/A,#N/A,FALSE,"계정"}</definedName>
    <definedName name="_38s14_" localSheetId="12" hidden="1">{#N/A,#N/A,FALSE,"UNIT";#N/A,#N/A,FALSE,"UNIT";#N/A,#N/A,FALSE,"계정"}</definedName>
    <definedName name="_38s14_" localSheetId="42" hidden="1">{#N/A,#N/A,FALSE,"UNIT";#N/A,#N/A,FALSE,"UNIT";#N/A,#N/A,FALSE,"계정"}</definedName>
    <definedName name="_38s14_" hidden="1">{#N/A,#N/A,FALSE,"UNIT";#N/A,#N/A,FALSE,"UNIT";#N/A,#N/A,FALSE,"계정"}</definedName>
    <definedName name="_39s17_" localSheetId="12" hidden="1">{#N/A,#N/A,FALSE,"UNIT";#N/A,#N/A,FALSE,"UNIT";#N/A,#N/A,FALSE,"계정"}</definedName>
    <definedName name="_39s17_" localSheetId="42" hidden="1">{#N/A,#N/A,FALSE,"UNIT";#N/A,#N/A,FALSE,"UNIT";#N/A,#N/A,FALSE,"계정"}</definedName>
    <definedName name="_39s17_" hidden="1">{#N/A,#N/A,FALSE,"UNIT";#N/A,#N/A,FALSE,"UNIT";#N/A,#N/A,FALSE,"계정"}</definedName>
    <definedName name="_3bb3_" localSheetId="45" hidden="1">{#N/A,#N/A,FALSE,"군산원가";#N/A,#N/A,FALSE,"팀별월별";#N/A,#N/A,FALSE,"타공정대체";#N/A,#N/A,FALSE,"기타경비";#N/A,#N/A,FALSE,"원료";#N/A,#N/A,FALSE,"연료"}</definedName>
    <definedName name="_3bb3_" localSheetId="42" hidden="1">{#N/A,#N/A,FALSE,"군산원가";#N/A,#N/A,FALSE,"팀별월별";#N/A,#N/A,FALSE,"타공정대체";#N/A,#N/A,FALSE,"기타경비";#N/A,#N/A,FALSE,"원료";#N/A,#N/A,FALSE,"연료"}</definedName>
    <definedName name="_3bb3_" hidden="1">{#N/A,#N/A,FALSE,"군산원가";#N/A,#N/A,FALSE,"팀별월별";#N/A,#N/A,FALSE,"타공정대체";#N/A,#N/A,FALSE,"기타경비";#N/A,#N/A,FALSE,"원료";#N/A,#N/A,FALSE,"연료"}</definedName>
    <definedName name="_4__123Graph_A차트_2" hidden="1">#REF!</definedName>
    <definedName name="_4_5_0__123Grap" localSheetId="30" hidden="1">#REF!</definedName>
    <definedName name="_4_5_0__123Grap" localSheetId="29" hidden="1">#REF!</definedName>
    <definedName name="_4_5_0__123Grap" localSheetId="33" hidden="1">#REF!</definedName>
    <definedName name="_4_5_0__123Grap" localSheetId="31" hidden="1">#REF!</definedName>
    <definedName name="_4_5_0__123Grap" hidden="1">#REF!</definedName>
    <definedName name="_4_7____123Graph_LB" localSheetId="30" hidden="1">#REF!</definedName>
    <definedName name="_4_7____123Graph_LB" localSheetId="29" hidden="1">#REF!</definedName>
    <definedName name="_4_7____123Graph_LB" localSheetId="33" hidden="1">#REF!</definedName>
    <definedName name="_4_7____123Graph_LB" localSheetId="31" hidden="1">#REF!</definedName>
    <definedName name="_4_7____123Graph_LB" localSheetId="32" hidden="1">#REF!</definedName>
    <definedName name="_4_7____123Graph_LB" hidden="1">#REF!</definedName>
    <definedName name="_42s2_" localSheetId="12" hidden="1">{#N/A,#N/A,FALSE,"UNIT";#N/A,#N/A,FALSE,"UNIT";#N/A,#N/A,FALSE,"계정"}</definedName>
    <definedName name="_42s2_" localSheetId="42" hidden="1">{#N/A,#N/A,FALSE,"UNIT";#N/A,#N/A,FALSE,"UNIT";#N/A,#N/A,FALSE,"계정"}</definedName>
    <definedName name="_42s2_" hidden="1">{#N/A,#N/A,FALSE,"UNIT";#N/A,#N/A,FALSE,"UNIT";#N/A,#N/A,FALSE,"계정"}</definedName>
    <definedName name="_44s16_" localSheetId="12" hidden="1">{#N/A,#N/A,FALSE,"UNIT";#N/A,#N/A,FALSE,"UNIT";#N/A,#N/A,FALSE,"계정"}</definedName>
    <definedName name="_44s16_" localSheetId="42" hidden="1">{#N/A,#N/A,FALSE,"UNIT";#N/A,#N/A,FALSE,"UNIT";#N/A,#N/A,FALSE,"계정"}</definedName>
    <definedName name="_44s16_" hidden="1">{#N/A,#N/A,FALSE,"UNIT";#N/A,#N/A,FALSE,"UNIT";#N/A,#N/A,FALSE,"계정"}</definedName>
    <definedName name="_45s3_" localSheetId="12" hidden="1">{#N/A,#N/A,FALSE,"UNIT";#N/A,#N/A,FALSE,"UNIT";#N/A,#N/A,FALSE,"계정"}</definedName>
    <definedName name="_45s3_" localSheetId="42" hidden="1">{#N/A,#N/A,FALSE,"UNIT";#N/A,#N/A,FALSE,"UNIT";#N/A,#N/A,FALSE,"계정"}</definedName>
    <definedName name="_45s3_" hidden="1">{#N/A,#N/A,FALSE,"UNIT";#N/A,#N/A,FALSE,"UNIT";#N/A,#N/A,FALSE,"계정"}</definedName>
    <definedName name="_48s4_" localSheetId="12" hidden="1">{#N/A,#N/A,FALSE,"UNIT";#N/A,#N/A,FALSE,"UNIT";#N/A,#N/A,FALSE,"계정"}</definedName>
    <definedName name="_48s4_" localSheetId="42" hidden="1">{#N/A,#N/A,FALSE,"UNIT";#N/A,#N/A,FALSE,"UNIT";#N/A,#N/A,FALSE,"계정"}</definedName>
    <definedName name="_48s4_" hidden="1">{#N/A,#N/A,FALSE,"UNIT";#N/A,#N/A,FALSE,"UNIT";#N/A,#N/A,FALSE,"계정"}</definedName>
    <definedName name="_4bb4_" localSheetId="45" hidden="1">{#N/A,#N/A,FALSE,"98소지이동TOTvs99.1 (2)";#N/A,#N/A,FALSE,"TOTAL";#N/A,#N/A,FALSE,"98소지이동TOTvs99.1(b) (2)"}</definedName>
    <definedName name="_4bb4_" localSheetId="42" hidden="1">{#N/A,#N/A,FALSE,"98소지이동TOTvs99.1 (2)";#N/A,#N/A,FALSE,"TOTAL";#N/A,#N/A,FALSE,"98소지이동TOTvs99.1(b) (2)"}</definedName>
    <definedName name="_4bb4_" hidden="1">{#N/A,#N/A,FALSE,"98소지이동TOTvs99.1 (2)";#N/A,#N/A,FALSE,"TOTAL";#N/A,#N/A,FALSE,"98소지이동TOTvs99.1(b) (2)"}</definedName>
    <definedName name="_5__123Graph_A차트_1" hidden="1">#REF!</definedName>
    <definedName name="_5__123Graph_A차트_3" hidden="1">#REF!</definedName>
    <definedName name="_5_7____123Grap" localSheetId="30" hidden="1">#REF!</definedName>
    <definedName name="_5_7____123Grap" localSheetId="29" hidden="1">#REF!</definedName>
    <definedName name="_5_7____123Grap" localSheetId="33" hidden="1">#REF!</definedName>
    <definedName name="_5_7____123Grap" localSheetId="31" hidden="1">#REF!</definedName>
    <definedName name="_5_7____123Grap" hidden="1">#REF!</definedName>
    <definedName name="_5_7_0__123Grap" localSheetId="30" hidden="1">#REF!</definedName>
    <definedName name="_5_7_0__123Grap" localSheetId="29" hidden="1">#REF!</definedName>
    <definedName name="_5_7_0__123Grap" localSheetId="33" hidden="1">#REF!</definedName>
    <definedName name="_5_7_0__123Grap" localSheetId="31" hidden="1">#REF!</definedName>
    <definedName name="_5_7_0__123Grap" localSheetId="32" hidden="1">#REF!</definedName>
    <definedName name="_5_7_0__123Grap" hidden="1">#REF!</definedName>
    <definedName name="_50s17_" localSheetId="12" hidden="1">{#N/A,#N/A,FALSE,"UNIT";#N/A,#N/A,FALSE,"UNIT";#N/A,#N/A,FALSE,"계정"}</definedName>
    <definedName name="_50s17_" localSheetId="42" hidden="1">{#N/A,#N/A,FALSE,"UNIT";#N/A,#N/A,FALSE,"UNIT";#N/A,#N/A,FALSE,"계정"}</definedName>
    <definedName name="_50s17_" hidden="1">{#N/A,#N/A,FALSE,"UNIT";#N/A,#N/A,FALSE,"UNIT";#N/A,#N/A,FALSE,"계정"}</definedName>
    <definedName name="_51s5_" localSheetId="12" hidden="1">{#N/A,#N/A,FALSE,"UNIT";#N/A,#N/A,FALSE,"UNIT";#N/A,#N/A,FALSE,"계정"}</definedName>
    <definedName name="_51s5_" localSheetId="42" hidden="1">{#N/A,#N/A,FALSE,"UNIT";#N/A,#N/A,FALSE,"UNIT";#N/A,#N/A,FALSE,"계정"}</definedName>
    <definedName name="_51s5_" hidden="1">{#N/A,#N/A,FALSE,"UNIT";#N/A,#N/A,FALSE,"UNIT";#N/A,#N/A,FALSE,"계정"}</definedName>
    <definedName name="_54s6_" localSheetId="12" hidden="1">{#N/A,#N/A,FALSE,"UNIT";#N/A,#N/A,FALSE,"UNIT";#N/A,#N/A,FALSE,"계정"}</definedName>
    <definedName name="_54s6_" localSheetId="42" hidden="1">{#N/A,#N/A,FALSE,"UNIT";#N/A,#N/A,FALSE,"UNIT";#N/A,#N/A,FALSE,"계정"}</definedName>
    <definedName name="_54s6_" hidden="1">{#N/A,#N/A,FALSE,"UNIT";#N/A,#N/A,FALSE,"UNIT";#N/A,#N/A,FALSE,"계정"}</definedName>
    <definedName name="_56s2_" localSheetId="12" hidden="1">{#N/A,#N/A,FALSE,"UNIT";#N/A,#N/A,FALSE,"UNIT";#N/A,#N/A,FALSE,"계정"}</definedName>
    <definedName name="_56s2_" localSheetId="42" hidden="1">{#N/A,#N/A,FALSE,"UNIT";#N/A,#N/A,FALSE,"UNIT";#N/A,#N/A,FALSE,"계정"}</definedName>
    <definedName name="_56s2_" hidden="1">{#N/A,#N/A,FALSE,"UNIT";#N/A,#N/A,FALSE,"UNIT";#N/A,#N/A,FALSE,"계정"}</definedName>
    <definedName name="_57s9_" localSheetId="12" hidden="1">{#N/A,#N/A,FALSE,"UNIT";#N/A,#N/A,FALSE,"UNIT";#N/A,#N/A,FALSE,"계정"}</definedName>
    <definedName name="_57s9_" localSheetId="42" hidden="1">{#N/A,#N/A,FALSE,"UNIT";#N/A,#N/A,FALSE,"UNIT";#N/A,#N/A,FALSE,"계정"}</definedName>
    <definedName name="_57s9_" hidden="1">{#N/A,#N/A,FALSE,"UNIT";#N/A,#N/A,FALSE,"UNIT";#N/A,#N/A,FALSE,"계정"}</definedName>
    <definedName name="_5bb5_" localSheetId="45" hidden="1">{#N/A,#N/A,FALSE,"98소지이동TOTvs99.1 (2)";#N/A,#N/A,FALSE,"TOTAL";#N/A,#N/A,FALSE,"98소지이동TOTvs99.1(b) (2)"}</definedName>
    <definedName name="_5bb5_" localSheetId="42" hidden="1">{#N/A,#N/A,FALSE,"98소지이동TOTvs99.1 (2)";#N/A,#N/A,FALSE,"TOTAL";#N/A,#N/A,FALSE,"98소지이동TOTvs99.1(b) (2)"}</definedName>
    <definedName name="_5bb5_" hidden="1">{#N/A,#N/A,FALSE,"98소지이동TOTvs99.1 (2)";#N/A,#N/A,FALSE,"TOTAL";#N/A,#N/A,FALSE,"98소지이동TOTvs99.1(b) (2)"}</definedName>
    <definedName name="_6__123Graph_A차트_2" hidden="1">#REF!</definedName>
    <definedName name="_6__123Graph_A차트_4" hidden="1">#REF!</definedName>
    <definedName name="_6_7____123Graph_LB" localSheetId="30" hidden="1">#REF!</definedName>
    <definedName name="_6_7____123Graph_LB" localSheetId="29" hidden="1">#REF!</definedName>
    <definedName name="_6_7____123Graph_LB" localSheetId="33" hidden="1">#REF!</definedName>
    <definedName name="_6_7____123Graph_LB" localSheetId="31" hidden="1">#REF!</definedName>
    <definedName name="_6_7____123Graph_LB" hidden="1">#REF!</definedName>
    <definedName name="_6_7_0__123Graph_LB" localSheetId="30" hidden="1">#REF!</definedName>
    <definedName name="_6_7_0__123Graph_LB" localSheetId="29" hidden="1">#REF!</definedName>
    <definedName name="_6_7_0__123Graph_LB" localSheetId="33" hidden="1">#REF!</definedName>
    <definedName name="_6_7_0__123Graph_LB" localSheetId="31" hidden="1">#REF!</definedName>
    <definedName name="_6_7_0__123Graph_LB" localSheetId="32" hidden="1">#REF!</definedName>
    <definedName name="_6_7_0__123Graph_LB" hidden="1">#REF!</definedName>
    <definedName name="_62s3_" localSheetId="12" hidden="1">{#N/A,#N/A,FALSE,"UNIT";#N/A,#N/A,FALSE,"UNIT";#N/A,#N/A,FALSE,"계정"}</definedName>
    <definedName name="_62s3_" localSheetId="42" hidden="1">{#N/A,#N/A,FALSE,"UNIT";#N/A,#N/A,FALSE,"UNIT";#N/A,#N/A,FALSE,"계정"}</definedName>
    <definedName name="_62s3_" hidden="1">{#N/A,#N/A,FALSE,"UNIT";#N/A,#N/A,FALSE,"UNIT";#N/A,#N/A,FALSE,"계정"}</definedName>
    <definedName name="_68s4_" localSheetId="12" hidden="1">{#N/A,#N/A,FALSE,"UNIT";#N/A,#N/A,FALSE,"UNIT";#N/A,#N/A,FALSE,"계정"}</definedName>
    <definedName name="_68s4_" localSheetId="42" hidden="1">{#N/A,#N/A,FALSE,"UNIT";#N/A,#N/A,FALSE,"UNIT";#N/A,#N/A,FALSE,"계정"}</definedName>
    <definedName name="_68s4_" hidden="1">{#N/A,#N/A,FALSE,"UNIT";#N/A,#N/A,FALSE,"UNIT";#N/A,#N/A,FALSE,"계정"}</definedName>
    <definedName name="_6bb6_" localSheetId="45" hidden="1">{#N/A,#N/A,FALSE,"98소지이동TOTvs99.1 (2)";#N/A,#N/A,FALSE,"TOTAL";#N/A,#N/A,FALSE,"98소지이동TOTvs99.1(b) (2)"}</definedName>
    <definedName name="_6bb6_" localSheetId="42" hidden="1">{#N/A,#N/A,FALSE,"98소지이동TOTvs99.1 (2)";#N/A,#N/A,FALSE,"TOTAL";#N/A,#N/A,FALSE,"98소지이동TOTvs99.1(b) (2)"}</definedName>
    <definedName name="_6bb6_" hidden="1">{#N/A,#N/A,FALSE,"98소지이동TOTvs99.1 (2)";#N/A,#N/A,FALSE,"TOTAL";#N/A,#N/A,FALSE,"98소지이동TOTvs99.1(b) (2)"}</definedName>
    <definedName name="_7__123Graph_A차트_3" hidden="1">#REF!</definedName>
    <definedName name="_7__123Graph_A차트_5" hidden="1">#REF!</definedName>
    <definedName name="_7_7_0__123Grap" localSheetId="30" hidden="1">#REF!</definedName>
    <definedName name="_7_7_0__123Grap" localSheetId="29" hidden="1">#REF!</definedName>
    <definedName name="_7_7_0__123Grap" localSheetId="33" hidden="1">#REF!</definedName>
    <definedName name="_7_7_0__123Grap" localSheetId="31" hidden="1">#REF!</definedName>
    <definedName name="_7_7_0__123Grap" hidden="1">#REF!</definedName>
    <definedName name="_7_9____123Grap" localSheetId="30" hidden="1">#REF!</definedName>
    <definedName name="_7_9____123Grap" localSheetId="29" hidden="1">#REF!</definedName>
    <definedName name="_7_9____123Grap" localSheetId="33" hidden="1">#REF!</definedName>
    <definedName name="_7_9____123Grap" localSheetId="31" hidden="1">#REF!</definedName>
    <definedName name="_7_9____123Grap" localSheetId="32" hidden="1">#REF!</definedName>
    <definedName name="_7_9____123Grap" hidden="1">#REF!</definedName>
    <definedName name="_74s5_" localSheetId="12" hidden="1">{#N/A,#N/A,FALSE,"UNIT";#N/A,#N/A,FALSE,"UNIT";#N/A,#N/A,FALSE,"계정"}</definedName>
    <definedName name="_74s5_" localSheetId="42" hidden="1">{#N/A,#N/A,FALSE,"UNIT";#N/A,#N/A,FALSE,"UNIT";#N/A,#N/A,FALSE,"계정"}</definedName>
    <definedName name="_74s5_" hidden="1">{#N/A,#N/A,FALSE,"UNIT";#N/A,#N/A,FALSE,"UNIT";#N/A,#N/A,FALSE,"계정"}</definedName>
    <definedName name="_7bb7_" localSheetId="45" hidden="1">{#N/A,#N/A,FALSE,"98소지이동TOTvs99.1 (2)";#N/A,#N/A,FALSE,"TOTAL";#N/A,#N/A,FALSE,"98소지이동TOTvs99.1(b) (2)"}</definedName>
    <definedName name="_7bb7_" localSheetId="42" hidden="1">{#N/A,#N/A,FALSE,"98소지이동TOTvs99.1 (2)";#N/A,#N/A,FALSE,"TOTAL";#N/A,#N/A,FALSE,"98소지이동TOTvs99.1(b) (2)"}</definedName>
    <definedName name="_7bb7_" hidden="1">{#N/A,#N/A,FALSE,"98소지이동TOTvs99.1 (2)";#N/A,#N/A,FALSE,"TOTAL";#N/A,#N/A,FALSE,"98소지이동TOTvs99.1(b) (2)"}</definedName>
    <definedName name="_8__123Graph_A차트_4" hidden="1">#REF!</definedName>
    <definedName name="_8__123Graph_A차트_6" hidden="1">#REF!</definedName>
    <definedName name="_8_7_0__123Graph_LB" localSheetId="30" hidden="1">#REF!</definedName>
    <definedName name="_8_7_0__123Graph_LB" localSheetId="29" hidden="1">#REF!</definedName>
    <definedName name="_8_7_0__123Graph_LB" localSheetId="33" hidden="1">#REF!</definedName>
    <definedName name="_8_7_0__123Graph_LB" localSheetId="31" hidden="1">#REF!</definedName>
    <definedName name="_8_7_0__123Graph_LB" hidden="1">#REF!</definedName>
    <definedName name="_8_9____123Graph_LB" localSheetId="30" hidden="1">#REF!</definedName>
    <definedName name="_8_9____123Graph_LB" localSheetId="29" hidden="1">#REF!</definedName>
    <definedName name="_8_9____123Graph_LB" localSheetId="33" hidden="1">#REF!</definedName>
    <definedName name="_8_9____123Graph_LB" localSheetId="31" hidden="1">#REF!</definedName>
    <definedName name="_8_9____123Graph_LB" localSheetId="32" hidden="1">#REF!</definedName>
    <definedName name="_8_9____123Graph_LB" hidden="1">#REF!</definedName>
    <definedName name="_80s6_" localSheetId="12" hidden="1">{#N/A,#N/A,FALSE,"UNIT";#N/A,#N/A,FALSE,"UNIT";#N/A,#N/A,FALSE,"계정"}</definedName>
    <definedName name="_80s6_" localSheetId="42" hidden="1">{#N/A,#N/A,FALSE,"UNIT";#N/A,#N/A,FALSE,"UNIT";#N/A,#N/A,FALSE,"계정"}</definedName>
    <definedName name="_80s6_" hidden="1">{#N/A,#N/A,FALSE,"UNIT";#N/A,#N/A,FALSE,"UNIT";#N/A,#N/A,FALSE,"계정"}</definedName>
    <definedName name="_86s9_" localSheetId="12" hidden="1">{#N/A,#N/A,FALSE,"UNIT";#N/A,#N/A,FALSE,"UNIT";#N/A,#N/A,FALSE,"계정"}</definedName>
    <definedName name="_86s9_" localSheetId="42" hidden="1">{#N/A,#N/A,FALSE,"UNIT";#N/A,#N/A,FALSE,"UNIT";#N/A,#N/A,FALSE,"계정"}</definedName>
    <definedName name="_86s9_" hidden="1">{#N/A,#N/A,FALSE,"UNIT";#N/A,#N/A,FALSE,"UNIT";#N/A,#N/A,FALSE,"계정"}</definedName>
    <definedName name="_8bb8_" localSheetId="45" hidden="1">{#N/A,#N/A,FALSE,"군산원가";#N/A,#N/A,FALSE,"팀별월별";#N/A,#N/A,FALSE,"타공정대체";#N/A,#N/A,FALSE,"기타경비";#N/A,#N/A,FALSE,"원료";#N/A,#N/A,FALSE,"연료"}</definedName>
    <definedName name="_8bb8_" localSheetId="42" hidden="1">{#N/A,#N/A,FALSE,"군산원가";#N/A,#N/A,FALSE,"팀별월별";#N/A,#N/A,FALSE,"타공정대체";#N/A,#N/A,FALSE,"기타경비";#N/A,#N/A,FALSE,"원료";#N/A,#N/A,FALSE,"연료"}</definedName>
    <definedName name="_8bb8_" hidden="1">{#N/A,#N/A,FALSE,"군산원가";#N/A,#N/A,FALSE,"팀별월별";#N/A,#N/A,FALSE,"타공정대체";#N/A,#N/A,FALSE,"기타경비";#N/A,#N/A,FALSE,"원료";#N/A,#N/A,FALSE,"연료"}</definedName>
    <definedName name="_8s1_" localSheetId="12" hidden="1">{#N/A,#N/A,FALSE,"UNIT";#N/A,#N/A,FALSE,"UNIT";#N/A,#N/A,FALSE,"계정"}</definedName>
    <definedName name="_8s1_" localSheetId="42" hidden="1">{#N/A,#N/A,FALSE,"UNIT";#N/A,#N/A,FALSE,"UNIT";#N/A,#N/A,FALSE,"계정"}</definedName>
    <definedName name="_8s1_" hidden="1">{#N/A,#N/A,FALSE,"UNIT";#N/A,#N/A,FALSE,"UNIT";#N/A,#N/A,FALSE,"계정"}</definedName>
    <definedName name="_9__123Graph_A차트_5" hidden="1">#REF!</definedName>
    <definedName name="_9__123Graph_A차트_7" hidden="1">#REF!</definedName>
    <definedName name="_9_9____123Grap" localSheetId="30" hidden="1">#REF!</definedName>
    <definedName name="_9_9____123Grap" localSheetId="29" hidden="1">#REF!</definedName>
    <definedName name="_9_9____123Grap" localSheetId="33" hidden="1">#REF!</definedName>
    <definedName name="_9_9____123Grap" localSheetId="31" hidden="1">#REF!</definedName>
    <definedName name="_9_9____123Grap" hidden="1">#REF!</definedName>
    <definedName name="_9_9_0__123Grap" localSheetId="30" hidden="1">#REF!</definedName>
    <definedName name="_9_9_0__123Grap" localSheetId="29" hidden="1">#REF!</definedName>
    <definedName name="_9_9_0__123Grap" localSheetId="33" hidden="1">#REF!</definedName>
    <definedName name="_9_9_0__123Grap" localSheetId="31" hidden="1">#REF!</definedName>
    <definedName name="_9_9_0__123Grap" localSheetId="32" hidden="1">#REF!</definedName>
    <definedName name="_9_9_0__123Grap" hidden="1">#REF!</definedName>
    <definedName name="_94_0_0_K" localSheetId="30" hidden="1">#REF!</definedName>
    <definedName name="_94_0_0_K" localSheetId="29" hidden="1">#REF!</definedName>
    <definedName name="_94_0_0_K" localSheetId="33" hidden="1">#REF!</definedName>
    <definedName name="_94_0_0_K" localSheetId="31" hidden="1">#REF!</definedName>
    <definedName name="_94_0_0_K" localSheetId="32" hidden="1">#REF!</definedName>
    <definedName name="_94_0_0_K" hidden="1">#REF!</definedName>
    <definedName name="_9bb9_" localSheetId="45" hidden="1">{#N/A,#N/A,FALSE,"군산원가";#N/A,#N/A,FALSE,"팀별월별";#N/A,#N/A,FALSE,"타공정대체";#N/A,#N/A,FALSE,"기타경비";#N/A,#N/A,FALSE,"원료";#N/A,#N/A,FALSE,"연료"}</definedName>
    <definedName name="_9bb9_" localSheetId="42" hidden="1">{#N/A,#N/A,FALSE,"군산원가";#N/A,#N/A,FALSE,"팀별월별";#N/A,#N/A,FALSE,"타공정대체";#N/A,#N/A,FALSE,"기타경비";#N/A,#N/A,FALSE,"원료";#N/A,#N/A,FALSE,"연료"}</definedName>
    <definedName name="_9bb9_" hidden="1">{#N/A,#N/A,FALSE,"군산원가";#N/A,#N/A,FALSE,"팀별월별";#N/A,#N/A,FALSE,"타공정대체";#N/A,#N/A,FALSE,"기타경비";#N/A,#N/A,FALSE,"원료";#N/A,#N/A,FALSE,"연료"}</definedName>
    <definedName name="_a2" localSheetId="12" hidden="1">#REF!</definedName>
    <definedName name="_a2" localSheetId="30" hidden="1">#REF!</definedName>
    <definedName name="_a2" localSheetId="29" hidden="1">#REF!</definedName>
    <definedName name="_a2" localSheetId="33" hidden="1">#REF!</definedName>
    <definedName name="_a2" localSheetId="31" hidden="1">#REF!</definedName>
    <definedName name="_a2" hidden="1">#REF!</definedName>
    <definedName name="_bb1" localSheetId="45" hidden="1">{#N/A,#N/A,FALSE,"98소지이동TOTvs99.1 (2)";#N/A,#N/A,FALSE,"TOTAL";#N/A,#N/A,FALSE,"98소지이동TOTvs99.1(b) (2)"}</definedName>
    <definedName name="_bb1" localSheetId="42" hidden="1">{#N/A,#N/A,FALSE,"98소지이동TOTvs99.1 (2)";#N/A,#N/A,FALSE,"TOTAL";#N/A,#N/A,FALSE,"98소지이동TOTvs99.1(b) (2)"}</definedName>
    <definedName name="_bb1" hidden="1">{#N/A,#N/A,FALSE,"98소지이동TOTvs99.1 (2)";#N/A,#N/A,FALSE,"TOTAL";#N/A,#N/A,FALSE,"98소지이동TOTvs99.1(b) (2)"}</definedName>
    <definedName name="_bb2" localSheetId="45" hidden="1">{#N/A,#N/A,FALSE,"98소지이동TOTvs99.1 (2)";#N/A,#N/A,FALSE,"TOTAL";#N/A,#N/A,FALSE,"98소지이동TOTvs99.1(b) (2)"}</definedName>
    <definedName name="_bb2" localSheetId="42" hidden="1">{#N/A,#N/A,FALSE,"98소지이동TOTvs99.1 (2)";#N/A,#N/A,FALSE,"TOTAL";#N/A,#N/A,FALSE,"98소지이동TOTvs99.1(b) (2)"}</definedName>
    <definedName name="_bb2" hidden="1">{#N/A,#N/A,FALSE,"98소지이동TOTvs99.1 (2)";#N/A,#N/A,FALSE,"TOTAL";#N/A,#N/A,FALSE,"98소지이동TOTvs99.1(b) (2)"}</definedName>
    <definedName name="_bb3" localSheetId="45" hidden="1">{#N/A,#N/A,FALSE,"군산원가";#N/A,#N/A,FALSE,"팀별월별";#N/A,#N/A,FALSE,"타공정대체";#N/A,#N/A,FALSE,"기타경비";#N/A,#N/A,FALSE,"원료";#N/A,#N/A,FALSE,"연료"}</definedName>
    <definedName name="_bb3" localSheetId="42" hidden="1">{#N/A,#N/A,FALSE,"군산원가";#N/A,#N/A,FALSE,"팀별월별";#N/A,#N/A,FALSE,"타공정대체";#N/A,#N/A,FALSE,"기타경비";#N/A,#N/A,FALSE,"원료";#N/A,#N/A,FALSE,"연료"}</definedName>
    <definedName name="_bb3" hidden="1">{#N/A,#N/A,FALSE,"군산원가";#N/A,#N/A,FALSE,"팀별월별";#N/A,#N/A,FALSE,"타공정대체";#N/A,#N/A,FALSE,"기타경비";#N/A,#N/A,FALSE,"원료";#N/A,#N/A,FALSE,"연료"}</definedName>
    <definedName name="_bb4" localSheetId="45" hidden="1">{#N/A,#N/A,FALSE,"98소지이동TOTvs99.1 (2)";#N/A,#N/A,FALSE,"TOTAL";#N/A,#N/A,FALSE,"98소지이동TOTvs99.1(b) (2)"}</definedName>
    <definedName name="_bb4" localSheetId="42" hidden="1">{#N/A,#N/A,FALSE,"98소지이동TOTvs99.1 (2)";#N/A,#N/A,FALSE,"TOTAL";#N/A,#N/A,FALSE,"98소지이동TOTvs99.1(b) (2)"}</definedName>
    <definedName name="_bb4" hidden="1">{#N/A,#N/A,FALSE,"98소지이동TOTvs99.1 (2)";#N/A,#N/A,FALSE,"TOTAL";#N/A,#N/A,FALSE,"98소지이동TOTvs99.1(b) (2)"}</definedName>
    <definedName name="_bb5" localSheetId="45" hidden="1">{#N/A,#N/A,FALSE,"98소지이동TOTvs99.1 (2)";#N/A,#N/A,FALSE,"TOTAL";#N/A,#N/A,FALSE,"98소지이동TOTvs99.1(b) (2)"}</definedName>
    <definedName name="_bb5" localSheetId="42" hidden="1">{#N/A,#N/A,FALSE,"98소지이동TOTvs99.1 (2)";#N/A,#N/A,FALSE,"TOTAL";#N/A,#N/A,FALSE,"98소지이동TOTvs99.1(b) (2)"}</definedName>
    <definedName name="_bb5" hidden="1">{#N/A,#N/A,FALSE,"98소지이동TOTvs99.1 (2)";#N/A,#N/A,FALSE,"TOTAL";#N/A,#N/A,FALSE,"98소지이동TOTvs99.1(b) (2)"}</definedName>
    <definedName name="_bb6" localSheetId="45" hidden="1">{#N/A,#N/A,FALSE,"98소지이동TOTvs99.1 (2)";#N/A,#N/A,FALSE,"TOTAL";#N/A,#N/A,FALSE,"98소지이동TOTvs99.1(b) (2)"}</definedName>
    <definedName name="_bb6" localSheetId="42" hidden="1">{#N/A,#N/A,FALSE,"98소지이동TOTvs99.1 (2)";#N/A,#N/A,FALSE,"TOTAL";#N/A,#N/A,FALSE,"98소지이동TOTvs99.1(b) (2)"}</definedName>
    <definedName name="_bb6" hidden="1">{#N/A,#N/A,FALSE,"98소지이동TOTvs99.1 (2)";#N/A,#N/A,FALSE,"TOTAL";#N/A,#N/A,FALSE,"98소지이동TOTvs99.1(b) (2)"}</definedName>
    <definedName name="_bb7" localSheetId="45" hidden="1">{#N/A,#N/A,FALSE,"98소지이동TOTvs99.1 (2)";#N/A,#N/A,FALSE,"TOTAL";#N/A,#N/A,FALSE,"98소지이동TOTvs99.1(b) (2)"}</definedName>
    <definedName name="_bb7" localSheetId="42" hidden="1">{#N/A,#N/A,FALSE,"98소지이동TOTvs99.1 (2)";#N/A,#N/A,FALSE,"TOTAL";#N/A,#N/A,FALSE,"98소지이동TOTvs99.1(b) (2)"}</definedName>
    <definedName name="_bb7" hidden="1">{#N/A,#N/A,FALSE,"98소지이동TOTvs99.1 (2)";#N/A,#N/A,FALSE,"TOTAL";#N/A,#N/A,FALSE,"98소지이동TOTvs99.1(b) (2)"}</definedName>
    <definedName name="_bb8" localSheetId="45" hidden="1">{#N/A,#N/A,FALSE,"군산원가";#N/A,#N/A,FALSE,"팀별월별";#N/A,#N/A,FALSE,"타공정대체";#N/A,#N/A,FALSE,"기타경비";#N/A,#N/A,FALSE,"원료";#N/A,#N/A,FALSE,"연료"}</definedName>
    <definedName name="_bb8" localSheetId="42" hidden="1">{#N/A,#N/A,FALSE,"군산원가";#N/A,#N/A,FALSE,"팀별월별";#N/A,#N/A,FALSE,"타공정대체";#N/A,#N/A,FALSE,"기타경비";#N/A,#N/A,FALSE,"원료";#N/A,#N/A,FALSE,"연료"}</definedName>
    <definedName name="_bb8" hidden="1">{#N/A,#N/A,FALSE,"군산원가";#N/A,#N/A,FALSE,"팀별월별";#N/A,#N/A,FALSE,"타공정대체";#N/A,#N/A,FALSE,"기타경비";#N/A,#N/A,FALSE,"원료";#N/A,#N/A,FALSE,"연료"}</definedName>
    <definedName name="_bb9" localSheetId="45" hidden="1">{#N/A,#N/A,FALSE,"군산원가";#N/A,#N/A,FALSE,"팀별월별";#N/A,#N/A,FALSE,"타공정대체";#N/A,#N/A,FALSE,"기타경비";#N/A,#N/A,FALSE,"원료";#N/A,#N/A,FALSE,"연료"}</definedName>
    <definedName name="_bb9" localSheetId="42" hidden="1">{#N/A,#N/A,FALSE,"군산원가";#N/A,#N/A,FALSE,"팀별월별";#N/A,#N/A,FALSE,"타공정대체";#N/A,#N/A,FALSE,"기타경비";#N/A,#N/A,FALSE,"원료";#N/A,#N/A,FALSE,"연료"}</definedName>
    <definedName name="_bb9" hidden="1">{#N/A,#N/A,FALSE,"군산원가";#N/A,#N/A,FALSE,"팀별월별";#N/A,#N/A,FALSE,"타공정대체";#N/A,#N/A,FALSE,"기타경비";#N/A,#N/A,FALSE,"원료";#N/A,#N/A,FALSE,"연료"}</definedName>
    <definedName name="_cc1" localSheetId="45" hidden="1">{#N/A,#N/A,FALSE,"군산원가";#N/A,#N/A,FALSE,"팀별월별";#N/A,#N/A,FALSE,"타공정대체";#N/A,#N/A,FALSE,"기타경비";#N/A,#N/A,FALSE,"원료";#N/A,#N/A,FALSE,"연료"}</definedName>
    <definedName name="_cc1" localSheetId="42" hidden="1">{#N/A,#N/A,FALSE,"군산원가";#N/A,#N/A,FALSE,"팀별월별";#N/A,#N/A,FALSE,"타공정대체";#N/A,#N/A,FALSE,"기타경비";#N/A,#N/A,FALSE,"원료";#N/A,#N/A,FALSE,"연료"}</definedName>
    <definedName name="_cc1" hidden="1">{#N/A,#N/A,FALSE,"군산원가";#N/A,#N/A,FALSE,"팀별월별";#N/A,#N/A,FALSE,"타공정대체";#N/A,#N/A,FALSE,"기타경비";#N/A,#N/A,FALSE,"원료";#N/A,#N/A,FALSE,"연료"}</definedName>
    <definedName name="_cc2" localSheetId="45" hidden="1">{#N/A,#N/A,FALSE,"군산원가";#N/A,#N/A,FALSE,"팀별월별";#N/A,#N/A,FALSE,"타공정대체";#N/A,#N/A,FALSE,"기타경비";#N/A,#N/A,FALSE,"원료";#N/A,#N/A,FALSE,"연료"}</definedName>
    <definedName name="_cc2" localSheetId="42" hidden="1">{#N/A,#N/A,FALSE,"군산원가";#N/A,#N/A,FALSE,"팀별월별";#N/A,#N/A,FALSE,"타공정대체";#N/A,#N/A,FALSE,"기타경비";#N/A,#N/A,FALSE,"원료";#N/A,#N/A,FALSE,"연료"}</definedName>
    <definedName name="_cc2" hidden="1">{#N/A,#N/A,FALSE,"군산원가";#N/A,#N/A,FALSE,"팀별월별";#N/A,#N/A,FALSE,"타공정대체";#N/A,#N/A,FALSE,"기타경비";#N/A,#N/A,FALSE,"원료";#N/A,#N/A,FALSE,"연료"}</definedName>
    <definedName name="_cc3" localSheetId="45" hidden="1">{#N/A,#N/A,FALSE,"Yield";#N/A,#N/A,FALSE,"Loss1";#N/A,#N/A,FALSE,"Loss2";#N/A,#N/A,FALSE,"Hour-Labor(배분)";#N/A,#N/A,FALSE,"Capital Expenditure";#N/A,#N/A,FALSE,"Productivity"}</definedName>
    <definedName name="_cc3" localSheetId="42" hidden="1">{#N/A,#N/A,FALSE,"Yield";#N/A,#N/A,FALSE,"Loss1";#N/A,#N/A,FALSE,"Loss2";#N/A,#N/A,FALSE,"Hour-Labor(배분)";#N/A,#N/A,FALSE,"Capital Expenditure";#N/A,#N/A,FALSE,"Productivity"}</definedName>
    <definedName name="_cc3" hidden="1">{#N/A,#N/A,FALSE,"Yield";#N/A,#N/A,FALSE,"Loss1";#N/A,#N/A,FALSE,"Loss2";#N/A,#N/A,FALSE,"Hour-Labor(배분)";#N/A,#N/A,FALSE,"Capital Expenditure";#N/A,#N/A,FALSE,"Productivity"}</definedName>
    <definedName name="_cc4" localSheetId="45" hidden="1">{#N/A,#N/A,FALSE,"98소지이동TOTvs99.1 (2)";#N/A,#N/A,FALSE,"TOTAL";#N/A,#N/A,FALSE,"98소지이동TOTvs99.1(b) (2)"}</definedName>
    <definedName name="_cc4" localSheetId="42" hidden="1">{#N/A,#N/A,FALSE,"98소지이동TOTvs99.1 (2)";#N/A,#N/A,FALSE,"TOTAL";#N/A,#N/A,FALSE,"98소지이동TOTvs99.1(b) (2)"}</definedName>
    <definedName name="_cc4" hidden="1">{#N/A,#N/A,FALSE,"98소지이동TOTvs99.1 (2)";#N/A,#N/A,FALSE,"TOTAL";#N/A,#N/A,FALSE,"98소지이동TOTvs99.1(b) (2)"}</definedName>
    <definedName name="_cc5" localSheetId="45" hidden="1">{#N/A,#N/A,FALSE,"98소지이동TOTvs99.1 (2)";#N/A,#N/A,FALSE,"TOTAL";#N/A,#N/A,FALSE,"98소지이동TOTvs99.1(b) (2)"}</definedName>
    <definedName name="_cc5" localSheetId="42" hidden="1">{#N/A,#N/A,FALSE,"98소지이동TOTvs99.1 (2)";#N/A,#N/A,FALSE,"TOTAL";#N/A,#N/A,FALSE,"98소지이동TOTvs99.1(b) (2)"}</definedName>
    <definedName name="_cc5" hidden="1">{#N/A,#N/A,FALSE,"98소지이동TOTvs99.1 (2)";#N/A,#N/A,FALSE,"TOTAL";#N/A,#N/A,FALSE,"98소지이동TOTvs99.1(b) (2)"}</definedName>
    <definedName name="_cc6" localSheetId="45" hidden="1">{#N/A,#N/A,FALSE,"Yield";#N/A,#N/A,FALSE,"Loss1";#N/A,#N/A,FALSE,"Loss2";#N/A,#N/A,FALSE,"Hour-Labor(배분)";#N/A,#N/A,FALSE,"Capital Expenditure";#N/A,#N/A,FALSE,"Productivity"}</definedName>
    <definedName name="_cc6" localSheetId="42" hidden="1">{#N/A,#N/A,FALSE,"Yield";#N/A,#N/A,FALSE,"Loss1";#N/A,#N/A,FALSE,"Loss2";#N/A,#N/A,FALSE,"Hour-Labor(배분)";#N/A,#N/A,FALSE,"Capital Expenditure";#N/A,#N/A,FALSE,"Productivity"}</definedName>
    <definedName name="_cc6" hidden="1">{#N/A,#N/A,FALSE,"Yield";#N/A,#N/A,FALSE,"Loss1";#N/A,#N/A,FALSE,"Loss2";#N/A,#N/A,FALSE,"Hour-Labor(배분)";#N/A,#N/A,FALSE,"Capital Expenditure";#N/A,#N/A,FALSE,"Productivity"}</definedName>
    <definedName name="_cc7" localSheetId="45" hidden="1">{#N/A,#N/A,FALSE,"Yield";#N/A,#N/A,FALSE,"Loss1";#N/A,#N/A,FALSE,"Loss2";#N/A,#N/A,FALSE,"Hour-Labor(배분)";#N/A,#N/A,FALSE,"Capital Expenditure";#N/A,#N/A,FALSE,"Productivity"}</definedName>
    <definedName name="_cc7" localSheetId="42" hidden="1">{#N/A,#N/A,FALSE,"Yield";#N/A,#N/A,FALSE,"Loss1";#N/A,#N/A,FALSE,"Loss2";#N/A,#N/A,FALSE,"Hour-Labor(배분)";#N/A,#N/A,FALSE,"Capital Expenditure";#N/A,#N/A,FALSE,"Productivity"}</definedName>
    <definedName name="_cc7" hidden="1">{#N/A,#N/A,FALSE,"Yield";#N/A,#N/A,FALSE,"Loss1";#N/A,#N/A,FALSE,"Loss2";#N/A,#N/A,FALSE,"Hour-Labor(배분)";#N/A,#N/A,FALSE,"Capital Expenditure";#N/A,#N/A,FALSE,"Productivity"}</definedName>
    <definedName name="_cc8" localSheetId="45" hidden="1">{#N/A,#N/A,FALSE,"Yield";#N/A,#N/A,FALSE,"Loss1";#N/A,#N/A,FALSE,"Loss2";#N/A,#N/A,FALSE,"Hour-Labor(배분)";#N/A,#N/A,FALSE,"Capital Expenditure";#N/A,#N/A,FALSE,"Productivity"}</definedName>
    <definedName name="_cc8" localSheetId="42" hidden="1">{#N/A,#N/A,FALSE,"Yield";#N/A,#N/A,FALSE,"Loss1";#N/A,#N/A,FALSE,"Loss2";#N/A,#N/A,FALSE,"Hour-Labor(배분)";#N/A,#N/A,FALSE,"Capital Expenditure";#N/A,#N/A,FALSE,"Productivity"}</definedName>
    <definedName name="_cc8" hidden="1">{#N/A,#N/A,FALSE,"Yield";#N/A,#N/A,FALSE,"Loss1";#N/A,#N/A,FALSE,"Loss2";#N/A,#N/A,FALSE,"Hour-Labor(배분)";#N/A,#N/A,FALSE,"Capital Expenditure";#N/A,#N/A,FALSE,"Productivity"}</definedName>
    <definedName name="_cc9" localSheetId="45" hidden="1">{#N/A,#N/A,FALSE,"98소지이동TOTvs99.1 (2)";#N/A,#N/A,FALSE,"TOTAL";#N/A,#N/A,FALSE,"98소지이동TOTvs99.1(b) (2)"}</definedName>
    <definedName name="_cc9" localSheetId="42" hidden="1">{#N/A,#N/A,FALSE,"98소지이동TOTvs99.1 (2)";#N/A,#N/A,FALSE,"TOTAL";#N/A,#N/A,FALSE,"98소지이동TOTvs99.1(b) (2)"}</definedName>
    <definedName name="_cc9" hidden="1">{#N/A,#N/A,FALSE,"98소지이동TOTvs99.1 (2)";#N/A,#N/A,FALSE,"TOTAL";#N/A,#N/A,FALSE,"98소지이동TOTvs99.1(b) (2)"}</definedName>
    <definedName name="_D6" localSheetId="42" hidden="1">{"'표지'!$B$5"}</definedName>
    <definedName name="_D6" hidden="1">{"'표지'!$B$5"}</definedName>
    <definedName name="_Dist_Bin" localSheetId="12" hidden="1">#REF!</definedName>
    <definedName name="_Dist_Bin" localSheetId="30" hidden="1">#REF!</definedName>
    <definedName name="_Dist_Bin" localSheetId="29" hidden="1">#REF!</definedName>
    <definedName name="_Dist_Bin" localSheetId="33" hidden="1">#REF!</definedName>
    <definedName name="_Dist_Bin" localSheetId="15" hidden="1">#REF!</definedName>
    <definedName name="_Dist_Bin" localSheetId="31" hidden="1">#REF!</definedName>
    <definedName name="_Dist_Bin" localSheetId="6" hidden="1">#REF!</definedName>
    <definedName name="_Dist_Bin" localSheetId="32" hidden="1">#REF!</definedName>
    <definedName name="_Dist_Bin" localSheetId="42" hidden="1">#REF!</definedName>
    <definedName name="_Dist_Bin" hidden="1">#REF!</definedName>
    <definedName name="_Dist_Values" localSheetId="12" hidden="1">#REF!</definedName>
    <definedName name="_Dist_Values" localSheetId="30" hidden="1">#REF!</definedName>
    <definedName name="_Dist_Values" localSheetId="29" hidden="1">#REF!</definedName>
    <definedName name="_Dist_Values" localSheetId="33" hidden="1">#REF!</definedName>
    <definedName name="_Dist_Values" localSheetId="15" hidden="1">#REF!</definedName>
    <definedName name="_Dist_Values" localSheetId="31" hidden="1">#REF!</definedName>
    <definedName name="_Dist_Values" localSheetId="6" hidden="1">#REF!</definedName>
    <definedName name="_Dist_Values" localSheetId="32" hidden="1">#REF!</definedName>
    <definedName name="_Dist_Values" localSheetId="42" hidden="1">#REF!</definedName>
    <definedName name="_Dist_Values" hidden="1">#REF!</definedName>
    <definedName name="_Fill" localSheetId="12" hidden="1">#REF!</definedName>
    <definedName name="_Fill" localSheetId="30" hidden="1">#REF!</definedName>
    <definedName name="_Fill" localSheetId="29" hidden="1">#REF!</definedName>
    <definedName name="_Fill" localSheetId="33" hidden="1">#REF!</definedName>
    <definedName name="_Fill" localSheetId="15" hidden="1">#REF!</definedName>
    <definedName name="_Fill" localSheetId="31" hidden="1">#REF!</definedName>
    <definedName name="_Fill" localSheetId="6" hidden="1">#REF!</definedName>
    <definedName name="_Fill" localSheetId="32" hidden="1">#REF!</definedName>
    <definedName name="_Fill" localSheetId="42" hidden="1">#REF!</definedName>
    <definedName name="_Fill" hidden="1">#REF!</definedName>
    <definedName name="_xlnm._FilterDatabase" localSheetId="13" hidden="1">BS!$A$1:$AF$162</definedName>
    <definedName name="_xlnm._FilterDatabase" localSheetId="12" hidden="1">CF정산표!$B$7:$AH$172</definedName>
    <definedName name="_xlnm._FilterDatabase" localSheetId="14" hidden="1">PL!$A$4:$AD$122</definedName>
    <definedName name="_xlnm._FilterDatabase" localSheetId="27" hidden="1">RIC!$B$4:$I$86</definedName>
    <definedName name="_xlnm._FilterDatabase" localSheetId="38" hidden="1">RIT!$H$9:$Q$121</definedName>
    <definedName name="_xlnm._FilterDatabase" localSheetId="15" hidden="1">별도정산표!$A$3:$E$103</definedName>
    <definedName name="_xlnm._FilterDatabase" localSheetId="6" hidden="1">#REF!</definedName>
    <definedName name="_xlnm._FilterDatabase" localSheetId="42" hidden="1">#REF!</definedName>
    <definedName name="_xlnm._FilterDatabase" localSheetId="35" hidden="1">지분법및기타!$B$2:$I$75</definedName>
    <definedName name="_xlnm._FilterDatabase" localSheetId="34" hidden="1">환율변동효과!$A$12:$U$100</definedName>
    <definedName name="_xlnm._FilterDatabase" hidden="1">#REF!</definedName>
    <definedName name="_h1" localSheetId="42" hidden="1">{"'표지'!$B$5"}</definedName>
    <definedName name="_h1" hidden="1">{"'표지'!$B$5"}</definedName>
    <definedName name="_h2" localSheetId="42" hidden="1">{"'표지'!$B$5"}</definedName>
    <definedName name="_h2" hidden="1">{"'표지'!$B$5"}</definedName>
    <definedName name="_h3" localSheetId="42" hidden="1">{"'표지'!$B$5"}</definedName>
    <definedName name="_h3" hidden="1">{"'표지'!$B$5"}</definedName>
    <definedName name="_h4" localSheetId="42" hidden="1">{"'표지'!$B$5"}</definedName>
    <definedName name="_h4" hidden="1">{"'표지'!$B$5"}</definedName>
    <definedName name="_h5" localSheetId="42" hidden="1">{"'표지'!$B$5"}</definedName>
    <definedName name="_h5" hidden="1">{"'표지'!$B$5"}</definedName>
    <definedName name="_jh1" localSheetId="6" hidden="1">{#N/A,#N/A,FALSE,"Yield";#N/A,#N/A,FALSE,"Loss1";#N/A,#N/A,FALSE,"Loss2";#N/A,#N/A,FALSE,"Hour-Labor(배분)";#N/A,#N/A,FALSE,"Capital Expenditure";#N/A,#N/A,FALSE,"Productivity"}</definedName>
    <definedName name="_jh1" localSheetId="45" hidden="1">{#N/A,#N/A,FALSE,"Yield";#N/A,#N/A,FALSE,"Loss1";#N/A,#N/A,FALSE,"Loss2";#N/A,#N/A,FALSE,"Hour-Labor(배분)";#N/A,#N/A,FALSE,"Capital Expenditure";#N/A,#N/A,FALSE,"Productivity"}</definedName>
    <definedName name="_jh1" localSheetId="42" hidden="1">{#N/A,#N/A,FALSE,"Yield";#N/A,#N/A,FALSE,"Loss1";#N/A,#N/A,FALSE,"Loss2";#N/A,#N/A,FALSE,"Hour-Labor(배분)";#N/A,#N/A,FALSE,"Capital Expenditure";#N/A,#N/A,FALSE,"Productivity"}</definedName>
    <definedName name="_jh1" hidden="1">{#N/A,#N/A,FALSE,"Yield";#N/A,#N/A,FALSE,"Loss1";#N/A,#N/A,FALSE,"Loss2";#N/A,#N/A,FALSE,"Hour-Labor(배분)";#N/A,#N/A,FALSE,"Capital Expenditure";#N/A,#N/A,FALSE,"Productivity"}</definedName>
    <definedName name="_jh3" localSheetId="6"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jh3" localSheetId="45"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jh3" localSheetId="42"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jh3"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jh4" localSheetId="6" hidden="1">{#N/A,#N/A,FALSE,"Yield";#N/A,#N/A,FALSE,"Loss1";#N/A,#N/A,FALSE,"Loss2";#N/A,#N/A,FALSE,"Hour-Labor(배분)";#N/A,#N/A,FALSE,"Capital Expenditure";#N/A,#N/A,FALSE,"Productivity"}</definedName>
    <definedName name="_jh4" localSheetId="45" hidden="1">{#N/A,#N/A,FALSE,"Yield";#N/A,#N/A,FALSE,"Loss1";#N/A,#N/A,FALSE,"Loss2";#N/A,#N/A,FALSE,"Hour-Labor(배분)";#N/A,#N/A,FALSE,"Capital Expenditure";#N/A,#N/A,FALSE,"Productivity"}</definedName>
    <definedName name="_jh4" localSheetId="42" hidden="1">{#N/A,#N/A,FALSE,"Yield";#N/A,#N/A,FALSE,"Loss1";#N/A,#N/A,FALSE,"Loss2";#N/A,#N/A,FALSE,"Hour-Labor(배분)";#N/A,#N/A,FALSE,"Capital Expenditure";#N/A,#N/A,FALSE,"Productivity"}</definedName>
    <definedName name="_jh4" hidden="1">{#N/A,#N/A,FALSE,"Yield";#N/A,#N/A,FALSE,"Loss1";#N/A,#N/A,FALSE,"Loss2";#N/A,#N/A,FALSE,"Hour-Labor(배분)";#N/A,#N/A,FALSE,"Capital Expenditure";#N/A,#N/A,FALSE,"Productivity"}</definedName>
    <definedName name="_jh5" localSheetId="6" hidden="1">{#N/A,#N/A,FALSE,"98소지이동TOTvs99.1 (2)";#N/A,#N/A,FALSE,"TOTAL";#N/A,#N/A,FALSE,"98소지이동TOTvs99.1(b) (2)"}</definedName>
    <definedName name="_jh5" localSheetId="45" hidden="1">{#N/A,#N/A,FALSE,"98소지이동TOTvs99.1 (2)";#N/A,#N/A,FALSE,"TOTAL";#N/A,#N/A,FALSE,"98소지이동TOTvs99.1(b) (2)"}</definedName>
    <definedName name="_jh5" localSheetId="42" hidden="1">{#N/A,#N/A,FALSE,"98소지이동TOTvs99.1 (2)";#N/A,#N/A,FALSE,"TOTAL";#N/A,#N/A,FALSE,"98소지이동TOTvs99.1(b) (2)"}</definedName>
    <definedName name="_jh5" hidden="1">{#N/A,#N/A,FALSE,"98소지이동TOTvs99.1 (2)";#N/A,#N/A,FALSE,"TOTAL";#N/A,#N/A,FALSE,"98소지이동TOTvs99.1(b) (2)"}</definedName>
    <definedName name="_jj1" localSheetId="6"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jj1" localSheetId="45"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jj1" localSheetId="42"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jj1"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jj2" localSheetId="6" hidden="1">{#N/A,#N/A,FALSE,"Yield";#N/A,#N/A,FALSE,"Loss1";#N/A,#N/A,FALSE,"Loss2";#N/A,#N/A,FALSE,"Hour-Labor(배분)";#N/A,#N/A,FALSE,"Capital Expenditure";#N/A,#N/A,FALSE,"Productivity"}</definedName>
    <definedName name="_jj2" localSheetId="45" hidden="1">{#N/A,#N/A,FALSE,"Yield";#N/A,#N/A,FALSE,"Loss1";#N/A,#N/A,FALSE,"Loss2";#N/A,#N/A,FALSE,"Hour-Labor(배분)";#N/A,#N/A,FALSE,"Capital Expenditure";#N/A,#N/A,FALSE,"Productivity"}</definedName>
    <definedName name="_jj2" localSheetId="42" hidden="1">{#N/A,#N/A,FALSE,"Yield";#N/A,#N/A,FALSE,"Loss1";#N/A,#N/A,FALSE,"Loss2";#N/A,#N/A,FALSE,"Hour-Labor(배분)";#N/A,#N/A,FALSE,"Capital Expenditure";#N/A,#N/A,FALSE,"Productivity"}</definedName>
    <definedName name="_jj2" hidden="1">{#N/A,#N/A,FALSE,"Yield";#N/A,#N/A,FALSE,"Loss1";#N/A,#N/A,FALSE,"Loss2";#N/A,#N/A,FALSE,"Hour-Labor(배분)";#N/A,#N/A,FALSE,"Capital Expenditure";#N/A,#N/A,FALSE,"Productivity"}</definedName>
    <definedName name="_jj3" localSheetId="6" hidden="1">{#N/A,#N/A,FALSE,"군산원가";#N/A,#N/A,FALSE,"팀별월별";#N/A,#N/A,FALSE,"타공정대체";#N/A,#N/A,FALSE,"기타경비";#N/A,#N/A,FALSE,"원료";#N/A,#N/A,FALSE,"연료"}</definedName>
    <definedName name="_jj3" localSheetId="45" hidden="1">{#N/A,#N/A,FALSE,"군산원가";#N/A,#N/A,FALSE,"팀별월별";#N/A,#N/A,FALSE,"타공정대체";#N/A,#N/A,FALSE,"기타경비";#N/A,#N/A,FALSE,"원료";#N/A,#N/A,FALSE,"연료"}</definedName>
    <definedName name="_jj3" localSheetId="42" hidden="1">{#N/A,#N/A,FALSE,"군산원가";#N/A,#N/A,FALSE,"팀별월별";#N/A,#N/A,FALSE,"타공정대체";#N/A,#N/A,FALSE,"기타경비";#N/A,#N/A,FALSE,"원료";#N/A,#N/A,FALSE,"연료"}</definedName>
    <definedName name="_jj3" hidden="1">{#N/A,#N/A,FALSE,"군산원가";#N/A,#N/A,FALSE,"팀별월별";#N/A,#N/A,FALSE,"타공정대체";#N/A,#N/A,FALSE,"기타경비";#N/A,#N/A,FALSE,"원료";#N/A,#N/A,FALSE,"연료"}</definedName>
    <definedName name="_jj4" localSheetId="6"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jj4" localSheetId="45"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jj4" localSheetId="42"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jj4"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jj5" localSheetId="6"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jj5" localSheetId="45"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jj5" localSheetId="42"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jj5"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jj6" localSheetId="6" hidden="1">{#N/A,#N/A,FALSE,"Yield";#N/A,#N/A,FALSE,"Loss1";#N/A,#N/A,FALSE,"Loss2";#N/A,#N/A,FALSE,"Hour-Labor(배분)";#N/A,#N/A,FALSE,"Capital Expenditure";#N/A,#N/A,FALSE,"Productivity"}</definedName>
    <definedName name="_jj6" localSheetId="45" hidden="1">{#N/A,#N/A,FALSE,"Yield";#N/A,#N/A,FALSE,"Loss1";#N/A,#N/A,FALSE,"Loss2";#N/A,#N/A,FALSE,"Hour-Labor(배분)";#N/A,#N/A,FALSE,"Capital Expenditure";#N/A,#N/A,FALSE,"Productivity"}</definedName>
    <definedName name="_jj6" localSheetId="42" hidden="1">{#N/A,#N/A,FALSE,"Yield";#N/A,#N/A,FALSE,"Loss1";#N/A,#N/A,FALSE,"Loss2";#N/A,#N/A,FALSE,"Hour-Labor(배분)";#N/A,#N/A,FALSE,"Capital Expenditure";#N/A,#N/A,FALSE,"Productivity"}</definedName>
    <definedName name="_jj6" hidden="1">{#N/A,#N/A,FALSE,"Yield";#N/A,#N/A,FALSE,"Loss1";#N/A,#N/A,FALSE,"Loss2";#N/A,#N/A,FALSE,"Hour-Labor(배분)";#N/A,#N/A,FALSE,"Capital Expenditure";#N/A,#N/A,FALSE,"Productivity"}</definedName>
    <definedName name="_jj7" localSheetId="6" hidden="1">{#N/A,#N/A,FALSE,"98소지이동TOTvs99.1 (2)";#N/A,#N/A,FALSE,"TOTAL";#N/A,#N/A,FALSE,"98소지이동TOTvs99.1(b) (2)"}</definedName>
    <definedName name="_jj7" localSheetId="45" hidden="1">{#N/A,#N/A,FALSE,"98소지이동TOTvs99.1 (2)";#N/A,#N/A,FALSE,"TOTAL";#N/A,#N/A,FALSE,"98소지이동TOTvs99.1(b) (2)"}</definedName>
    <definedName name="_jj7" localSheetId="42" hidden="1">{#N/A,#N/A,FALSE,"98소지이동TOTvs99.1 (2)";#N/A,#N/A,FALSE,"TOTAL";#N/A,#N/A,FALSE,"98소지이동TOTvs99.1(b) (2)"}</definedName>
    <definedName name="_jj7" hidden="1">{#N/A,#N/A,FALSE,"98소지이동TOTvs99.1 (2)";#N/A,#N/A,FALSE,"TOTAL";#N/A,#N/A,FALSE,"98소지이동TOTvs99.1(b) (2)"}</definedName>
    <definedName name="_jyr6" localSheetId="4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jyr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Key1" localSheetId="12" hidden="1">#REF!</definedName>
    <definedName name="_Key1" localSheetId="30" hidden="1">#REF!</definedName>
    <definedName name="_Key1" localSheetId="29" hidden="1">#REF!</definedName>
    <definedName name="_Key1" localSheetId="33" hidden="1">#REF!</definedName>
    <definedName name="_Key1" localSheetId="15" hidden="1">#REF!</definedName>
    <definedName name="_Key1" localSheetId="31" hidden="1">#REF!</definedName>
    <definedName name="_Key1" localSheetId="6" hidden="1">#REF!</definedName>
    <definedName name="_Key1" localSheetId="32" hidden="1">#REF!</definedName>
    <definedName name="_Key1" localSheetId="42" hidden="1">#REF!</definedName>
    <definedName name="_Key1" hidden="1">#REF!</definedName>
    <definedName name="_key2" localSheetId="12" hidden="1">#REF!</definedName>
    <definedName name="_Key2" localSheetId="30" hidden="1">#REF!</definedName>
    <definedName name="_Key2" localSheetId="29" hidden="1">#REF!</definedName>
    <definedName name="_Key2" localSheetId="33" hidden="1">#REF!</definedName>
    <definedName name="_Key2" localSheetId="15" hidden="1">#REF!</definedName>
    <definedName name="_Key2" localSheetId="31" hidden="1">#REF!</definedName>
    <definedName name="_Key2" localSheetId="6" hidden="1">#REF!</definedName>
    <definedName name="_Key2" localSheetId="32" hidden="1">#REF!</definedName>
    <definedName name="_Key2" localSheetId="42" hidden="1">#REF!</definedName>
    <definedName name="_Key2" hidden="1">#REF!</definedName>
    <definedName name="_Key3" localSheetId="30" hidden="1">#REF!</definedName>
    <definedName name="_Key3" localSheetId="29" hidden="1">#REF!</definedName>
    <definedName name="_Key3" localSheetId="33" hidden="1">#REF!</definedName>
    <definedName name="_Key3" localSheetId="31" hidden="1">#REF!</definedName>
    <definedName name="_Key3" hidden="1">#REF!</definedName>
    <definedName name="_kl505" localSheetId="6" hidden="1">{#N/A,#N/A,FALSE,"군산원가";#N/A,#N/A,FALSE,"팀별월별";#N/A,#N/A,FALSE,"타공정대체";#N/A,#N/A,FALSE,"기타경비";#N/A,#N/A,FALSE,"원료";#N/A,#N/A,FALSE,"연료"}</definedName>
    <definedName name="_kl505" localSheetId="45" hidden="1">{#N/A,#N/A,FALSE,"군산원가";#N/A,#N/A,FALSE,"팀별월별";#N/A,#N/A,FALSE,"타공정대체";#N/A,#N/A,FALSE,"기타경비";#N/A,#N/A,FALSE,"원료";#N/A,#N/A,FALSE,"연료"}</definedName>
    <definedName name="_kl505" localSheetId="42" hidden="1">{#N/A,#N/A,FALSE,"군산원가";#N/A,#N/A,FALSE,"팀별월별";#N/A,#N/A,FALSE,"타공정대체";#N/A,#N/A,FALSE,"기타경비";#N/A,#N/A,FALSE,"원료";#N/A,#N/A,FALSE,"연료"}</definedName>
    <definedName name="_kl505" hidden="1">{#N/A,#N/A,FALSE,"군산원가";#N/A,#N/A,FALSE,"팀별월별";#N/A,#N/A,FALSE,"타공정대체";#N/A,#N/A,FALSE,"기타경비";#N/A,#N/A,FALSE,"원료";#N/A,#N/A,FALSE,"연료"}</definedName>
    <definedName name="_KTM10" localSheetId="12" hidden="1">{#N/A,#N/A,FALSE,"현장 NCR 분석";#N/A,#N/A,FALSE,"현장품질감사";#N/A,#N/A,FALSE,"현장품질감사"}</definedName>
    <definedName name="_KTM10" localSheetId="6" hidden="1">{#N/A,#N/A,FALSE,"현장 NCR 분석";#N/A,#N/A,FALSE,"현장품질감사";#N/A,#N/A,FALSE,"현장품질감사"}</definedName>
    <definedName name="_KTM10" localSheetId="45" hidden="1">{#N/A,#N/A,FALSE,"현장 NCR 분석";#N/A,#N/A,FALSE,"현장품질감사";#N/A,#N/A,FALSE,"현장품질감사"}</definedName>
    <definedName name="_KTM10" localSheetId="42" hidden="1">{#N/A,#N/A,FALSE,"현장 NCR 분석";#N/A,#N/A,FALSE,"현장품질감사";#N/A,#N/A,FALSE,"현장품질감사"}</definedName>
    <definedName name="_KTM10" hidden="1">{#N/A,#N/A,FALSE,"현장 NCR 분석";#N/A,#N/A,FALSE,"현장품질감사";#N/A,#N/A,FALSE,"현장품질감사"}</definedName>
    <definedName name="_LG2" localSheetId="42" hidden="1">{#N/A,#N/A,TRUE,"매출진척-1";#N/A,#N/A,TRUE,"매출진척-2";#N/A,#N/A,TRUE,"제품실적";#N/A,#N/A,TRUE,"RAC";#N/A,#N/A,TRUE,"PAC ";#N/A,#N/A,TRUE,"재고현황";#N/A,#N/A,TRUE,"공지사항"}</definedName>
    <definedName name="_LG2" hidden="1">{#N/A,#N/A,TRUE,"매출진척-1";#N/A,#N/A,TRUE,"매출진척-2";#N/A,#N/A,TRUE,"제품실적";#N/A,#N/A,TRUE,"RAC";#N/A,#N/A,TRUE,"PAC ";#N/A,#N/A,TRUE,"재고현황";#N/A,#N/A,TRUE,"공지사항"}</definedName>
    <definedName name="_ll1" localSheetId="6"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ll1" localSheetId="45"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ll1" localSheetId="42"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ll1"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ll2" localSheetId="6" hidden="1">{#N/A,#N/A,FALSE,"98소지이동TOTvs99.1 (2)";#N/A,#N/A,FALSE,"TOTAL";#N/A,#N/A,FALSE,"98소지이동TOTvs99.1(b) (2)"}</definedName>
    <definedName name="_ll2" localSheetId="45" hidden="1">{#N/A,#N/A,FALSE,"98소지이동TOTvs99.1 (2)";#N/A,#N/A,FALSE,"TOTAL";#N/A,#N/A,FALSE,"98소지이동TOTvs99.1(b) (2)"}</definedName>
    <definedName name="_ll2" localSheetId="42" hidden="1">{#N/A,#N/A,FALSE,"98소지이동TOTvs99.1 (2)";#N/A,#N/A,FALSE,"TOTAL";#N/A,#N/A,FALSE,"98소지이동TOTvs99.1(b) (2)"}</definedName>
    <definedName name="_ll2" hidden="1">{#N/A,#N/A,FALSE,"98소지이동TOTvs99.1 (2)";#N/A,#N/A,FALSE,"TOTAL";#N/A,#N/A,FALSE,"98소지이동TOTvs99.1(b) (2)"}</definedName>
    <definedName name="_ll3" localSheetId="6" hidden="1">{#N/A,#N/A,FALSE,"98소지이동TOTvs99.1 (2)";#N/A,#N/A,FALSE,"TOTAL";#N/A,#N/A,FALSE,"98소지이동TOTvs99.1(b) (2)"}</definedName>
    <definedName name="_ll3" localSheetId="45" hidden="1">{#N/A,#N/A,FALSE,"98소지이동TOTvs99.1 (2)";#N/A,#N/A,FALSE,"TOTAL";#N/A,#N/A,FALSE,"98소지이동TOTvs99.1(b) (2)"}</definedName>
    <definedName name="_ll3" localSheetId="42" hidden="1">{#N/A,#N/A,FALSE,"98소지이동TOTvs99.1 (2)";#N/A,#N/A,FALSE,"TOTAL";#N/A,#N/A,FALSE,"98소지이동TOTvs99.1(b) (2)"}</definedName>
    <definedName name="_ll3" hidden="1">{#N/A,#N/A,FALSE,"98소지이동TOTvs99.1 (2)";#N/A,#N/A,FALSE,"TOTAL";#N/A,#N/A,FALSE,"98소지이동TOTvs99.1(b) (2)"}</definedName>
    <definedName name="_ll4" localSheetId="6" hidden="1">{#N/A,#N/A,FALSE,"군산원가";#N/A,#N/A,FALSE,"팀별월별";#N/A,#N/A,FALSE,"타공정대체";#N/A,#N/A,FALSE,"기타경비";#N/A,#N/A,FALSE,"원료";#N/A,#N/A,FALSE,"연료"}</definedName>
    <definedName name="_ll4" localSheetId="45" hidden="1">{#N/A,#N/A,FALSE,"군산원가";#N/A,#N/A,FALSE,"팀별월별";#N/A,#N/A,FALSE,"타공정대체";#N/A,#N/A,FALSE,"기타경비";#N/A,#N/A,FALSE,"원료";#N/A,#N/A,FALSE,"연료"}</definedName>
    <definedName name="_ll4" localSheetId="42" hidden="1">{#N/A,#N/A,FALSE,"군산원가";#N/A,#N/A,FALSE,"팀별월별";#N/A,#N/A,FALSE,"타공정대체";#N/A,#N/A,FALSE,"기타경비";#N/A,#N/A,FALSE,"원료";#N/A,#N/A,FALSE,"연료"}</definedName>
    <definedName name="_ll4" hidden="1">{#N/A,#N/A,FALSE,"군산원가";#N/A,#N/A,FALSE,"팀별월별";#N/A,#N/A,FALSE,"타공정대체";#N/A,#N/A,FALSE,"기타경비";#N/A,#N/A,FALSE,"원료";#N/A,#N/A,FALSE,"연료"}</definedName>
    <definedName name="_ll5" localSheetId="6" hidden="1">{#N/A,#N/A,FALSE,"군산원가";#N/A,#N/A,FALSE,"팀별월별";#N/A,#N/A,FALSE,"타공정대체";#N/A,#N/A,FALSE,"기타경비";#N/A,#N/A,FALSE,"원료";#N/A,#N/A,FALSE,"연료"}</definedName>
    <definedName name="_ll5" localSheetId="45" hidden="1">{#N/A,#N/A,FALSE,"군산원가";#N/A,#N/A,FALSE,"팀별월별";#N/A,#N/A,FALSE,"타공정대체";#N/A,#N/A,FALSE,"기타경비";#N/A,#N/A,FALSE,"원료";#N/A,#N/A,FALSE,"연료"}</definedName>
    <definedName name="_ll5" localSheetId="42" hidden="1">{#N/A,#N/A,FALSE,"군산원가";#N/A,#N/A,FALSE,"팀별월별";#N/A,#N/A,FALSE,"타공정대체";#N/A,#N/A,FALSE,"기타경비";#N/A,#N/A,FALSE,"원료";#N/A,#N/A,FALSE,"연료"}</definedName>
    <definedName name="_ll5" hidden="1">{#N/A,#N/A,FALSE,"군산원가";#N/A,#N/A,FALSE,"팀별월별";#N/A,#N/A,FALSE,"타공정대체";#N/A,#N/A,FALSE,"기타경비";#N/A,#N/A,FALSE,"원료";#N/A,#N/A,FALSE,"연료"}</definedName>
    <definedName name="_ll6" localSheetId="6" hidden="1">{#N/A,#N/A,FALSE,"98소지이동TOTvs99.1 (2)";#N/A,#N/A,FALSE,"TOTAL";#N/A,#N/A,FALSE,"98소지이동TOTvs99.1(b) (2)"}</definedName>
    <definedName name="_ll6" localSheetId="45" hidden="1">{#N/A,#N/A,FALSE,"98소지이동TOTvs99.1 (2)";#N/A,#N/A,FALSE,"TOTAL";#N/A,#N/A,FALSE,"98소지이동TOTvs99.1(b) (2)"}</definedName>
    <definedName name="_ll6" localSheetId="42" hidden="1">{#N/A,#N/A,FALSE,"98소지이동TOTvs99.1 (2)";#N/A,#N/A,FALSE,"TOTAL";#N/A,#N/A,FALSE,"98소지이동TOTvs99.1(b) (2)"}</definedName>
    <definedName name="_ll6" hidden="1">{#N/A,#N/A,FALSE,"98소지이동TOTvs99.1 (2)";#N/A,#N/A,FALSE,"TOTAL";#N/A,#N/A,FALSE,"98소지이동TOTvs99.1(b) (2)"}</definedName>
    <definedName name="_ll7" localSheetId="6"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ll7" localSheetId="45"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ll7" localSheetId="42"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ll7"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ll8" localSheetId="6"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ll8" localSheetId="45"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ll8" localSheetId="42"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ll8"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ll9" localSheetId="6" hidden="1">{#N/A,#N/A,FALSE,"Yield";#N/A,#N/A,FALSE,"Loss1";#N/A,#N/A,FALSE,"Loss2";#N/A,#N/A,FALSE,"Hour-Labor(배분)";#N/A,#N/A,FALSE,"Capital Expenditure";#N/A,#N/A,FALSE,"Productivity"}</definedName>
    <definedName name="_ll9" localSheetId="45" hidden="1">{#N/A,#N/A,FALSE,"Yield";#N/A,#N/A,FALSE,"Loss1";#N/A,#N/A,FALSE,"Loss2";#N/A,#N/A,FALSE,"Hour-Labor(배분)";#N/A,#N/A,FALSE,"Capital Expenditure";#N/A,#N/A,FALSE,"Productivity"}</definedName>
    <definedName name="_ll9" localSheetId="42" hidden="1">{#N/A,#N/A,FALSE,"Yield";#N/A,#N/A,FALSE,"Loss1";#N/A,#N/A,FALSE,"Loss2";#N/A,#N/A,FALSE,"Hour-Labor(배분)";#N/A,#N/A,FALSE,"Capital Expenditure";#N/A,#N/A,FALSE,"Productivity"}</definedName>
    <definedName name="_ll9" hidden="1">{#N/A,#N/A,FALSE,"Yield";#N/A,#N/A,FALSE,"Loss1";#N/A,#N/A,FALSE,"Loss2";#N/A,#N/A,FALSE,"Hour-Labor(배분)";#N/A,#N/A,FALSE,"Capital Expenditure";#N/A,#N/A,FALSE,"Productivity"}</definedName>
    <definedName name="_MatInverse_In" localSheetId="12" hidden="1">#REF!</definedName>
    <definedName name="_MatInverse_In" localSheetId="30" hidden="1">#REF!</definedName>
    <definedName name="_MatInverse_In" localSheetId="29" hidden="1">#REF!</definedName>
    <definedName name="_MatInverse_In" localSheetId="33" hidden="1">#REF!</definedName>
    <definedName name="_MatInverse_In" localSheetId="15" hidden="1">#REF!</definedName>
    <definedName name="_MatInverse_In" localSheetId="31" hidden="1">#REF!</definedName>
    <definedName name="_MatInverse_In" localSheetId="6" hidden="1">#REF!</definedName>
    <definedName name="_MatInverse_In" localSheetId="32" hidden="1">#REF!</definedName>
    <definedName name="_MatInverse_In" localSheetId="42" hidden="1">#REF!</definedName>
    <definedName name="_MatInverse_In" hidden="1">#REF!</definedName>
    <definedName name="_MatInverse_Out" localSheetId="12" hidden="1">#REF!</definedName>
    <definedName name="_MatInverse_Out" localSheetId="30" hidden="1">#REF!</definedName>
    <definedName name="_MatInverse_Out" localSheetId="29" hidden="1">#REF!</definedName>
    <definedName name="_MatInverse_Out" localSheetId="33" hidden="1">#REF!</definedName>
    <definedName name="_MatInverse_Out" localSheetId="15" hidden="1">#REF!</definedName>
    <definedName name="_MatInverse_Out" localSheetId="31" hidden="1">#REF!</definedName>
    <definedName name="_MatInverse_Out" localSheetId="6" hidden="1">#REF!</definedName>
    <definedName name="_MatInverse_Out" localSheetId="32" hidden="1">#REF!</definedName>
    <definedName name="_MatInverse_Out" localSheetId="42" hidden="1">#REF!</definedName>
    <definedName name="_MatInverse_Out" hidden="1">#REF!</definedName>
    <definedName name="_MatMult_B" localSheetId="30" hidden="1">#REF!</definedName>
    <definedName name="_MatMult_B" localSheetId="29" hidden="1">#REF!</definedName>
    <definedName name="_MatMult_B" localSheetId="33" hidden="1">#REF!</definedName>
    <definedName name="_MatMult_B" localSheetId="15" hidden="1">#REF!</definedName>
    <definedName name="_MatMult_B" localSheetId="31" hidden="1">#REF!</definedName>
    <definedName name="_MatMult_B" localSheetId="6" hidden="1">#REF!</definedName>
    <definedName name="_MatMult_B" localSheetId="32" hidden="1">#REF!</definedName>
    <definedName name="_MatMult_B" localSheetId="42" hidden="1">#REF!</definedName>
    <definedName name="_MatMult_B" hidden="1">#REF!</definedName>
    <definedName name="_ML6" localSheetId="6" hidden="1">{#N/A,#N/A,FALSE,"98소지이동TOTvs99.1 (2)";#N/A,#N/A,FALSE,"TOTAL";#N/A,#N/A,FALSE,"98소지이동TOTvs99.1(b) (2)"}</definedName>
    <definedName name="_ML6" localSheetId="45" hidden="1">{#N/A,#N/A,FALSE,"98소지이동TOTvs99.1 (2)";#N/A,#N/A,FALSE,"TOTAL";#N/A,#N/A,FALSE,"98소지이동TOTvs99.1(b) (2)"}</definedName>
    <definedName name="_ML6" localSheetId="42" hidden="1">{#N/A,#N/A,FALSE,"98소지이동TOTvs99.1 (2)";#N/A,#N/A,FALSE,"TOTAL";#N/A,#N/A,FALSE,"98소지이동TOTvs99.1(b) (2)"}</definedName>
    <definedName name="_ML6" hidden="1">{#N/A,#N/A,FALSE,"98소지이동TOTvs99.1 (2)";#N/A,#N/A,FALSE,"TOTAL";#N/A,#N/A,FALSE,"98소지이동TOTvs99.1(b) (2)"}</definedName>
    <definedName name="_mm1" localSheetId="6" hidden="1">{#N/A,#N/A,FALSE,"98소지이동TOTvs99.1 (2)";#N/A,#N/A,FALSE,"TOTAL";#N/A,#N/A,FALSE,"98소지이동TOTvs99.1(b) (2)"}</definedName>
    <definedName name="_mm1" localSheetId="45" hidden="1">{#N/A,#N/A,FALSE,"98소지이동TOTvs99.1 (2)";#N/A,#N/A,FALSE,"TOTAL";#N/A,#N/A,FALSE,"98소지이동TOTvs99.1(b) (2)"}</definedName>
    <definedName name="_mm1" localSheetId="42" hidden="1">{#N/A,#N/A,FALSE,"98소지이동TOTvs99.1 (2)";#N/A,#N/A,FALSE,"TOTAL";#N/A,#N/A,FALSE,"98소지이동TOTvs99.1(b) (2)"}</definedName>
    <definedName name="_mm1" hidden="1">{#N/A,#N/A,FALSE,"98소지이동TOTvs99.1 (2)";#N/A,#N/A,FALSE,"TOTAL";#N/A,#N/A,FALSE,"98소지이동TOTvs99.1(b) (2)"}</definedName>
    <definedName name="_mm2" localSheetId="6" hidden="1">{#N/A,#N/A,FALSE,"98소지이동TOTvs99.1 (2)";#N/A,#N/A,FALSE,"TOTAL";#N/A,#N/A,FALSE,"98소지이동TOTvs99.1(b) (2)"}</definedName>
    <definedName name="_mm2" localSheetId="45" hidden="1">{#N/A,#N/A,FALSE,"98소지이동TOTvs99.1 (2)";#N/A,#N/A,FALSE,"TOTAL";#N/A,#N/A,FALSE,"98소지이동TOTvs99.1(b) (2)"}</definedName>
    <definedName name="_mm2" localSheetId="42" hidden="1">{#N/A,#N/A,FALSE,"98소지이동TOTvs99.1 (2)";#N/A,#N/A,FALSE,"TOTAL";#N/A,#N/A,FALSE,"98소지이동TOTvs99.1(b) (2)"}</definedName>
    <definedName name="_mm2" hidden="1">{#N/A,#N/A,FALSE,"98소지이동TOTvs99.1 (2)";#N/A,#N/A,FALSE,"TOTAL";#N/A,#N/A,FALSE,"98소지이동TOTvs99.1(b) (2)"}</definedName>
    <definedName name="_mm3" localSheetId="6" hidden="1">{#N/A,#N/A,FALSE,"군산원가";#N/A,#N/A,FALSE,"팀별월별";#N/A,#N/A,FALSE,"타공정대체";#N/A,#N/A,FALSE,"기타경비";#N/A,#N/A,FALSE,"원료";#N/A,#N/A,FALSE,"연료"}</definedName>
    <definedName name="_mm3" localSheetId="45" hidden="1">{#N/A,#N/A,FALSE,"군산원가";#N/A,#N/A,FALSE,"팀별월별";#N/A,#N/A,FALSE,"타공정대체";#N/A,#N/A,FALSE,"기타경비";#N/A,#N/A,FALSE,"원료";#N/A,#N/A,FALSE,"연료"}</definedName>
    <definedName name="_mm3" localSheetId="42" hidden="1">{#N/A,#N/A,FALSE,"군산원가";#N/A,#N/A,FALSE,"팀별월별";#N/A,#N/A,FALSE,"타공정대체";#N/A,#N/A,FALSE,"기타경비";#N/A,#N/A,FALSE,"원료";#N/A,#N/A,FALSE,"연료"}</definedName>
    <definedName name="_mm3" hidden="1">{#N/A,#N/A,FALSE,"군산원가";#N/A,#N/A,FALSE,"팀별월별";#N/A,#N/A,FALSE,"타공정대체";#N/A,#N/A,FALSE,"기타경비";#N/A,#N/A,FALSE,"원료";#N/A,#N/A,FALSE,"연료"}</definedName>
    <definedName name="_mm4" localSheetId="6" hidden="1">{#N/A,#N/A,FALSE,"군산원가";#N/A,#N/A,FALSE,"팀별월별";#N/A,#N/A,FALSE,"타공정대체";#N/A,#N/A,FALSE,"기타경비";#N/A,#N/A,FALSE,"원료";#N/A,#N/A,FALSE,"연료"}</definedName>
    <definedName name="_mm4" localSheetId="45" hidden="1">{#N/A,#N/A,FALSE,"군산원가";#N/A,#N/A,FALSE,"팀별월별";#N/A,#N/A,FALSE,"타공정대체";#N/A,#N/A,FALSE,"기타경비";#N/A,#N/A,FALSE,"원료";#N/A,#N/A,FALSE,"연료"}</definedName>
    <definedName name="_mm4" localSheetId="42" hidden="1">{#N/A,#N/A,FALSE,"군산원가";#N/A,#N/A,FALSE,"팀별월별";#N/A,#N/A,FALSE,"타공정대체";#N/A,#N/A,FALSE,"기타경비";#N/A,#N/A,FALSE,"원료";#N/A,#N/A,FALSE,"연료"}</definedName>
    <definedName name="_mm4" hidden="1">{#N/A,#N/A,FALSE,"군산원가";#N/A,#N/A,FALSE,"팀별월별";#N/A,#N/A,FALSE,"타공정대체";#N/A,#N/A,FALSE,"기타경비";#N/A,#N/A,FALSE,"원료";#N/A,#N/A,FALSE,"연료"}</definedName>
    <definedName name="_mm5" localSheetId="6" hidden="1">{#N/A,#N/A,FALSE,"98소지이동TOTvs99.1 (2)";#N/A,#N/A,FALSE,"TOTAL";#N/A,#N/A,FALSE,"98소지이동TOTvs99.1(b) (2)"}</definedName>
    <definedName name="_mm5" localSheetId="45" hidden="1">{#N/A,#N/A,FALSE,"98소지이동TOTvs99.1 (2)";#N/A,#N/A,FALSE,"TOTAL";#N/A,#N/A,FALSE,"98소지이동TOTvs99.1(b) (2)"}</definedName>
    <definedName name="_mm5" localSheetId="42" hidden="1">{#N/A,#N/A,FALSE,"98소지이동TOTvs99.1 (2)";#N/A,#N/A,FALSE,"TOTAL";#N/A,#N/A,FALSE,"98소지이동TOTvs99.1(b) (2)"}</definedName>
    <definedName name="_mm5" hidden="1">{#N/A,#N/A,FALSE,"98소지이동TOTvs99.1 (2)";#N/A,#N/A,FALSE,"TOTAL";#N/A,#N/A,FALSE,"98소지이동TOTvs99.1(b) (2)"}</definedName>
    <definedName name="_mm6" localSheetId="6"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mm6" localSheetId="45"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mm6" localSheetId="42"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mm6"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mm7" localSheetId="6"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mm7" localSheetId="45"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mm7" localSheetId="42"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mm7"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mm8" localSheetId="6" hidden="1">{#N/A,#N/A,FALSE,"Yield";#N/A,#N/A,FALSE,"Loss1";#N/A,#N/A,FALSE,"Loss2";#N/A,#N/A,FALSE,"Hour-Labor(배분)";#N/A,#N/A,FALSE,"Capital Expenditure";#N/A,#N/A,FALSE,"Productivity"}</definedName>
    <definedName name="_mm8" localSheetId="45" hidden="1">{#N/A,#N/A,FALSE,"Yield";#N/A,#N/A,FALSE,"Loss1";#N/A,#N/A,FALSE,"Loss2";#N/A,#N/A,FALSE,"Hour-Labor(배분)";#N/A,#N/A,FALSE,"Capital Expenditure";#N/A,#N/A,FALSE,"Productivity"}</definedName>
    <definedName name="_mm8" localSheetId="42" hidden="1">{#N/A,#N/A,FALSE,"Yield";#N/A,#N/A,FALSE,"Loss1";#N/A,#N/A,FALSE,"Loss2";#N/A,#N/A,FALSE,"Hour-Labor(배분)";#N/A,#N/A,FALSE,"Capital Expenditure";#N/A,#N/A,FALSE,"Productivity"}</definedName>
    <definedName name="_mm8" hidden="1">{#N/A,#N/A,FALSE,"Yield";#N/A,#N/A,FALSE,"Loss1";#N/A,#N/A,FALSE,"Loss2";#N/A,#N/A,FALSE,"Hour-Labor(배분)";#N/A,#N/A,FALSE,"Capital Expenditure";#N/A,#N/A,FALSE,"Productivity"}</definedName>
    <definedName name="_mm9" localSheetId="6" hidden="1">{#N/A,#N/A,FALSE,"98소지이동TOTvs99.1 (2)";#N/A,#N/A,FALSE,"TOTAL";#N/A,#N/A,FALSE,"98소지이동TOTvs99.1(b) (2)"}</definedName>
    <definedName name="_mm9" localSheetId="45" hidden="1">{#N/A,#N/A,FALSE,"98소지이동TOTvs99.1 (2)";#N/A,#N/A,FALSE,"TOTAL";#N/A,#N/A,FALSE,"98소지이동TOTvs99.1(b) (2)"}</definedName>
    <definedName name="_mm9" localSheetId="42" hidden="1">{#N/A,#N/A,FALSE,"98소지이동TOTvs99.1 (2)";#N/A,#N/A,FALSE,"TOTAL";#N/A,#N/A,FALSE,"98소지이동TOTvs99.1(b) (2)"}</definedName>
    <definedName name="_mm9" hidden="1">{#N/A,#N/A,FALSE,"98소지이동TOTvs99.1 (2)";#N/A,#N/A,FALSE,"TOTAL";#N/A,#N/A,FALSE,"98소지이동TOTvs99.1(b) (2)"}</definedName>
    <definedName name="_Order1" hidden="1">255</definedName>
    <definedName name="_Order2" hidden="1">255</definedName>
    <definedName name="_Parse_In" localSheetId="30" hidden="1">#REF!</definedName>
    <definedName name="_Parse_In" localSheetId="29" hidden="1">#REF!</definedName>
    <definedName name="_Parse_In" localSheetId="33" hidden="1">#REF!</definedName>
    <definedName name="_Parse_In" localSheetId="15" hidden="1">#REF!</definedName>
    <definedName name="_Parse_In" localSheetId="31" hidden="1">#REF!</definedName>
    <definedName name="_Parse_In" localSheetId="6" hidden="1">#REF!</definedName>
    <definedName name="_Parse_In" localSheetId="32" hidden="1">#REF!</definedName>
    <definedName name="_Parse_In" localSheetId="42" hidden="1">#REF!</definedName>
    <definedName name="_Parse_In" hidden="1">#REF!</definedName>
    <definedName name="_Parse_Out" localSheetId="12" hidden="1">#REF!</definedName>
    <definedName name="_Parse_Out" localSheetId="30" hidden="1">#REF!</definedName>
    <definedName name="_Parse_Out" localSheetId="29" hidden="1">#REF!</definedName>
    <definedName name="_Parse_Out" localSheetId="33" hidden="1">#REF!</definedName>
    <definedName name="_Parse_Out" localSheetId="15" hidden="1">#REF!</definedName>
    <definedName name="_Parse_Out" localSheetId="31" hidden="1">#REF!</definedName>
    <definedName name="_Parse_Out" localSheetId="6" hidden="1">#REF!</definedName>
    <definedName name="_Parse_Out" localSheetId="32" hidden="1">#REF!</definedName>
    <definedName name="_Parse_Out" localSheetId="42" hidden="1">#REF!</definedName>
    <definedName name="_Parse_Out" hidden="1">#REF!</definedName>
    <definedName name="_PF1" localSheetId="6" hidden="1">{#N/A,#N/A,FALSE,"군산원가";#N/A,#N/A,FALSE,"팀별월별";#N/A,#N/A,FALSE,"타공정대체";#N/A,#N/A,FALSE,"기타경비";#N/A,#N/A,FALSE,"원료";#N/A,#N/A,FALSE,"연료"}</definedName>
    <definedName name="_PF1" localSheetId="45" hidden="1">{#N/A,#N/A,FALSE,"군산원가";#N/A,#N/A,FALSE,"팀별월별";#N/A,#N/A,FALSE,"타공정대체";#N/A,#N/A,FALSE,"기타경비";#N/A,#N/A,FALSE,"원료";#N/A,#N/A,FALSE,"연료"}</definedName>
    <definedName name="_PF1" localSheetId="42" hidden="1">{#N/A,#N/A,FALSE,"군산원가";#N/A,#N/A,FALSE,"팀별월별";#N/A,#N/A,FALSE,"타공정대체";#N/A,#N/A,FALSE,"기타경비";#N/A,#N/A,FALSE,"원료";#N/A,#N/A,FALSE,"연료"}</definedName>
    <definedName name="_PF1" hidden="1">{#N/A,#N/A,FALSE,"군산원가";#N/A,#N/A,FALSE,"팀별월별";#N/A,#N/A,FALSE,"타공정대체";#N/A,#N/A,FALSE,"기타경비";#N/A,#N/A,FALSE,"원료";#N/A,#N/A,FALSE,"연료"}</definedName>
    <definedName name="_Regression_Int" hidden="1">1</definedName>
    <definedName name="_Regression_Out" localSheetId="12" hidden="1">#REF!</definedName>
    <definedName name="_Regression_Out" localSheetId="30" hidden="1">#REF!</definedName>
    <definedName name="_Regression_Out" localSheetId="29" hidden="1">#REF!</definedName>
    <definedName name="_Regression_Out" localSheetId="33" hidden="1">#REF!</definedName>
    <definedName name="_Regression_Out" localSheetId="31" hidden="1">#REF!</definedName>
    <definedName name="_Regression_Out" hidden="1">#REF!</definedName>
    <definedName name="_Regression_X" localSheetId="12" hidden="1">#REF!</definedName>
    <definedName name="_Regression_X" hidden="1">#REF!</definedName>
    <definedName name="_Regression_Y" localSheetId="12" hidden="1">#REF!</definedName>
    <definedName name="_Regression_Y" hidden="1">#REF!</definedName>
    <definedName name="_RR1" localSheetId="6" hidden="1">{#N/A,#N/A,FALSE,"98소지이동TOTvs99.1 (2)";#N/A,#N/A,FALSE,"TOTAL";#N/A,#N/A,FALSE,"98소지이동TOTvs99.1(b) (2)"}</definedName>
    <definedName name="_RR1" localSheetId="45" hidden="1">{#N/A,#N/A,FALSE,"98소지이동TOTvs99.1 (2)";#N/A,#N/A,FALSE,"TOTAL";#N/A,#N/A,FALSE,"98소지이동TOTvs99.1(b) (2)"}</definedName>
    <definedName name="_RR1" localSheetId="42" hidden="1">{#N/A,#N/A,FALSE,"98소지이동TOTvs99.1 (2)";#N/A,#N/A,FALSE,"TOTAL";#N/A,#N/A,FALSE,"98소지이동TOTvs99.1(b) (2)"}</definedName>
    <definedName name="_RR1" hidden="1">{#N/A,#N/A,FALSE,"98소지이동TOTvs99.1 (2)";#N/A,#N/A,FALSE,"TOTAL";#N/A,#N/A,FALSE,"98소지이동TOTvs99.1(b) (2)"}</definedName>
    <definedName name="_RR2" localSheetId="6" hidden="1">{#N/A,#N/A,FALSE,"군산원가";#N/A,#N/A,FALSE,"팀별월별";#N/A,#N/A,FALSE,"타공정대체";#N/A,#N/A,FALSE,"기타경비";#N/A,#N/A,FALSE,"원료";#N/A,#N/A,FALSE,"연료"}</definedName>
    <definedName name="_RR2" localSheetId="45" hidden="1">{#N/A,#N/A,FALSE,"군산원가";#N/A,#N/A,FALSE,"팀별월별";#N/A,#N/A,FALSE,"타공정대체";#N/A,#N/A,FALSE,"기타경비";#N/A,#N/A,FALSE,"원료";#N/A,#N/A,FALSE,"연료"}</definedName>
    <definedName name="_RR2" localSheetId="42" hidden="1">{#N/A,#N/A,FALSE,"군산원가";#N/A,#N/A,FALSE,"팀별월별";#N/A,#N/A,FALSE,"타공정대체";#N/A,#N/A,FALSE,"기타경비";#N/A,#N/A,FALSE,"원료";#N/A,#N/A,FALSE,"연료"}</definedName>
    <definedName name="_RR2" hidden="1">{#N/A,#N/A,FALSE,"군산원가";#N/A,#N/A,FALSE,"팀별월별";#N/A,#N/A,FALSE,"타공정대체";#N/A,#N/A,FALSE,"기타경비";#N/A,#N/A,FALSE,"원료";#N/A,#N/A,FALSE,"연료"}</definedName>
    <definedName name="_RR3" localSheetId="6" hidden="1">{#N/A,#N/A,FALSE,"군산원가";#N/A,#N/A,FALSE,"팀별월별";#N/A,#N/A,FALSE,"타공정대체";#N/A,#N/A,FALSE,"기타경비";#N/A,#N/A,FALSE,"원료";#N/A,#N/A,FALSE,"연료"}</definedName>
    <definedName name="_RR3" localSheetId="45" hidden="1">{#N/A,#N/A,FALSE,"군산원가";#N/A,#N/A,FALSE,"팀별월별";#N/A,#N/A,FALSE,"타공정대체";#N/A,#N/A,FALSE,"기타경비";#N/A,#N/A,FALSE,"원료";#N/A,#N/A,FALSE,"연료"}</definedName>
    <definedName name="_RR3" localSheetId="42" hidden="1">{#N/A,#N/A,FALSE,"군산원가";#N/A,#N/A,FALSE,"팀별월별";#N/A,#N/A,FALSE,"타공정대체";#N/A,#N/A,FALSE,"기타경비";#N/A,#N/A,FALSE,"원료";#N/A,#N/A,FALSE,"연료"}</definedName>
    <definedName name="_RR3" hidden="1">{#N/A,#N/A,FALSE,"군산원가";#N/A,#N/A,FALSE,"팀별월별";#N/A,#N/A,FALSE,"타공정대체";#N/A,#N/A,FALSE,"기타경비";#N/A,#N/A,FALSE,"원료";#N/A,#N/A,FALSE,"연료"}</definedName>
    <definedName name="_RR4" localSheetId="6" hidden="1">{#N/A,#N/A,FALSE,"98소지이동TOTvs99.1 (2)";#N/A,#N/A,FALSE,"TOTAL";#N/A,#N/A,FALSE,"98소지이동TOTvs99.1(b) (2)"}</definedName>
    <definedName name="_RR4" localSheetId="45" hidden="1">{#N/A,#N/A,FALSE,"98소지이동TOTvs99.1 (2)";#N/A,#N/A,FALSE,"TOTAL";#N/A,#N/A,FALSE,"98소지이동TOTvs99.1(b) (2)"}</definedName>
    <definedName name="_RR4" localSheetId="42" hidden="1">{#N/A,#N/A,FALSE,"98소지이동TOTvs99.1 (2)";#N/A,#N/A,FALSE,"TOTAL";#N/A,#N/A,FALSE,"98소지이동TOTvs99.1(b) (2)"}</definedName>
    <definedName name="_RR4" hidden="1">{#N/A,#N/A,FALSE,"98소지이동TOTvs99.1 (2)";#N/A,#N/A,FALSE,"TOTAL";#N/A,#N/A,FALSE,"98소지이동TOTvs99.1(b) (2)"}</definedName>
    <definedName name="_RR5" localSheetId="6"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RR5" localSheetId="45"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RR5" localSheetId="42"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RR5"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RR6" localSheetId="6"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RR6" localSheetId="45"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RR6" localSheetId="42"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RR6"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RR7" localSheetId="6" hidden="1">{#N/A,#N/A,FALSE,"Yield";#N/A,#N/A,FALSE,"Loss1";#N/A,#N/A,FALSE,"Loss2";#N/A,#N/A,FALSE,"Hour-Labor(배분)";#N/A,#N/A,FALSE,"Capital Expenditure";#N/A,#N/A,FALSE,"Productivity"}</definedName>
    <definedName name="_RR7" localSheetId="45" hidden="1">{#N/A,#N/A,FALSE,"Yield";#N/A,#N/A,FALSE,"Loss1";#N/A,#N/A,FALSE,"Loss2";#N/A,#N/A,FALSE,"Hour-Labor(배분)";#N/A,#N/A,FALSE,"Capital Expenditure";#N/A,#N/A,FALSE,"Productivity"}</definedName>
    <definedName name="_RR7" localSheetId="42" hidden="1">{#N/A,#N/A,FALSE,"Yield";#N/A,#N/A,FALSE,"Loss1";#N/A,#N/A,FALSE,"Loss2";#N/A,#N/A,FALSE,"Hour-Labor(배분)";#N/A,#N/A,FALSE,"Capital Expenditure";#N/A,#N/A,FALSE,"Productivity"}</definedName>
    <definedName name="_RR7" hidden="1">{#N/A,#N/A,FALSE,"Yield";#N/A,#N/A,FALSE,"Loss1";#N/A,#N/A,FALSE,"Loss2";#N/A,#N/A,FALSE,"Hour-Labor(배분)";#N/A,#N/A,FALSE,"Capital Expenditure";#N/A,#N/A,FALSE,"Productivity"}</definedName>
    <definedName name="_RR8" localSheetId="6" hidden="1">{#N/A,#N/A,FALSE,"98소지이동TOTvs99.1 (2)";#N/A,#N/A,FALSE,"TOTAL";#N/A,#N/A,FALSE,"98소지이동TOTvs99.1(b) (2)"}</definedName>
    <definedName name="_RR8" localSheetId="45" hidden="1">{#N/A,#N/A,FALSE,"98소지이동TOTvs99.1 (2)";#N/A,#N/A,FALSE,"TOTAL";#N/A,#N/A,FALSE,"98소지이동TOTvs99.1(b) (2)"}</definedName>
    <definedName name="_RR8" localSheetId="42" hidden="1">{#N/A,#N/A,FALSE,"98소지이동TOTvs99.1 (2)";#N/A,#N/A,FALSE,"TOTAL";#N/A,#N/A,FALSE,"98소지이동TOTvs99.1(b) (2)"}</definedName>
    <definedName name="_RR8" hidden="1">{#N/A,#N/A,FALSE,"98소지이동TOTvs99.1 (2)";#N/A,#N/A,FALSE,"TOTAL";#N/A,#N/A,FALSE,"98소지이동TOTvs99.1(b) (2)"}</definedName>
    <definedName name="_s1" localSheetId="42" hidden="1">{#N/A,#N/A,FALSE,"UNIT";#N/A,#N/A,FALSE,"UNIT";#N/A,#N/A,FALSE,"계정"}</definedName>
    <definedName name="_s1" hidden="1">{#N/A,#N/A,FALSE,"UNIT";#N/A,#N/A,FALSE,"UNIT";#N/A,#N/A,FALSE,"계정"}</definedName>
    <definedName name="_s10" localSheetId="42" hidden="1">{#N/A,#N/A,FALSE,"UNIT";#N/A,#N/A,FALSE,"UNIT";#N/A,#N/A,FALSE,"계정"}</definedName>
    <definedName name="_s10" hidden="1">{#N/A,#N/A,FALSE,"UNIT";#N/A,#N/A,FALSE,"UNIT";#N/A,#N/A,FALSE,"계정"}</definedName>
    <definedName name="_s11" localSheetId="42" hidden="1">{#N/A,#N/A,FALSE,"UNIT";#N/A,#N/A,FALSE,"UNIT";#N/A,#N/A,FALSE,"계정"}</definedName>
    <definedName name="_s11" hidden="1">{#N/A,#N/A,FALSE,"UNIT";#N/A,#N/A,FALSE,"UNIT";#N/A,#N/A,FALSE,"계정"}</definedName>
    <definedName name="_s12" localSheetId="42" hidden="1">{#N/A,#N/A,FALSE,"UNIT";#N/A,#N/A,FALSE,"UNIT";#N/A,#N/A,FALSE,"계정"}</definedName>
    <definedName name="_s12" hidden="1">{#N/A,#N/A,FALSE,"UNIT";#N/A,#N/A,FALSE,"UNIT";#N/A,#N/A,FALSE,"계정"}</definedName>
    <definedName name="_s13" localSheetId="42" hidden="1">{#N/A,#N/A,FALSE,"UNIT";#N/A,#N/A,FALSE,"UNIT";#N/A,#N/A,FALSE,"계정"}</definedName>
    <definedName name="_s13" hidden="1">{#N/A,#N/A,FALSE,"UNIT";#N/A,#N/A,FALSE,"UNIT";#N/A,#N/A,FALSE,"계정"}</definedName>
    <definedName name="_s14" localSheetId="42" hidden="1">{#N/A,#N/A,FALSE,"UNIT";#N/A,#N/A,FALSE,"UNIT";#N/A,#N/A,FALSE,"계정"}</definedName>
    <definedName name="_s14" hidden="1">{#N/A,#N/A,FALSE,"UNIT";#N/A,#N/A,FALSE,"UNIT";#N/A,#N/A,FALSE,"계정"}</definedName>
    <definedName name="_s16" localSheetId="42" hidden="1">{#N/A,#N/A,FALSE,"UNIT";#N/A,#N/A,FALSE,"UNIT";#N/A,#N/A,FALSE,"계정"}</definedName>
    <definedName name="_s16" hidden="1">{#N/A,#N/A,FALSE,"UNIT";#N/A,#N/A,FALSE,"UNIT";#N/A,#N/A,FALSE,"계정"}</definedName>
    <definedName name="_s17" localSheetId="42" hidden="1">{#N/A,#N/A,FALSE,"UNIT";#N/A,#N/A,FALSE,"UNIT";#N/A,#N/A,FALSE,"계정"}</definedName>
    <definedName name="_s17" hidden="1">{#N/A,#N/A,FALSE,"UNIT";#N/A,#N/A,FALSE,"UNIT";#N/A,#N/A,FALSE,"계정"}</definedName>
    <definedName name="_s2" localSheetId="42" hidden="1">{#N/A,#N/A,FALSE,"UNIT";#N/A,#N/A,FALSE,"UNIT";#N/A,#N/A,FALSE,"계정"}</definedName>
    <definedName name="_s2" hidden="1">{#N/A,#N/A,FALSE,"UNIT";#N/A,#N/A,FALSE,"UNIT";#N/A,#N/A,FALSE,"계정"}</definedName>
    <definedName name="_s3" localSheetId="42" hidden="1">{#N/A,#N/A,FALSE,"UNIT";#N/A,#N/A,FALSE,"UNIT";#N/A,#N/A,FALSE,"계정"}</definedName>
    <definedName name="_s3" hidden="1">{#N/A,#N/A,FALSE,"UNIT";#N/A,#N/A,FALSE,"UNIT";#N/A,#N/A,FALSE,"계정"}</definedName>
    <definedName name="_s4" localSheetId="42" hidden="1">{#N/A,#N/A,FALSE,"UNIT";#N/A,#N/A,FALSE,"UNIT";#N/A,#N/A,FALSE,"계정"}</definedName>
    <definedName name="_s4" hidden="1">{#N/A,#N/A,FALSE,"UNIT";#N/A,#N/A,FALSE,"UNIT";#N/A,#N/A,FALSE,"계정"}</definedName>
    <definedName name="_s5" localSheetId="42" hidden="1">{#N/A,#N/A,FALSE,"UNIT";#N/A,#N/A,FALSE,"UNIT";#N/A,#N/A,FALSE,"계정"}</definedName>
    <definedName name="_s5" hidden="1">{#N/A,#N/A,FALSE,"UNIT";#N/A,#N/A,FALSE,"UNIT";#N/A,#N/A,FALSE,"계정"}</definedName>
    <definedName name="_s6" localSheetId="42" hidden="1">{#N/A,#N/A,FALSE,"UNIT";#N/A,#N/A,FALSE,"UNIT";#N/A,#N/A,FALSE,"계정"}</definedName>
    <definedName name="_s6" hidden="1">{#N/A,#N/A,FALSE,"UNIT";#N/A,#N/A,FALSE,"UNIT";#N/A,#N/A,FALSE,"계정"}</definedName>
    <definedName name="_s9" localSheetId="42" hidden="1">{#N/A,#N/A,FALSE,"UNIT";#N/A,#N/A,FALSE,"UNIT";#N/A,#N/A,FALSE,"계정"}</definedName>
    <definedName name="_s9" hidden="1">{#N/A,#N/A,FALSE,"UNIT";#N/A,#N/A,FALSE,"UNIT";#N/A,#N/A,FALSE,"계정"}</definedName>
    <definedName name="_Sort" localSheetId="12" hidden="1">#REF!</definedName>
    <definedName name="_Sort" localSheetId="30" hidden="1">#REF!</definedName>
    <definedName name="_Sort" localSheetId="29" hidden="1">#REF!</definedName>
    <definedName name="_Sort" localSheetId="33" hidden="1">#REF!</definedName>
    <definedName name="_Sort" localSheetId="15" hidden="1">#REF!</definedName>
    <definedName name="_Sort" localSheetId="31" hidden="1">#REF!</definedName>
    <definedName name="_Sort" localSheetId="6" hidden="1">#REF!</definedName>
    <definedName name="_Sort" localSheetId="32" hidden="1">#REF!</definedName>
    <definedName name="_Sort" localSheetId="42" hidden="1">#REF!</definedName>
    <definedName name="_Sort" hidden="1">#REF!</definedName>
    <definedName name="_Sort1" localSheetId="12" hidden="1">#REF!</definedName>
    <definedName name="_Sort1" localSheetId="30" hidden="1">#REF!</definedName>
    <definedName name="_Sort1" localSheetId="29" hidden="1">#REF!</definedName>
    <definedName name="_Sort1" localSheetId="33" hidden="1">#REF!</definedName>
    <definedName name="_Sort1" localSheetId="31" hidden="1">#REF!</definedName>
    <definedName name="_Sort1" hidden="1">#REF!</definedName>
    <definedName name="_SS1" localSheetId="6" hidden="1">{#N/A,#N/A,FALSE,"98소지이동TOTvs99.1 (2)";#N/A,#N/A,FALSE,"TOTAL";#N/A,#N/A,FALSE,"98소지이동TOTvs99.1(b) (2)"}</definedName>
    <definedName name="_SS1" localSheetId="45" hidden="1">{#N/A,#N/A,FALSE,"98소지이동TOTvs99.1 (2)";#N/A,#N/A,FALSE,"TOTAL";#N/A,#N/A,FALSE,"98소지이동TOTvs99.1(b) (2)"}</definedName>
    <definedName name="_SS1" localSheetId="42" hidden="1">{#N/A,#N/A,FALSE,"98소지이동TOTvs99.1 (2)";#N/A,#N/A,FALSE,"TOTAL";#N/A,#N/A,FALSE,"98소지이동TOTvs99.1(b) (2)"}</definedName>
    <definedName name="_SS1" hidden="1">{#N/A,#N/A,FALSE,"98소지이동TOTvs99.1 (2)";#N/A,#N/A,FALSE,"TOTAL";#N/A,#N/A,FALSE,"98소지이동TOTvs99.1(b) (2)"}</definedName>
    <definedName name="_SS10" localSheetId="6" hidden="1">{#N/A,#N/A,FALSE,"군산원가";#N/A,#N/A,FALSE,"팀별월별";#N/A,#N/A,FALSE,"타공정대체";#N/A,#N/A,FALSE,"기타경비";#N/A,#N/A,FALSE,"원료";#N/A,#N/A,FALSE,"연료"}</definedName>
    <definedName name="_SS10" localSheetId="45" hidden="1">{#N/A,#N/A,FALSE,"군산원가";#N/A,#N/A,FALSE,"팀별월별";#N/A,#N/A,FALSE,"타공정대체";#N/A,#N/A,FALSE,"기타경비";#N/A,#N/A,FALSE,"원료";#N/A,#N/A,FALSE,"연료"}</definedName>
    <definedName name="_SS10" localSheetId="42" hidden="1">{#N/A,#N/A,FALSE,"군산원가";#N/A,#N/A,FALSE,"팀별월별";#N/A,#N/A,FALSE,"타공정대체";#N/A,#N/A,FALSE,"기타경비";#N/A,#N/A,FALSE,"원료";#N/A,#N/A,FALSE,"연료"}</definedName>
    <definedName name="_SS10" hidden="1">{#N/A,#N/A,FALSE,"군산원가";#N/A,#N/A,FALSE,"팀별월별";#N/A,#N/A,FALSE,"타공정대체";#N/A,#N/A,FALSE,"기타경비";#N/A,#N/A,FALSE,"원료";#N/A,#N/A,FALSE,"연료"}</definedName>
    <definedName name="_SS11" localSheetId="6" hidden="1">{#N/A,#N/A,FALSE,"98소지이동TOTvs99.1 (2)";#N/A,#N/A,FALSE,"TOTAL";#N/A,#N/A,FALSE,"98소지이동TOTvs99.1(b) (2)"}</definedName>
    <definedName name="_SS11" localSheetId="45" hidden="1">{#N/A,#N/A,FALSE,"98소지이동TOTvs99.1 (2)";#N/A,#N/A,FALSE,"TOTAL";#N/A,#N/A,FALSE,"98소지이동TOTvs99.1(b) (2)"}</definedName>
    <definedName name="_SS11" localSheetId="42" hidden="1">{#N/A,#N/A,FALSE,"98소지이동TOTvs99.1 (2)";#N/A,#N/A,FALSE,"TOTAL";#N/A,#N/A,FALSE,"98소지이동TOTvs99.1(b) (2)"}</definedName>
    <definedName name="_SS11" hidden="1">{#N/A,#N/A,FALSE,"98소지이동TOTvs99.1 (2)";#N/A,#N/A,FALSE,"TOTAL";#N/A,#N/A,FALSE,"98소지이동TOTvs99.1(b) (2)"}</definedName>
    <definedName name="_SS12" localSheetId="6" hidden="1">{#N/A,#N/A,FALSE,"98소지이동TOTvs99.1 (2)";#N/A,#N/A,FALSE,"TOTAL";#N/A,#N/A,FALSE,"98소지이동TOTvs99.1(b) (2)"}</definedName>
    <definedName name="_SS12" localSheetId="45" hidden="1">{#N/A,#N/A,FALSE,"98소지이동TOTvs99.1 (2)";#N/A,#N/A,FALSE,"TOTAL";#N/A,#N/A,FALSE,"98소지이동TOTvs99.1(b) (2)"}</definedName>
    <definedName name="_SS12" localSheetId="42" hidden="1">{#N/A,#N/A,FALSE,"98소지이동TOTvs99.1 (2)";#N/A,#N/A,FALSE,"TOTAL";#N/A,#N/A,FALSE,"98소지이동TOTvs99.1(b) (2)"}</definedName>
    <definedName name="_SS12" hidden="1">{#N/A,#N/A,FALSE,"98소지이동TOTvs99.1 (2)";#N/A,#N/A,FALSE,"TOTAL";#N/A,#N/A,FALSE,"98소지이동TOTvs99.1(b) (2)"}</definedName>
    <definedName name="_SS13" localSheetId="6" hidden="1">{#N/A,#N/A,FALSE,"98소지이동TOTvs99.1 (2)";#N/A,#N/A,FALSE,"TOTAL";#N/A,#N/A,FALSE,"98소지이동TOTvs99.1(b) (2)"}</definedName>
    <definedName name="_SS13" localSheetId="45" hidden="1">{#N/A,#N/A,FALSE,"98소지이동TOTvs99.1 (2)";#N/A,#N/A,FALSE,"TOTAL";#N/A,#N/A,FALSE,"98소지이동TOTvs99.1(b) (2)"}</definedName>
    <definedName name="_SS13" localSheetId="42" hidden="1">{#N/A,#N/A,FALSE,"98소지이동TOTvs99.1 (2)";#N/A,#N/A,FALSE,"TOTAL";#N/A,#N/A,FALSE,"98소지이동TOTvs99.1(b) (2)"}</definedName>
    <definedName name="_SS13" hidden="1">{#N/A,#N/A,FALSE,"98소지이동TOTvs99.1 (2)";#N/A,#N/A,FALSE,"TOTAL";#N/A,#N/A,FALSE,"98소지이동TOTvs99.1(b) (2)"}</definedName>
    <definedName name="_SS14" localSheetId="6" hidden="1">{#N/A,#N/A,FALSE,"98소지이동TOTvs99.1 (2)";#N/A,#N/A,FALSE,"TOTAL";#N/A,#N/A,FALSE,"98소지이동TOTvs99.1(b) (2)"}</definedName>
    <definedName name="_SS14" localSheetId="45" hidden="1">{#N/A,#N/A,FALSE,"98소지이동TOTvs99.1 (2)";#N/A,#N/A,FALSE,"TOTAL";#N/A,#N/A,FALSE,"98소지이동TOTvs99.1(b) (2)"}</definedName>
    <definedName name="_SS14" localSheetId="42" hidden="1">{#N/A,#N/A,FALSE,"98소지이동TOTvs99.1 (2)";#N/A,#N/A,FALSE,"TOTAL";#N/A,#N/A,FALSE,"98소지이동TOTvs99.1(b) (2)"}</definedName>
    <definedName name="_SS14" hidden="1">{#N/A,#N/A,FALSE,"98소지이동TOTvs99.1 (2)";#N/A,#N/A,FALSE,"TOTAL";#N/A,#N/A,FALSE,"98소지이동TOTvs99.1(b) (2)"}</definedName>
    <definedName name="_SS15" localSheetId="6" hidden="1">{#N/A,#N/A,FALSE,"군산원가";#N/A,#N/A,FALSE,"팀별월별";#N/A,#N/A,FALSE,"타공정대체";#N/A,#N/A,FALSE,"기타경비";#N/A,#N/A,FALSE,"원료";#N/A,#N/A,FALSE,"연료"}</definedName>
    <definedName name="_SS15" localSheetId="45" hidden="1">{#N/A,#N/A,FALSE,"군산원가";#N/A,#N/A,FALSE,"팀별월별";#N/A,#N/A,FALSE,"타공정대체";#N/A,#N/A,FALSE,"기타경비";#N/A,#N/A,FALSE,"원료";#N/A,#N/A,FALSE,"연료"}</definedName>
    <definedName name="_SS15" localSheetId="42" hidden="1">{#N/A,#N/A,FALSE,"군산원가";#N/A,#N/A,FALSE,"팀별월별";#N/A,#N/A,FALSE,"타공정대체";#N/A,#N/A,FALSE,"기타경비";#N/A,#N/A,FALSE,"원료";#N/A,#N/A,FALSE,"연료"}</definedName>
    <definedName name="_SS15" hidden="1">{#N/A,#N/A,FALSE,"군산원가";#N/A,#N/A,FALSE,"팀별월별";#N/A,#N/A,FALSE,"타공정대체";#N/A,#N/A,FALSE,"기타경비";#N/A,#N/A,FALSE,"원료";#N/A,#N/A,FALSE,"연료"}</definedName>
    <definedName name="_SS16" localSheetId="6" hidden="1">{#N/A,#N/A,FALSE,"군산원가";#N/A,#N/A,FALSE,"팀별월별";#N/A,#N/A,FALSE,"타공정대체";#N/A,#N/A,FALSE,"기타경비";#N/A,#N/A,FALSE,"원료";#N/A,#N/A,FALSE,"연료"}</definedName>
    <definedName name="_SS16" localSheetId="45" hidden="1">{#N/A,#N/A,FALSE,"군산원가";#N/A,#N/A,FALSE,"팀별월별";#N/A,#N/A,FALSE,"타공정대체";#N/A,#N/A,FALSE,"기타경비";#N/A,#N/A,FALSE,"원료";#N/A,#N/A,FALSE,"연료"}</definedName>
    <definedName name="_SS16" localSheetId="42" hidden="1">{#N/A,#N/A,FALSE,"군산원가";#N/A,#N/A,FALSE,"팀별월별";#N/A,#N/A,FALSE,"타공정대체";#N/A,#N/A,FALSE,"기타경비";#N/A,#N/A,FALSE,"원료";#N/A,#N/A,FALSE,"연료"}</definedName>
    <definedName name="_SS16" hidden="1">{#N/A,#N/A,FALSE,"군산원가";#N/A,#N/A,FALSE,"팀별월별";#N/A,#N/A,FALSE,"타공정대체";#N/A,#N/A,FALSE,"기타경비";#N/A,#N/A,FALSE,"원료";#N/A,#N/A,FALSE,"연료"}</definedName>
    <definedName name="_SS17" localSheetId="6" hidden="1">{#N/A,#N/A,FALSE,"군산원가";#N/A,#N/A,FALSE,"팀별월별";#N/A,#N/A,FALSE,"타공정대체";#N/A,#N/A,FALSE,"기타경비";#N/A,#N/A,FALSE,"원료";#N/A,#N/A,FALSE,"연료"}</definedName>
    <definedName name="_SS17" localSheetId="45" hidden="1">{#N/A,#N/A,FALSE,"군산원가";#N/A,#N/A,FALSE,"팀별월별";#N/A,#N/A,FALSE,"타공정대체";#N/A,#N/A,FALSE,"기타경비";#N/A,#N/A,FALSE,"원료";#N/A,#N/A,FALSE,"연료"}</definedName>
    <definedName name="_SS17" localSheetId="42" hidden="1">{#N/A,#N/A,FALSE,"군산원가";#N/A,#N/A,FALSE,"팀별월별";#N/A,#N/A,FALSE,"타공정대체";#N/A,#N/A,FALSE,"기타경비";#N/A,#N/A,FALSE,"원료";#N/A,#N/A,FALSE,"연료"}</definedName>
    <definedName name="_SS17" hidden="1">{#N/A,#N/A,FALSE,"군산원가";#N/A,#N/A,FALSE,"팀별월별";#N/A,#N/A,FALSE,"타공정대체";#N/A,#N/A,FALSE,"기타경비";#N/A,#N/A,FALSE,"원료";#N/A,#N/A,FALSE,"연료"}</definedName>
    <definedName name="_SS18" localSheetId="6" hidden="1">{#N/A,#N/A,FALSE,"군산원가";#N/A,#N/A,FALSE,"팀별월별";#N/A,#N/A,FALSE,"타공정대체";#N/A,#N/A,FALSE,"기타경비";#N/A,#N/A,FALSE,"원료";#N/A,#N/A,FALSE,"연료"}</definedName>
    <definedName name="_SS18" localSheetId="45" hidden="1">{#N/A,#N/A,FALSE,"군산원가";#N/A,#N/A,FALSE,"팀별월별";#N/A,#N/A,FALSE,"타공정대체";#N/A,#N/A,FALSE,"기타경비";#N/A,#N/A,FALSE,"원료";#N/A,#N/A,FALSE,"연료"}</definedName>
    <definedName name="_SS18" localSheetId="42" hidden="1">{#N/A,#N/A,FALSE,"군산원가";#N/A,#N/A,FALSE,"팀별월별";#N/A,#N/A,FALSE,"타공정대체";#N/A,#N/A,FALSE,"기타경비";#N/A,#N/A,FALSE,"원료";#N/A,#N/A,FALSE,"연료"}</definedName>
    <definedName name="_SS18" hidden="1">{#N/A,#N/A,FALSE,"군산원가";#N/A,#N/A,FALSE,"팀별월별";#N/A,#N/A,FALSE,"타공정대체";#N/A,#N/A,FALSE,"기타경비";#N/A,#N/A,FALSE,"원료";#N/A,#N/A,FALSE,"연료"}</definedName>
    <definedName name="_SS19" localSheetId="6" hidden="1">{#N/A,#N/A,FALSE,"Yield";#N/A,#N/A,FALSE,"Loss1";#N/A,#N/A,FALSE,"Loss2";#N/A,#N/A,FALSE,"Hour-Labor(배분)";#N/A,#N/A,FALSE,"Capital Expenditure";#N/A,#N/A,FALSE,"Productivity"}</definedName>
    <definedName name="_SS19" localSheetId="45" hidden="1">{#N/A,#N/A,FALSE,"Yield";#N/A,#N/A,FALSE,"Loss1";#N/A,#N/A,FALSE,"Loss2";#N/A,#N/A,FALSE,"Hour-Labor(배분)";#N/A,#N/A,FALSE,"Capital Expenditure";#N/A,#N/A,FALSE,"Productivity"}</definedName>
    <definedName name="_SS19" localSheetId="42" hidden="1">{#N/A,#N/A,FALSE,"Yield";#N/A,#N/A,FALSE,"Loss1";#N/A,#N/A,FALSE,"Loss2";#N/A,#N/A,FALSE,"Hour-Labor(배분)";#N/A,#N/A,FALSE,"Capital Expenditure";#N/A,#N/A,FALSE,"Productivity"}</definedName>
    <definedName name="_SS19" hidden="1">{#N/A,#N/A,FALSE,"Yield";#N/A,#N/A,FALSE,"Loss1";#N/A,#N/A,FALSE,"Loss2";#N/A,#N/A,FALSE,"Hour-Labor(배분)";#N/A,#N/A,FALSE,"Capital Expenditure";#N/A,#N/A,FALSE,"Productivity"}</definedName>
    <definedName name="_SS2" localSheetId="6" hidden="1">{#N/A,#N/A,FALSE,"98소지이동TOTvs99.1 (2)";#N/A,#N/A,FALSE,"TOTAL";#N/A,#N/A,FALSE,"98소지이동TOTvs99.1(b) (2)"}</definedName>
    <definedName name="_SS2" localSheetId="45" hidden="1">{#N/A,#N/A,FALSE,"98소지이동TOTvs99.1 (2)";#N/A,#N/A,FALSE,"TOTAL";#N/A,#N/A,FALSE,"98소지이동TOTvs99.1(b) (2)"}</definedName>
    <definedName name="_SS2" localSheetId="42" hidden="1">{#N/A,#N/A,FALSE,"98소지이동TOTvs99.1 (2)";#N/A,#N/A,FALSE,"TOTAL";#N/A,#N/A,FALSE,"98소지이동TOTvs99.1(b) (2)"}</definedName>
    <definedName name="_SS2" hidden="1">{#N/A,#N/A,FALSE,"98소지이동TOTvs99.1 (2)";#N/A,#N/A,FALSE,"TOTAL";#N/A,#N/A,FALSE,"98소지이동TOTvs99.1(b) (2)"}</definedName>
    <definedName name="_SS20" localSheetId="6" hidden="1">{#N/A,#N/A,FALSE,"98소지이동TOTvs99.1 (2)";#N/A,#N/A,FALSE,"TOTAL";#N/A,#N/A,FALSE,"98소지이동TOTvs99.1(b) (2)"}</definedName>
    <definedName name="_SS20" localSheetId="45" hidden="1">{#N/A,#N/A,FALSE,"98소지이동TOTvs99.1 (2)";#N/A,#N/A,FALSE,"TOTAL";#N/A,#N/A,FALSE,"98소지이동TOTvs99.1(b) (2)"}</definedName>
    <definedName name="_SS20" localSheetId="42" hidden="1">{#N/A,#N/A,FALSE,"98소지이동TOTvs99.1 (2)";#N/A,#N/A,FALSE,"TOTAL";#N/A,#N/A,FALSE,"98소지이동TOTvs99.1(b) (2)"}</definedName>
    <definedName name="_SS20" hidden="1">{#N/A,#N/A,FALSE,"98소지이동TOTvs99.1 (2)";#N/A,#N/A,FALSE,"TOTAL";#N/A,#N/A,FALSE,"98소지이동TOTvs99.1(b) (2)"}</definedName>
    <definedName name="_SS21" localSheetId="6" hidden="1">{#N/A,#N/A,FALSE,"98소지이동TOTvs99.1 (2)";#N/A,#N/A,FALSE,"TOTAL";#N/A,#N/A,FALSE,"98소지이동TOTvs99.1(b) (2)"}</definedName>
    <definedName name="_SS21" localSheetId="45" hidden="1">{#N/A,#N/A,FALSE,"98소지이동TOTvs99.1 (2)";#N/A,#N/A,FALSE,"TOTAL";#N/A,#N/A,FALSE,"98소지이동TOTvs99.1(b) (2)"}</definedName>
    <definedName name="_SS21" localSheetId="42" hidden="1">{#N/A,#N/A,FALSE,"98소지이동TOTvs99.1 (2)";#N/A,#N/A,FALSE,"TOTAL";#N/A,#N/A,FALSE,"98소지이동TOTvs99.1(b) (2)"}</definedName>
    <definedName name="_SS21" hidden="1">{#N/A,#N/A,FALSE,"98소지이동TOTvs99.1 (2)";#N/A,#N/A,FALSE,"TOTAL";#N/A,#N/A,FALSE,"98소지이동TOTvs99.1(b) (2)"}</definedName>
    <definedName name="_SS22" localSheetId="6" hidden="1">{#N/A,#N/A,FALSE,"Yield";#N/A,#N/A,FALSE,"Loss1";#N/A,#N/A,FALSE,"Loss2";#N/A,#N/A,FALSE,"Hour-Labor(배분)";#N/A,#N/A,FALSE,"Capital Expenditure";#N/A,#N/A,FALSE,"Productivity"}</definedName>
    <definedName name="_SS22" localSheetId="45" hidden="1">{#N/A,#N/A,FALSE,"Yield";#N/A,#N/A,FALSE,"Loss1";#N/A,#N/A,FALSE,"Loss2";#N/A,#N/A,FALSE,"Hour-Labor(배분)";#N/A,#N/A,FALSE,"Capital Expenditure";#N/A,#N/A,FALSE,"Productivity"}</definedName>
    <definedName name="_SS22" localSheetId="42" hidden="1">{#N/A,#N/A,FALSE,"Yield";#N/A,#N/A,FALSE,"Loss1";#N/A,#N/A,FALSE,"Loss2";#N/A,#N/A,FALSE,"Hour-Labor(배분)";#N/A,#N/A,FALSE,"Capital Expenditure";#N/A,#N/A,FALSE,"Productivity"}</definedName>
    <definedName name="_SS22" hidden="1">{#N/A,#N/A,FALSE,"Yield";#N/A,#N/A,FALSE,"Loss1";#N/A,#N/A,FALSE,"Loss2";#N/A,#N/A,FALSE,"Hour-Labor(배분)";#N/A,#N/A,FALSE,"Capital Expenditure";#N/A,#N/A,FALSE,"Productivity"}</definedName>
    <definedName name="_SS23" localSheetId="6" hidden="1">{#N/A,#N/A,FALSE,"Yield";#N/A,#N/A,FALSE,"Loss1";#N/A,#N/A,FALSE,"Loss2";#N/A,#N/A,FALSE,"Hour-Labor(배분)";#N/A,#N/A,FALSE,"Capital Expenditure";#N/A,#N/A,FALSE,"Productivity"}</definedName>
    <definedName name="_SS23" localSheetId="45" hidden="1">{#N/A,#N/A,FALSE,"Yield";#N/A,#N/A,FALSE,"Loss1";#N/A,#N/A,FALSE,"Loss2";#N/A,#N/A,FALSE,"Hour-Labor(배분)";#N/A,#N/A,FALSE,"Capital Expenditure";#N/A,#N/A,FALSE,"Productivity"}</definedName>
    <definedName name="_SS23" localSheetId="42" hidden="1">{#N/A,#N/A,FALSE,"Yield";#N/A,#N/A,FALSE,"Loss1";#N/A,#N/A,FALSE,"Loss2";#N/A,#N/A,FALSE,"Hour-Labor(배분)";#N/A,#N/A,FALSE,"Capital Expenditure";#N/A,#N/A,FALSE,"Productivity"}</definedName>
    <definedName name="_SS23" hidden="1">{#N/A,#N/A,FALSE,"Yield";#N/A,#N/A,FALSE,"Loss1";#N/A,#N/A,FALSE,"Loss2";#N/A,#N/A,FALSE,"Hour-Labor(배분)";#N/A,#N/A,FALSE,"Capital Expenditure";#N/A,#N/A,FALSE,"Productivity"}</definedName>
    <definedName name="_SS24" localSheetId="6" hidden="1">{#N/A,#N/A,FALSE,"Yield";#N/A,#N/A,FALSE,"Loss1";#N/A,#N/A,FALSE,"Loss2";#N/A,#N/A,FALSE,"Hour-Labor(배분)";#N/A,#N/A,FALSE,"Capital Expenditure";#N/A,#N/A,FALSE,"Productivity"}</definedName>
    <definedName name="_SS24" localSheetId="45" hidden="1">{#N/A,#N/A,FALSE,"Yield";#N/A,#N/A,FALSE,"Loss1";#N/A,#N/A,FALSE,"Loss2";#N/A,#N/A,FALSE,"Hour-Labor(배분)";#N/A,#N/A,FALSE,"Capital Expenditure";#N/A,#N/A,FALSE,"Productivity"}</definedName>
    <definedName name="_SS24" localSheetId="42" hidden="1">{#N/A,#N/A,FALSE,"Yield";#N/A,#N/A,FALSE,"Loss1";#N/A,#N/A,FALSE,"Loss2";#N/A,#N/A,FALSE,"Hour-Labor(배분)";#N/A,#N/A,FALSE,"Capital Expenditure";#N/A,#N/A,FALSE,"Productivity"}</definedName>
    <definedName name="_SS24" hidden="1">{#N/A,#N/A,FALSE,"Yield";#N/A,#N/A,FALSE,"Loss1";#N/A,#N/A,FALSE,"Loss2";#N/A,#N/A,FALSE,"Hour-Labor(배분)";#N/A,#N/A,FALSE,"Capital Expenditure";#N/A,#N/A,FALSE,"Productivity"}</definedName>
    <definedName name="_SS25" localSheetId="6" hidden="1">{#N/A,#N/A,FALSE,"98소지이동TOTvs99.1 (2)";#N/A,#N/A,FALSE,"TOTAL";#N/A,#N/A,FALSE,"98소지이동TOTvs99.1(b) (2)"}</definedName>
    <definedName name="_SS25" localSheetId="45" hidden="1">{#N/A,#N/A,FALSE,"98소지이동TOTvs99.1 (2)";#N/A,#N/A,FALSE,"TOTAL";#N/A,#N/A,FALSE,"98소지이동TOTvs99.1(b) (2)"}</definedName>
    <definedName name="_SS25" localSheetId="42" hidden="1">{#N/A,#N/A,FALSE,"98소지이동TOTvs99.1 (2)";#N/A,#N/A,FALSE,"TOTAL";#N/A,#N/A,FALSE,"98소지이동TOTvs99.1(b) (2)"}</definedName>
    <definedName name="_SS25" hidden="1">{#N/A,#N/A,FALSE,"98소지이동TOTvs99.1 (2)";#N/A,#N/A,FALSE,"TOTAL";#N/A,#N/A,FALSE,"98소지이동TOTvs99.1(b) (2)"}</definedName>
    <definedName name="_SS26" localSheetId="6"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SS26" localSheetId="45"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SS26" localSheetId="42"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SS26"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SS27" localSheetId="6" hidden="1">{#N/A,#N/A,FALSE,"Yield";#N/A,#N/A,FALSE,"Loss1";#N/A,#N/A,FALSE,"Loss2";#N/A,#N/A,FALSE,"Hour-Labor(배분)";#N/A,#N/A,FALSE,"Capital Expenditure";#N/A,#N/A,FALSE,"Productivity"}</definedName>
    <definedName name="_SS27" localSheetId="45" hidden="1">{#N/A,#N/A,FALSE,"Yield";#N/A,#N/A,FALSE,"Loss1";#N/A,#N/A,FALSE,"Loss2";#N/A,#N/A,FALSE,"Hour-Labor(배분)";#N/A,#N/A,FALSE,"Capital Expenditure";#N/A,#N/A,FALSE,"Productivity"}</definedName>
    <definedName name="_SS27" localSheetId="42" hidden="1">{#N/A,#N/A,FALSE,"Yield";#N/A,#N/A,FALSE,"Loss1";#N/A,#N/A,FALSE,"Loss2";#N/A,#N/A,FALSE,"Hour-Labor(배분)";#N/A,#N/A,FALSE,"Capital Expenditure";#N/A,#N/A,FALSE,"Productivity"}</definedName>
    <definedName name="_SS27" hidden="1">{#N/A,#N/A,FALSE,"Yield";#N/A,#N/A,FALSE,"Loss1";#N/A,#N/A,FALSE,"Loss2";#N/A,#N/A,FALSE,"Hour-Labor(배분)";#N/A,#N/A,FALSE,"Capital Expenditure";#N/A,#N/A,FALSE,"Productivity"}</definedName>
    <definedName name="_SS28" localSheetId="6" hidden="1">{#N/A,#N/A,FALSE,"군산원가";#N/A,#N/A,FALSE,"팀별월별";#N/A,#N/A,FALSE,"타공정대체";#N/A,#N/A,FALSE,"기타경비";#N/A,#N/A,FALSE,"원료";#N/A,#N/A,FALSE,"연료"}</definedName>
    <definedName name="_SS28" localSheetId="45" hidden="1">{#N/A,#N/A,FALSE,"군산원가";#N/A,#N/A,FALSE,"팀별월별";#N/A,#N/A,FALSE,"타공정대체";#N/A,#N/A,FALSE,"기타경비";#N/A,#N/A,FALSE,"원료";#N/A,#N/A,FALSE,"연료"}</definedName>
    <definedName name="_SS28" localSheetId="42" hidden="1">{#N/A,#N/A,FALSE,"군산원가";#N/A,#N/A,FALSE,"팀별월별";#N/A,#N/A,FALSE,"타공정대체";#N/A,#N/A,FALSE,"기타경비";#N/A,#N/A,FALSE,"원료";#N/A,#N/A,FALSE,"연료"}</definedName>
    <definedName name="_SS28" hidden="1">{#N/A,#N/A,FALSE,"군산원가";#N/A,#N/A,FALSE,"팀별월별";#N/A,#N/A,FALSE,"타공정대체";#N/A,#N/A,FALSE,"기타경비";#N/A,#N/A,FALSE,"원료";#N/A,#N/A,FALSE,"연료"}</definedName>
    <definedName name="_SS29" localSheetId="6"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SS29" localSheetId="45"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SS29" localSheetId="42"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SS29"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SS3" localSheetId="6" hidden="1">{#N/A,#N/A,FALSE,"군산원가";#N/A,#N/A,FALSE,"팀별월별";#N/A,#N/A,FALSE,"타공정대체";#N/A,#N/A,FALSE,"기타경비";#N/A,#N/A,FALSE,"원료";#N/A,#N/A,FALSE,"연료"}</definedName>
    <definedName name="_SS3" localSheetId="45" hidden="1">{#N/A,#N/A,FALSE,"군산원가";#N/A,#N/A,FALSE,"팀별월별";#N/A,#N/A,FALSE,"타공정대체";#N/A,#N/A,FALSE,"기타경비";#N/A,#N/A,FALSE,"원료";#N/A,#N/A,FALSE,"연료"}</definedName>
    <definedName name="_SS3" localSheetId="42" hidden="1">{#N/A,#N/A,FALSE,"군산원가";#N/A,#N/A,FALSE,"팀별월별";#N/A,#N/A,FALSE,"타공정대체";#N/A,#N/A,FALSE,"기타경비";#N/A,#N/A,FALSE,"원료";#N/A,#N/A,FALSE,"연료"}</definedName>
    <definedName name="_SS3" hidden="1">{#N/A,#N/A,FALSE,"군산원가";#N/A,#N/A,FALSE,"팀별월별";#N/A,#N/A,FALSE,"타공정대체";#N/A,#N/A,FALSE,"기타경비";#N/A,#N/A,FALSE,"원료";#N/A,#N/A,FALSE,"연료"}</definedName>
    <definedName name="_SS30" localSheetId="6"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SS30" localSheetId="45"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SS30" localSheetId="42"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SS30"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SS31" localSheetId="6" hidden="1">{#N/A,#N/A,FALSE,"Yield";#N/A,#N/A,FALSE,"Loss1";#N/A,#N/A,FALSE,"Loss2";#N/A,#N/A,FALSE,"Hour-Labor(배분)";#N/A,#N/A,FALSE,"Capital Expenditure";#N/A,#N/A,FALSE,"Productivity"}</definedName>
    <definedName name="_SS31" localSheetId="45" hidden="1">{#N/A,#N/A,FALSE,"Yield";#N/A,#N/A,FALSE,"Loss1";#N/A,#N/A,FALSE,"Loss2";#N/A,#N/A,FALSE,"Hour-Labor(배분)";#N/A,#N/A,FALSE,"Capital Expenditure";#N/A,#N/A,FALSE,"Productivity"}</definedName>
    <definedName name="_SS31" localSheetId="42" hidden="1">{#N/A,#N/A,FALSE,"Yield";#N/A,#N/A,FALSE,"Loss1";#N/A,#N/A,FALSE,"Loss2";#N/A,#N/A,FALSE,"Hour-Labor(배분)";#N/A,#N/A,FALSE,"Capital Expenditure";#N/A,#N/A,FALSE,"Productivity"}</definedName>
    <definedName name="_SS31" hidden="1">{#N/A,#N/A,FALSE,"Yield";#N/A,#N/A,FALSE,"Loss1";#N/A,#N/A,FALSE,"Loss2";#N/A,#N/A,FALSE,"Hour-Labor(배분)";#N/A,#N/A,FALSE,"Capital Expenditure";#N/A,#N/A,FALSE,"Productivity"}</definedName>
    <definedName name="_SS32" localSheetId="6" hidden="1">{#N/A,#N/A,FALSE,"98소지이동TOTvs99.1 (2)";#N/A,#N/A,FALSE,"TOTAL";#N/A,#N/A,FALSE,"98소지이동TOTvs99.1(b) (2)"}</definedName>
    <definedName name="_SS32" localSheetId="45" hidden="1">{#N/A,#N/A,FALSE,"98소지이동TOTvs99.1 (2)";#N/A,#N/A,FALSE,"TOTAL";#N/A,#N/A,FALSE,"98소지이동TOTvs99.1(b) (2)"}</definedName>
    <definedName name="_SS32" localSheetId="42" hidden="1">{#N/A,#N/A,FALSE,"98소지이동TOTvs99.1 (2)";#N/A,#N/A,FALSE,"TOTAL";#N/A,#N/A,FALSE,"98소지이동TOTvs99.1(b) (2)"}</definedName>
    <definedName name="_SS32" hidden="1">{#N/A,#N/A,FALSE,"98소지이동TOTvs99.1 (2)";#N/A,#N/A,FALSE,"TOTAL";#N/A,#N/A,FALSE,"98소지이동TOTvs99.1(b) (2)"}</definedName>
    <definedName name="_SS4" localSheetId="6" hidden="1">{#N/A,#N/A,FALSE,"군산원가";#N/A,#N/A,FALSE,"팀별월별";#N/A,#N/A,FALSE,"타공정대체";#N/A,#N/A,FALSE,"기타경비";#N/A,#N/A,FALSE,"원료";#N/A,#N/A,FALSE,"연료"}</definedName>
    <definedName name="_SS4" localSheetId="45" hidden="1">{#N/A,#N/A,FALSE,"군산원가";#N/A,#N/A,FALSE,"팀별월별";#N/A,#N/A,FALSE,"타공정대체";#N/A,#N/A,FALSE,"기타경비";#N/A,#N/A,FALSE,"원료";#N/A,#N/A,FALSE,"연료"}</definedName>
    <definedName name="_SS4" localSheetId="42" hidden="1">{#N/A,#N/A,FALSE,"군산원가";#N/A,#N/A,FALSE,"팀별월별";#N/A,#N/A,FALSE,"타공정대체";#N/A,#N/A,FALSE,"기타경비";#N/A,#N/A,FALSE,"원료";#N/A,#N/A,FALSE,"연료"}</definedName>
    <definedName name="_SS4" hidden="1">{#N/A,#N/A,FALSE,"군산원가";#N/A,#N/A,FALSE,"팀별월별";#N/A,#N/A,FALSE,"타공정대체";#N/A,#N/A,FALSE,"기타경비";#N/A,#N/A,FALSE,"원료";#N/A,#N/A,FALSE,"연료"}</definedName>
    <definedName name="_SS5" localSheetId="6" hidden="1">{#N/A,#N/A,FALSE,"98소지이동TOTvs99.1 (2)";#N/A,#N/A,FALSE,"TOTAL";#N/A,#N/A,FALSE,"98소지이동TOTvs99.1(b) (2)"}</definedName>
    <definedName name="_SS5" localSheetId="45" hidden="1">{#N/A,#N/A,FALSE,"98소지이동TOTvs99.1 (2)";#N/A,#N/A,FALSE,"TOTAL";#N/A,#N/A,FALSE,"98소지이동TOTvs99.1(b) (2)"}</definedName>
    <definedName name="_SS5" localSheetId="42" hidden="1">{#N/A,#N/A,FALSE,"98소지이동TOTvs99.1 (2)";#N/A,#N/A,FALSE,"TOTAL";#N/A,#N/A,FALSE,"98소지이동TOTvs99.1(b) (2)"}</definedName>
    <definedName name="_SS5" hidden="1">{#N/A,#N/A,FALSE,"98소지이동TOTvs99.1 (2)";#N/A,#N/A,FALSE,"TOTAL";#N/A,#N/A,FALSE,"98소지이동TOTvs99.1(b) (2)"}</definedName>
    <definedName name="_SS6" localSheetId="6"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SS6" localSheetId="45"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SS6" localSheetId="42"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SS6"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SS7" localSheetId="6"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SS7" localSheetId="45"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SS7" localSheetId="42"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SS7"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SS8" localSheetId="6" hidden="1">{#N/A,#N/A,FALSE,"98소지이동TOTvs99.1 (2)";#N/A,#N/A,FALSE,"TOTAL";#N/A,#N/A,FALSE,"98소지이동TOTvs99.1(b) (2)"}</definedName>
    <definedName name="_SS8" localSheetId="45" hidden="1">{#N/A,#N/A,FALSE,"98소지이동TOTvs99.1 (2)";#N/A,#N/A,FALSE,"TOTAL";#N/A,#N/A,FALSE,"98소지이동TOTvs99.1(b) (2)"}</definedName>
    <definedName name="_SS8" localSheetId="42" hidden="1">{#N/A,#N/A,FALSE,"98소지이동TOTvs99.1 (2)";#N/A,#N/A,FALSE,"TOTAL";#N/A,#N/A,FALSE,"98소지이동TOTvs99.1(b) (2)"}</definedName>
    <definedName name="_SS8" hidden="1">{#N/A,#N/A,FALSE,"98소지이동TOTvs99.1 (2)";#N/A,#N/A,FALSE,"TOTAL";#N/A,#N/A,FALSE,"98소지이동TOTvs99.1(b) (2)"}</definedName>
    <definedName name="_SS9" localSheetId="6" hidden="1">{#N/A,#N/A,FALSE,"98소지이동TOTvs99.1 (2)";#N/A,#N/A,FALSE,"TOTAL";#N/A,#N/A,FALSE,"98소지이동TOTvs99.1(b) (2)"}</definedName>
    <definedName name="_SS9" localSheetId="45" hidden="1">{#N/A,#N/A,FALSE,"98소지이동TOTvs99.1 (2)";#N/A,#N/A,FALSE,"TOTAL";#N/A,#N/A,FALSE,"98소지이동TOTvs99.1(b) (2)"}</definedName>
    <definedName name="_SS9" localSheetId="42" hidden="1">{#N/A,#N/A,FALSE,"98소지이동TOTvs99.1 (2)";#N/A,#N/A,FALSE,"TOTAL";#N/A,#N/A,FALSE,"98소지이동TOTvs99.1(b) (2)"}</definedName>
    <definedName name="_SS9" hidden="1">{#N/A,#N/A,FALSE,"98소지이동TOTvs99.1 (2)";#N/A,#N/A,FALSE,"TOTAL";#N/A,#N/A,FALSE,"98소지이동TOTvs99.1(b) (2)"}</definedName>
    <definedName name="_Table1_In1" localSheetId="12" hidden="1">#REF!</definedName>
    <definedName name="_Table1_In1" localSheetId="30" hidden="1">#REF!</definedName>
    <definedName name="_Table1_In1" localSheetId="29" hidden="1">#REF!</definedName>
    <definedName name="_Table1_In1" localSheetId="33" hidden="1">#REF!</definedName>
    <definedName name="_Table1_In1" localSheetId="15" hidden="1">#REF!</definedName>
    <definedName name="_Table1_In1" localSheetId="31" hidden="1">#REF!</definedName>
    <definedName name="_Table1_In1" localSheetId="6" hidden="1">#REF!</definedName>
    <definedName name="_Table1_In1" localSheetId="32" hidden="1">#REF!</definedName>
    <definedName name="_Table1_In1" localSheetId="42" hidden="1">#REF!</definedName>
    <definedName name="_Table1_In1" hidden="1">#REF!</definedName>
    <definedName name="_Table1_In2" localSheetId="30" hidden="1">#REF!</definedName>
    <definedName name="_Table1_In2" localSheetId="29" hidden="1">#REF!</definedName>
    <definedName name="_Table1_In2" localSheetId="33" hidden="1">#REF!</definedName>
    <definedName name="_Table1_In2" localSheetId="31" hidden="1">#REF!</definedName>
    <definedName name="_Table1_In2" hidden="1">#REF!</definedName>
    <definedName name="_Table1_Out" localSheetId="12" hidden="1">#REF!</definedName>
    <definedName name="_Table1_Out" localSheetId="30" hidden="1">#REF!</definedName>
    <definedName name="_Table1_Out" localSheetId="29" hidden="1">#REF!</definedName>
    <definedName name="_Table1_Out" localSheetId="33" hidden="1">#REF!</definedName>
    <definedName name="_Table1_Out" localSheetId="15" hidden="1">#REF!</definedName>
    <definedName name="_Table1_Out" localSheetId="31" hidden="1">#REF!</definedName>
    <definedName name="_Table1_Out" localSheetId="6" hidden="1">#REF!</definedName>
    <definedName name="_Table1_Out" localSheetId="32" hidden="1">#REF!</definedName>
    <definedName name="_Table1_Out" localSheetId="42" hidden="1">#REF!</definedName>
    <definedName name="_Table1_Out" hidden="1">#REF!</definedName>
    <definedName name="_Table2_In1" localSheetId="30" hidden="1">#REF!</definedName>
    <definedName name="_Table2_In1" localSheetId="29" hidden="1">#REF!</definedName>
    <definedName name="_Table2_In1" localSheetId="33" hidden="1">#REF!</definedName>
    <definedName name="_Table2_In1" localSheetId="31" hidden="1">#REF!</definedName>
    <definedName name="_Table2_In1" localSheetId="32" hidden="1">#REF!</definedName>
    <definedName name="_Table2_In1" hidden="1">#REF!</definedName>
    <definedName name="_Table2_In2" localSheetId="30" hidden="1">#REF!</definedName>
    <definedName name="_Table2_In2" localSheetId="29" hidden="1">#REF!</definedName>
    <definedName name="_Table2_In2" localSheetId="33" hidden="1">#REF!</definedName>
    <definedName name="_Table2_In2" localSheetId="31" hidden="1">#REF!</definedName>
    <definedName name="_Table2_In2" localSheetId="32" hidden="1">#REF!</definedName>
    <definedName name="_Table2_In2" hidden="1">#REF!</definedName>
    <definedName name="_Table2_Out" localSheetId="30" hidden="1">#REF!</definedName>
    <definedName name="_Table2_Out" localSheetId="29" hidden="1">#REF!</definedName>
    <definedName name="_Table2_Out" localSheetId="33" hidden="1">#REF!</definedName>
    <definedName name="_Table2_Out" localSheetId="31" hidden="1">#REF!</definedName>
    <definedName name="_Table2_Out" localSheetId="32" hidden="1">#REF!</definedName>
    <definedName name="_Table2_Out" hidden="1">#REF!</definedName>
    <definedName name="_www1" localSheetId="6"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_www1" localSheetId="45"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_www1" localSheetId="42"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_www1"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_XX1" localSheetId="6" hidden="1">{#N/A,#N/A,FALSE,"98소지이동TOTvs99.1 (2)";#N/A,#N/A,FALSE,"TOTAL";#N/A,#N/A,FALSE,"98소지이동TOTvs99.1(b) (2)"}</definedName>
    <definedName name="_XX1" localSheetId="45" hidden="1">{#N/A,#N/A,FALSE,"98소지이동TOTvs99.1 (2)";#N/A,#N/A,FALSE,"TOTAL";#N/A,#N/A,FALSE,"98소지이동TOTvs99.1(b) (2)"}</definedName>
    <definedName name="_XX1" localSheetId="42" hidden="1">{#N/A,#N/A,FALSE,"98소지이동TOTvs99.1 (2)";#N/A,#N/A,FALSE,"TOTAL";#N/A,#N/A,FALSE,"98소지이동TOTvs99.1(b) (2)"}</definedName>
    <definedName name="_XX1" hidden="1">{#N/A,#N/A,FALSE,"98소지이동TOTvs99.1 (2)";#N/A,#N/A,FALSE,"TOTAL";#N/A,#N/A,FALSE,"98소지이동TOTvs99.1(b) (2)"}</definedName>
    <definedName name="_XX10" localSheetId="6" hidden="1">{#N/A,#N/A,FALSE,"Yield";#N/A,#N/A,FALSE,"Loss1";#N/A,#N/A,FALSE,"Loss2";#N/A,#N/A,FALSE,"Hour-Labor(배분)";#N/A,#N/A,FALSE,"Capital Expenditure";#N/A,#N/A,FALSE,"Productivity"}</definedName>
    <definedName name="_XX10" localSheetId="45" hidden="1">{#N/A,#N/A,FALSE,"Yield";#N/A,#N/A,FALSE,"Loss1";#N/A,#N/A,FALSE,"Loss2";#N/A,#N/A,FALSE,"Hour-Labor(배분)";#N/A,#N/A,FALSE,"Capital Expenditure";#N/A,#N/A,FALSE,"Productivity"}</definedName>
    <definedName name="_XX10" localSheetId="42" hidden="1">{#N/A,#N/A,FALSE,"Yield";#N/A,#N/A,FALSE,"Loss1";#N/A,#N/A,FALSE,"Loss2";#N/A,#N/A,FALSE,"Hour-Labor(배분)";#N/A,#N/A,FALSE,"Capital Expenditure";#N/A,#N/A,FALSE,"Productivity"}</definedName>
    <definedName name="_XX10" hidden="1">{#N/A,#N/A,FALSE,"Yield";#N/A,#N/A,FALSE,"Loss1";#N/A,#N/A,FALSE,"Loss2";#N/A,#N/A,FALSE,"Hour-Labor(배분)";#N/A,#N/A,FALSE,"Capital Expenditure";#N/A,#N/A,FALSE,"Productivity"}</definedName>
    <definedName name="_XX2" localSheetId="6" hidden="1">{#N/A,#N/A,FALSE,"98소지이동TOTvs99.1 (2)";#N/A,#N/A,FALSE,"TOTAL";#N/A,#N/A,FALSE,"98소지이동TOTvs99.1(b) (2)"}</definedName>
    <definedName name="_XX2" localSheetId="45" hidden="1">{#N/A,#N/A,FALSE,"98소지이동TOTvs99.1 (2)";#N/A,#N/A,FALSE,"TOTAL";#N/A,#N/A,FALSE,"98소지이동TOTvs99.1(b) (2)"}</definedName>
    <definedName name="_XX2" localSheetId="42" hidden="1">{#N/A,#N/A,FALSE,"98소지이동TOTvs99.1 (2)";#N/A,#N/A,FALSE,"TOTAL";#N/A,#N/A,FALSE,"98소지이동TOTvs99.1(b) (2)"}</definedName>
    <definedName name="_XX2" hidden="1">{#N/A,#N/A,FALSE,"98소지이동TOTvs99.1 (2)";#N/A,#N/A,FALSE,"TOTAL";#N/A,#N/A,FALSE,"98소지이동TOTvs99.1(b) (2)"}</definedName>
    <definedName name="_XX3" localSheetId="6" hidden="1">{#N/A,#N/A,FALSE,"98소지이동TOTvs99.1 (2)";#N/A,#N/A,FALSE,"TOTAL";#N/A,#N/A,FALSE,"98소지이동TOTvs99.1(b) (2)"}</definedName>
    <definedName name="_XX3" localSheetId="45" hidden="1">{#N/A,#N/A,FALSE,"98소지이동TOTvs99.1 (2)";#N/A,#N/A,FALSE,"TOTAL";#N/A,#N/A,FALSE,"98소지이동TOTvs99.1(b) (2)"}</definedName>
    <definedName name="_XX3" localSheetId="42" hidden="1">{#N/A,#N/A,FALSE,"98소지이동TOTvs99.1 (2)";#N/A,#N/A,FALSE,"TOTAL";#N/A,#N/A,FALSE,"98소지이동TOTvs99.1(b) (2)"}</definedName>
    <definedName name="_XX3" hidden="1">{#N/A,#N/A,FALSE,"98소지이동TOTvs99.1 (2)";#N/A,#N/A,FALSE,"TOTAL";#N/A,#N/A,FALSE,"98소지이동TOTvs99.1(b) (2)"}</definedName>
    <definedName name="_XX4" localSheetId="6" hidden="1">{#N/A,#N/A,FALSE,"군산원가";#N/A,#N/A,FALSE,"팀별월별";#N/A,#N/A,FALSE,"타공정대체";#N/A,#N/A,FALSE,"기타경비";#N/A,#N/A,FALSE,"원료";#N/A,#N/A,FALSE,"연료"}</definedName>
    <definedName name="_XX4" localSheetId="45" hidden="1">{#N/A,#N/A,FALSE,"군산원가";#N/A,#N/A,FALSE,"팀별월별";#N/A,#N/A,FALSE,"타공정대체";#N/A,#N/A,FALSE,"기타경비";#N/A,#N/A,FALSE,"원료";#N/A,#N/A,FALSE,"연료"}</definedName>
    <definedName name="_XX4" localSheetId="42" hidden="1">{#N/A,#N/A,FALSE,"군산원가";#N/A,#N/A,FALSE,"팀별월별";#N/A,#N/A,FALSE,"타공정대체";#N/A,#N/A,FALSE,"기타경비";#N/A,#N/A,FALSE,"원료";#N/A,#N/A,FALSE,"연료"}</definedName>
    <definedName name="_XX4" hidden="1">{#N/A,#N/A,FALSE,"군산원가";#N/A,#N/A,FALSE,"팀별월별";#N/A,#N/A,FALSE,"타공정대체";#N/A,#N/A,FALSE,"기타경비";#N/A,#N/A,FALSE,"원료";#N/A,#N/A,FALSE,"연료"}</definedName>
    <definedName name="_XX5" localSheetId="6" hidden="1">{#N/A,#N/A,FALSE,"군산원가";#N/A,#N/A,FALSE,"팀별월별";#N/A,#N/A,FALSE,"타공정대체";#N/A,#N/A,FALSE,"기타경비";#N/A,#N/A,FALSE,"원료";#N/A,#N/A,FALSE,"연료"}</definedName>
    <definedName name="_XX5" localSheetId="45" hidden="1">{#N/A,#N/A,FALSE,"군산원가";#N/A,#N/A,FALSE,"팀별월별";#N/A,#N/A,FALSE,"타공정대체";#N/A,#N/A,FALSE,"기타경비";#N/A,#N/A,FALSE,"원료";#N/A,#N/A,FALSE,"연료"}</definedName>
    <definedName name="_XX5" localSheetId="42" hidden="1">{#N/A,#N/A,FALSE,"군산원가";#N/A,#N/A,FALSE,"팀별월별";#N/A,#N/A,FALSE,"타공정대체";#N/A,#N/A,FALSE,"기타경비";#N/A,#N/A,FALSE,"원료";#N/A,#N/A,FALSE,"연료"}</definedName>
    <definedName name="_XX5" hidden="1">{#N/A,#N/A,FALSE,"군산원가";#N/A,#N/A,FALSE,"팀별월별";#N/A,#N/A,FALSE,"타공정대체";#N/A,#N/A,FALSE,"기타경비";#N/A,#N/A,FALSE,"원료";#N/A,#N/A,FALSE,"연료"}</definedName>
    <definedName name="_XX6" localSheetId="6" hidden="1">{#N/A,#N/A,FALSE,"Yield";#N/A,#N/A,FALSE,"Loss1";#N/A,#N/A,FALSE,"Loss2";#N/A,#N/A,FALSE,"Hour-Labor(배분)";#N/A,#N/A,FALSE,"Capital Expenditure";#N/A,#N/A,FALSE,"Productivity"}</definedName>
    <definedName name="_XX6" localSheetId="45" hidden="1">{#N/A,#N/A,FALSE,"Yield";#N/A,#N/A,FALSE,"Loss1";#N/A,#N/A,FALSE,"Loss2";#N/A,#N/A,FALSE,"Hour-Labor(배분)";#N/A,#N/A,FALSE,"Capital Expenditure";#N/A,#N/A,FALSE,"Productivity"}</definedName>
    <definedName name="_XX6" localSheetId="42" hidden="1">{#N/A,#N/A,FALSE,"Yield";#N/A,#N/A,FALSE,"Loss1";#N/A,#N/A,FALSE,"Loss2";#N/A,#N/A,FALSE,"Hour-Labor(배분)";#N/A,#N/A,FALSE,"Capital Expenditure";#N/A,#N/A,FALSE,"Productivity"}</definedName>
    <definedName name="_XX6" hidden="1">{#N/A,#N/A,FALSE,"Yield";#N/A,#N/A,FALSE,"Loss1";#N/A,#N/A,FALSE,"Loss2";#N/A,#N/A,FALSE,"Hour-Labor(배분)";#N/A,#N/A,FALSE,"Capital Expenditure";#N/A,#N/A,FALSE,"Productivity"}</definedName>
    <definedName name="_XX7" localSheetId="6" hidden="1">{#N/A,#N/A,FALSE,"98소지이동TOTvs99.1 (2)";#N/A,#N/A,FALSE,"TOTAL";#N/A,#N/A,FALSE,"98소지이동TOTvs99.1(b) (2)"}</definedName>
    <definedName name="_XX7" localSheetId="45" hidden="1">{#N/A,#N/A,FALSE,"98소지이동TOTvs99.1 (2)";#N/A,#N/A,FALSE,"TOTAL";#N/A,#N/A,FALSE,"98소지이동TOTvs99.1(b) (2)"}</definedName>
    <definedName name="_XX7" localSheetId="42" hidden="1">{#N/A,#N/A,FALSE,"98소지이동TOTvs99.1 (2)";#N/A,#N/A,FALSE,"TOTAL";#N/A,#N/A,FALSE,"98소지이동TOTvs99.1(b) (2)"}</definedName>
    <definedName name="_XX7" hidden="1">{#N/A,#N/A,FALSE,"98소지이동TOTvs99.1 (2)";#N/A,#N/A,FALSE,"TOTAL";#N/A,#N/A,FALSE,"98소지이동TOTvs99.1(b) (2)"}</definedName>
    <definedName name="_XX8" localSheetId="6"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XX8" localSheetId="45"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XX8" localSheetId="42"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XX8"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XX9" localSheetId="6"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XX9" localSheetId="45"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XX9" localSheetId="42"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XX9"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ZZ1" localSheetId="6" hidden="1">{#N/A,#N/A,FALSE,"98소지이동TOTvs99.1 (2)";#N/A,#N/A,FALSE,"TOTAL";#N/A,#N/A,FALSE,"98소지이동TOTvs99.1(b) (2)"}</definedName>
    <definedName name="_ZZ1" localSheetId="45" hidden="1">{#N/A,#N/A,FALSE,"98소지이동TOTvs99.1 (2)";#N/A,#N/A,FALSE,"TOTAL";#N/A,#N/A,FALSE,"98소지이동TOTvs99.1(b) (2)"}</definedName>
    <definedName name="_ZZ1" localSheetId="42" hidden="1">{#N/A,#N/A,FALSE,"98소지이동TOTvs99.1 (2)";#N/A,#N/A,FALSE,"TOTAL";#N/A,#N/A,FALSE,"98소지이동TOTvs99.1(b) (2)"}</definedName>
    <definedName name="_ZZ1" hidden="1">{#N/A,#N/A,FALSE,"98소지이동TOTvs99.1 (2)";#N/A,#N/A,FALSE,"TOTAL";#N/A,#N/A,FALSE,"98소지이동TOTvs99.1(b) (2)"}</definedName>
    <definedName name="Ⅱ" localSheetId="15" hidden="1">{#N/A,#N/A,FALSE,"정공"}</definedName>
    <definedName name="Ⅱ" localSheetId="6" hidden="1">{#N/A,#N/A,FALSE,"정공"}</definedName>
    <definedName name="Ⅱ" localSheetId="45" hidden="1">{#N/A,#N/A,FALSE,"정공"}</definedName>
    <definedName name="Ⅱ" localSheetId="42" hidden="1">{#N/A,#N/A,FALSE,"정공"}</definedName>
    <definedName name="Ⅱ" hidden="1">{#N/A,#N/A,FALSE,"정공"}</definedName>
    <definedName name="A" localSheetId="4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1_00근거" localSheetId="42" hidden="1">{#N/A,#N/A,FALSE,"단축1";#N/A,#N/A,FALSE,"단축2";#N/A,#N/A,FALSE,"단축3";#N/A,#N/A,FALSE,"장축";#N/A,#N/A,FALSE,"4WD"}</definedName>
    <definedName name="A1_00근거" hidden="1">{#N/A,#N/A,FALSE,"단축1";#N/A,#N/A,FALSE,"단축2";#N/A,#N/A,FALSE,"단축3";#N/A,#N/A,FALSE,"장축";#N/A,#N/A,FALSE,"4WD"}</definedName>
    <definedName name="aa" localSheetId="15"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aa" localSheetId="6"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aa" localSheetId="45"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aa" localSheetId="42"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aa" hidden="1">{#N/A,#N/A,FALSE,"BS";#N/A,#N/A,FALSE,"PL";#N/A,#N/A,FALSE,"A";#N/A,#N/A,FALSE,"B";#N/A,#N/A,FALSE,"B1";#N/A,#N/A,FALSE,"C";#N/A,#N/A,FALSE,"C1";#N/A,#N/A,FALSE,"C2";#N/A,#N/A,FALSE,"D";#N/A,#N/A,FALSE,"E";#N/A,#N/A,FALSE,"F";#N/A,#N/A,FALSE,"AA";#N/A,#N/A,FALSE,"BB";#N/A,#N/A,FALSE,"CC";#N/A,#N/A,FALSE,"DD";#N/A,#N/A,FALSE,"EE";#N/A,#N/A,FALSE,"FF";#N/A,#N/A,FALSE,"PL10";#N/A,#N/A,FALSE,"PL20";#N/A,#N/A,FALSE,"PL30"}</definedName>
    <definedName name="aaa" localSheetId="1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 localSheetId="42" hidden="1">{#N/A,#N/A,FALSE,"BS";#N/A,#N/A,FALSE,"PL";#N/A,#N/A,FALSE,"처분";#N/A,#N/A,FALSE,"현금";#N/A,#N/A,FALSE,"매출";#N/A,#N/A,FALSE,"원가";#N/A,#N/A,FALSE,"경영"}</definedName>
    <definedName name="aaa" hidden="1">{#N/A,#N/A,FALSE,"BS";#N/A,#N/A,FALSE,"PL";#N/A,#N/A,FALSE,"처분";#N/A,#N/A,FALSE,"현금";#N/A,#N/A,FALSE,"매출";#N/A,#N/A,FALSE,"원가";#N/A,#N/A,FALSE,"경영"}</definedName>
    <definedName name="AAAA" localSheetId="15" hidden="1">{#N/A,#N/A,FALSE,"손익표지";#N/A,#N/A,FALSE,"손익계산";#N/A,#N/A,FALSE,"일반관리비";#N/A,#N/A,FALSE,"영업외수익";#N/A,#N/A,FALSE,"영업외비용";#N/A,#N/A,FALSE,"매출액";#N/A,#N/A,FALSE,"요약손익";#N/A,#N/A,FALSE,"요약대차";#N/A,#N/A,FALSE,"매출채권현황";#N/A,#N/A,FALSE,"매출채권명세"}</definedName>
    <definedName name="AAAA" localSheetId="6" hidden="1">{#N/A,#N/A,FALSE,"손익표지";#N/A,#N/A,FALSE,"손익계산";#N/A,#N/A,FALSE,"일반관리비";#N/A,#N/A,FALSE,"영업외수익";#N/A,#N/A,FALSE,"영업외비용";#N/A,#N/A,FALSE,"매출액";#N/A,#N/A,FALSE,"요약손익";#N/A,#N/A,FALSE,"요약대차";#N/A,#N/A,FALSE,"매출채권현황";#N/A,#N/A,FALSE,"매출채권명세"}</definedName>
    <definedName name="AAAA" localSheetId="45" hidden="1">{#N/A,#N/A,FALSE,"손익표지";#N/A,#N/A,FALSE,"손익계산";#N/A,#N/A,FALSE,"일반관리비";#N/A,#N/A,FALSE,"영업외수익";#N/A,#N/A,FALSE,"영업외비용";#N/A,#N/A,FALSE,"매출액";#N/A,#N/A,FALSE,"요약손익";#N/A,#N/A,FALSE,"요약대차";#N/A,#N/A,FALSE,"매출채권현황";#N/A,#N/A,FALSE,"매출채권명세"}</definedName>
    <definedName name="AAAA" localSheetId="42" hidden="1">{#N/A,#N/A,FALSE,"손익표지";#N/A,#N/A,FALSE,"손익계산";#N/A,#N/A,FALSE,"일반관리비";#N/A,#N/A,FALSE,"영업외수익";#N/A,#N/A,FALSE,"영업외비용";#N/A,#N/A,FALSE,"매출액";#N/A,#N/A,FALSE,"요약손익";#N/A,#N/A,FALSE,"요약대차";#N/A,#N/A,FALSE,"매출채권현황";#N/A,#N/A,FALSE,"매출채권명세"}</definedName>
    <definedName name="aaaa" hidden="1">{#N/A,#N/A,FALSE,"기술료 비교"}</definedName>
    <definedName name="aaaaa" localSheetId="42" hidden="1">{#N/A,#N/A,FALSE,"UNIT";#N/A,#N/A,FALSE,"UNIT";#N/A,#N/A,FALSE,"계정"}</definedName>
    <definedName name="aaaaa" hidden="1">{#N/A,#N/A,FALSE,"UNIT";#N/A,#N/A,FALSE,"UNIT";#N/A,#N/A,FALSE,"계정"}</definedName>
    <definedName name="AAAAAA" localSheetId="1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 localSheetId="4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 localSheetId="15" hidden="1">{#N/A,#N/A,FALSE,"손익표지";#N/A,#N/A,FALSE,"손익계산";#N/A,#N/A,FALSE,"일반관리비";#N/A,#N/A,FALSE,"영업외수익";#N/A,#N/A,FALSE,"영업외비용";#N/A,#N/A,FALSE,"매출액";#N/A,#N/A,FALSE,"요약손익";#N/A,#N/A,FALSE,"요약대차";#N/A,#N/A,FALSE,"매출채권현황";#N/A,#N/A,FALSE,"매출채권명세"}</definedName>
    <definedName name="aaaaaaaa" localSheetId="6" hidden="1">{#N/A,#N/A,FALSE,"손익표지";#N/A,#N/A,FALSE,"손익계산";#N/A,#N/A,FALSE,"일반관리비";#N/A,#N/A,FALSE,"영업외수익";#N/A,#N/A,FALSE,"영업외비용";#N/A,#N/A,FALSE,"매출액";#N/A,#N/A,FALSE,"요약손익";#N/A,#N/A,FALSE,"요약대차";#N/A,#N/A,FALSE,"매출채권현황";#N/A,#N/A,FALSE,"매출채권명세"}</definedName>
    <definedName name="aaaaaaaa" localSheetId="45" hidden="1">{#N/A,#N/A,FALSE,"손익표지";#N/A,#N/A,FALSE,"손익계산";#N/A,#N/A,FALSE,"일반관리비";#N/A,#N/A,FALSE,"영업외수익";#N/A,#N/A,FALSE,"영업외비용";#N/A,#N/A,FALSE,"매출액";#N/A,#N/A,FALSE,"요약손익";#N/A,#N/A,FALSE,"요약대차";#N/A,#N/A,FALSE,"매출채권현황";#N/A,#N/A,FALSE,"매출채권명세"}</definedName>
    <definedName name="aaaaaaaa" localSheetId="42" hidden="1">{#N/A,#N/A,FALSE,"손익표지";#N/A,#N/A,FALSE,"손익계산";#N/A,#N/A,FALSE,"일반관리비";#N/A,#N/A,FALSE,"영업외수익";#N/A,#N/A,FALSE,"영업외비용";#N/A,#N/A,FALSE,"매출액";#N/A,#N/A,FALSE,"요약손익";#N/A,#N/A,FALSE,"요약대차";#N/A,#N/A,FALSE,"매출채권현황";#N/A,#N/A,FALSE,"매출채권명세"}</definedName>
    <definedName name="aaaaaaaa" hidden="1">{#N/A,#N/A,FALSE,"손익표지";#N/A,#N/A,FALSE,"손익계산";#N/A,#N/A,FALSE,"일반관리비";#N/A,#N/A,FALSE,"영업외수익";#N/A,#N/A,FALSE,"영업외비용";#N/A,#N/A,FALSE,"매출액";#N/A,#N/A,FALSE,"요약손익";#N/A,#N/A,FALSE,"요약대차";#N/A,#N/A,FALSE,"매출채권현황";#N/A,#N/A,FALSE,"매출채권명세"}</definedName>
    <definedName name="aaaaaaaaaaa" localSheetId="15" hidden="1">{#N/A,#N/A,FALSE,"손익표지";#N/A,#N/A,FALSE,"손익계산";#N/A,#N/A,FALSE,"일반관리비";#N/A,#N/A,FALSE,"영업외수익";#N/A,#N/A,FALSE,"영업외비용";#N/A,#N/A,FALSE,"매출액";#N/A,#N/A,FALSE,"요약손익";#N/A,#N/A,FALSE,"요약대차";#N/A,#N/A,FALSE,"매출채권현황";#N/A,#N/A,FALSE,"매출채권명세"}</definedName>
    <definedName name="aaaaaaaaaaa" localSheetId="6" hidden="1">{#N/A,#N/A,FALSE,"손익표지";#N/A,#N/A,FALSE,"손익계산";#N/A,#N/A,FALSE,"일반관리비";#N/A,#N/A,FALSE,"영업외수익";#N/A,#N/A,FALSE,"영업외비용";#N/A,#N/A,FALSE,"매출액";#N/A,#N/A,FALSE,"요약손익";#N/A,#N/A,FALSE,"요약대차";#N/A,#N/A,FALSE,"매출채권현황";#N/A,#N/A,FALSE,"매출채권명세"}</definedName>
    <definedName name="aaaaaaaaaaa" localSheetId="45" hidden="1">{#N/A,#N/A,FALSE,"손익표지";#N/A,#N/A,FALSE,"손익계산";#N/A,#N/A,FALSE,"일반관리비";#N/A,#N/A,FALSE,"영업외수익";#N/A,#N/A,FALSE,"영업외비용";#N/A,#N/A,FALSE,"매출액";#N/A,#N/A,FALSE,"요약손익";#N/A,#N/A,FALSE,"요약대차";#N/A,#N/A,FALSE,"매출채권현황";#N/A,#N/A,FALSE,"매출채권명세"}</definedName>
    <definedName name="aaaaaaaaaaa" localSheetId="42" hidden="1">{#N/A,#N/A,FALSE,"손익표지";#N/A,#N/A,FALSE,"손익계산";#N/A,#N/A,FALSE,"일반관리비";#N/A,#N/A,FALSE,"영업외수익";#N/A,#N/A,FALSE,"영업외비용";#N/A,#N/A,FALSE,"매출액";#N/A,#N/A,FALSE,"요약손익";#N/A,#N/A,FALSE,"요약대차";#N/A,#N/A,FALSE,"매출채권현황";#N/A,#N/A,FALSE,"매출채권명세"}</definedName>
    <definedName name="aaaaaaaaaaa" hidden="1">{#N/A,#N/A,FALSE,"손익표지";#N/A,#N/A,FALSE,"손익계산";#N/A,#N/A,FALSE,"일반관리비";#N/A,#N/A,FALSE,"영업외수익";#N/A,#N/A,FALSE,"영업외비용";#N/A,#N/A,FALSE,"매출액";#N/A,#N/A,FALSE,"요약손익";#N/A,#N/A,FALSE,"요약대차";#N/A,#N/A,FALSE,"매출채권현황";#N/A,#N/A,FALSE,"매출채권명세"}</definedName>
    <definedName name="aaaaaaaaaaaa" localSheetId="15" hidden="1">{#N/A,#N/A,FALSE,"손익표지";#N/A,#N/A,FALSE,"손익계산";#N/A,#N/A,FALSE,"일반관리비";#N/A,#N/A,FALSE,"영업외수익";#N/A,#N/A,FALSE,"영업외비용";#N/A,#N/A,FALSE,"매출액";#N/A,#N/A,FALSE,"요약손익";#N/A,#N/A,FALSE,"요약대차";#N/A,#N/A,FALSE,"매출채권현황";#N/A,#N/A,FALSE,"매출채권명세"}</definedName>
    <definedName name="aaaaaaaaaaaa" localSheetId="6" hidden="1">{#N/A,#N/A,FALSE,"손익표지";#N/A,#N/A,FALSE,"손익계산";#N/A,#N/A,FALSE,"일반관리비";#N/A,#N/A,FALSE,"영업외수익";#N/A,#N/A,FALSE,"영업외비용";#N/A,#N/A,FALSE,"매출액";#N/A,#N/A,FALSE,"요약손익";#N/A,#N/A,FALSE,"요약대차";#N/A,#N/A,FALSE,"매출채권현황";#N/A,#N/A,FALSE,"매출채권명세"}</definedName>
    <definedName name="aaaaaaaaaaaa" localSheetId="45" hidden="1">{#N/A,#N/A,FALSE,"손익표지";#N/A,#N/A,FALSE,"손익계산";#N/A,#N/A,FALSE,"일반관리비";#N/A,#N/A,FALSE,"영업외수익";#N/A,#N/A,FALSE,"영업외비용";#N/A,#N/A,FALSE,"매출액";#N/A,#N/A,FALSE,"요약손익";#N/A,#N/A,FALSE,"요약대차";#N/A,#N/A,FALSE,"매출채권현황";#N/A,#N/A,FALSE,"매출채권명세"}</definedName>
    <definedName name="aaaaaaaaaaaa" localSheetId="42" hidden="1">{#N/A,#N/A,FALSE,"손익표지";#N/A,#N/A,FALSE,"손익계산";#N/A,#N/A,FALSE,"일반관리비";#N/A,#N/A,FALSE,"영업외수익";#N/A,#N/A,FALSE,"영업외비용";#N/A,#N/A,FALSE,"매출액";#N/A,#N/A,FALSE,"요약손익";#N/A,#N/A,FALSE,"요약대차";#N/A,#N/A,FALSE,"매출채권현황";#N/A,#N/A,FALSE,"매출채권명세"}</definedName>
    <definedName name="aaaaaaaaaaaa" hidden="1">{#N/A,#N/A,FALSE,"손익표지";#N/A,#N/A,FALSE,"손익계산";#N/A,#N/A,FALSE,"일반관리비";#N/A,#N/A,FALSE,"영업외수익";#N/A,#N/A,FALSE,"영업외비용";#N/A,#N/A,FALSE,"매출액";#N/A,#N/A,FALSE,"요약손익";#N/A,#N/A,FALSE,"요약대차";#N/A,#N/A,FALSE,"매출채권현황";#N/A,#N/A,FALSE,"매출채권명세"}</definedName>
    <definedName name="AAAAAAAAAAAAAAAAA" localSheetId="15" hidden="1">{#N/A,#N/A,FALSE,"손익표지";#N/A,#N/A,FALSE,"손익계산";#N/A,#N/A,FALSE,"일반관리비";#N/A,#N/A,FALSE,"영업외수익";#N/A,#N/A,FALSE,"영업외비용";#N/A,#N/A,FALSE,"매출액";#N/A,#N/A,FALSE,"요약손익";#N/A,#N/A,FALSE,"요약대차";#N/A,#N/A,FALSE,"매출채권현황";#N/A,#N/A,FALSE,"매출채권명세"}</definedName>
    <definedName name="AAAAAAAAAAAAAAAAA" localSheetId="6" hidden="1">{#N/A,#N/A,FALSE,"손익표지";#N/A,#N/A,FALSE,"손익계산";#N/A,#N/A,FALSE,"일반관리비";#N/A,#N/A,FALSE,"영업외수익";#N/A,#N/A,FALSE,"영업외비용";#N/A,#N/A,FALSE,"매출액";#N/A,#N/A,FALSE,"요약손익";#N/A,#N/A,FALSE,"요약대차";#N/A,#N/A,FALSE,"매출채권현황";#N/A,#N/A,FALSE,"매출채권명세"}</definedName>
    <definedName name="AAAAAAAAAAAAAAAAA" localSheetId="45" hidden="1">{#N/A,#N/A,FALSE,"손익표지";#N/A,#N/A,FALSE,"손익계산";#N/A,#N/A,FALSE,"일반관리비";#N/A,#N/A,FALSE,"영업외수익";#N/A,#N/A,FALSE,"영업외비용";#N/A,#N/A,FALSE,"매출액";#N/A,#N/A,FALSE,"요약손익";#N/A,#N/A,FALSE,"요약대차";#N/A,#N/A,FALSE,"매출채권현황";#N/A,#N/A,FALSE,"매출채권명세"}</definedName>
    <definedName name="AAAAAAAAAAAAAAAAA" localSheetId="42" hidden="1">{#N/A,#N/A,FALSE,"손익표지";#N/A,#N/A,FALSE,"손익계산";#N/A,#N/A,FALSE,"일반관리비";#N/A,#N/A,FALSE,"영업외수익";#N/A,#N/A,FALSE,"영업외비용";#N/A,#N/A,FALSE,"매출액";#N/A,#N/A,FALSE,"요약손익";#N/A,#N/A,FALSE,"요약대차";#N/A,#N/A,FALSE,"매출채권현황";#N/A,#N/A,FALSE,"매출채권명세"}</definedName>
    <definedName name="AAAAAAAAAAAAAAAAA" hidden="1">{#N/A,#N/A,FALSE,"손익표지";#N/A,#N/A,FALSE,"손익계산";#N/A,#N/A,FALSE,"일반관리비";#N/A,#N/A,FALSE,"영업외수익";#N/A,#N/A,FALSE,"영업외비용";#N/A,#N/A,FALSE,"매출액";#N/A,#N/A,FALSE,"요약손익";#N/A,#N/A,FALSE,"요약대차";#N/A,#N/A,FALSE,"매출채권현황";#N/A,#N/A,FALSE,"매출채권명세"}</definedName>
    <definedName name="AAAAS" localSheetId="15" hidden="1">{#N/A,#N/A,FALSE,"정공"}</definedName>
    <definedName name="AAAAS" localSheetId="6" hidden="1">{#N/A,#N/A,FALSE,"정공"}</definedName>
    <definedName name="AAAAS" localSheetId="45" hidden="1">{#N/A,#N/A,FALSE,"정공"}</definedName>
    <definedName name="AAAAS" localSheetId="42" hidden="1">{#N/A,#N/A,FALSE,"정공"}</definedName>
    <definedName name="AAAAS" hidden="1">{#N/A,#N/A,FALSE,"정공"}</definedName>
    <definedName name="abbreviations" localSheetId="12" hidden="1">{"'매출'!$A$1:$I$22"}</definedName>
    <definedName name="abbreviations" localSheetId="42" hidden="1">{"'매출'!$A$1:$I$22"}</definedName>
    <definedName name="abbreviations" hidden="1">{"'매출'!$A$1:$I$22"}</definedName>
    <definedName name="abc" localSheetId="30" hidden="1">#REF!</definedName>
    <definedName name="abc" localSheetId="29" hidden="1">#REF!</definedName>
    <definedName name="abc" localSheetId="33" hidden="1">#REF!</definedName>
    <definedName name="abc" localSheetId="31" hidden="1">#REF!</definedName>
    <definedName name="abc" localSheetId="32" hidden="1">#REF!</definedName>
    <definedName name="abc" hidden="1">#REF!</definedName>
    <definedName name="abcd" localSheetId="30" hidden="1">#REF!</definedName>
    <definedName name="abcd" localSheetId="29" hidden="1">#REF!</definedName>
    <definedName name="abcd" localSheetId="33" hidden="1">#REF!</definedName>
    <definedName name="abcd" localSheetId="31" hidden="1">#REF!</definedName>
    <definedName name="abcd" localSheetId="32" hidden="1">#REF!</definedName>
    <definedName name="abcd" hidden="1">#REF!</definedName>
    <definedName name="ABCDEF" localSheetId="15" hidden="1">{#N/A,#N/A,FALSE,"정공"}</definedName>
    <definedName name="ABCDEF" localSheetId="6" hidden="1">{#N/A,#N/A,FALSE,"정공"}</definedName>
    <definedName name="ABCDEF" localSheetId="45" hidden="1">{#N/A,#N/A,FALSE,"정공"}</definedName>
    <definedName name="ABCDEF" localSheetId="42" hidden="1">{#N/A,#N/A,FALSE,"정공"}</definedName>
    <definedName name="ABCDEF" hidden="1">{#N/A,#N/A,FALSE,"정공"}</definedName>
    <definedName name="ABCD관리" localSheetId="15" hidden="1">{#N/A,#N/A,FALSE,"정공"}</definedName>
    <definedName name="ABCD관리" localSheetId="6" hidden="1">{#N/A,#N/A,FALSE,"정공"}</definedName>
    <definedName name="ABCD관리" localSheetId="45" hidden="1">{#N/A,#N/A,FALSE,"정공"}</definedName>
    <definedName name="ABCD관리" localSheetId="42" hidden="1">{#N/A,#N/A,FALSE,"정공"}</definedName>
    <definedName name="ABCD관리" hidden="1">{#N/A,#N/A,FALSE,"정공"}</definedName>
    <definedName name="ABD" localSheetId="12" hidden="1">{#N/A,#N/A,FALSE,"지침";#N/A,#N/A,FALSE,"환경분석";#N/A,#N/A,FALSE,"Sheet16"}</definedName>
    <definedName name="ABD" localSheetId="42" hidden="1">{#N/A,#N/A,FALSE,"지침";#N/A,#N/A,FALSE,"환경분석";#N/A,#N/A,FALSE,"Sheet16"}</definedName>
    <definedName name="ABD" hidden="1">{#N/A,#N/A,FALSE,"지침";#N/A,#N/A,FALSE,"환경분석";#N/A,#N/A,FALSE,"Sheet16"}</definedName>
    <definedName name="ABX" localSheetId="12" hidden="1">{#N/A,#N/A,FALSE,"지침";#N/A,#N/A,FALSE,"환경분석";#N/A,#N/A,FALSE,"Sheet16"}</definedName>
    <definedName name="ABX" localSheetId="42" hidden="1">{#N/A,#N/A,FALSE,"지침";#N/A,#N/A,FALSE,"환경분석";#N/A,#N/A,FALSE,"Sheet16"}</definedName>
    <definedName name="ABX" hidden="1">{#N/A,#N/A,FALSE,"지침";#N/A,#N/A,FALSE,"환경분석";#N/A,#N/A,FALSE,"Sheet16"}</definedName>
    <definedName name="Access_Button" localSheetId="15" hidden="1">"일일bts납품현황_및_계획_OneShot__Sheet2_List"</definedName>
    <definedName name="Access_Button" localSheetId="6" hidden="1">"일일bts납품현황_및_계획_OneShot__Sheet2_List"</definedName>
    <definedName name="Access_Button" localSheetId="45" hidden="1">"일일bts납품현황_및_계획_OneShot__Sheet2_List"</definedName>
    <definedName name="Access_Button" localSheetId="42" hidden="1">"일일bts납품현황_및_계획_OneShot__Sheet2_List"</definedName>
    <definedName name="Access_Button" hidden="1">"X98년차량부하__양_증차품의_List"</definedName>
    <definedName name="AccessDatabase" localSheetId="12" hidden="1">"C:\WORK\납품능력평가\98년차량부하.mdb"</definedName>
    <definedName name="AccessDatabase" localSheetId="15" hidden="1">"D:\피엠\BTS납품\일일bts납품현황 및 계획(OneShot).mdb"</definedName>
    <definedName name="AccessDatabase" localSheetId="6" hidden="1">"D:\피엠\BTS납품\일일bts납품현황 및 계획(OneShot).mdb"</definedName>
    <definedName name="AccessDatabase" localSheetId="45" hidden="1">"D:\피엠\BTS납품\일일bts납품현황 및 계획(OneShot).mdb"</definedName>
    <definedName name="AccessDatabase" localSheetId="42" hidden="1">"D:\피엠\BTS납품\일일bts납품현황 및 계획(OneShot).mdb"</definedName>
    <definedName name="AccessDatabase" hidden="1">"C:\파생DESK\평가\월말평가\2001년11월\국내요약200111.mdb"</definedName>
    <definedName name="ACwvu.시간대별예약." localSheetId="30" hidden="1">#REF!</definedName>
    <definedName name="ACwvu.시간대별예약." localSheetId="29" hidden="1">#REF!</definedName>
    <definedName name="ACwvu.시간대별예약." localSheetId="33" hidden="1">#REF!</definedName>
    <definedName name="ACwvu.시간대별예약." localSheetId="31" hidden="1">#REF!</definedName>
    <definedName name="ACwvu.시간대별예약." localSheetId="32" hidden="1">#REF!</definedName>
    <definedName name="ACwvu.시간대별예약." hidden="1">#REF!</definedName>
    <definedName name="ad" localSheetId="12" hidden="1">{#N/A,#N/A,FALSE,"Aging Summary";#N/A,#N/A,FALSE,"Ratio Analysis";#N/A,#N/A,FALSE,"Test 120 Day Accts";#N/A,#N/A,FALSE,"Tickmarks"}</definedName>
    <definedName name="ad" localSheetId="42" hidden="1">{#N/A,#N/A,FALSE,"Aging Summary";#N/A,#N/A,FALSE,"Ratio Analysis";#N/A,#N/A,FALSE,"Test 120 Day Accts";#N/A,#N/A,FALSE,"Tickmarks"}</definedName>
    <definedName name="ad" hidden="1">{#N/A,#N/A,FALSE,"Aging Summary";#N/A,#N/A,FALSE,"Ratio Analysis";#N/A,#N/A,FALSE,"Test 120 Day Accts";#N/A,#N/A,FALSE,"Tickmarks"}</definedName>
    <definedName name="adc" localSheetId="15" hidden="1">{#N/A,#N/A,FALSE,"계약직(여)"}</definedName>
    <definedName name="adc" localSheetId="6" hidden="1">{#N/A,#N/A,FALSE,"계약직(여)"}</definedName>
    <definedName name="adc" localSheetId="45" hidden="1">{#N/A,#N/A,FALSE,"계약직(여)"}</definedName>
    <definedName name="adc" localSheetId="42" hidden="1">{#N/A,#N/A,FALSE,"계약직(여)"}</definedName>
    <definedName name="adc" hidden="1">{#N/A,#N/A,FALSE,"계약직(여)"}</definedName>
    <definedName name="adef" localSheetId="15" hidden="1">{#N/A,#N/A,FALSE,"정공"}</definedName>
    <definedName name="adef" localSheetId="6" hidden="1">{#N/A,#N/A,FALSE,"정공"}</definedName>
    <definedName name="adef" localSheetId="45" hidden="1">{#N/A,#N/A,FALSE,"정공"}</definedName>
    <definedName name="adef" localSheetId="42" hidden="1">{#N/A,#N/A,FALSE,"정공"}</definedName>
    <definedName name="adef" hidden="1">{#N/A,#N/A,FALSE,"정공"}</definedName>
    <definedName name="ADS" localSheetId="12" hidden="1">{#N/A,#N/A,FALSE,"지침";#N/A,#N/A,FALSE,"환경분석";#N/A,#N/A,FALSE,"Sheet16"}</definedName>
    <definedName name="ADS" localSheetId="42" hidden="1">{#N/A,#N/A,FALSE,"지침";#N/A,#N/A,FALSE,"환경분석";#N/A,#N/A,FALSE,"Sheet16"}</definedName>
    <definedName name="ADS" hidden="1">{#N/A,#N/A,FALSE,"지침";#N/A,#N/A,FALSE,"환경분석";#N/A,#N/A,FALSE,"Sheet16"}</definedName>
    <definedName name="ADSDF" localSheetId="42" hidden="1">{#N/A,#N/A,TRUE,"Y생산";#N/A,#N/A,TRUE,"Y판매";#N/A,#N/A,TRUE,"Y총물량";#N/A,#N/A,TRUE,"Y능력";#N/A,#N/A,TRUE,"YKD"}</definedName>
    <definedName name="ADSDF" hidden="1">{#N/A,#N/A,TRUE,"Y생산";#N/A,#N/A,TRUE,"Y판매";#N/A,#N/A,TRUE,"Y총물량";#N/A,#N/A,TRUE,"Y능력";#N/A,#N/A,TRUE,"YKD"}</definedName>
    <definedName name="adw" localSheetId="15"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adw" localSheetId="6"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adw" localSheetId="45"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adw" localSheetId="42"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adw"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akfka" localSheetId="15" hidden="1">{#N/A,#N/A,FALSE,"손익표지";#N/A,#N/A,FALSE,"손익계산";#N/A,#N/A,FALSE,"일반관리비";#N/A,#N/A,FALSE,"영업외수익";#N/A,#N/A,FALSE,"영업외비용";#N/A,#N/A,FALSE,"매출액";#N/A,#N/A,FALSE,"요약손익";#N/A,#N/A,FALSE,"요약대차";#N/A,#N/A,FALSE,"매출채권현황";#N/A,#N/A,FALSE,"매출채권명세"}</definedName>
    <definedName name="akfka" localSheetId="6" hidden="1">{#N/A,#N/A,FALSE,"손익표지";#N/A,#N/A,FALSE,"손익계산";#N/A,#N/A,FALSE,"일반관리비";#N/A,#N/A,FALSE,"영업외수익";#N/A,#N/A,FALSE,"영업외비용";#N/A,#N/A,FALSE,"매출액";#N/A,#N/A,FALSE,"요약손익";#N/A,#N/A,FALSE,"요약대차";#N/A,#N/A,FALSE,"매출채권현황";#N/A,#N/A,FALSE,"매출채권명세"}</definedName>
    <definedName name="akfka" localSheetId="45" hidden="1">{#N/A,#N/A,FALSE,"손익표지";#N/A,#N/A,FALSE,"손익계산";#N/A,#N/A,FALSE,"일반관리비";#N/A,#N/A,FALSE,"영업외수익";#N/A,#N/A,FALSE,"영업외비용";#N/A,#N/A,FALSE,"매출액";#N/A,#N/A,FALSE,"요약손익";#N/A,#N/A,FALSE,"요약대차";#N/A,#N/A,FALSE,"매출채권현황";#N/A,#N/A,FALSE,"매출채권명세"}</definedName>
    <definedName name="akfka" localSheetId="42" hidden="1">{#N/A,#N/A,FALSE,"손익표지";#N/A,#N/A,FALSE,"손익계산";#N/A,#N/A,FALSE,"일반관리비";#N/A,#N/A,FALSE,"영업외수익";#N/A,#N/A,FALSE,"영업외비용";#N/A,#N/A,FALSE,"매출액";#N/A,#N/A,FALSE,"요약손익";#N/A,#N/A,FALSE,"요약대차";#N/A,#N/A,FALSE,"매출채권현황";#N/A,#N/A,FALSE,"매출채권명세"}</definedName>
    <definedName name="akfka" hidden="1">{#N/A,#N/A,FALSE,"손익표지";#N/A,#N/A,FALSE,"손익계산";#N/A,#N/A,FALSE,"일반관리비";#N/A,#N/A,FALSE,"영업외수익";#N/A,#N/A,FALSE,"영업외비용";#N/A,#N/A,FALSE,"매출액";#N/A,#N/A,FALSE,"요약손익";#N/A,#N/A,FALSE,"요약대차";#N/A,#N/A,FALSE,"매출채권현황";#N/A,#N/A,FALSE,"매출채권명세"}</definedName>
    <definedName name="ALSTN" localSheetId="42" hidden="1">{#N/A,#N/A,FALSE,"UNIT";#N/A,#N/A,FALSE,"UNIT";#N/A,#N/A,FALSE,"계정"}</definedName>
    <definedName name="ALSTN" hidden="1">{#N/A,#N/A,FALSE,"UNIT";#N/A,#N/A,FALSE,"UNIT";#N/A,#N/A,FALSE,"계정"}</definedName>
    <definedName name="anscount" hidden="1">1</definedName>
    <definedName name="AOCNFTHSDLR" localSheetId="15" hidden="1">{#N/A,#N/A,FALSE,"정공"}</definedName>
    <definedName name="AOCNFTHSDLR" localSheetId="6" hidden="1">{#N/A,#N/A,FALSE,"정공"}</definedName>
    <definedName name="AOCNFTHSDLR" localSheetId="45" hidden="1">{#N/A,#N/A,FALSE,"정공"}</definedName>
    <definedName name="AOCNFTHSDLR" localSheetId="42" hidden="1">{#N/A,#N/A,FALSE,"정공"}</definedName>
    <definedName name="AOCNFTHSDLR" hidden="1">{#N/A,#N/A,FALSE,"정공"}</definedName>
    <definedName name="AS2DocOpenMode" hidden="1">"AS2DocumentEdit"</definedName>
    <definedName name="AS2HasNoAutoHeaderFooter" hidden="1">" "</definedName>
    <definedName name="AS2NamedRange" hidden="1">2</definedName>
    <definedName name="AS2ReportLS" hidden="1">1</definedName>
    <definedName name="AS2StaticLS" localSheetId="12" hidden="1">#REF!</definedName>
    <definedName name="AS2StaticLS" localSheetId="30" hidden="1">#REF!</definedName>
    <definedName name="AS2StaticLS" localSheetId="29" hidden="1">#REF!</definedName>
    <definedName name="AS2StaticLS" localSheetId="33" hidden="1">#REF!</definedName>
    <definedName name="AS2StaticLS" localSheetId="31" hidden="1">#REF!</definedName>
    <definedName name="AS2StaticLS" localSheetId="32" hidden="1">#REF!</definedName>
    <definedName name="AS2StaticLS" hidden="1">#REF!</definedName>
    <definedName name="AS2SyncStepLS" hidden="1">0</definedName>
    <definedName name="AS2TickmarkLS" localSheetId="12" hidden="1">#REF!</definedName>
    <definedName name="AS2TickmarkLS" localSheetId="30" hidden="1">#REF!</definedName>
    <definedName name="AS2TickmarkLS" localSheetId="29" hidden="1">#REF!</definedName>
    <definedName name="AS2TickmarkLS" localSheetId="33" hidden="1">#REF!</definedName>
    <definedName name="AS2TickmarkLS" localSheetId="15" hidden="1">#REF!</definedName>
    <definedName name="AS2TickmarkLS" localSheetId="31" hidden="1">#REF!</definedName>
    <definedName name="AS2TickmarkLS" localSheetId="6" hidden="1">#REF!</definedName>
    <definedName name="AS2TickmarkLS" localSheetId="32" hidden="1">#REF!</definedName>
    <definedName name="AS2TickmarkLS" localSheetId="42" hidden="1">#REF!</definedName>
    <definedName name="AS2TickmarkLS" hidden="1">#REF!</definedName>
    <definedName name="AS2VersionLS" hidden="1">300</definedName>
    <definedName name="asd" localSheetId="15" hidden="1">{"FORM17",#N/A,FALSE,"Commission1";"FORM17.1",#N/A,FALSE,"Commission2"}</definedName>
    <definedName name="asd" localSheetId="6" hidden="1">{"FORM17",#N/A,FALSE,"Commission1";"FORM17.1",#N/A,FALSE,"Commission2"}</definedName>
    <definedName name="asd" localSheetId="45" hidden="1">{"FORM17",#N/A,FALSE,"Commission1";"FORM17.1",#N/A,FALSE,"Commission2"}</definedName>
    <definedName name="asd" localSheetId="42" hidden="1">{"FORM17",#N/A,FALSE,"Commission1";"FORM17.1",#N/A,FALSE,"Commission2"}</definedName>
    <definedName name="asd" hidden="1">{"FORM17",#N/A,FALSE,"Commission1";"FORM17.1",#N/A,FALSE,"Commission2"}</definedName>
    <definedName name="asdf" localSheetId="15" hidden="1">{#N/A,#N/A,FALSE,"정공"}</definedName>
    <definedName name="asdf" localSheetId="6" hidden="1">{#N/A,#N/A,FALSE,"정공"}</definedName>
    <definedName name="asdf" localSheetId="45" hidden="1">{#N/A,#N/A,FALSE,"정공"}</definedName>
    <definedName name="asdf" localSheetId="42" hidden="1">{#N/A,#N/A,FALSE,"정공"}</definedName>
    <definedName name="asdf" hidden="1">{#N/A,#N/A,FALSE,"정공"}</definedName>
    <definedName name="asdwdwdqw" localSheetId="15" hidden="1">{#N/A,#N/A,FALSE,"Yield";#N/A,#N/A,FALSE,"Loss1";#N/A,#N/A,FALSE,"Loss2";#N/A,#N/A,FALSE,"Hour-Labor(배분)";#N/A,#N/A,FALSE,"Capital Expenditure";#N/A,#N/A,FALSE,"Productivity"}</definedName>
    <definedName name="asdwdwdqw" localSheetId="6" hidden="1">{#N/A,#N/A,FALSE,"Yield";#N/A,#N/A,FALSE,"Loss1";#N/A,#N/A,FALSE,"Loss2";#N/A,#N/A,FALSE,"Hour-Labor(배분)";#N/A,#N/A,FALSE,"Capital Expenditure";#N/A,#N/A,FALSE,"Productivity"}</definedName>
    <definedName name="asdwdwdqw" localSheetId="45" hidden="1">{#N/A,#N/A,FALSE,"Yield";#N/A,#N/A,FALSE,"Loss1";#N/A,#N/A,FALSE,"Loss2";#N/A,#N/A,FALSE,"Hour-Labor(배분)";#N/A,#N/A,FALSE,"Capital Expenditure";#N/A,#N/A,FALSE,"Productivity"}</definedName>
    <definedName name="asdwdwdqw" localSheetId="42" hidden="1">{#N/A,#N/A,FALSE,"Yield";#N/A,#N/A,FALSE,"Loss1";#N/A,#N/A,FALSE,"Loss2";#N/A,#N/A,FALSE,"Hour-Labor(배분)";#N/A,#N/A,FALSE,"Capital Expenditure";#N/A,#N/A,FALSE,"Productivity"}</definedName>
    <definedName name="asdwdwdqw" hidden="1">{#N/A,#N/A,FALSE,"Yield";#N/A,#N/A,FALSE,"Loss1";#N/A,#N/A,FALSE,"Loss2";#N/A,#N/A,FALSE,"Hour-Labor(배분)";#N/A,#N/A,FALSE,"Capital Expenditure";#N/A,#N/A,FALSE,"Productivity"}</definedName>
    <definedName name="asfsd" localSheetId="15" hidden="1">{"FORM17",#N/A,FALSE,"Commission1";"FORM17.1",#N/A,FALSE,"Commission2"}</definedName>
    <definedName name="asfsd" localSheetId="6" hidden="1">{"FORM17",#N/A,FALSE,"Commission1";"FORM17.1",#N/A,FALSE,"Commission2"}</definedName>
    <definedName name="asfsd" localSheetId="45" hidden="1">{"FORM17",#N/A,FALSE,"Commission1";"FORM17.1",#N/A,FALSE,"Commission2"}</definedName>
    <definedName name="asfsd" localSheetId="42" hidden="1">{"FORM17",#N/A,FALSE,"Commission1";"FORM17.1",#N/A,FALSE,"Commission2"}</definedName>
    <definedName name="asfsd" hidden="1">{"FORM17",#N/A,FALSE,"Commission1";"FORM17.1",#N/A,FALSE,"Commission2"}</definedName>
    <definedName name="Asset9808CAK" localSheetId="30" hidden="1">#REF!</definedName>
    <definedName name="Asset9808CAK" localSheetId="29" hidden="1">#REF!</definedName>
    <definedName name="Asset9808CAK" localSheetId="33" hidden="1">#REF!</definedName>
    <definedName name="Asset9808CAK" localSheetId="15" hidden="1">#REF!</definedName>
    <definedName name="Asset9808CAK" localSheetId="31" hidden="1">#REF!</definedName>
    <definedName name="Asset9808CAK" localSheetId="6" hidden="1">#REF!</definedName>
    <definedName name="Asset9808CAK" localSheetId="42" hidden="1">#REF!</definedName>
    <definedName name="Asset9808CAK" hidden="1">#REF!</definedName>
    <definedName name="Assets9808CAK" localSheetId="30" hidden="1">#REF!</definedName>
    <definedName name="Assets9808CAK" localSheetId="29" hidden="1">#REF!</definedName>
    <definedName name="Assets9808CAK" localSheetId="33" hidden="1">#REF!</definedName>
    <definedName name="Assets9808CAK" localSheetId="15" hidden="1">#REF!</definedName>
    <definedName name="Assets9808CAK" localSheetId="31" hidden="1">#REF!</definedName>
    <definedName name="Assets9808CAK" localSheetId="6" hidden="1">#REF!</definedName>
    <definedName name="Assets9808CAK" localSheetId="42" hidden="1">#REF!</definedName>
    <definedName name="Assets9808CAK" hidden="1">#REF!</definedName>
    <definedName name="asss" localSheetId="42" hidden="1">{#N/A,#N/A,FALSE,"채권채무";#N/A,#N/A,FALSE,"control sheet"}</definedName>
    <definedName name="asss" hidden="1">{#N/A,#N/A,FALSE,"채권채무";#N/A,#N/A,FALSE,"control sheet"}</definedName>
    <definedName name="axcdf" localSheetId="15" hidden="1">{#N/A,#N/A,FALSE,"정공"}</definedName>
    <definedName name="axcdf" localSheetId="6" hidden="1">{#N/A,#N/A,FALSE,"정공"}</definedName>
    <definedName name="axcdf" localSheetId="45" hidden="1">{#N/A,#N/A,FALSE,"정공"}</definedName>
    <definedName name="axcdf" localSheetId="42" hidden="1">{#N/A,#N/A,FALSE,"정공"}</definedName>
    <definedName name="axcdf" hidden="1">{#N/A,#N/A,FALSE,"정공"}</definedName>
    <definedName name="B" localSheetId="42" hidden="1">{#N/A,#N/A,FALSE,"UNIT";#N/A,#N/A,FALSE,"UNIT";#N/A,#N/A,FALSE,"계정"}</definedName>
    <definedName name="B" hidden="1">{#N/A,#N/A,FALSE,"UNIT";#N/A,#N/A,FALSE,"UNIT";#N/A,#N/A,FALSE,"계정"}</definedName>
    <definedName name="B2BS" localSheetId="15" hidden="1">{"mult96",#N/A,FALSE,"PETCOMP";"est96",#N/A,FALSE,"PETCOMP";"mult95",#N/A,FALSE,"PETCOMP";"est95",#N/A,FALSE,"PETCOMP";"multltm",#N/A,FALSE,"PETCOMP";"resultltm",#N/A,FALSE,"PETCOMP"}</definedName>
    <definedName name="B2BS" localSheetId="6" hidden="1">{"mult96",#N/A,FALSE,"PETCOMP";"est96",#N/A,FALSE,"PETCOMP";"mult95",#N/A,FALSE,"PETCOMP";"est95",#N/A,FALSE,"PETCOMP";"multltm",#N/A,FALSE,"PETCOMP";"resultltm",#N/A,FALSE,"PETCOMP"}</definedName>
    <definedName name="B2BS" localSheetId="45" hidden="1">{"mult96",#N/A,FALSE,"PETCOMP";"est96",#N/A,FALSE,"PETCOMP";"mult95",#N/A,FALSE,"PETCOMP";"est95",#N/A,FALSE,"PETCOMP";"multltm",#N/A,FALSE,"PETCOMP";"resultltm",#N/A,FALSE,"PETCOMP"}</definedName>
    <definedName name="B2BS" localSheetId="42" hidden="1">{"mult96",#N/A,FALSE,"PETCOMP";"est96",#N/A,FALSE,"PETCOMP";"mult95",#N/A,FALSE,"PETCOMP";"est95",#N/A,FALSE,"PETCOMP";"multltm",#N/A,FALSE,"PETCOMP";"resultltm",#N/A,FALSE,"PETCOMP"}</definedName>
    <definedName name="B2BS" hidden="1">{"mult96",#N/A,FALSE,"PETCOMP";"est96",#N/A,FALSE,"PETCOMP";"mult95",#N/A,FALSE,"PETCOMP";"est95",#N/A,FALSE,"PETCOMP";"multltm",#N/A,FALSE,"PETCOMP";"resultltm",#N/A,FALSE,"PETCOMP"}</definedName>
    <definedName name="B2IS" localSheetId="15" hidden="1">{"DCF","UPSIDE CASE",FALSE,"Sheet1";"DCF","BASE CASE",FALSE,"Sheet1";"DCF","DOWNSIDE CASE",FALSE,"Sheet1"}</definedName>
    <definedName name="B2IS" localSheetId="6" hidden="1">{"DCF","UPSIDE CASE",FALSE,"Sheet1";"DCF","BASE CASE",FALSE,"Sheet1";"DCF","DOWNSIDE CASE",FALSE,"Sheet1"}</definedName>
    <definedName name="B2IS" localSheetId="45" hidden="1">{"DCF","UPSIDE CASE",FALSE,"Sheet1";"DCF","BASE CASE",FALSE,"Sheet1";"DCF","DOWNSIDE CASE",FALSE,"Sheet1"}</definedName>
    <definedName name="B2IS" localSheetId="42" hidden="1">{"DCF","UPSIDE CASE",FALSE,"Sheet1";"DCF","BASE CASE",FALSE,"Sheet1";"DCF","DOWNSIDE CASE",FALSE,"Sheet1"}</definedName>
    <definedName name="B2IS" hidden="1">{"DCF","UPSIDE CASE",FALSE,"Sheet1";"DCF","BASE CASE",FALSE,"Sheet1";"DCF","DOWNSIDE CASE",FALSE,"Sheet1"}</definedName>
    <definedName name="B3PL" localSheetId="15" hidden="1">{"DCF","UPSIDE CASE",FALSE,"Sheet1";"DCF","BASE CASE",FALSE,"Sheet1";"DCF","DOWNSIDE CASE",FALSE,"Sheet1"}</definedName>
    <definedName name="B3PL" localSheetId="6" hidden="1">{"DCF","UPSIDE CASE",FALSE,"Sheet1";"DCF","BASE CASE",FALSE,"Sheet1";"DCF","DOWNSIDE CASE",FALSE,"Sheet1"}</definedName>
    <definedName name="B3PL" localSheetId="45" hidden="1">{"DCF","UPSIDE CASE",FALSE,"Sheet1";"DCF","BASE CASE",FALSE,"Sheet1";"DCF","DOWNSIDE CASE",FALSE,"Sheet1"}</definedName>
    <definedName name="B3PL" localSheetId="42" hidden="1">{"DCF","UPSIDE CASE",FALSE,"Sheet1";"DCF","BASE CASE",FALSE,"Sheet1";"DCF","DOWNSIDE CASE",FALSE,"Sheet1"}</definedName>
    <definedName name="B3PL" hidden="1">{"DCF","UPSIDE CASE",FALSE,"Sheet1";"DCF","BASE CASE",FALSE,"Sheet1";"DCF","DOWNSIDE CASE",FALSE,"Sheet1"}</definedName>
    <definedName name="B4BS" localSheetId="15" hidden="1">{"adj95mult",#N/A,FALSE,"COMPCO";"adj95est",#N/A,FALSE,"COMPCO"}</definedName>
    <definedName name="B4BS" localSheetId="6" hidden="1">{"adj95mult",#N/A,FALSE,"COMPCO";"adj95est",#N/A,FALSE,"COMPCO"}</definedName>
    <definedName name="B4BS" localSheetId="45" hidden="1">{"adj95mult",#N/A,FALSE,"COMPCO";"adj95est",#N/A,FALSE,"COMPCO"}</definedName>
    <definedName name="B4BS" localSheetId="42" hidden="1">{"adj95mult",#N/A,FALSE,"COMPCO";"adj95est",#N/A,FALSE,"COMPCO"}</definedName>
    <definedName name="B4BS" hidden="1">{"adj95mult",#N/A,FALSE,"COMPCO";"adj95est",#N/A,FALSE,"COMPCO"}</definedName>
    <definedName name="B4IS" localSheetId="15" hidden="1">{"adj95mult",#N/A,FALSE,"COMPCO";"adj95est",#N/A,FALSE,"COMPCO"}</definedName>
    <definedName name="B4IS" localSheetId="6" hidden="1">{"adj95mult",#N/A,FALSE,"COMPCO";"adj95est",#N/A,FALSE,"COMPCO"}</definedName>
    <definedName name="B4IS" localSheetId="45" hidden="1">{"adj95mult",#N/A,FALSE,"COMPCO";"adj95est",#N/A,FALSE,"COMPCO"}</definedName>
    <definedName name="B4IS" localSheetId="42" hidden="1">{"adj95mult",#N/A,FALSE,"COMPCO";"adj95est",#N/A,FALSE,"COMPCO"}</definedName>
    <definedName name="B4IS" hidden="1">{"adj95mult",#N/A,FALSE,"COMPCO";"adj95est",#N/A,FALSE,"COMPCO"}</definedName>
    <definedName name="B5BS" localSheetId="15" hidden="1">{"EVA",#N/A,FALSE,"EVA";"WACC",#N/A,FALSE,"WACC"}</definedName>
    <definedName name="B5BS" localSheetId="6" hidden="1">{"EVA",#N/A,FALSE,"EVA";"WACC",#N/A,FALSE,"WACC"}</definedName>
    <definedName name="B5BS" localSheetId="45" hidden="1">{"EVA",#N/A,FALSE,"EVA";"WACC",#N/A,FALSE,"WACC"}</definedName>
    <definedName name="B5BS" localSheetId="42" hidden="1">{"EVA",#N/A,FALSE,"EVA";"WACC",#N/A,FALSE,"WACC"}</definedName>
    <definedName name="B5BS" hidden="1">{"EVA",#N/A,FALSE,"EVA";"WACC",#N/A,FALSE,"WACC"}</definedName>
    <definedName name="babo" localSheetId="15"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abo" localSheetId="6"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abo" localSheetId="45"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abo" localSheetId="42"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abo"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BB" localSheetId="30" hidden="1">#REF!</definedName>
    <definedName name="BBB" localSheetId="29" hidden="1">#REF!</definedName>
    <definedName name="BBB" localSheetId="33" hidden="1">#REF!</definedName>
    <definedName name="BBB" localSheetId="31" hidden="1">#REF!</definedName>
    <definedName name="BBB" localSheetId="32" hidden="1">#REF!</definedName>
    <definedName name="BBB" hidden="1">#REF!</definedName>
    <definedName name="bbbbbb" localSheetId="15"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bbbbb" localSheetId="6"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bbbbb" localSheetId="45"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bbbbb" localSheetId="42"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bbbbb"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bby1" localSheetId="15"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bby1" localSheetId="6"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bby1" localSheetId="45"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bby1" localSheetId="42"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bby1"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BS" localSheetId="15"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BS" localSheetId="6"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BS" localSheetId="45"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BS" localSheetId="42"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BS"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dfbe" localSheetId="12" hidden="1">{#N/A,#N/A,FALSE,"Sheet1"}</definedName>
    <definedName name="bdfbe" localSheetId="42" hidden="1">{#N/A,#N/A,FALSE,"Sheet1"}</definedName>
    <definedName name="bdfbe" hidden="1">{#N/A,#N/A,FALSE,"Sheet1"}</definedName>
    <definedName name="BEx0017DGUEDPCFJUPUZOOLJCS2B" localSheetId="30" hidden="1">#REF!</definedName>
    <definedName name="BEx0017DGUEDPCFJUPUZOOLJCS2B" localSheetId="29" hidden="1">#REF!</definedName>
    <definedName name="BEx0017DGUEDPCFJUPUZOOLJCS2B" localSheetId="33" hidden="1">#REF!</definedName>
    <definedName name="BEx0017DGUEDPCFJUPUZOOLJCS2B" localSheetId="31" hidden="1">#REF!</definedName>
    <definedName name="BEx0017DGUEDPCFJUPUZOOLJCS2B" localSheetId="32" hidden="1">#REF!</definedName>
    <definedName name="BEx0017DGUEDPCFJUPUZOOLJCS2B" hidden="1">#REF!</definedName>
    <definedName name="BEx001CNWHJ5RULCSFM36ZCGJ1UH" localSheetId="30" hidden="1">#REF!</definedName>
    <definedName name="BEx001CNWHJ5RULCSFM36ZCGJ1UH" localSheetId="29" hidden="1">#REF!</definedName>
    <definedName name="BEx001CNWHJ5RULCSFM36ZCGJ1UH" localSheetId="33" hidden="1">#REF!</definedName>
    <definedName name="BEx001CNWHJ5RULCSFM36ZCGJ1UH" localSheetId="31" hidden="1">#REF!</definedName>
    <definedName name="BEx001CNWHJ5RULCSFM36ZCGJ1UH" localSheetId="32" hidden="1">#REF!</definedName>
    <definedName name="BEx001CNWHJ5RULCSFM36ZCGJ1UH" hidden="1">#REF!</definedName>
    <definedName name="BEx004791UAJIJSN57OT7YBLNP82" localSheetId="30" hidden="1">#REF!</definedName>
    <definedName name="BEx004791UAJIJSN57OT7YBLNP82" localSheetId="29" hidden="1">#REF!</definedName>
    <definedName name="BEx004791UAJIJSN57OT7YBLNP82" localSheetId="33" hidden="1">#REF!</definedName>
    <definedName name="BEx004791UAJIJSN57OT7YBLNP82" localSheetId="31" hidden="1">#REF!</definedName>
    <definedName name="BEx004791UAJIJSN57OT7YBLNP82" localSheetId="32" hidden="1">#REF!</definedName>
    <definedName name="BEx004791UAJIJSN57OT7YBLNP82" hidden="1">#REF!</definedName>
    <definedName name="BEx005EEM08ZQOUSMQVA0RQTBTTQ" localSheetId="30" hidden="1">#REF!</definedName>
    <definedName name="BEx005EEM08ZQOUSMQVA0RQTBTTQ" localSheetId="29" hidden="1">#REF!</definedName>
    <definedName name="BEx005EEM08ZQOUSMQVA0RQTBTTQ" localSheetId="33" hidden="1">#REF!</definedName>
    <definedName name="BEx005EEM08ZQOUSMQVA0RQTBTTQ" localSheetId="31" hidden="1">#REF!</definedName>
    <definedName name="BEx005EEM08ZQOUSMQVA0RQTBTTQ" localSheetId="32" hidden="1">#REF!</definedName>
    <definedName name="BEx005EEM08ZQOUSMQVA0RQTBTTQ" hidden="1">#REF!</definedName>
    <definedName name="BEx008P2NVFDLBHL7IZ5WTMVOQ1F" localSheetId="30" hidden="1">#REF!</definedName>
    <definedName name="BEx008P2NVFDLBHL7IZ5WTMVOQ1F" localSheetId="29" hidden="1">#REF!</definedName>
    <definedName name="BEx008P2NVFDLBHL7IZ5WTMVOQ1F" localSheetId="33" hidden="1">#REF!</definedName>
    <definedName name="BEx008P2NVFDLBHL7IZ5WTMVOQ1F" localSheetId="31" hidden="1">#REF!</definedName>
    <definedName name="BEx008P2NVFDLBHL7IZ5WTMVOQ1F" localSheetId="32" hidden="1">#REF!</definedName>
    <definedName name="BEx008P2NVFDLBHL7IZ5WTMVOQ1F" hidden="1">#REF!</definedName>
    <definedName name="BEx009G00IN0JUIAQ4WE9NHTMQE2" localSheetId="30" hidden="1">#REF!</definedName>
    <definedName name="BEx009G00IN0JUIAQ4WE9NHTMQE2" localSheetId="29" hidden="1">#REF!</definedName>
    <definedName name="BEx009G00IN0JUIAQ4WE9NHTMQE2" localSheetId="33" hidden="1">#REF!</definedName>
    <definedName name="BEx009G00IN0JUIAQ4WE9NHTMQE2" localSheetId="31" hidden="1">#REF!</definedName>
    <definedName name="BEx009G00IN0JUIAQ4WE9NHTMQE2" localSheetId="32" hidden="1">#REF!</definedName>
    <definedName name="BEx009G00IN0JUIAQ4WE9NHTMQE2" hidden="1">#REF!</definedName>
    <definedName name="BEx00DXTY2JDVGWQKV8H7FG4SV30" localSheetId="30" hidden="1">#REF!</definedName>
    <definedName name="BEx00DXTY2JDVGWQKV8H7FG4SV30" localSheetId="29" hidden="1">#REF!</definedName>
    <definedName name="BEx00DXTY2JDVGWQKV8H7FG4SV30" localSheetId="33" hidden="1">#REF!</definedName>
    <definedName name="BEx00DXTY2JDVGWQKV8H7FG4SV30" localSheetId="31" hidden="1">#REF!</definedName>
    <definedName name="BEx00DXTY2JDVGWQKV8H7FG4SV30" localSheetId="32" hidden="1">#REF!</definedName>
    <definedName name="BEx00DXTY2JDVGWQKV8H7FG4SV30" hidden="1">#REF!</definedName>
    <definedName name="BEx00GHLTYRH5N2S6P78YW1CD30N" localSheetId="30" hidden="1">#REF!</definedName>
    <definedName name="BEx00GHLTYRH5N2S6P78YW1CD30N" localSheetId="29" hidden="1">#REF!</definedName>
    <definedName name="BEx00GHLTYRH5N2S6P78YW1CD30N" localSheetId="33" hidden="1">#REF!</definedName>
    <definedName name="BEx00GHLTYRH5N2S6P78YW1CD30N" localSheetId="31" hidden="1">#REF!</definedName>
    <definedName name="BEx00GHLTYRH5N2S6P78YW1CD30N" localSheetId="32" hidden="1">#REF!</definedName>
    <definedName name="BEx00GHLTYRH5N2S6P78YW1CD30N" hidden="1">#REF!</definedName>
    <definedName name="BEx00JC31DY11L45SEU4B10BIN6W" localSheetId="30" hidden="1">#REF!</definedName>
    <definedName name="BEx00JC31DY11L45SEU4B10BIN6W" localSheetId="29" hidden="1">#REF!</definedName>
    <definedName name="BEx00JC31DY11L45SEU4B10BIN6W" localSheetId="33" hidden="1">#REF!</definedName>
    <definedName name="BEx00JC31DY11L45SEU4B10BIN6W" localSheetId="31" hidden="1">#REF!</definedName>
    <definedName name="BEx00JC31DY11L45SEU4B10BIN6W" localSheetId="32" hidden="1">#REF!</definedName>
    <definedName name="BEx00JC31DY11L45SEU4B10BIN6W" hidden="1">#REF!</definedName>
    <definedName name="BEx00KZHZBHP3TDV1YMX4B19B95O" localSheetId="30" hidden="1">#REF!</definedName>
    <definedName name="BEx00KZHZBHP3TDV1YMX4B19B95O" localSheetId="29" hidden="1">#REF!</definedName>
    <definedName name="BEx00KZHZBHP3TDV1YMX4B19B95O" localSheetId="33" hidden="1">#REF!</definedName>
    <definedName name="BEx00KZHZBHP3TDV1YMX4B19B95O" localSheetId="31" hidden="1">#REF!</definedName>
    <definedName name="BEx00KZHZBHP3TDV1YMX4B19B95O" localSheetId="32" hidden="1">#REF!</definedName>
    <definedName name="BEx00KZHZBHP3TDV1YMX4B19B95O" hidden="1">#REF!</definedName>
    <definedName name="BEx00TIVX8PFWY9XHDLMFOJLBRCD" localSheetId="30" hidden="1">#REF!</definedName>
    <definedName name="BEx00TIVX8PFWY9XHDLMFOJLBRCD" localSheetId="29" hidden="1">#REF!</definedName>
    <definedName name="BEx00TIVX8PFWY9XHDLMFOJLBRCD" localSheetId="33" hidden="1">#REF!</definedName>
    <definedName name="BEx00TIVX8PFWY9XHDLMFOJLBRCD" localSheetId="31" hidden="1">#REF!</definedName>
    <definedName name="BEx00TIVX8PFWY9XHDLMFOJLBRCD" localSheetId="32" hidden="1">#REF!</definedName>
    <definedName name="BEx00TIVX8PFWY9XHDLMFOJLBRCD" hidden="1">#REF!</definedName>
    <definedName name="BEx01HY6E3GJ66ABU5ABN26V6Q13" localSheetId="30" hidden="1">#REF!</definedName>
    <definedName name="BEx01HY6E3GJ66ABU5ABN26V6Q13" localSheetId="29" hidden="1">#REF!</definedName>
    <definedName name="BEx01HY6E3GJ66ABU5ABN26V6Q13" localSheetId="33" hidden="1">#REF!</definedName>
    <definedName name="BEx01HY6E3GJ66ABU5ABN26V6Q13" localSheetId="31" hidden="1">#REF!</definedName>
    <definedName name="BEx01HY6E3GJ66ABU5ABN26V6Q13" localSheetId="32" hidden="1">#REF!</definedName>
    <definedName name="BEx01HY6E3GJ66ABU5ABN26V6Q13" hidden="1">#REF!</definedName>
    <definedName name="BEx01PW5YQKEGAR8JDDI5OARYXDF" localSheetId="30" hidden="1">#REF!</definedName>
    <definedName name="BEx01PW5YQKEGAR8JDDI5OARYXDF" localSheetId="29" hidden="1">#REF!</definedName>
    <definedName name="BEx01PW5YQKEGAR8JDDI5OARYXDF" localSheetId="33" hidden="1">#REF!</definedName>
    <definedName name="BEx01PW5YQKEGAR8JDDI5OARYXDF" localSheetId="31" hidden="1">#REF!</definedName>
    <definedName name="BEx01PW5YQKEGAR8JDDI5OARYXDF" localSheetId="32" hidden="1">#REF!</definedName>
    <definedName name="BEx01PW5YQKEGAR8JDDI5OARYXDF" hidden="1">#REF!</definedName>
    <definedName name="BEx01SW23KV1VTGR5P9ZQRO0N3A4" localSheetId="30" hidden="1">#REF!</definedName>
    <definedName name="BEx01SW23KV1VTGR5P9ZQRO0N3A4" localSheetId="29" hidden="1">#REF!</definedName>
    <definedName name="BEx01SW23KV1VTGR5P9ZQRO0N3A4" localSheetId="33" hidden="1">#REF!</definedName>
    <definedName name="BEx01SW23KV1VTGR5P9ZQRO0N3A4" localSheetId="31" hidden="1">#REF!</definedName>
    <definedName name="BEx01SW23KV1VTGR5P9ZQRO0N3A4" localSheetId="32" hidden="1">#REF!</definedName>
    <definedName name="BEx01SW23KV1VTGR5P9ZQRO0N3A4" hidden="1">#REF!</definedName>
    <definedName name="BEx01XJ94SHJ1YQ7ORPW0RQGKI2H" localSheetId="30" hidden="1">#REF!</definedName>
    <definedName name="BEx01XJ94SHJ1YQ7ORPW0RQGKI2H" localSheetId="29" hidden="1">#REF!</definedName>
    <definedName name="BEx01XJ94SHJ1YQ7ORPW0RQGKI2H" localSheetId="33" hidden="1">#REF!</definedName>
    <definedName name="BEx01XJ94SHJ1YQ7ORPW0RQGKI2H" localSheetId="31" hidden="1">#REF!</definedName>
    <definedName name="BEx01XJ94SHJ1YQ7ORPW0RQGKI2H" localSheetId="32" hidden="1">#REF!</definedName>
    <definedName name="BEx01XJ94SHJ1YQ7ORPW0RQGKI2H" hidden="1">#REF!</definedName>
    <definedName name="BEx02Q08R9G839Q4RFGG9026C7PX" localSheetId="30" hidden="1">#REF!</definedName>
    <definedName name="BEx02Q08R9G839Q4RFGG9026C7PX" localSheetId="29" hidden="1">#REF!</definedName>
    <definedName name="BEx02Q08R9G839Q4RFGG9026C7PX" localSheetId="33" hidden="1">#REF!</definedName>
    <definedName name="BEx02Q08R9G839Q4RFGG9026C7PX" localSheetId="31" hidden="1">#REF!</definedName>
    <definedName name="BEx02Q08R9G839Q4RFGG9026C7PX" localSheetId="32" hidden="1">#REF!</definedName>
    <definedName name="BEx02Q08R9G839Q4RFGG9026C7PX" hidden="1">#REF!</definedName>
    <definedName name="BEx02SEL3Z1QWGAHXDPUA9WLTTPS" localSheetId="30" hidden="1">#REF!</definedName>
    <definedName name="BEx02SEL3Z1QWGAHXDPUA9WLTTPS" localSheetId="29" hidden="1">#REF!</definedName>
    <definedName name="BEx02SEL3Z1QWGAHXDPUA9WLTTPS" localSheetId="33" hidden="1">#REF!</definedName>
    <definedName name="BEx02SEL3Z1QWGAHXDPUA9WLTTPS" localSheetId="31" hidden="1">#REF!</definedName>
    <definedName name="BEx02SEL3Z1QWGAHXDPUA9WLTTPS" localSheetId="32" hidden="1">#REF!</definedName>
    <definedName name="BEx02SEL3Z1QWGAHXDPUA9WLTTPS" hidden="1">#REF!</definedName>
    <definedName name="BEx02Y3KJZH5BGDM9QEZ1PVVI114" localSheetId="30" hidden="1">#REF!</definedName>
    <definedName name="BEx02Y3KJZH5BGDM9QEZ1PVVI114" localSheetId="29" hidden="1">#REF!</definedName>
    <definedName name="BEx02Y3KJZH5BGDM9QEZ1PVVI114" localSheetId="33" hidden="1">#REF!</definedName>
    <definedName name="BEx02Y3KJZH5BGDM9QEZ1PVVI114" localSheetId="31" hidden="1">#REF!</definedName>
    <definedName name="BEx02Y3KJZH5BGDM9QEZ1PVVI114" localSheetId="32" hidden="1">#REF!</definedName>
    <definedName name="BEx02Y3KJZH5BGDM9QEZ1PVVI114" hidden="1">#REF!</definedName>
    <definedName name="BEx0313GRLLASDTVPW5DHTXHE74M" localSheetId="30" hidden="1">#REF!</definedName>
    <definedName name="BEx0313GRLLASDTVPW5DHTXHE74M" localSheetId="29" hidden="1">#REF!</definedName>
    <definedName name="BEx0313GRLLASDTVPW5DHTXHE74M" localSheetId="33" hidden="1">#REF!</definedName>
    <definedName name="BEx0313GRLLASDTVPW5DHTXHE74M" localSheetId="31" hidden="1">#REF!</definedName>
    <definedName name="BEx0313GRLLASDTVPW5DHTXHE74M" localSheetId="32" hidden="1">#REF!</definedName>
    <definedName name="BEx0313GRLLASDTVPW5DHTXHE74M" hidden="1">#REF!</definedName>
    <definedName name="BEx1F0SOZ3H5XUHXD7O01TCR8T6J" localSheetId="30" hidden="1">#REF!</definedName>
    <definedName name="BEx1F0SOZ3H5XUHXD7O01TCR8T6J" localSheetId="29" hidden="1">#REF!</definedName>
    <definedName name="BEx1F0SOZ3H5XUHXD7O01TCR8T6J" localSheetId="33" hidden="1">#REF!</definedName>
    <definedName name="BEx1F0SOZ3H5XUHXD7O01TCR8T6J" localSheetId="31" hidden="1">#REF!</definedName>
    <definedName name="BEx1F0SOZ3H5XUHXD7O01TCR8T6J" localSheetId="32" hidden="1">#REF!</definedName>
    <definedName name="BEx1F0SOZ3H5XUHXD7O01TCR8T6J" hidden="1">#REF!</definedName>
    <definedName name="BEx1F9HL824UCNCVZ2U62J4KZCX8" localSheetId="30" hidden="1">#REF!</definedName>
    <definedName name="BEx1F9HL824UCNCVZ2U62J4KZCX8" localSheetId="29" hidden="1">#REF!</definedName>
    <definedName name="BEx1F9HL824UCNCVZ2U62J4KZCX8" localSheetId="33" hidden="1">#REF!</definedName>
    <definedName name="BEx1F9HL824UCNCVZ2U62J4KZCX8" localSheetId="31" hidden="1">#REF!</definedName>
    <definedName name="BEx1F9HL824UCNCVZ2U62J4KZCX8" localSheetId="32" hidden="1">#REF!</definedName>
    <definedName name="BEx1F9HL824UCNCVZ2U62J4KZCX8" hidden="1">#REF!</definedName>
    <definedName name="BEx1FEVSJKTI1Q1Z874QZVFSJSVA" localSheetId="30" hidden="1">#REF!</definedName>
    <definedName name="BEx1FEVSJKTI1Q1Z874QZVFSJSVA" localSheetId="29" hidden="1">#REF!</definedName>
    <definedName name="BEx1FEVSJKTI1Q1Z874QZVFSJSVA" localSheetId="33" hidden="1">#REF!</definedName>
    <definedName name="BEx1FEVSJKTI1Q1Z874QZVFSJSVA" localSheetId="31" hidden="1">#REF!</definedName>
    <definedName name="BEx1FEVSJKTI1Q1Z874QZVFSJSVA" localSheetId="32" hidden="1">#REF!</definedName>
    <definedName name="BEx1FEVSJKTI1Q1Z874QZVFSJSVA" hidden="1">#REF!</definedName>
    <definedName name="BEx1FGDRUHHLI1GBHELT4PK0LY4V" localSheetId="30" hidden="1">#REF!</definedName>
    <definedName name="BEx1FGDRUHHLI1GBHELT4PK0LY4V" localSheetId="29" hidden="1">#REF!</definedName>
    <definedName name="BEx1FGDRUHHLI1GBHELT4PK0LY4V" localSheetId="33" hidden="1">#REF!</definedName>
    <definedName name="BEx1FGDRUHHLI1GBHELT4PK0LY4V" localSheetId="31" hidden="1">#REF!</definedName>
    <definedName name="BEx1FGDRUHHLI1GBHELT4PK0LY4V" localSheetId="32" hidden="1">#REF!</definedName>
    <definedName name="BEx1FGDRUHHLI1GBHELT4PK0LY4V" hidden="1">#REF!</definedName>
    <definedName name="BEx1FJZ7GKO99IYTP6GGGF7EUL3Z" localSheetId="30" hidden="1">#REF!</definedName>
    <definedName name="BEx1FJZ7GKO99IYTP6GGGF7EUL3Z" localSheetId="29" hidden="1">#REF!</definedName>
    <definedName name="BEx1FJZ7GKO99IYTP6GGGF7EUL3Z" localSheetId="33" hidden="1">#REF!</definedName>
    <definedName name="BEx1FJZ7GKO99IYTP6GGGF7EUL3Z" localSheetId="31" hidden="1">#REF!</definedName>
    <definedName name="BEx1FJZ7GKO99IYTP6GGGF7EUL3Z" localSheetId="32" hidden="1">#REF!</definedName>
    <definedName name="BEx1FJZ7GKO99IYTP6GGGF7EUL3Z" hidden="1">#REF!</definedName>
    <definedName name="BEx1FQKMDFZMWHG3ZGK2643CULHG" localSheetId="30" hidden="1">#REF!</definedName>
    <definedName name="BEx1FQKMDFZMWHG3ZGK2643CULHG" localSheetId="29" hidden="1">#REF!</definedName>
    <definedName name="BEx1FQKMDFZMWHG3ZGK2643CULHG" localSheetId="33" hidden="1">#REF!</definedName>
    <definedName name="BEx1FQKMDFZMWHG3ZGK2643CULHG" localSheetId="31" hidden="1">#REF!</definedName>
    <definedName name="BEx1FQKMDFZMWHG3ZGK2643CULHG" localSheetId="32" hidden="1">#REF!</definedName>
    <definedName name="BEx1FQKMDFZMWHG3ZGK2643CULHG" hidden="1">#REF!</definedName>
    <definedName name="BEx1FZV2CM77TBH1R6YYV9P06KA2" localSheetId="30" hidden="1">#REF!</definedName>
    <definedName name="BEx1FZV2CM77TBH1R6YYV9P06KA2" localSheetId="29" hidden="1">#REF!</definedName>
    <definedName name="BEx1FZV2CM77TBH1R6YYV9P06KA2" localSheetId="33" hidden="1">#REF!</definedName>
    <definedName name="BEx1FZV2CM77TBH1R6YYV9P06KA2" localSheetId="31" hidden="1">#REF!</definedName>
    <definedName name="BEx1FZV2CM77TBH1R6YYV9P06KA2" localSheetId="32" hidden="1">#REF!</definedName>
    <definedName name="BEx1FZV2CM77TBH1R6YYV9P06KA2" hidden="1">#REF!</definedName>
    <definedName name="BEx1G59AY8195JTUM6P18VXUFJ3E" localSheetId="30" hidden="1">#REF!</definedName>
    <definedName name="BEx1G59AY8195JTUM6P18VXUFJ3E" localSheetId="29" hidden="1">#REF!</definedName>
    <definedName name="BEx1G59AY8195JTUM6P18VXUFJ3E" localSheetId="33" hidden="1">#REF!</definedName>
    <definedName name="BEx1G59AY8195JTUM6P18VXUFJ3E" localSheetId="31" hidden="1">#REF!</definedName>
    <definedName name="BEx1G59AY8195JTUM6P18VXUFJ3E" localSheetId="32" hidden="1">#REF!</definedName>
    <definedName name="BEx1G59AY8195JTUM6P18VXUFJ3E" hidden="1">#REF!</definedName>
    <definedName name="BEx1GVMRHFXUP6XYYY9NR12PV5TF" localSheetId="30" hidden="1">#REF!</definedName>
    <definedName name="BEx1GVMRHFXUP6XYYY9NR12PV5TF" localSheetId="29" hidden="1">#REF!</definedName>
    <definedName name="BEx1GVMRHFXUP6XYYY9NR12PV5TF" localSheetId="33" hidden="1">#REF!</definedName>
    <definedName name="BEx1GVMRHFXUP6XYYY9NR12PV5TF" localSheetId="31" hidden="1">#REF!</definedName>
    <definedName name="BEx1GVMRHFXUP6XYYY9NR12PV5TF" localSheetId="32" hidden="1">#REF!</definedName>
    <definedName name="BEx1GVMRHFXUP6XYYY9NR12PV5TF" hidden="1">#REF!</definedName>
    <definedName name="BEx1H6KIT7BHUH6MDDWC935V9N47" localSheetId="30" hidden="1">#REF!</definedName>
    <definedName name="BEx1H6KIT7BHUH6MDDWC935V9N47" localSheetId="29" hidden="1">#REF!</definedName>
    <definedName name="BEx1H6KIT7BHUH6MDDWC935V9N47" localSheetId="33" hidden="1">#REF!</definedName>
    <definedName name="BEx1H6KIT7BHUH6MDDWC935V9N47" localSheetId="31" hidden="1">#REF!</definedName>
    <definedName name="BEx1H6KIT7BHUH6MDDWC935V9N47" localSheetId="32" hidden="1">#REF!</definedName>
    <definedName name="BEx1H6KIT7BHUH6MDDWC935V9N47" hidden="1">#REF!</definedName>
    <definedName name="BEx1HDGOOJ3SKHYMWUZJ1P0RQZ9N" localSheetId="30" hidden="1">#REF!</definedName>
    <definedName name="BEx1HDGOOJ3SKHYMWUZJ1P0RQZ9N" localSheetId="29" hidden="1">#REF!</definedName>
    <definedName name="BEx1HDGOOJ3SKHYMWUZJ1P0RQZ9N" localSheetId="33" hidden="1">#REF!</definedName>
    <definedName name="BEx1HDGOOJ3SKHYMWUZJ1P0RQZ9N" localSheetId="31" hidden="1">#REF!</definedName>
    <definedName name="BEx1HDGOOJ3SKHYMWUZJ1P0RQZ9N" localSheetId="32" hidden="1">#REF!</definedName>
    <definedName name="BEx1HDGOOJ3SKHYMWUZJ1P0RQZ9N" hidden="1">#REF!</definedName>
    <definedName name="BEx1HDM5ZXSJG6JQEMSFV52PZ10V" localSheetId="30" hidden="1">#REF!</definedName>
    <definedName name="BEx1HDM5ZXSJG6JQEMSFV52PZ10V" localSheetId="29" hidden="1">#REF!</definedName>
    <definedName name="BEx1HDM5ZXSJG6JQEMSFV52PZ10V" localSheetId="33" hidden="1">#REF!</definedName>
    <definedName name="BEx1HDM5ZXSJG6JQEMSFV52PZ10V" localSheetId="31" hidden="1">#REF!</definedName>
    <definedName name="BEx1HDM5ZXSJG6JQEMSFV52PZ10V" localSheetId="32" hidden="1">#REF!</definedName>
    <definedName name="BEx1HDM5ZXSJG6JQEMSFV52PZ10V" hidden="1">#REF!</definedName>
    <definedName name="BEx1HETBBZVN5F43LKOFMC4QB0CR" localSheetId="30" hidden="1">#REF!</definedName>
    <definedName name="BEx1HETBBZVN5F43LKOFMC4QB0CR" localSheetId="29" hidden="1">#REF!</definedName>
    <definedName name="BEx1HETBBZVN5F43LKOFMC4QB0CR" localSheetId="33" hidden="1">#REF!</definedName>
    <definedName name="BEx1HETBBZVN5F43LKOFMC4QB0CR" localSheetId="31" hidden="1">#REF!</definedName>
    <definedName name="BEx1HETBBZVN5F43LKOFMC4QB0CR" localSheetId="32" hidden="1">#REF!</definedName>
    <definedName name="BEx1HETBBZVN5F43LKOFMC4QB0CR" hidden="1">#REF!</definedName>
    <definedName name="BEx1HGWNWPLNXICOTP90TKQVVE4E" localSheetId="30" hidden="1">#REF!</definedName>
    <definedName name="BEx1HGWNWPLNXICOTP90TKQVVE4E" localSheetId="29" hidden="1">#REF!</definedName>
    <definedName name="BEx1HGWNWPLNXICOTP90TKQVVE4E" localSheetId="33" hidden="1">#REF!</definedName>
    <definedName name="BEx1HGWNWPLNXICOTP90TKQVVE4E" localSheetId="31" hidden="1">#REF!</definedName>
    <definedName name="BEx1HGWNWPLNXICOTP90TKQVVE4E" localSheetId="32" hidden="1">#REF!</definedName>
    <definedName name="BEx1HGWNWPLNXICOTP90TKQVVE4E" hidden="1">#REF!</definedName>
    <definedName name="BEx1HIPLJZABY0EMUOTZN0EQMDPU" localSheetId="30" hidden="1">#REF!</definedName>
    <definedName name="BEx1HIPLJZABY0EMUOTZN0EQMDPU" localSheetId="29" hidden="1">#REF!</definedName>
    <definedName name="BEx1HIPLJZABY0EMUOTZN0EQMDPU" localSheetId="33" hidden="1">#REF!</definedName>
    <definedName name="BEx1HIPLJZABY0EMUOTZN0EQMDPU" localSheetId="31" hidden="1">#REF!</definedName>
    <definedName name="BEx1HIPLJZABY0EMUOTZN0EQMDPU" localSheetId="32" hidden="1">#REF!</definedName>
    <definedName name="BEx1HIPLJZABY0EMUOTZN0EQMDPU" hidden="1">#REF!</definedName>
    <definedName name="BEx1HO94JIRX219MPWMB5E5XZ04X" localSheetId="30" hidden="1">#REF!</definedName>
    <definedName name="BEx1HO94JIRX219MPWMB5E5XZ04X" localSheetId="29" hidden="1">#REF!</definedName>
    <definedName name="BEx1HO94JIRX219MPWMB5E5XZ04X" localSheetId="33" hidden="1">#REF!</definedName>
    <definedName name="BEx1HO94JIRX219MPWMB5E5XZ04X" localSheetId="31" hidden="1">#REF!</definedName>
    <definedName name="BEx1HO94JIRX219MPWMB5E5XZ04X" localSheetId="32" hidden="1">#REF!</definedName>
    <definedName name="BEx1HO94JIRX219MPWMB5E5XZ04X" hidden="1">#REF!</definedName>
    <definedName name="BEx1HQNF6KHM21E3XLW0NMSSEI9S" localSheetId="30" hidden="1">#REF!</definedName>
    <definedName name="BEx1HQNF6KHM21E3XLW0NMSSEI9S" localSheetId="29" hidden="1">#REF!</definedName>
    <definedName name="BEx1HQNF6KHM21E3XLW0NMSSEI9S" localSheetId="33" hidden="1">#REF!</definedName>
    <definedName name="BEx1HQNF6KHM21E3XLW0NMSSEI9S" localSheetId="31" hidden="1">#REF!</definedName>
    <definedName name="BEx1HQNF6KHM21E3XLW0NMSSEI9S" localSheetId="32" hidden="1">#REF!</definedName>
    <definedName name="BEx1HQNF6KHM21E3XLW0NMSSEI9S" hidden="1">#REF!</definedName>
    <definedName name="BEx1HSLNWIW4S97ZBYY7I7M5YVH4" localSheetId="30" hidden="1">#REF!</definedName>
    <definedName name="BEx1HSLNWIW4S97ZBYY7I7M5YVH4" localSheetId="29" hidden="1">#REF!</definedName>
    <definedName name="BEx1HSLNWIW4S97ZBYY7I7M5YVH4" localSheetId="33" hidden="1">#REF!</definedName>
    <definedName name="BEx1HSLNWIW4S97ZBYY7I7M5YVH4" localSheetId="31" hidden="1">#REF!</definedName>
    <definedName name="BEx1HSLNWIW4S97ZBYY7I7M5YVH4" localSheetId="32" hidden="1">#REF!</definedName>
    <definedName name="BEx1HSLNWIW4S97ZBYY7I7M5YVH4" hidden="1">#REF!</definedName>
    <definedName name="BEx1HUP0E92P800V5I97Z1EQ17Y8" localSheetId="30" hidden="1">#REF!</definedName>
    <definedName name="BEx1HUP0E92P800V5I97Z1EQ17Y8" localSheetId="29" hidden="1">#REF!</definedName>
    <definedName name="BEx1HUP0E92P800V5I97Z1EQ17Y8" localSheetId="33" hidden="1">#REF!</definedName>
    <definedName name="BEx1HUP0E92P800V5I97Z1EQ17Y8" localSheetId="31" hidden="1">#REF!</definedName>
    <definedName name="BEx1HUP0E92P800V5I97Z1EQ17Y8" localSheetId="32" hidden="1">#REF!</definedName>
    <definedName name="BEx1HUP0E92P800V5I97Z1EQ17Y8" hidden="1">#REF!</definedName>
    <definedName name="BEx1I4QKTILCKZUSOJCVZN7SNHL5" localSheetId="30" hidden="1">#REF!</definedName>
    <definedName name="BEx1I4QKTILCKZUSOJCVZN7SNHL5" localSheetId="29" hidden="1">#REF!</definedName>
    <definedName name="BEx1I4QKTILCKZUSOJCVZN7SNHL5" localSheetId="33" hidden="1">#REF!</definedName>
    <definedName name="BEx1I4QKTILCKZUSOJCVZN7SNHL5" localSheetId="31" hidden="1">#REF!</definedName>
    <definedName name="BEx1I4QKTILCKZUSOJCVZN7SNHL5" localSheetId="32" hidden="1">#REF!</definedName>
    <definedName name="BEx1I4QKTILCKZUSOJCVZN7SNHL5" hidden="1">#REF!</definedName>
    <definedName name="BEx1IE0ZP7RIFM9FI24S9I6AAJ14" localSheetId="30" hidden="1">#REF!</definedName>
    <definedName name="BEx1IE0ZP7RIFM9FI24S9I6AAJ14" localSheetId="29" hidden="1">#REF!</definedName>
    <definedName name="BEx1IE0ZP7RIFM9FI24S9I6AAJ14" localSheetId="33" hidden="1">#REF!</definedName>
    <definedName name="BEx1IE0ZP7RIFM9FI24S9I6AAJ14" localSheetId="31" hidden="1">#REF!</definedName>
    <definedName name="BEx1IE0ZP7RIFM9FI24S9I6AAJ14" localSheetId="32" hidden="1">#REF!</definedName>
    <definedName name="BEx1IE0ZP7RIFM9FI24S9I6AAJ14" hidden="1">#REF!</definedName>
    <definedName name="BEx1IGQ5B697MNDOE06MVSR0H58E" localSheetId="30" hidden="1">#REF!</definedName>
    <definedName name="BEx1IGQ5B697MNDOE06MVSR0H58E" localSheetId="29" hidden="1">#REF!</definedName>
    <definedName name="BEx1IGQ5B697MNDOE06MVSR0H58E" localSheetId="33" hidden="1">#REF!</definedName>
    <definedName name="BEx1IGQ5B697MNDOE06MVSR0H58E" localSheetId="31" hidden="1">#REF!</definedName>
    <definedName name="BEx1IGQ5B697MNDOE06MVSR0H58E" localSheetId="32" hidden="1">#REF!</definedName>
    <definedName name="BEx1IGQ5B697MNDOE06MVSR0H58E" hidden="1">#REF!</definedName>
    <definedName name="BEx1IKRPW8MLB9Y485M1TL2IT9SH" localSheetId="30" hidden="1">#REF!</definedName>
    <definedName name="BEx1IKRPW8MLB9Y485M1TL2IT9SH" localSheetId="29" hidden="1">#REF!</definedName>
    <definedName name="BEx1IKRPW8MLB9Y485M1TL2IT9SH" localSheetId="33" hidden="1">#REF!</definedName>
    <definedName name="BEx1IKRPW8MLB9Y485M1TL2IT9SH" localSheetId="31" hidden="1">#REF!</definedName>
    <definedName name="BEx1IKRPW8MLB9Y485M1TL2IT9SH" localSheetId="32" hidden="1">#REF!</definedName>
    <definedName name="BEx1IKRPW8MLB9Y485M1TL2IT9SH" hidden="1">#REF!</definedName>
    <definedName name="BEx1IM4DH7BHV48IX2OWMVLMK1WZ" localSheetId="30" hidden="1">#REF!</definedName>
    <definedName name="BEx1IM4DH7BHV48IX2OWMVLMK1WZ" localSheetId="29" hidden="1">#REF!</definedName>
    <definedName name="BEx1IM4DH7BHV48IX2OWMVLMK1WZ" localSheetId="33" hidden="1">#REF!</definedName>
    <definedName name="BEx1IM4DH7BHV48IX2OWMVLMK1WZ" localSheetId="31" hidden="1">#REF!</definedName>
    <definedName name="BEx1IM4DH7BHV48IX2OWMVLMK1WZ" localSheetId="32" hidden="1">#REF!</definedName>
    <definedName name="BEx1IM4DH7BHV48IX2OWMVLMK1WZ" hidden="1">#REF!</definedName>
    <definedName name="BEx1J0CSSHDJGBJUHVOEMCF2P4DL" localSheetId="30" hidden="1">#REF!</definedName>
    <definedName name="BEx1J0CSSHDJGBJUHVOEMCF2P4DL" localSheetId="29" hidden="1">#REF!</definedName>
    <definedName name="BEx1J0CSSHDJGBJUHVOEMCF2P4DL" localSheetId="33" hidden="1">#REF!</definedName>
    <definedName name="BEx1J0CSSHDJGBJUHVOEMCF2P4DL" localSheetId="31" hidden="1">#REF!</definedName>
    <definedName name="BEx1J0CSSHDJGBJUHVOEMCF2P4DL" localSheetId="32" hidden="1">#REF!</definedName>
    <definedName name="BEx1J0CSSHDJGBJUHVOEMCF2P4DL" hidden="1">#REF!</definedName>
    <definedName name="BEx1J7E8VCGLPYU82QXVUG5N3ZAI" localSheetId="30" hidden="1">#REF!</definedName>
    <definedName name="BEx1J7E8VCGLPYU82QXVUG5N3ZAI" localSheetId="29" hidden="1">#REF!</definedName>
    <definedName name="BEx1J7E8VCGLPYU82QXVUG5N3ZAI" localSheetId="33" hidden="1">#REF!</definedName>
    <definedName name="BEx1J7E8VCGLPYU82QXVUG5N3ZAI" localSheetId="31" hidden="1">#REF!</definedName>
    <definedName name="BEx1J7E8VCGLPYU82QXVUG5N3ZAI" localSheetId="32" hidden="1">#REF!</definedName>
    <definedName name="BEx1J7E8VCGLPYU82QXVUG5N3ZAI" hidden="1">#REF!</definedName>
    <definedName name="BEx1JGE2YQWH8S25USOY08XVGO0D" localSheetId="30" hidden="1">#REF!</definedName>
    <definedName name="BEx1JGE2YQWH8S25USOY08XVGO0D" localSheetId="29" hidden="1">#REF!</definedName>
    <definedName name="BEx1JGE2YQWH8S25USOY08XVGO0D" localSheetId="33" hidden="1">#REF!</definedName>
    <definedName name="BEx1JGE2YQWH8S25USOY08XVGO0D" localSheetId="31" hidden="1">#REF!</definedName>
    <definedName name="BEx1JGE2YQWH8S25USOY08XVGO0D" localSheetId="32" hidden="1">#REF!</definedName>
    <definedName name="BEx1JGE2YQWH8S25USOY08XVGO0D" hidden="1">#REF!</definedName>
    <definedName name="BEx1JJJC9T1W7HY4V7HP1S1W4JO1" localSheetId="30" hidden="1">#REF!</definedName>
    <definedName name="BEx1JJJC9T1W7HY4V7HP1S1W4JO1" localSheetId="29" hidden="1">#REF!</definedName>
    <definedName name="BEx1JJJC9T1W7HY4V7HP1S1W4JO1" localSheetId="33" hidden="1">#REF!</definedName>
    <definedName name="BEx1JJJC9T1W7HY4V7HP1S1W4JO1" localSheetId="31" hidden="1">#REF!</definedName>
    <definedName name="BEx1JJJC9T1W7HY4V7HP1S1W4JO1" localSheetId="32" hidden="1">#REF!</definedName>
    <definedName name="BEx1JJJC9T1W7HY4V7HP1S1W4JO1" hidden="1">#REF!</definedName>
    <definedName name="BEx1JKKZSJ7DI4PTFVI9VVFMB1X2" localSheetId="30" hidden="1">#REF!</definedName>
    <definedName name="BEx1JKKZSJ7DI4PTFVI9VVFMB1X2" localSheetId="29" hidden="1">#REF!</definedName>
    <definedName name="BEx1JKKZSJ7DI4PTFVI9VVFMB1X2" localSheetId="33" hidden="1">#REF!</definedName>
    <definedName name="BEx1JKKZSJ7DI4PTFVI9VVFMB1X2" localSheetId="31" hidden="1">#REF!</definedName>
    <definedName name="BEx1JKKZSJ7DI4PTFVI9VVFMB1X2" localSheetId="32" hidden="1">#REF!</definedName>
    <definedName name="BEx1JKKZSJ7DI4PTFVI9VVFMB1X2" hidden="1">#REF!</definedName>
    <definedName name="BEx1JUBQFRVMASSFK4B3V0AD7YP9" localSheetId="30" hidden="1">#REF!</definedName>
    <definedName name="BEx1JUBQFRVMASSFK4B3V0AD7YP9" localSheetId="29" hidden="1">#REF!</definedName>
    <definedName name="BEx1JUBQFRVMASSFK4B3V0AD7YP9" localSheetId="33" hidden="1">#REF!</definedName>
    <definedName name="BEx1JUBQFRVMASSFK4B3V0AD7YP9" localSheetId="31" hidden="1">#REF!</definedName>
    <definedName name="BEx1JUBQFRVMASSFK4B3V0AD7YP9" localSheetId="32" hidden="1">#REF!</definedName>
    <definedName name="BEx1JUBQFRVMASSFK4B3V0AD7YP9" hidden="1">#REF!</definedName>
    <definedName name="BEx1JXBM5W4YRWNQ0P95QQS6JWD6" localSheetId="30" hidden="1">#REF!</definedName>
    <definedName name="BEx1JXBM5W4YRWNQ0P95QQS6JWD6" localSheetId="29" hidden="1">#REF!</definedName>
    <definedName name="BEx1JXBM5W4YRWNQ0P95QQS6JWD6" localSheetId="33" hidden="1">#REF!</definedName>
    <definedName name="BEx1JXBM5W4YRWNQ0P95QQS6JWD6" localSheetId="31" hidden="1">#REF!</definedName>
    <definedName name="BEx1JXBM5W4YRWNQ0P95QQS6JWD6" localSheetId="32" hidden="1">#REF!</definedName>
    <definedName name="BEx1JXBM5W4YRWNQ0P95QQS6JWD6" hidden="1">#REF!</definedName>
    <definedName name="BEx1KGY9QEHZ9QSARMQUTQKRK4UX" localSheetId="30" hidden="1">#REF!</definedName>
    <definedName name="BEx1KGY9QEHZ9QSARMQUTQKRK4UX" localSheetId="29" hidden="1">#REF!</definedName>
    <definedName name="BEx1KGY9QEHZ9QSARMQUTQKRK4UX" localSheetId="33" hidden="1">#REF!</definedName>
    <definedName name="BEx1KGY9QEHZ9QSARMQUTQKRK4UX" localSheetId="31" hidden="1">#REF!</definedName>
    <definedName name="BEx1KGY9QEHZ9QSARMQUTQKRK4UX" localSheetId="32" hidden="1">#REF!</definedName>
    <definedName name="BEx1KGY9QEHZ9QSARMQUTQKRK4UX" hidden="1">#REF!</definedName>
    <definedName name="BEx1KIAR2UX5EHC5FGW8NOHCPQ3L" localSheetId="30" hidden="1">#REF!</definedName>
    <definedName name="BEx1KIAR2UX5EHC5FGW8NOHCPQ3L" localSheetId="29" hidden="1">#REF!</definedName>
    <definedName name="BEx1KIAR2UX5EHC5FGW8NOHCPQ3L" localSheetId="33" hidden="1">#REF!</definedName>
    <definedName name="BEx1KIAR2UX5EHC5FGW8NOHCPQ3L" localSheetId="31" hidden="1">#REF!</definedName>
    <definedName name="BEx1KIAR2UX5EHC5FGW8NOHCPQ3L" localSheetId="32" hidden="1">#REF!</definedName>
    <definedName name="BEx1KIAR2UX5EHC5FGW8NOHCPQ3L" hidden="1">#REF!</definedName>
    <definedName name="BEx1KKP1ELIF2UII2FWVGL7M1X7J" localSheetId="30" hidden="1">#REF!</definedName>
    <definedName name="BEx1KKP1ELIF2UII2FWVGL7M1X7J" localSheetId="29" hidden="1">#REF!</definedName>
    <definedName name="BEx1KKP1ELIF2UII2FWVGL7M1X7J" localSheetId="33" hidden="1">#REF!</definedName>
    <definedName name="BEx1KKP1ELIF2UII2FWVGL7M1X7J" localSheetId="31" hidden="1">#REF!</definedName>
    <definedName name="BEx1KKP1ELIF2UII2FWVGL7M1X7J" localSheetId="32" hidden="1">#REF!</definedName>
    <definedName name="BEx1KKP1ELIF2UII2FWVGL7M1X7J" hidden="1">#REF!</definedName>
    <definedName name="BEx1KUVWMB0QCWA3RBE4CADFVRIS" localSheetId="30" hidden="1">#REF!</definedName>
    <definedName name="BEx1KUVWMB0QCWA3RBE4CADFVRIS" localSheetId="29" hidden="1">#REF!</definedName>
    <definedName name="BEx1KUVWMB0QCWA3RBE4CADFVRIS" localSheetId="33" hidden="1">#REF!</definedName>
    <definedName name="BEx1KUVWMB0QCWA3RBE4CADFVRIS" localSheetId="31" hidden="1">#REF!</definedName>
    <definedName name="BEx1KUVWMB0QCWA3RBE4CADFVRIS" localSheetId="32" hidden="1">#REF!</definedName>
    <definedName name="BEx1KUVWMB0QCWA3RBE4CADFVRIS" hidden="1">#REF!</definedName>
    <definedName name="BEx1L2OG1SDFK2TPXELJ77YP4NI2" localSheetId="30" hidden="1">#REF!</definedName>
    <definedName name="BEx1L2OG1SDFK2TPXELJ77YP4NI2" localSheetId="29" hidden="1">#REF!</definedName>
    <definedName name="BEx1L2OG1SDFK2TPXELJ77YP4NI2" localSheetId="33" hidden="1">#REF!</definedName>
    <definedName name="BEx1L2OG1SDFK2TPXELJ77YP4NI2" localSheetId="31" hidden="1">#REF!</definedName>
    <definedName name="BEx1L2OG1SDFK2TPXELJ77YP4NI2" localSheetId="32" hidden="1">#REF!</definedName>
    <definedName name="BEx1L2OG1SDFK2TPXELJ77YP4NI2" hidden="1">#REF!</definedName>
    <definedName name="BEx1L5Z3UWLZCA8017SXJM2VV1HG" localSheetId="30" hidden="1">#REF!</definedName>
    <definedName name="BEx1L5Z3UWLZCA8017SXJM2VV1HG" localSheetId="29" hidden="1">#REF!</definedName>
    <definedName name="BEx1L5Z3UWLZCA8017SXJM2VV1HG" localSheetId="33" hidden="1">#REF!</definedName>
    <definedName name="BEx1L5Z3UWLZCA8017SXJM2VV1HG" localSheetId="31" hidden="1">#REF!</definedName>
    <definedName name="BEx1L5Z3UWLZCA8017SXJM2VV1HG" localSheetId="32" hidden="1">#REF!</definedName>
    <definedName name="BEx1L5Z3UWLZCA8017SXJM2VV1HG" hidden="1">#REF!</definedName>
    <definedName name="BEx1L6Q60MWRDJB4L20LK0XPA0Z2" localSheetId="30" hidden="1">#REF!</definedName>
    <definedName name="BEx1L6Q60MWRDJB4L20LK0XPA0Z2" localSheetId="29" hidden="1">#REF!</definedName>
    <definedName name="BEx1L6Q60MWRDJB4L20LK0XPA0Z2" localSheetId="33" hidden="1">#REF!</definedName>
    <definedName name="BEx1L6Q60MWRDJB4L20LK0XPA0Z2" localSheetId="31" hidden="1">#REF!</definedName>
    <definedName name="BEx1L6Q60MWRDJB4L20LK0XPA0Z2" localSheetId="32" hidden="1">#REF!</definedName>
    <definedName name="BEx1L6Q60MWRDJB4L20LK0XPA0Z2" hidden="1">#REF!</definedName>
    <definedName name="BEx1LBYX47XSMCP2LRYQ5L2I5E64" localSheetId="30" hidden="1">#REF!</definedName>
    <definedName name="BEx1LBYX47XSMCP2LRYQ5L2I5E64" localSheetId="29" hidden="1">#REF!</definedName>
    <definedName name="BEx1LBYX47XSMCP2LRYQ5L2I5E64" localSheetId="33" hidden="1">#REF!</definedName>
    <definedName name="BEx1LBYX47XSMCP2LRYQ5L2I5E64" localSheetId="31" hidden="1">#REF!</definedName>
    <definedName name="BEx1LBYX47XSMCP2LRYQ5L2I5E64" localSheetId="32" hidden="1">#REF!</definedName>
    <definedName name="BEx1LBYX47XSMCP2LRYQ5L2I5E64" hidden="1">#REF!</definedName>
    <definedName name="BEx1LD63FP2Z4BR9TKSHOZW9KKZ5" localSheetId="30" hidden="1">#REF!</definedName>
    <definedName name="BEx1LD63FP2Z4BR9TKSHOZW9KKZ5" localSheetId="29" hidden="1">#REF!</definedName>
    <definedName name="BEx1LD63FP2Z4BR9TKSHOZW9KKZ5" localSheetId="33" hidden="1">#REF!</definedName>
    <definedName name="BEx1LD63FP2Z4BR9TKSHOZW9KKZ5" localSheetId="31" hidden="1">#REF!</definedName>
    <definedName name="BEx1LD63FP2Z4BR9TKSHOZW9KKZ5" localSheetId="32" hidden="1">#REF!</definedName>
    <definedName name="BEx1LD63FP2Z4BR9TKSHOZW9KKZ5" hidden="1">#REF!</definedName>
    <definedName name="BEx1LDMB9RW982DUILM2WPT5VWQ3" localSheetId="30" hidden="1">#REF!</definedName>
    <definedName name="BEx1LDMB9RW982DUILM2WPT5VWQ3" localSheetId="29" hidden="1">#REF!</definedName>
    <definedName name="BEx1LDMB9RW982DUILM2WPT5VWQ3" localSheetId="33" hidden="1">#REF!</definedName>
    <definedName name="BEx1LDMB9RW982DUILM2WPT5VWQ3" localSheetId="31" hidden="1">#REF!</definedName>
    <definedName name="BEx1LDMB9RW982DUILM2WPT5VWQ3" localSheetId="32" hidden="1">#REF!</definedName>
    <definedName name="BEx1LDMB9RW982DUILM2WPT5VWQ3" hidden="1">#REF!</definedName>
    <definedName name="BEx1LRPGDQCOEMW8YT80J1XCDCIV" localSheetId="30" hidden="1">#REF!</definedName>
    <definedName name="BEx1LRPGDQCOEMW8YT80J1XCDCIV" localSheetId="29" hidden="1">#REF!</definedName>
    <definedName name="BEx1LRPGDQCOEMW8YT80J1XCDCIV" localSheetId="33" hidden="1">#REF!</definedName>
    <definedName name="BEx1LRPGDQCOEMW8YT80J1XCDCIV" localSheetId="31" hidden="1">#REF!</definedName>
    <definedName name="BEx1LRPGDQCOEMW8YT80J1XCDCIV" localSheetId="32" hidden="1">#REF!</definedName>
    <definedName name="BEx1LRPGDQCOEMW8YT80J1XCDCIV" hidden="1">#REF!</definedName>
    <definedName name="BEx1LRUSJW4JG54X07QWD9R27WV9" localSheetId="30" hidden="1">#REF!</definedName>
    <definedName name="BEx1LRUSJW4JG54X07QWD9R27WV9" localSheetId="29" hidden="1">#REF!</definedName>
    <definedName name="BEx1LRUSJW4JG54X07QWD9R27WV9" localSheetId="33" hidden="1">#REF!</definedName>
    <definedName name="BEx1LRUSJW4JG54X07QWD9R27WV9" localSheetId="31" hidden="1">#REF!</definedName>
    <definedName name="BEx1LRUSJW4JG54X07QWD9R27WV9" localSheetId="32" hidden="1">#REF!</definedName>
    <definedName name="BEx1LRUSJW4JG54X07QWD9R27WV9" hidden="1">#REF!</definedName>
    <definedName name="BEx1M1WBK5T0LP1AK2JYV6W87ID6" localSheetId="30" hidden="1">#REF!</definedName>
    <definedName name="BEx1M1WBK5T0LP1AK2JYV6W87ID6" localSheetId="29" hidden="1">#REF!</definedName>
    <definedName name="BEx1M1WBK5T0LP1AK2JYV6W87ID6" localSheetId="33" hidden="1">#REF!</definedName>
    <definedName name="BEx1M1WBK5T0LP1AK2JYV6W87ID6" localSheetId="31" hidden="1">#REF!</definedName>
    <definedName name="BEx1M1WBK5T0LP1AK2JYV6W87ID6" localSheetId="32" hidden="1">#REF!</definedName>
    <definedName name="BEx1M1WBK5T0LP1AK2JYV6W87ID6" hidden="1">#REF!</definedName>
    <definedName name="BEx1M51HHDYGIT8PON7U8ICL2S95" localSheetId="30" hidden="1">#REF!</definedName>
    <definedName name="BEx1M51HHDYGIT8PON7U8ICL2S95" localSheetId="29" hidden="1">#REF!</definedName>
    <definedName name="BEx1M51HHDYGIT8PON7U8ICL2S95" localSheetId="33" hidden="1">#REF!</definedName>
    <definedName name="BEx1M51HHDYGIT8PON7U8ICL2S95" localSheetId="31" hidden="1">#REF!</definedName>
    <definedName name="BEx1M51HHDYGIT8PON7U8ICL2S95" localSheetId="32" hidden="1">#REF!</definedName>
    <definedName name="BEx1M51HHDYGIT8PON7U8ICL2S95" hidden="1">#REF!</definedName>
    <definedName name="BEx1MF312512REQ7FKPOP78Y14QT" localSheetId="30" hidden="1">#REF!</definedName>
    <definedName name="BEx1MF312512REQ7FKPOP78Y14QT" localSheetId="29" hidden="1">#REF!</definedName>
    <definedName name="BEx1MF312512REQ7FKPOP78Y14QT" localSheetId="33" hidden="1">#REF!</definedName>
    <definedName name="BEx1MF312512REQ7FKPOP78Y14QT" localSheetId="31" hidden="1">#REF!</definedName>
    <definedName name="BEx1MF312512REQ7FKPOP78Y14QT" localSheetId="32" hidden="1">#REF!</definedName>
    <definedName name="BEx1MF312512REQ7FKPOP78Y14QT" hidden="1">#REF!</definedName>
    <definedName name="BEx1MJFF1ZYZTJJQT08E5J396ZY5" localSheetId="30" hidden="1">#REF!</definedName>
    <definedName name="BEx1MJFF1ZYZTJJQT08E5J396ZY5" localSheetId="29" hidden="1">#REF!</definedName>
    <definedName name="BEx1MJFF1ZYZTJJQT08E5J396ZY5" localSheetId="33" hidden="1">#REF!</definedName>
    <definedName name="BEx1MJFF1ZYZTJJQT08E5J396ZY5" localSheetId="31" hidden="1">#REF!</definedName>
    <definedName name="BEx1MJFF1ZYZTJJQT08E5J396ZY5" localSheetId="32" hidden="1">#REF!</definedName>
    <definedName name="BEx1MJFF1ZYZTJJQT08E5J396ZY5" hidden="1">#REF!</definedName>
    <definedName name="BEx1MTRKKVCHOZ0YGID6HZ49LJTO" localSheetId="30" hidden="1">#REF!</definedName>
    <definedName name="BEx1MTRKKVCHOZ0YGID6HZ49LJTO" localSheetId="29" hidden="1">#REF!</definedName>
    <definedName name="BEx1MTRKKVCHOZ0YGID6HZ49LJTO" localSheetId="33" hidden="1">#REF!</definedName>
    <definedName name="BEx1MTRKKVCHOZ0YGID6HZ49LJTO" localSheetId="31" hidden="1">#REF!</definedName>
    <definedName name="BEx1MTRKKVCHOZ0YGID6HZ49LJTO" localSheetId="32" hidden="1">#REF!</definedName>
    <definedName name="BEx1MTRKKVCHOZ0YGID6HZ49LJTO" hidden="1">#REF!</definedName>
    <definedName name="BEx1N3CUJ3UX61X38ZAJVPEN4KMC" localSheetId="30" hidden="1">#REF!</definedName>
    <definedName name="BEx1N3CUJ3UX61X38ZAJVPEN4KMC" localSheetId="29" hidden="1">#REF!</definedName>
    <definedName name="BEx1N3CUJ3UX61X38ZAJVPEN4KMC" localSheetId="33" hidden="1">#REF!</definedName>
    <definedName name="BEx1N3CUJ3UX61X38ZAJVPEN4KMC" localSheetId="31" hidden="1">#REF!</definedName>
    <definedName name="BEx1N3CUJ3UX61X38ZAJVPEN4KMC" localSheetId="32" hidden="1">#REF!</definedName>
    <definedName name="BEx1N3CUJ3UX61X38ZAJVPEN4KMC" hidden="1">#REF!</definedName>
    <definedName name="BEx1N91UOAP6DFNL208DWOWRWC6W" localSheetId="30" hidden="1">#REF!</definedName>
    <definedName name="BEx1N91UOAP6DFNL208DWOWRWC6W" localSheetId="29" hidden="1">#REF!</definedName>
    <definedName name="BEx1N91UOAP6DFNL208DWOWRWC6W" localSheetId="33" hidden="1">#REF!</definedName>
    <definedName name="BEx1N91UOAP6DFNL208DWOWRWC6W" localSheetId="31" hidden="1">#REF!</definedName>
    <definedName name="BEx1N91UOAP6DFNL208DWOWRWC6W" localSheetId="32" hidden="1">#REF!</definedName>
    <definedName name="BEx1N91UOAP6DFNL208DWOWRWC6W" hidden="1">#REF!</definedName>
    <definedName name="BEx1NM34KQTO1LDNSAFD1L82UZFG" localSheetId="30" hidden="1">#REF!</definedName>
    <definedName name="BEx1NM34KQTO1LDNSAFD1L82UZFG" localSheetId="29" hidden="1">#REF!</definedName>
    <definedName name="BEx1NM34KQTO1LDNSAFD1L82UZFG" localSheetId="33" hidden="1">#REF!</definedName>
    <definedName name="BEx1NM34KQTO1LDNSAFD1L82UZFG" localSheetId="31" hidden="1">#REF!</definedName>
    <definedName name="BEx1NM34KQTO1LDNSAFD1L82UZFG" localSheetId="32" hidden="1">#REF!</definedName>
    <definedName name="BEx1NM34KQTO1LDNSAFD1L82UZFG" hidden="1">#REF!</definedName>
    <definedName name="BEx1NO6TXZVOGCUWCCRTXRXWW0XL" localSheetId="30" hidden="1">#REF!</definedName>
    <definedName name="BEx1NO6TXZVOGCUWCCRTXRXWW0XL" localSheetId="29" hidden="1">#REF!</definedName>
    <definedName name="BEx1NO6TXZVOGCUWCCRTXRXWW0XL" localSheetId="33" hidden="1">#REF!</definedName>
    <definedName name="BEx1NO6TXZVOGCUWCCRTXRXWW0XL" localSheetId="31" hidden="1">#REF!</definedName>
    <definedName name="BEx1NO6TXZVOGCUWCCRTXRXWW0XL" localSheetId="32" hidden="1">#REF!</definedName>
    <definedName name="BEx1NO6TXZVOGCUWCCRTXRXWW0XL" hidden="1">#REF!</definedName>
    <definedName name="BEx1NS8EU5P9FQV3S0WRTXI5L361" localSheetId="30" hidden="1">#REF!</definedName>
    <definedName name="BEx1NS8EU5P9FQV3S0WRTXI5L361" localSheetId="29" hidden="1">#REF!</definedName>
    <definedName name="BEx1NS8EU5P9FQV3S0WRTXI5L361" localSheetId="33" hidden="1">#REF!</definedName>
    <definedName name="BEx1NS8EU5P9FQV3S0WRTXI5L361" localSheetId="31" hidden="1">#REF!</definedName>
    <definedName name="BEx1NS8EU5P9FQV3S0WRTXI5L361" localSheetId="32" hidden="1">#REF!</definedName>
    <definedName name="BEx1NS8EU5P9FQV3S0WRTXI5L361" hidden="1">#REF!</definedName>
    <definedName name="BEx1NUBX5VUYZFKQH69FN6BTLWCR" localSheetId="30" hidden="1">#REF!</definedName>
    <definedName name="BEx1NUBX5VUYZFKQH69FN6BTLWCR" localSheetId="29" hidden="1">#REF!</definedName>
    <definedName name="BEx1NUBX5VUYZFKQH69FN6BTLWCR" localSheetId="33" hidden="1">#REF!</definedName>
    <definedName name="BEx1NUBX5VUYZFKQH69FN6BTLWCR" localSheetId="31" hidden="1">#REF!</definedName>
    <definedName name="BEx1NUBX5VUYZFKQH69FN6BTLWCR" localSheetId="32" hidden="1">#REF!</definedName>
    <definedName name="BEx1NUBX5VUYZFKQH69FN6BTLWCR" hidden="1">#REF!</definedName>
    <definedName name="BEx1NZ4K1L8UON80Y2A4RASKWGNP" localSheetId="30" hidden="1">#REF!</definedName>
    <definedName name="BEx1NZ4K1L8UON80Y2A4RASKWGNP" localSheetId="29" hidden="1">#REF!</definedName>
    <definedName name="BEx1NZ4K1L8UON80Y2A4RASKWGNP" localSheetId="33" hidden="1">#REF!</definedName>
    <definedName name="BEx1NZ4K1L8UON80Y2A4RASKWGNP" localSheetId="31" hidden="1">#REF!</definedName>
    <definedName name="BEx1NZ4K1L8UON80Y2A4RASKWGNP" localSheetId="32" hidden="1">#REF!</definedName>
    <definedName name="BEx1NZ4K1L8UON80Y2A4RASKWGNP" hidden="1">#REF!</definedName>
    <definedName name="BEx1OLAZ915OGYWP0QP1QQWDLCRX" localSheetId="30" hidden="1">#REF!</definedName>
    <definedName name="BEx1OLAZ915OGYWP0QP1QQWDLCRX" localSheetId="29" hidden="1">#REF!</definedName>
    <definedName name="BEx1OLAZ915OGYWP0QP1QQWDLCRX" localSheetId="33" hidden="1">#REF!</definedName>
    <definedName name="BEx1OLAZ915OGYWP0QP1QQWDLCRX" localSheetId="31" hidden="1">#REF!</definedName>
    <definedName name="BEx1OLAZ915OGYWP0QP1QQWDLCRX" localSheetId="32" hidden="1">#REF!</definedName>
    <definedName name="BEx1OLAZ915OGYWP0QP1QQWDLCRX" hidden="1">#REF!</definedName>
    <definedName name="BEx1OO5ER042IS6IC4TLDI75JNVH" localSheetId="30" hidden="1">#REF!</definedName>
    <definedName name="BEx1OO5ER042IS6IC4TLDI75JNVH" localSheetId="29" hidden="1">#REF!</definedName>
    <definedName name="BEx1OO5ER042IS6IC4TLDI75JNVH" localSheetId="33" hidden="1">#REF!</definedName>
    <definedName name="BEx1OO5ER042IS6IC4TLDI75JNVH" localSheetId="31" hidden="1">#REF!</definedName>
    <definedName name="BEx1OO5ER042IS6IC4TLDI75JNVH" localSheetId="32" hidden="1">#REF!</definedName>
    <definedName name="BEx1OO5ER042IS6IC4TLDI75JNVH" hidden="1">#REF!</definedName>
    <definedName name="BEx1OTE54CBSUT8FWKRALEDCUWN4" localSheetId="30" hidden="1">#REF!</definedName>
    <definedName name="BEx1OTE54CBSUT8FWKRALEDCUWN4" localSheetId="29" hidden="1">#REF!</definedName>
    <definedName name="BEx1OTE54CBSUT8FWKRALEDCUWN4" localSheetId="33" hidden="1">#REF!</definedName>
    <definedName name="BEx1OTE54CBSUT8FWKRALEDCUWN4" localSheetId="31" hidden="1">#REF!</definedName>
    <definedName name="BEx1OTE54CBSUT8FWKRALEDCUWN4" localSheetId="32" hidden="1">#REF!</definedName>
    <definedName name="BEx1OTE54CBSUT8FWKRALEDCUWN4" hidden="1">#REF!</definedName>
    <definedName name="BEx1OVSMPADTX95QUOX34KZQ8EDY" localSheetId="30" hidden="1">#REF!</definedName>
    <definedName name="BEx1OVSMPADTX95QUOX34KZQ8EDY" localSheetId="29" hidden="1">#REF!</definedName>
    <definedName name="BEx1OVSMPADTX95QUOX34KZQ8EDY" localSheetId="33" hidden="1">#REF!</definedName>
    <definedName name="BEx1OVSMPADTX95QUOX34KZQ8EDY" localSheetId="31" hidden="1">#REF!</definedName>
    <definedName name="BEx1OVSMPADTX95QUOX34KZQ8EDY" localSheetId="32" hidden="1">#REF!</definedName>
    <definedName name="BEx1OVSMPADTX95QUOX34KZQ8EDY" hidden="1">#REF!</definedName>
    <definedName name="BEx1OX544IO9FQJI7YYQGZCEHB3O" localSheetId="30" hidden="1">#REF!</definedName>
    <definedName name="BEx1OX544IO9FQJI7YYQGZCEHB3O" localSheetId="29" hidden="1">#REF!</definedName>
    <definedName name="BEx1OX544IO9FQJI7YYQGZCEHB3O" localSheetId="33" hidden="1">#REF!</definedName>
    <definedName name="BEx1OX544IO9FQJI7YYQGZCEHB3O" localSheetId="31" hidden="1">#REF!</definedName>
    <definedName name="BEx1OX544IO9FQJI7YYQGZCEHB3O" localSheetId="32" hidden="1">#REF!</definedName>
    <definedName name="BEx1OX544IO9FQJI7YYQGZCEHB3O" hidden="1">#REF!</definedName>
    <definedName name="BEx1OY6SVEUT2EQ26P7EKEND342G" localSheetId="30" hidden="1">#REF!</definedName>
    <definedName name="BEx1OY6SVEUT2EQ26P7EKEND342G" localSheetId="29" hidden="1">#REF!</definedName>
    <definedName name="BEx1OY6SVEUT2EQ26P7EKEND342G" localSheetId="33" hidden="1">#REF!</definedName>
    <definedName name="BEx1OY6SVEUT2EQ26P7EKEND342G" localSheetId="31" hidden="1">#REF!</definedName>
    <definedName name="BEx1OY6SVEUT2EQ26P7EKEND342G" localSheetId="32" hidden="1">#REF!</definedName>
    <definedName name="BEx1OY6SVEUT2EQ26P7EKEND342G" hidden="1">#REF!</definedName>
    <definedName name="BEx1OYN1LPIPI12O9G6F7QAOS9T4" localSheetId="30" hidden="1">#REF!</definedName>
    <definedName name="BEx1OYN1LPIPI12O9G6F7QAOS9T4" localSheetId="29" hidden="1">#REF!</definedName>
    <definedName name="BEx1OYN1LPIPI12O9G6F7QAOS9T4" localSheetId="33" hidden="1">#REF!</definedName>
    <definedName name="BEx1OYN1LPIPI12O9G6F7QAOS9T4" localSheetId="31" hidden="1">#REF!</definedName>
    <definedName name="BEx1OYN1LPIPI12O9G6F7QAOS9T4" localSheetId="32" hidden="1">#REF!</definedName>
    <definedName name="BEx1OYN1LPIPI12O9G6F7QAOS9T4" hidden="1">#REF!</definedName>
    <definedName name="BEx1P1HHKJA799O3YZXQAX6KFH58" localSheetId="30" hidden="1">#REF!</definedName>
    <definedName name="BEx1P1HHKJA799O3YZXQAX6KFH58" localSheetId="29" hidden="1">#REF!</definedName>
    <definedName name="BEx1P1HHKJA799O3YZXQAX6KFH58" localSheetId="33" hidden="1">#REF!</definedName>
    <definedName name="BEx1P1HHKJA799O3YZXQAX6KFH58" localSheetId="31" hidden="1">#REF!</definedName>
    <definedName name="BEx1P1HHKJA799O3YZXQAX6KFH58" localSheetId="32" hidden="1">#REF!</definedName>
    <definedName name="BEx1P1HHKJA799O3YZXQAX6KFH58" hidden="1">#REF!</definedName>
    <definedName name="BEx1P34W467WGPOXPK292QFJIPHJ" localSheetId="30" hidden="1">#REF!</definedName>
    <definedName name="BEx1P34W467WGPOXPK292QFJIPHJ" localSheetId="29" hidden="1">#REF!</definedName>
    <definedName name="BEx1P34W467WGPOXPK292QFJIPHJ" localSheetId="33" hidden="1">#REF!</definedName>
    <definedName name="BEx1P34W467WGPOXPK292QFJIPHJ" localSheetId="31" hidden="1">#REF!</definedName>
    <definedName name="BEx1P34W467WGPOXPK292QFJIPHJ" localSheetId="32" hidden="1">#REF!</definedName>
    <definedName name="BEx1P34W467WGPOXPK292QFJIPHJ" hidden="1">#REF!</definedName>
    <definedName name="BEx1P7S1J4TKGVJ43C2Q2R3M9WRB" localSheetId="30" hidden="1">#REF!</definedName>
    <definedName name="BEx1P7S1J4TKGVJ43C2Q2R3M9WRB" localSheetId="29" hidden="1">#REF!</definedName>
    <definedName name="BEx1P7S1J4TKGVJ43C2Q2R3M9WRB" localSheetId="33" hidden="1">#REF!</definedName>
    <definedName name="BEx1P7S1J4TKGVJ43C2Q2R3M9WRB" localSheetId="31" hidden="1">#REF!</definedName>
    <definedName name="BEx1P7S1J4TKGVJ43C2Q2R3M9WRB" localSheetId="32" hidden="1">#REF!</definedName>
    <definedName name="BEx1P7S1J4TKGVJ43C2Q2R3M9WRB" hidden="1">#REF!</definedName>
    <definedName name="BEx1PA11BLPVZM8RC5BL46WX8YB5" localSheetId="30" hidden="1">#REF!</definedName>
    <definedName name="BEx1PA11BLPVZM8RC5BL46WX8YB5" localSheetId="29" hidden="1">#REF!</definedName>
    <definedName name="BEx1PA11BLPVZM8RC5BL46WX8YB5" localSheetId="33" hidden="1">#REF!</definedName>
    <definedName name="BEx1PA11BLPVZM8RC5BL46WX8YB5" localSheetId="31" hidden="1">#REF!</definedName>
    <definedName name="BEx1PA11BLPVZM8RC5BL46WX8YB5" localSheetId="32" hidden="1">#REF!</definedName>
    <definedName name="BEx1PA11BLPVZM8RC5BL46WX8YB5" hidden="1">#REF!</definedName>
    <definedName name="BEx1PBZ4BEFIPGMQXT9T8S4PZ2IM" localSheetId="30" hidden="1">#REF!</definedName>
    <definedName name="BEx1PBZ4BEFIPGMQXT9T8S4PZ2IM" localSheetId="29" hidden="1">#REF!</definedName>
    <definedName name="BEx1PBZ4BEFIPGMQXT9T8S4PZ2IM" localSheetId="33" hidden="1">#REF!</definedName>
    <definedName name="BEx1PBZ4BEFIPGMQXT9T8S4PZ2IM" localSheetId="31" hidden="1">#REF!</definedName>
    <definedName name="BEx1PBZ4BEFIPGMQXT9T8S4PZ2IM" localSheetId="32" hidden="1">#REF!</definedName>
    <definedName name="BEx1PBZ4BEFIPGMQXT9T8S4PZ2IM" hidden="1">#REF!</definedName>
    <definedName name="BEx1PLF2CFSXBZPVI6CJ534EIJDN" localSheetId="30" hidden="1">#REF!</definedName>
    <definedName name="BEx1PLF2CFSXBZPVI6CJ534EIJDN" localSheetId="29" hidden="1">#REF!</definedName>
    <definedName name="BEx1PLF2CFSXBZPVI6CJ534EIJDN" localSheetId="33" hidden="1">#REF!</definedName>
    <definedName name="BEx1PLF2CFSXBZPVI6CJ534EIJDN" localSheetId="31" hidden="1">#REF!</definedName>
    <definedName name="BEx1PLF2CFSXBZPVI6CJ534EIJDN" localSheetId="32" hidden="1">#REF!</definedName>
    <definedName name="BEx1PLF2CFSXBZPVI6CJ534EIJDN" hidden="1">#REF!</definedName>
    <definedName name="BEx1PMWZB2DO6EM9BKLUICZJ65HD" localSheetId="30" hidden="1">#REF!</definedName>
    <definedName name="BEx1PMWZB2DO6EM9BKLUICZJ65HD" localSheetId="29" hidden="1">#REF!</definedName>
    <definedName name="BEx1PMWZB2DO6EM9BKLUICZJ65HD" localSheetId="33" hidden="1">#REF!</definedName>
    <definedName name="BEx1PMWZB2DO6EM9BKLUICZJ65HD" localSheetId="31" hidden="1">#REF!</definedName>
    <definedName name="BEx1PMWZB2DO6EM9BKLUICZJ65HD" localSheetId="32" hidden="1">#REF!</definedName>
    <definedName name="BEx1PMWZB2DO6EM9BKLUICZJ65HD" hidden="1">#REF!</definedName>
    <definedName name="BEx1QA54J2A4I7IBQR19BTY28ZMR" localSheetId="30" hidden="1">#REF!</definedName>
    <definedName name="BEx1QA54J2A4I7IBQR19BTY28ZMR" localSheetId="29" hidden="1">#REF!</definedName>
    <definedName name="BEx1QA54J2A4I7IBQR19BTY28ZMR" localSheetId="33" hidden="1">#REF!</definedName>
    <definedName name="BEx1QA54J2A4I7IBQR19BTY28ZMR" localSheetId="31" hidden="1">#REF!</definedName>
    <definedName name="BEx1QA54J2A4I7IBQR19BTY28ZMR" localSheetId="32" hidden="1">#REF!</definedName>
    <definedName name="BEx1QA54J2A4I7IBQR19BTY28ZMR" hidden="1">#REF!</definedName>
    <definedName name="BEx1QMQAHG3KQUK59DVM68SWKZIZ" localSheetId="30" hidden="1">#REF!</definedName>
    <definedName name="BEx1QMQAHG3KQUK59DVM68SWKZIZ" localSheetId="29" hidden="1">#REF!</definedName>
    <definedName name="BEx1QMQAHG3KQUK59DVM68SWKZIZ" localSheetId="33" hidden="1">#REF!</definedName>
    <definedName name="BEx1QMQAHG3KQUK59DVM68SWKZIZ" localSheetId="31" hidden="1">#REF!</definedName>
    <definedName name="BEx1QMQAHG3KQUK59DVM68SWKZIZ" localSheetId="32" hidden="1">#REF!</definedName>
    <definedName name="BEx1QMQAHG3KQUK59DVM68SWKZIZ" hidden="1">#REF!</definedName>
    <definedName name="BEx1R9YFKJCMSEST8OVCAO5E47FO" localSheetId="30" hidden="1">#REF!</definedName>
    <definedName name="BEx1R9YFKJCMSEST8OVCAO5E47FO" localSheetId="29" hidden="1">#REF!</definedName>
    <definedName name="BEx1R9YFKJCMSEST8OVCAO5E47FO" localSheetId="33" hidden="1">#REF!</definedName>
    <definedName name="BEx1R9YFKJCMSEST8OVCAO5E47FO" localSheetId="31" hidden="1">#REF!</definedName>
    <definedName name="BEx1R9YFKJCMSEST8OVCAO5E47FO" localSheetId="32" hidden="1">#REF!</definedName>
    <definedName name="BEx1R9YFKJCMSEST8OVCAO5E47FO" hidden="1">#REF!</definedName>
    <definedName name="BEx1RBGC06B3T52OIC0EQ1KGVP1I" localSheetId="30" hidden="1">#REF!</definedName>
    <definedName name="BEx1RBGC06B3T52OIC0EQ1KGVP1I" localSheetId="29" hidden="1">#REF!</definedName>
    <definedName name="BEx1RBGC06B3T52OIC0EQ1KGVP1I" localSheetId="33" hidden="1">#REF!</definedName>
    <definedName name="BEx1RBGC06B3T52OIC0EQ1KGVP1I" localSheetId="31" hidden="1">#REF!</definedName>
    <definedName name="BEx1RBGC06B3T52OIC0EQ1KGVP1I" localSheetId="32" hidden="1">#REF!</definedName>
    <definedName name="BEx1RBGC06B3T52OIC0EQ1KGVP1I" hidden="1">#REF!</definedName>
    <definedName name="BEx1RRC7X4NI1CU4EO5XYE2GVARJ" localSheetId="30" hidden="1">#REF!</definedName>
    <definedName name="BEx1RRC7X4NI1CU4EO5XYE2GVARJ" localSheetId="29" hidden="1">#REF!</definedName>
    <definedName name="BEx1RRC7X4NI1CU4EO5XYE2GVARJ" localSheetId="33" hidden="1">#REF!</definedName>
    <definedName name="BEx1RRC7X4NI1CU4EO5XYE2GVARJ" localSheetId="31" hidden="1">#REF!</definedName>
    <definedName name="BEx1RRC7X4NI1CU4EO5XYE2GVARJ" localSheetId="32" hidden="1">#REF!</definedName>
    <definedName name="BEx1RRC7X4NI1CU4EO5XYE2GVARJ" hidden="1">#REF!</definedName>
    <definedName name="BEx1RZA1NCGT832L7EMR7GMF588W" localSheetId="30" hidden="1">#REF!</definedName>
    <definedName name="BEx1RZA1NCGT832L7EMR7GMF588W" localSheetId="29" hidden="1">#REF!</definedName>
    <definedName name="BEx1RZA1NCGT832L7EMR7GMF588W" localSheetId="33" hidden="1">#REF!</definedName>
    <definedName name="BEx1RZA1NCGT832L7EMR7GMF588W" localSheetId="31" hidden="1">#REF!</definedName>
    <definedName name="BEx1RZA1NCGT832L7EMR7GMF588W" localSheetId="32" hidden="1">#REF!</definedName>
    <definedName name="BEx1RZA1NCGT832L7EMR7GMF588W" hidden="1">#REF!</definedName>
    <definedName name="BEx1S0MOH7NGN2NX75XQ2EHBGLL1" localSheetId="30" hidden="1">#REF!</definedName>
    <definedName name="BEx1S0MOH7NGN2NX75XQ2EHBGLL1" localSheetId="29" hidden="1">#REF!</definedName>
    <definedName name="BEx1S0MOH7NGN2NX75XQ2EHBGLL1" localSheetId="33" hidden="1">#REF!</definedName>
    <definedName name="BEx1S0MOH7NGN2NX75XQ2EHBGLL1" localSheetId="31" hidden="1">#REF!</definedName>
    <definedName name="BEx1S0MOH7NGN2NX75XQ2EHBGLL1" localSheetId="32" hidden="1">#REF!</definedName>
    <definedName name="BEx1S0MOH7NGN2NX75XQ2EHBGLL1" hidden="1">#REF!</definedName>
    <definedName name="BEx1S0XGIPUSZQUCSGWSK10GKW7Y" localSheetId="30" hidden="1">#REF!</definedName>
    <definedName name="BEx1S0XGIPUSZQUCSGWSK10GKW7Y" localSheetId="29" hidden="1">#REF!</definedName>
    <definedName name="BEx1S0XGIPUSZQUCSGWSK10GKW7Y" localSheetId="33" hidden="1">#REF!</definedName>
    <definedName name="BEx1S0XGIPUSZQUCSGWSK10GKW7Y" localSheetId="31" hidden="1">#REF!</definedName>
    <definedName name="BEx1S0XGIPUSZQUCSGWSK10GKW7Y" localSheetId="32" hidden="1">#REF!</definedName>
    <definedName name="BEx1S0XGIPUSZQUCSGWSK10GKW7Y" hidden="1">#REF!</definedName>
    <definedName name="BEx1S5VFNKIXHTTCWSV60UC50EZ8" localSheetId="30" hidden="1">#REF!</definedName>
    <definedName name="BEx1S5VFNKIXHTTCWSV60UC50EZ8" localSheetId="29" hidden="1">#REF!</definedName>
    <definedName name="BEx1S5VFNKIXHTTCWSV60UC50EZ8" localSheetId="33" hidden="1">#REF!</definedName>
    <definedName name="BEx1S5VFNKIXHTTCWSV60UC50EZ8" localSheetId="31" hidden="1">#REF!</definedName>
    <definedName name="BEx1S5VFNKIXHTTCWSV60UC50EZ8" localSheetId="32" hidden="1">#REF!</definedName>
    <definedName name="BEx1S5VFNKIXHTTCWSV60UC50EZ8" hidden="1">#REF!</definedName>
    <definedName name="BEx1SK3U02H0RGKEYXW7ZMCEOF3V" localSheetId="30" hidden="1">#REF!</definedName>
    <definedName name="BEx1SK3U02H0RGKEYXW7ZMCEOF3V" localSheetId="29" hidden="1">#REF!</definedName>
    <definedName name="BEx1SK3U02H0RGKEYXW7ZMCEOF3V" localSheetId="33" hidden="1">#REF!</definedName>
    <definedName name="BEx1SK3U02H0RGKEYXW7ZMCEOF3V" localSheetId="31" hidden="1">#REF!</definedName>
    <definedName name="BEx1SK3U02H0RGKEYXW7ZMCEOF3V" localSheetId="32" hidden="1">#REF!</definedName>
    <definedName name="BEx1SK3U02H0RGKEYXW7ZMCEOF3V" hidden="1">#REF!</definedName>
    <definedName name="BEx1SSNEZINBJT29QVS62VS1THT4" localSheetId="30" hidden="1">#REF!</definedName>
    <definedName name="BEx1SSNEZINBJT29QVS62VS1THT4" localSheetId="29" hidden="1">#REF!</definedName>
    <definedName name="BEx1SSNEZINBJT29QVS62VS1THT4" localSheetId="33" hidden="1">#REF!</definedName>
    <definedName name="BEx1SSNEZINBJT29QVS62VS1THT4" localSheetId="31" hidden="1">#REF!</definedName>
    <definedName name="BEx1SSNEZINBJT29QVS62VS1THT4" localSheetId="32" hidden="1">#REF!</definedName>
    <definedName name="BEx1SSNEZINBJT29QVS62VS1THT4" hidden="1">#REF!</definedName>
    <definedName name="BEx1SVNCHNANBJIDIQVB8AFK4HAN" localSheetId="30" hidden="1">#REF!</definedName>
    <definedName name="BEx1SVNCHNANBJIDIQVB8AFK4HAN" localSheetId="29" hidden="1">#REF!</definedName>
    <definedName name="BEx1SVNCHNANBJIDIQVB8AFK4HAN" localSheetId="33" hidden="1">#REF!</definedName>
    <definedName name="BEx1SVNCHNANBJIDIQVB8AFK4HAN" localSheetId="31" hidden="1">#REF!</definedName>
    <definedName name="BEx1SVNCHNANBJIDIQVB8AFK4HAN" localSheetId="32" hidden="1">#REF!</definedName>
    <definedName name="BEx1SVNCHNANBJIDIQVB8AFK4HAN" hidden="1">#REF!</definedName>
    <definedName name="BEx1TBOHLFQWZEE0XMIUD6QW99KM" localSheetId="30" hidden="1">#REF!</definedName>
    <definedName name="BEx1TBOHLFQWZEE0XMIUD6QW99KM" localSheetId="29" hidden="1">#REF!</definedName>
    <definedName name="BEx1TBOHLFQWZEE0XMIUD6QW99KM" localSheetId="33" hidden="1">#REF!</definedName>
    <definedName name="BEx1TBOHLFQWZEE0XMIUD6QW99KM" localSheetId="31" hidden="1">#REF!</definedName>
    <definedName name="BEx1TBOHLFQWZEE0XMIUD6QW99KM" localSheetId="32" hidden="1">#REF!</definedName>
    <definedName name="BEx1TBOHLFQWZEE0XMIUD6QW99KM" hidden="1">#REF!</definedName>
    <definedName name="BEx1TJ0WLS9O7KNSGIPWTYHDYI1D" localSheetId="30" hidden="1">#REF!</definedName>
    <definedName name="BEx1TJ0WLS9O7KNSGIPWTYHDYI1D" localSheetId="29" hidden="1">#REF!</definedName>
    <definedName name="BEx1TJ0WLS9O7KNSGIPWTYHDYI1D" localSheetId="33" hidden="1">#REF!</definedName>
    <definedName name="BEx1TJ0WLS9O7KNSGIPWTYHDYI1D" localSheetId="31" hidden="1">#REF!</definedName>
    <definedName name="BEx1TJ0WLS9O7KNSGIPWTYHDYI1D" localSheetId="32" hidden="1">#REF!</definedName>
    <definedName name="BEx1TJ0WLS9O7KNSGIPWTYHDYI1D" hidden="1">#REF!</definedName>
    <definedName name="BEx1TJ0XNRI47P76X9PPIENNPVT9" localSheetId="30" hidden="1">#REF!</definedName>
    <definedName name="BEx1TJ0XNRI47P76X9PPIENNPVT9" localSheetId="29" hidden="1">#REF!</definedName>
    <definedName name="BEx1TJ0XNRI47P76X9PPIENNPVT9" localSheetId="33" hidden="1">#REF!</definedName>
    <definedName name="BEx1TJ0XNRI47P76X9PPIENNPVT9" localSheetId="31" hidden="1">#REF!</definedName>
    <definedName name="BEx1TJ0XNRI47P76X9PPIENNPVT9" localSheetId="32" hidden="1">#REF!</definedName>
    <definedName name="BEx1TJ0XNRI47P76X9PPIENNPVT9" hidden="1">#REF!</definedName>
    <definedName name="BEx1U27A1UT0345E2G3KIZ6RHJNS" localSheetId="30" hidden="1">#REF!</definedName>
    <definedName name="BEx1U27A1UT0345E2G3KIZ6RHJNS" localSheetId="29" hidden="1">#REF!</definedName>
    <definedName name="BEx1U27A1UT0345E2G3KIZ6RHJNS" localSheetId="33" hidden="1">#REF!</definedName>
    <definedName name="BEx1U27A1UT0345E2G3KIZ6RHJNS" localSheetId="31" hidden="1">#REF!</definedName>
    <definedName name="BEx1U27A1UT0345E2G3KIZ6RHJNS" localSheetId="32" hidden="1">#REF!</definedName>
    <definedName name="BEx1U27A1UT0345E2G3KIZ6RHJNS" hidden="1">#REF!</definedName>
    <definedName name="BEx1U7WFO8OZKB1EBF4H386JW91L" localSheetId="30" hidden="1">#REF!</definedName>
    <definedName name="BEx1U7WFO8OZKB1EBF4H386JW91L" localSheetId="29" hidden="1">#REF!</definedName>
    <definedName name="BEx1U7WFO8OZKB1EBF4H386JW91L" localSheetId="33" hidden="1">#REF!</definedName>
    <definedName name="BEx1U7WFO8OZKB1EBF4H386JW91L" localSheetId="31" hidden="1">#REF!</definedName>
    <definedName name="BEx1U7WFO8OZKB1EBF4H386JW91L" localSheetId="32" hidden="1">#REF!</definedName>
    <definedName name="BEx1U7WFO8OZKB1EBF4H386JW91L" hidden="1">#REF!</definedName>
    <definedName name="BEx1U87938YR9N6HYI24KVBKLOS3" localSheetId="30" hidden="1">#REF!</definedName>
    <definedName name="BEx1U87938YR9N6HYI24KVBKLOS3" localSheetId="29" hidden="1">#REF!</definedName>
    <definedName name="BEx1U87938YR9N6HYI24KVBKLOS3" localSheetId="33" hidden="1">#REF!</definedName>
    <definedName name="BEx1U87938YR9N6HYI24KVBKLOS3" localSheetId="31" hidden="1">#REF!</definedName>
    <definedName name="BEx1U87938YR9N6HYI24KVBKLOS3" localSheetId="32" hidden="1">#REF!</definedName>
    <definedName name="BEx1U87938YR9N6HYI24KVBKLOS3" hidden="1">#REF!</definedName>
    <definedName name="BEx1UESH4KDWHYESQU2IE55RS3LI" localSheetId="30" hidden="1">#REF!</definedName>
    <definedName name="BEx1UESH4KDWHYESQU2IE55RS3LI" localSheetId="29" hidden="1">#REF!</definedName>
    <definedName name="BEx1UESH4KDWHYESQU2IE55RS3LI" localSheetId="33" hidden="1">#REF!</definedName>
    <definedName name="BEx1UESH4KDWHYESQU2IE55RS3LI" localSheetId="31" hidden="1">#REF!</definedName>
    <definedName name="BEx1UESH4KDWHYESQU2IE55RS3LI" localSheetId="32" hidden="1">#REF!</definedName>
    <definedName name="BEx1UESH4KDWHYESQU2IE55RS3LI" hidden="1">#REF!</definedName>
    <definedName name="BEx1UI8N9KTCPSOJ7RDW0T8UEBNP" localSheetId="30" hidden="1">#REF!</definedName>
    <definedName name="BEx1UI8N9KTCPSOJ7RDW0T8UEBNP" localSheetId="29" hidden="1">#REF!</definedName>
    <definedName name="BEx1UI8N9KTCPSOJ7RDW0T8UEBNP" localSheetId="33" hidden="1">#REF!</definedName>
    <definedName name="BEx1UI8N9KTCPSOJ7RDW0T8UEBNP" localSheetId="31" hidden="1">#REF!</definedName>
    <definedName name="BEx1UI8N9KTCPSOJ7RDW0T8UEBNP" localSheetId="32" hidden="1">#REF!</definedName>
    <definedName name="BEx1UI8N9KTCPSOJ7RDW0T8UEBNP" hidden="1">#REF!</definedName>
    <definedName name="BEx1UML0HHJFHA5TBOYQ24I3RV1W" localSheetId="30" hidden="1">#REF!</definedName>
    <definedName name="BEx1UML0HHJFHA5TBOYQ24I3RV1W" localSheetId="29" hidden="1">#REF!</definedName>
    <definedName name="BEx1UML0HHJFHA5TBOYQ24I3RV1W" localSheetId="33" hidden="1">#REF!</definedName>
    <definedName name="BEx1UML0HHJFHA5TBOYQ24I3RV1W" localSheetId="31" hidden="1">#REF!</definedName>
    <definedName name="BEx1UML0HHJFHA5TBOYQ24I3RV1W" localSheetId="32" hidden="1">#REF!</definedName>
    <definedName name="BEx1UML0HHJFHA5TBOYQ24I3RV1W" hidden="1">#REF!</definedName>
    <definedName name="BEx1UUDIQPZ23XQ79GUL0RAWRSCK" localSheetId="30" hidden="1">#REF!</definedName>
    <definedName name="BEx1UUDIQPZ23XQ79GUL0RAWRSCK" localSheetId="29" hidden="1">#REF!</definedName>
    <definedName name="BEx1UUDIQPZ23XQ79GUL0RAWRSCK" localSheetId="33" hidden="1">#REF!</definedName>
    <definedName name="BEx1UUDIQPZ23XQ79GUL0RAWRSCK" localSheetId="31" hidden="1">#REF!</definedName>
    <definedName name="BEx1UUDIQPZ23XQ79GUL0RAWRSCK" localSheetId="32" hidden="1">#REF!</definedName>
    <definedName name="BEx1UUDIQPZ23XQ79GUL0RAWRSCK" hidden="1">#REF!</definedName>
    <definedName name="BEx1V4KD5U7014RAKY61SVLN30JQ" localSheetId="30" hidden="1">#REF!</definedName>
    <definedName name="BEx1V4KD5U7014RAKY61SVLN30JQ" localSheetId="29" hidden="1">#REF!</definedName>
    <definedName name="BEx1V4KD5U7014RAKY61SVLN30JQ" localSheetId="33" hidden="1">#REF!</definedName>
    <definedName name="BEx1V4KD5U7014RAKY61SVLN30JQ" localSheetId="31" hidden="1">#REF!</definedName>
    <definedName name="BEx1V4KD5U7014RAKY61SVLN30JQ" localSheetId="32" hidden="1">#REF!</definedName>
    <definedName name="BEx1V4KD5U7014RAKY61SVLN30JQ" hidden="1">#REF!</definedName>
    <definedName name="BEx1V67SEV778NVW68J8W5SND1J7" localSheetId="30" hidden="1">#REF!</definedName>
    <definedName name="BEx1V67SEV778NVW68J8W5SND1J7" localSheetId="29" hidden="1">#REF!</definedName>
    <definedName name="BEx1V67SEV778NVW68J8W5SND1J7" localSheetId="33" hidden="1">#REF!</definedName>
    <definedName name="BEx1V67SEV778NVW68J8W5SND1J7" localSheetId="31" hidden="1">#REF!</definedName>
    <definedName name="BEx1V67SEV778NVW68J8W5SND1J7" localSheetId="32" hidden="1">#REF!</definedName>
    <definedName name="BEx1V67SEV778NVW68J8W5SND1J7" hidden="1">#REF!</definedName>
    <definedName name="BEx1VIY9SQLRESD11CC4PHYT0XSG" localSheetId="30" hidden="1">#REF!</definedName>
    <definedName name="BEx1VIY9SQLRESD11CC4PHYT0XSG" localSheetId="29" hidden="1">#REF!</definedName>
    <definedName name="BEx1VIY9SQLRESD11CC4PHYT0XSG" localSheetId="33" hidden="1">#REF!</definedName>
    <definedName name="BEx1VIY9SQLRESD11CC4PHYT0XSG" localSheetId="31" hidden="1">#REF!</definedName>
    <definedName name="BEx1VIY9SQLRESD11CC4PHYT0XSG" localSheetId="32" hidden="1">#REF!</definedName>
    <definedName name="BEx1VIY9SQLRESD11CC4PHYT0XSG" hidden="1">#REF!</definedName>
    <definedName name="BEx1VYDV4M2B5TDEP89ZTZDVAVB6" localSheetId="30" hidden="1">#REF!</definedName>
    <definedName name="BEx1VYDV4M2B5TDEP89ZTZDVAVB6" localSheetId="29" hidden="1">#REF!</definedName>
    <definedName name="BEx1VYDV4M2B5TDEP89ZTZDVAVB6" localSheetId="33" hidden="1">#REF!</definedName>
    <definedName name="BEx1VYDV4M2B5TDEP89ZTZDVAVB6" localSheetId="31" hidden="1">#REF!</definedName>
    <definedName name="BEx1VYDV4M2B5TDEP89ZTZDVAVB6" localSheetId="32" hidden="1">#REF!</definedName>
    <definedName name="BEx1VYDV4M2B5TDEP89ZTZDVAVB6" hidden="1">#REF!</definedName>
    <definedName name="BEx1WC67EH10SC38QWX3WEA5KH3A" localSheetId="30" hidden="1">#REF!</definedName>
    <definedName name="BEx1WC67EH10SC38QWX3WEA5KH3A" localSheetId="29" hidden="1">#REF!</definedName>
    <definedName name="BEx1WC67EH10SC38QWX3WEA5KH3A" localSheetId="33" hidden="1">#REF!</definedName>
    <definedName name="BEx1WC67EH10SC38QWX3WEA5KH3A" localSheetId="31" hidden="1">#REF!</definedName>
    <definedName name="BEx1WC67EH10SC38QWX3WEA5KH3A" localSheetId="32" hidden="1">#REF!</definedName>
    <definedName name="BEx1WC67EH10SC38QWX3WEA5KH3A" hidden="1">#REF!</definedName>
    <definedName name="BEx1WCH5UVY646L9OAWH4SO6JT63" localSheetId="30" hidden="1">#REF!</definedName>
    <definedName name="BEx1WCH5UVY646L9OAWH4SO6JT63" localSheetId="29" hidden="1">#REF!</definedName>
    <definedName name="BEx1WCH5UVY646L9OAWH4SO6JT63" localSheetId="33" hidden="1">#REF!</definedName>
    <definedName name="BEx1WCH5UVY646L9OAWH4SO6JT63" localSheetId="31" hidden="1">#REF!</definedName>
    <definedName name="BEx1WCH5UVY646L9OAWH4SO6JT63" localSheetId="32" hidden="1">#REF!</definedName>
    <definedName name="BEx1WCH5UVY646L9OAWH4SO6JT63" hidden="1">#REF!</definedName>
    <definedName name="BEx1WGYTKZZIPM1577W5FEYKFH3V" localSheetId="30" hidden="1">#REF!</definedName>
    <definedName name="BEx1WGYTKZZIPM1577W5FEYKFH3V" localSheetId="29" hidden="1">#REF!</definedName>
    <definedName name="BEx1WGYTKZZIPM1577W5FEYKFH3V" localSheetId="33" hidden="1">#REF!</definedName>
    <definedName name="BEx1WGYTKZZIPM1577W5FEYKFH3V" localSheetId="31" hidden="1">#REF!</definedName>
    <definedName name="BEx1WGYTKZZIPM1577W5FEYKFH3V" localSheetId="32" hidden="1">#REF!</definedName>
    <definedName name="BEx1WGYTKZZIPM1577W5FEYKFH3V" hidden="1">#REF!</definedName>
    <definedName name="BEx1WHPURIV3D3PTJJ359H1OP7ZV" localSheetId="30" hidden="1">#REF!</definedName>
    <definedName name="BEx1WHPURIV3D3PTJJ359H1OP7ZV" localSheetId="29" hidden="1">#REF!</definedName>
    <definedName name="BEx1WHPURIV3D3PTJJ359H1OP7ZV" localSheetId="33" hidden="1">#REF!</definedName>
    <definedName name="BEx1WHPURIV3D3PTJJ359H1OP7ZV" localSheetId="31" hidden="1">#REF!</definedName>
    <definedName name="BEx1WHPURIV3D3PTJJ359H1OP7ZV" localSheetId="32" hidden="1">#REF!</definedName>
    <definedName name="BEx1WHPURIV3D3PTJJ359H1OP7ZV" hidden="1">#REF!</definedName>
    <definedName name="BEx1WLWY2CR1WRD694JJSWSDFAIR" localSheetId="30" hidden="1">#REF!</definedName>
    <definedName name="BEx1WLWY2CR1WRD694JJSWSDFAIR" localSheetId="29" hidden="1">#REF!</definedName>
    <definedName name="BEx1WLWY2CR1WRD694JJSWSDFAIR" localSheetId="33" hidden="1">#REF!</definedName>
    <definedName name="BEx1WLWY2CR1WRD694JJSWSDFAIR" localSheetId="31" hidden="1">#REF!</definedName>
    <definedName name="BEx1WLWY2CR1WRD694JJSWSDFAIR" localSheetId="32" hidden="1">#REF!</definedName>
    <definedName name="BEx1WLWY2CR1WRD694JJSWSDFAIR" hidden="1">#REF!</definedName>
    <definedName name="BEx1WMD1LWPWRIK6GGAJRJAHJM8I" localSheetId="30" hidden="1">#REF!</definedName>
    <definedName name="BEx1WMD1LWPWRIK6GGAJRJAHJM8I" localSheetId="29" hidden="1">#REF!</definedName>
    <definedName name="BEx1WMD1LWPWRIK6GGAJRJAHJM8I" localSheetId="33" hidden="1">#REF!</definedName>
    <definedName name="BEx1WMD1LWPWRIK6GGAJRJAHJM8I" localSheetId="31" hidden="1">#REF!</definedName>
    <definedName name="BEx1WMD1LWPWRIK6GGAJRJAHJM8I" localSheetId="32" hidden="1">#REF!</definedName>
    <definedName name="BEx1WMD1LWPWRIK6GGAJRJAHJM8I" hidden="1">#REF!</definedName>
    <definedName name="BEx1WR0D41MR174LBF3P9E3K0J51" localSheetId="30" hidden="1">#REF!</definedName>
    <definedName name="BEx1WR0D41MR174LBF3P9E3K0J51" localSheetId="29" hidden="1">#REF!</definedName>
    <definedName name="BEx1WR0D41MR174LBF3P9E3K0J51" localSheetId="33" hidden="1">#REF!</definedName>
    <definedName name="BEx1WR0D41MR174LBF3P9E3K0J51" localSheetId="31" hidden="1">#REF!</definedName>
    <definedName name="BEx1WR0D41MR174LBF3P9E3K0J51" localSheetId="32" hidden="1">#REF!</definedName>
    <definedName name="BEx1WR0D41MR174LBF3P9E3K0J51" hidden="1">#REF!</definedName>
    <definedName name="BEx1WUB1FAS5PHU33TJ60SUHR618" localSheetId="30" hidden="1">#REF!</definedName>
    <definedName name="BEx1WUB1FAS5PHU33TJ60SUHR618" localSheetId="29" hidden="1">#REF!</definedName>
    <definedName name="BEx1WUB1FAS5PHU33TJ60SUHR618" localSheetId="33" hidden="1">#REF!</definedName>
    <definedName name="BEx1WUB1FAS5PHU33TJ60SUHR618" localSheetId="31" hidden="1">#REF!</definedName>
    <definedName name="BEx1WUB1FAS5PHU33TJ60SUHR618" localSheetId="32" hidden="1">#REF!</definedName>
    <definedName name="BEx1WUB1FAS5PHU33TJ60SUHR618" hidden="1">#REF!</definedName>
    <definedName name="BEx1WX04G0INSPPG9NTNR3DYR6PZ" localSheetId="30" hidden="1">#REF!</definedName>
    <definedName name="BEx1WX04G0INSPPG9NTNR3DYR6PZ" localSheetId="29" hidden="1">#REF!</definedName>
    <definedName name="BEx1WX04G0INSPPG9NTNR3DYR6PZ" localSheetId="33" hidden="1">#REF!</definedName>
    <definedName name="BEx1WX04G0INSPPG9NTNR3DYR6PZ" localSheetId="31" hidden="1">#REF!</definedName>
    <definedName name="BEx1WX04G0INSPPG9NTNR3DYR6PZ" localSheetId="32" hidden="1">#REF!</definedName>
    <definedName name="BEx1WX04G0INSPPG9NTNR3DYR6PZ" hidden="1">#REF!</definedName>
    <definedName name="BEx1X3LHU9DPG01VWX2IF65TRATF" localSheetId="30" hidden="1">#REF!</definedName>
    <definedName name="BEx1X3LHU9DPG01VWX2IF65TRATF" localSheetId="29" hidden="1">#REF!</definedName>
    <definedName name="BEx1X3LHU9DPG01VWX2IF65TRATF" localSheetId="33" hidden="1">#REF!</definedName>
    <definedName name="BEx1X3LHU9DPG01VWX2IF65TRATF" localSheetId="31" hidden="1">#REF!</definedName>
    <definedName name="BEx1X3LHU9DPG01VWX2IF65TRATF" localSheetId="32" hidden="1">#REF!</definedName>
    <definedName name="BEx1X3LHU9DPG01VWX2IF65TRATF" hidden="1">#REF!</definedName>
    <definedName name="BEx1XJMOMNBFJ2GTJIU8PTHE7D4F" localSheetId="30" hidden="1">#REF!</definedName>
    <definedName name="BEx1XJMOMNBFJ2GTJIU8PTHE7D4F" localSheetId="29" hidden="1">#REF!</definedName>
    <definedName name="BEx1XJMOMNBFJ2GTJIU8PTHE7D4F" localSheetId="33" hidden="1">#REF!</definedName>
    <definedName name="BEx1XJMOMNBFJ2GTJIU8PTHE7D4F" localSheetId="31" hidden="1">#REF!</definedName>
    <definedName name="BEx1XJMOMNBFJ2GTJIU8PTHE7D4F" localSheetId="32" hidden="1">#REF!</definedName>
    <definedName name="BEx1XJMOMNBFJ2GTJIU8PTHE7D4F" hidden="1">#REF!</definedName>
    <definedName name="BEx1XK8AAMO0AH0Z1OUKW30CA7EQ" localSheetId="30" hidden="1">#REF!</definedName>
    <definedName name="BEx1XK8AAMO0AH0Z1OUKW30CA7EQ" localSheetId="29" hidden="1">#REF!</definedName>
    <definedName name="BEx1XK8AAMO0AH0Z1OUKW30CA7EQ" localSheetId="33" hidden="1">#REF!</definedName>
    <definedName name="BEx1XK8AAMO0AH0Z1OUKW30CA7EQ" localSheetId="31" hidden="1">#REF!</definedName>
    <definedName name="BEx1XK8AAMO0AH0Z1OUKW30CA7EQ" localSheetId="32" hidden="1">#REF!</definedName>
    <definedName name="BEx1XK8AAMO0AH0Z1OUKW30CA7EQ" hidden="1">#REF!</definedName>
    <definedName name="BEx1XL4MZ7C80495GHQRWOBS16PQ" localSheetId="30" hidden="1">#REF!</definedName>
    <definedName name="BEx1XL4MZ7C80495GHQRWOBS16PQ" localSheetId="29" hidden="1">#REF!</definedName>
    <definedName name="BEx1XL4MZ7C80495GHQRWOBS16PQ" localSheetId="33" hidden="1">#REF!</definedName>
    <definedName name="BEx1XL4MZ7C80495GHQRWOBS16PQ" localSheetId="31" hidden="1">#REF!</definedName>
    <definedName name="BEx1XL4MZ7C80495GHQRWOBS16PQ" localSheetId="32" hidden="1">#REF!</definedName>
    <definedName name="BEx1XL4MZ7C80495GHQRWOBS16PQ" hidden="1">#REF!</definedName>
    <definedName name="BEx1XY0LDTD2QNSXHJX8Z1GME6W9" localSheetId="30" hidden="1">#REF!</definedName>
    <definedName name="BEx1XY0LDTD2QNSXHJX8Z1GME6W9" localSheetId="29" hidden="1">#REF!</definedName>
    <definedName name="BEx1XY0LDTD2QNSXHJX8Z1GME6W9" localSheetId="33" hidden="1">#REF!</definedName>
    <definedName name="BEx1XY0LDTD2QNSXHJX8Z1GME6W9" localSheetId="31" hidden="1">#REF!</definedName>
    <definedName name="BEx1XY0LDTD2QNSXHJX8Z1GME6W9" localSheetId="32" hidden="1">#REF!</definedName>
    <definedName name="BEx1XY0LDTD2QNSXHJX8Z1GME6W9" hidden="1">#REF!</definedName>
    <definedName name="BEx1Y2IGS2K95E1M51PEF9KJZ0KB" localSheetId="30" hidden="1">#REF!</definedName>
    <definedName name="BEx1Y2IGS2K95E1M51PEF9KJZ0KB" localSheetId="29" hidden="1">#REF!</definedName>
    <definedName name="BEx1Y2IGS2K95E1M51PEF9KJZ0KB" localSheetId="33" hidden="1">#REF!</definedName>
    <definedName name="BEx1Y2IGS2K95E1M51PEF9KJZ0KB" localSheetId="31" hidden="1">#REF!</definedName>
    <definedName name="BEx1Y2IGS2K95E1M51PEF9KJZ0KB" localSheetId="32" hidden="1">#REF!</definedName>
    <definedName name="BEx1Y2IGS2K95E1M51PEF9KJZ0KB" hidden="1">#REF!</definedName>
    <definedName name="BEx1Y2T846ORHYTUL6TLKYE9EE6O" localSheetId="30" hidden="1">#REF!</definedName>
    <definedName name="BEx1Y2T846ORHYTUL6TLKYE9EE6O" localSheetId="29" hidden="1">#REF!</definedName>
    <definedName name="BEx1Y2T846ORHYTUL6TLKYE9EE6O" localSheetId="33" hidden="1">#REF!</definedName>
    <definedName name="BEx1Y2T846ORHYTUL6TLKYE9EE6O" localSheetId="31" hidden="1">#REF!</definedName>
    <definedName name="BEx1Y2T846ORHYTUL6TLKYE9EE6O" localSheetId="32" hidden="1">#REF!</definedName>
    <definedName name="BEx1Y2T846ORHYTUL6TLKYE9EE6O" hidden="1">#REF!</definedName>
    <definedName name="BEx1Y3PKK83X2FN9SAALFHOWKMRQ" localSheetId="30" hidden="1">#REF!</definedName>
    <definedName name="BEx1Y3PKK83X2FN9SAALFHOWKMRQ" localSheetId="29" hidden="1">#REF!</definedName>
    <definedName name="BEx1Y3PKK83X2FN9SAALFHOWKMRQ" localSheetId="33" hidden="1">#REF!</definedName>
    <definedName name="BEx1Y3PKK83X2FN9SAALFHOWKMRQ" localSheetId="31" hidden="1">#REF!</definedName>
    <definedName name="BEx1Y3PKK83X2FN9SAALFHOWKMRQ" localSheetId="32" hidden="1">#REF!</definedName>
    <definedName name="BEx1Y3PKK83X2FN9SAALFHOWKMRQ" hidden="1">#REF!</definedName>
    <definedName name="BEx1YL3DJ7Y4AZ01ERCOGW0FJ26T" localSheetId="30" hidden="1">#REF!</definedName>
    <definedName name="BEx1YL3DJ7Y4AZ01ERCOGW0FJ26T" localSheetId="29" hidden="1">#REF!</definedName>
    <definedName name="BEx1YL3DJ7Y4AZ01ERCOGW0FJ26T" localSheetId="33" hidden="1">#REF!</definedName>
    <definedName name="BEx1YL3DJ7Y4AZ01ERCOGW0FJ26T" localSheetId="31" hidden="1">#REF!</definedName>
    <definedName name="BEx1YL3DJ7Y4AZ01ERCOGW0FJ26T" localSheetId="32" hidden="1">#REF!</definedName>
    <definedName name="BEx1YL3DJ7Y4AZ01ERCOGW0FJ26T" hidden="1">#REF!</definedName>
    <definedName name="BEx1YU33NMDW2T9LW9OIJTECI5ML" localSheetId="30" hidden="1">#REF!</definedName>
    <definedName name="BEx1YU33NMDW2T9LW9OIJTECI5ML" localSheetId="29" hidden="1">#REF!</definedName>
    <definedName name="BEx1YU33NMDW2T9LW9OIJTECI5ML" localSheetId="33" hidden="1">#REF!</definedName>
    <definedName name="BEx1YU33NMDW2T9LW9OIJTECI5ML" localSheetId="31" hidden="1">#REF!</definedName>
    <definedName name="BEx1YU33NMDW2T9LW9OIJTECI5ML" localSheetId="32" hidden="1">#REF!</definedName>
    <definedName name="BEx1YU33NMDW2T9LW9OIJTECI5ML" hidden="1">#REF!</definedName>
    <definedName name="BEx1Z2RYHSVD1H37817SN93VMURZ" localSheetId="30" hidden="1">#REF!</definedName>
    <definedName name="BEx1Z2RYHSVD1H37817SN93VMURZ" localSheetId="29" hidden="1">#REF!</definedName>
    <definedName name="BEx1Z2RYHSVD1H37817SN93VMURZ" localSheetId="33" hidden="1">#REF!</definedName>
    <definedName name="BEx1Z2RYHSVD1H37817SN93VMURZ" localSheetId="31" hidden="1">#REF!</definedName>
    <definedName name="BEx1Z2RYHSVD1H37817SN93VMURZ" localSheetId="32" hidden="1">#REF!</definedName>
    <definedName name="BEx1Z2RYHSVD1H37817SN93VMURZ" hidden="1">#REF!</definedName>
    <definedName name="BEx3AMAKWI6458B67VKZO56MCNJW" localSheetId="30" hidden="1">#REF!</definedName>
    <definedName name="BEx3AMAKWI6458B67VKZO56MCNJW" localSheetId="29" hidden="1">#REF!</definedName>
    <definedName name="BEx3AMAKWI6458B67VKZO56MCNJW" localSheetId="33" hidden="1">#REF!</definedName>
    <definedName name="BEx3AMAKWI6458B67VKZO56MCNJW" localSheetId="31" hidden="1">#REF!</definedName>
    <definedName name="BEx3AMAKWI6458B67VKZO56MCNJW" localSheetId="32" hidden="1">#REF!</definedName>
    <definedName name="BEx3AMAKWI6458B67VKZO56MCNJW" hidden="1">#REF!</definedName>
    <definedName name="BEx3AOOVM42G82TNF53W0EKXLUSI" localSheetId="30" hidden="1">#REF!</definedName>
    <definedName name="BEx3AOOVM42G82TNF53W0EKXLUSI" localSheetId="29" hidden="1">#REF!</definedName>
    <definedName name="BEx3AOOVM42G82TNF53W0EKXLUSI" localSheetId="33" hidden="1">#REF!</definedName>
    <definedName name="BEx3AOOVM42G82TNF53W0EKXLUSI" localSheetId="31" hidden="1">#REF!</definedName>
    <definedName name="BEx3AOOVM42G82TNF53W0EKXLUSI" localSheetId="32" hidden="1">#REF!</definedName>
    <definedName name="BEx3AOOVM42G82TNF53W0EKXLUSI" hidden="1">#REF!</definedName>
    <definedName name="BEx3AZH9W4SUFCAHNDOQ728R9V4L" localSheetId="30" hidden="1">#REF!</definedName>
    <definedName name="BEx3AZH9W4SUFCAHNDOQ728R9V4L" localSheetId="29" hidden="1">#REF!</definedName>
    <definedName name="BEx3AZH9W4SUFCAHNDOQ728R9V4L" localSheetId="33" hidden="1">#REF!</definedName>
    <definedName name="BEx3AZH9W4SUFCAHNDOQ728R9V4L" localSheetId="31" hidden="1">#REF!</definedName>
    <definedName name="BEx3AZH9W4SUFCAHNDOQ728R9V4L" localSheetId="32" hidden="1">#REF!</definedName>
    <definedName name="BEx3AZH9W4SUFCAHNDOQ728R9V4L" hidden="1">#REF!</definedName>
    <definedName name="BEx3BNR9ES4KY7Q1DK83KC5NDGL8" localSheetId="30" hidden="1">#REF!</definedName>
    <definedName name="BEx3BNR9ES4KY7Q1DK83KC5NDGL8" localSheetId="29" hidden="1">#REF!</definedName>
    <definedName name="BEx3BNR9ES4KY7Q1DK83KC5NDGL8" localSheetId="33" hidden="1">#REF!</definedName>
    <definedName name="BEx3BNR9ES4KY7Q1DK83KC5NDGL8" localSheetId="31" hidden="1">#REF!</definedName>
    <definedName name="BEx3BNR9ES4KY7Q1DK83KC5NDGL8" localSheetId="32" hidden="1">#REF!</definedName>
    <definedName name="BEx3BNR9ES4KY7Q1DK83KC5NDGL8" hidden="1">#REF!</definedName>
    <definedName name="BEx3BQ5L2BCKZ1B7KJ7EEWVUXECA" localSheetId="30" hidden="1">#REF!</definedName>
    <definedName name="BEx3BQ5L2BCKZ1B7KJ7EEWVUXECA" localSheetId="29" hidden="1">#REF!</definedName>
    <definedName name="BEx3BQ5L2BCKZ1B7KJ7EEWVUXECA" localSheetId="33" hidden="1">#REF!</definedName>
    <definedName name="BEx3BQ5L2BCKZ1B7KJ7EEWVUXECA" localSheetId="31" hidden="1">#REF!</definedName>
    <definedName name="BEx3BQ5L2BCKZ1B7KJ7EEWVUXECA" localSheetId="32" hidden="1">#REF!</definedName>
    <definedName name="BEx3BQ5L2BCKZ1B7KJ7EEWVUXECA" hidden="1">#REF!</definedName>
    <definedName name="BEx3BQR5VZXNQ4H949ORM8ESU3B3" localSheetId="30" hidden="1">#REF!</definedName>
    <definedName name="BEx3BQR5VZXNQ4H949ORM8ESU3B3" localSheetId="29" hidden="1">#REF!</definedName>
    <definedName name="BEx3BQR5VZXNQ4H949ORM8ESU3B3" localSheetId="33" hidden="1">#REF!</definedName>
    <definedName name="BEx3BQR5VZXNQ4H949ORM8ESU3B3" localSheetId="31" hidden="1">#REF!</definedName>
    <definedName name="BEx3BQR5VZXNQ4H949ORM8ESU3B3" localSheetId="32" hidden="1">#REF!</definedName>
    <definedName name="BEx3BQR5VZXNQ4H949ORM8ESU3B3" hidden="1">#REF!</definedName>
    <definedName name="BEx3BTLL3ASJN134DLEQTQM70VZM" localSheetId="30" hidden="1">#REF!</definedName>
    <definedName name="BEx3BTLL3ASJN134DLEQTQM70VZM" localSheetId="29" hidden="1">#REF!</definedName>
    <definedName name="BEx3BTLL3ASJN134DLEQTQM70VZM" localSheetId="33" hidden="1">#REF!</definedName>
    <definedName name="BEx3BTLL3ASJN134DLEQTQM70VZM" localSheetId="31" hidden="1">#REF!</definedName>
    <definedName name="BEx3BTLL3ASJN134DLEQTQM70VZM" localSheetId="32" hidden="1">#REF!</definedName>
    <definedName name="BEx3BTLL3ASJN134DLEQTQM70VZM" hidden="1">#REF!</definedName>
    <definedName name="BEx3BW5CTV0DJU5AQS3ZQFK2VLF3" localSheetId="30" hidden="1">#REF!</definedName>
    <definedName name="BEx3BW5CTV0DJU5AQS3ZQFK2VLF3" localSheetId="29" hidden="1">#REF!</definedName>
    <definedName name="BEx3BW5CTV0DJU5AQS3ZQFK2VLF3" localSheetId="33" hidden="1">#REF!</definedName>
    <definedName name="BEx3BW5CTV0DJU5AQS3ZQFK2VLF3" localSheetId="31" hidden="1">#REF!</definedName>
    <definedName name="BEx3BW5CTV0DJU5AQS3ZQFK2VLF3" localSheetId="32" hidden="1">#REF!</definedName>
    <definedName name="BEx3BW5CTV0DJU5AQS3ZQFK2VLF3" hidden="1">#REF!</definedName>
    <definedName name="BEx3BYP0FG369M7G3JEFLMMXAKTS" localSheetId="30" hidden="1">#REF!</definedName>
    <definedName name="BEx3BYP0FG369M7G3JEFLMMXAKTS" localSheetId="29" hidden="1">#REF!</definedName>
    <definedName name="BEx3BYP0FG369M7G3JEFLMMXAKTS" localSheetId="33" hidden="1">#REF!</definedName>
    <definedName name="BEx3BYP0FG369M7G3JEFLMMXAKTS" localSheetId="31" hidden="1">#REF!</definedName>
    <definedName name="BEx3BYP0FG369M7G3JEFLMMXAKTS" localSheetId="32" hidden="1">#REF!</definedName>
    <definedName name="BEx3BYP0FG369M7G3JEFLMMXAKTS" hidden="1">#REF!</definedName>
    <definedName name="BEx3C2QR0WUD19QSVO8EMIPNQJKH" localSheetId="30" hidden="1">#REF!</definedName>
    <definedName name="BEx3C2QR0WUD19QSVO8EMIPNQJKH" localSheetId="29" hidden="1">#REF!</definedName>
    <definedName name="BEx3C2QR0WUD19QSVO8EMIPNQJKH" localSheetId="33" hidden="1">#REF!</definedName>
    <definedName name="BEx3C2QR0WUD19QSVO8EMIPNQJKH" localSheetId="31" hidden="1">#REF!</definedName>
    <definedName name="BEx3C2QR0WUD19QSVO8EMIPNQJKH" localSheetId="32" hidden="1">#REF!</definedName>
    <definedName name="BEx3C2QR0WUD19QSVO8EMIPNQJKH" hidden="1">#REF!</definedName>
    <definedName name="BEx3CKFCCPZZ6ROLAT5C1DZNIC1U" localSheetId="30" hidden="1">#REF!</definedName>
    <definedName name="BEx3CKFCCPZZ6ROLAT5C1DZNIC1U" localSheetId="29" hidden="1">#REF!</definedName>
    <definedName name="BEx3CKFCCPZZ6ROLAT5C1DZNIC1U" localSheetId="33" hidden="1">#REF!</definedName>
    <definedName name="BEx3CKFCCPZZ6ROLAT5C1DZNIC1U" localSheetId="31" hidden="1">#REF!</definedName>
    <definedName name="BEx3CKFCCPZZ6ROLAT5C1DZNIC1U" localSheetId="32" hidden="1">#REF!</definedName>
    <definedName name="BEx3CKFCCPZZ6ROLAT5C1DZNIC1U" hidden="1">#REF!</definedName>
    <definedName name="BEx3CO0SVO4WLH0DO43DCHYDTH1P" localSheetId="30" hidden="1">#REF!</definedName>
    <definedName name="BEx3CO0SVO4WLH0DO43DCHYDTH1P" localSheetId="29" hidden="1">#REF!</definedName>
    <definedName name="BEx3CO0SVO4WLH0DO43DCHYDTH1P" localSheetId="33" hidden="1">#REF!</definedName>
    <definedName name="BEx3CO0SVO4WLH0DO43DCHYDTH1P" localSheetId="31" hidden="1">#REF!</definedName>
    <definedName name="BEx3CO0SVO4WLH0DO43DCHYDTH1P" localSheetId="32" hidden="1">#REF!</definedName>
    <definedName name="BEx3CO0SVO4WLH0DO43DCHYDTH1P" hidden="1">#REF!</definedName>
    <definedName name="BEx3CQF43U9VRMAR1QC89L74U426" localSheetId="30" hidden="1">#REF!</definedName>
    <definedName name="BEx3CQF43U9VRMAR1QC89L74U426" localSheetId="29" hidden="1">#REF!</definedName>
    <definedName name="BEx3CQF43U9VRMAR1QC89L74U426" localSheetId="33" hidden="1">#REF!</definedName>
    <definedName name="BEx3CQF43U9VRMAR1QC89L74U426" localSheetId="31" hidden="1">#REF!</definedName>
    <definedName name="BEx3CQF43U9VRMAR1QC89L74U426" localSheetId="32" hidden="1">#REF!</definedName>
    <definedName name="BEx3CQF43U9VRMAR1QC89L74U426" hidden="1">#REF!</definedName>
    <definedName name="BEx3D9G6QTSPF9UYI4X0XY0VE896" localSheetId="30" hidden="1">#REF!</definedName>
    <definedName name="BEx3D9G6QTSPF9UYI4X0XY0VE896" localSheetId="29" hidden="1">#REF!</definedName>
    <definedName name="BEx3D9G6QTSPF9UYI4X0XY0VE896" localSheetId="33" hidden="1">#REF!</definedName>
    <definedName name="BEx3D9G6QTSPF9UYI4X0XY0VE896" localSheetId="31" hidden="1">#REF!</definedName>
    <definedName name="BEx3D9G6QTSPF9UYI4X0XY0VE896" localSheetId="32" hidden="1">#REF!</definedName>
    <definedName name="BEx3D9G6QTSPF9UYI4X0XY0VE896" hidden="1">#REF!</definedName>
    <definedName name="BEx3DCQU9PBRXIMLO62KS5RLH447" localSheetId="30" hidden="1">#REF!</definedName>
    <definedName name="BEx3DCQU9PBRXIMLO62KS5RLH447" localSheetId="29" hidden="1">#REF!</definedName>
    <definedName name="BEx3DCQU9PBRXIMLO62KS5RLH447" localSheetId="33" hidden="1">#REF!</definedName>
    <definedName name="BEx3DCQU9PBRXIMLO62KS5RLH447" localSheetId="31" hidden="1">#REF!</definedName>
    <definedName name="BEx3DCQU9PBRXIMLO62KS5RLH447" localSheetId="32" hidden="1">#REF!</definedName>
    <definedName name="BEx3DCQU9PBRXIMLO62KS5RLH447" hidden="1">#REF!</definedName>
    <definedName name="BEx3EDLTL7Q5BS77YXUAYS91AC3N" localSheetId="30" hidden="1">#REF!</definedName>
    <definedName name="BEx3EDLTL7Q5BS77YXUAYS91AC3N" localSheetId="29" hidden="1">#REF!</definedName>
    <definedName name="BEx3EDLTL7Q5BS77YXUAYS91AC3N" localSheetId="33" hidden="1">#REF!</definedName>
    <definedName name="BEx3EDLTL7Q5BS77YXUAYS91AC3N" localSheetId="31" hidden="1">#REF!</definedName>
    <definedName name="BEx3EDLTL7Q5BS77YXUAYS91AC3N" localSheetId="32" hidden="1">#REF!</definedName>
    <definedName name="BEx3EDLTL7Q5BS77YXUAYS91AC3N" hidden="1">#REF!</definedName>
    <definedName name="BEx3EF99FD6QNNCNOKDEE67JHTUJ" localSheetId="30" hidden="1">#REF!</definedName>
    <definedName name="BEx3EF99FD6QNNCNOKDEE67JHTUJ" localSheetId="29" hidden="1">#REF!</definedName>
    <definedName name="BEx3EF99FD6QNNCNOKDEE67JHTUJ" localSheetId="33" hidden="1">#REF!</definedName>
    <definedName name="BEx3EF99FD6QNNCNOKDEE67JHTUJ" localSheetId="31" hidden="1">#REF!</definedName>
    <definedName name="BEx3EF99FD6QNNCNOKDEE67JHTUJ" localSheetId="32" hidden="1">#REF!</definedName>
    <definedName name="BEx3EF99FD6QNNCNOKDEE67JHTUJ" hidden="1">#REF!</definedName>
    <definedName name="BEx3EHCSERZ2O2OAG8Y95UPG2IY9" localSheetId="30" hidden="1">#REF!</definedName>
    <definedName name="BEx3EHCSERZ2O2OAG8Y95UPG2IY9" localSheetId="29" hidden="1">#REF!</definedName>
    <definedName name="BEx3EHCSERZ2O2OAG8Y95UPG2IY9" localSheetId="33" hidden="1">#REF!</definedName>
    <definedName name="BEx3EHCSERZ2O2OAG8Y95UPG2IY9" localSheetId="31" hidden="1">#REF!</definedName>
    <definedName name="BEx3EHCSERZ2O2OAG8Y95UPG2IY9" localSheetId="32" hidden="1">#REF!</definedName>
    <definedName name="BEx3EHCSERZ2O2OAG8Y95UPG2IY9" hidden="1">#REF!</definedName>
    <definedName name="BEx3EJR3TCJDYS7ZXNDS5N9KTGIK" localSheetId="30" hidden="1">#REF!</definedName>
    <definedName name="BEx3EJR3TCJDYS7ZXNDS5N9KTGIK" localSheetId="29" hidden="1">#REF!</definedName>
    <definedName name="BEx3EJR3TCJDYS7ZXNDS5N9KTGIK" localSheetId="33" hidden="1">#REF!</definedName>
    <definedName name="BEx3EJR3TCJDYS7ZXNDS5N9KTGIK" localSheetId="31" hidden="1">#REF!</definedName>
    <definedName name="BEx3EJR3TCJDYS7ZXNDS5N9KTGIK" localSheetId="32" hidden="1">#REF!</definedName>
    <definedName name="BEx3EJR3TCJDYS7ZXNDS5N9KTGIK" hidden="1">#REF!</definedName>
    <definedName name="BEx3ELJTTBS6P05CNISMGOJOA60V" localSheetId="30" hidden="1">#REF!</definedName>
    <definedName name="BEx3ELJTTBS6P05CNISMGOJOA60V" localSheetId="29" hidden="1">#REF!</definedName>
    <definedName name="BEx3ELJTTBS6P05CNISMGOJOA60V" localSheetId="33" hidden="1">#REF!</definedName>
    <definedName name="BEx3ELJTTBS6P05CNISMGOJOA60V" localSheetId="31" hidden="1">#REF!</definedName>
    <definedName name="BEx3ELJTTBS6P05CNISMGOJOA60V" localSheetId="32" hidden="1">#REF!</definedName>
    <definedName name="BEx3ELJTTBS6P05CNISMGOJOA60V" hidden="1">#REF!</definedName>
    <definedName name="BEx3EQSLJBDDJRHNX19PBFCKNY2I" localSheetId="30" hidden="1">#REF!</definedName>
    <definedName name="BEx3EQSLJBDDJRHNX19PBFCKNY2I" localSheetId="29" hidden="1">#REF!</definedName>
    <definedName name="BEx3EQSLJBDDJRHNX19PBFCKNY2I" localSheetId="33" hidden="1">#REF!</definedName>
    <definedName name="BEx3EQSLJBDDJRHNX19PBFCKNY2I" localSheetId="31" hidden="1">#REF!</definedName>
    <definedName name="BEx3EQSLJBDDJRHNX19PBFCKNY2I" localSheetId="32" hidden="1">#REF!</definedName>
    <definedName name="BEx3EQSLJBDDJRHNX19PBFCKNY2I" hidden="1">#REF!</definedName>
    <definedName name="BEx3EUUAX947Q5N6MY6W0KSNY78Y" localSheetId="30" hidden="1">#REF!</definedName>
    <definedName name="BEx3EUUAX947Q5N6MY6W0KSNY78Y" localSheetId="29" hidden="1">#REF!</definedName>
    <definedName name="BEx3EUUAX947Q5N6MY6W0KSNY78Y" localSheetId="33" hidden="1">#REF!</definedName>
    <definedName name="BEx3EUUAX947Q5N6MY6W0KSNY78Y" localSheetId="31" hidden="1">#REF!</definedName>
    <definedName name="BEx3EUUAX947Q5N6MY6W0KSNY78Y" localSheetId="32" hidden="1">#REF!</definedName>
    <definedName name="BEx3EUUAX947Q5N6MY6W0KSNY78Y" hidden="1">#REF!</definedName>
    <definedName name="BEx3FF814ZNQTL6NMZ59F7S6IEMC" localSheetId="30" hidden="1">#REF!</definedName>
    <definedName name="BEx3FF814ZNQTL6NMZ59F7S6IEMC" localSheetId="29" hidden="1">#REF!</definedName>
    <definedName name="BEx3FF814ZNQTL6NMZ59F7S6IEMC" localSheetId="33" hidden="1">#REF!</definedName>
    <definedName name="BEx3FF814ZNQTL6NMZ59F7S6IEMC" localSheetId="31" hidden="1">#REF!</definedName>
    <definedName name="BEx3FF814ZNQTL6NMZ59F7S6IEMC" localSheetId="32" hidden="1">#REF!</definedName>
    <definedName name="BEx3FF814ZNQTL6NMZ59F7S6IEMC" hidden="1">#REF!</definedName>
    <definedName name="BEx3FHMD1P5XBCH23ZKIFO6ZTCNB" localSheetId="30" hidden="1">#REF!</definedName>
    <definedName name="BEx3FHMD1P5XBCH23ZKIFO6ZTCNB" localSheetId="29" hidden="1">#REF!</definedName>
    <definedName name="BEx3FHMD1P5XBCH23ZKIFO6ZTCNB" localSheetId="33" hidden="1">#REF!</definedName>
    <definedName name="BEx3FHMD1P5XBCH23ZKIFO6ZTCNB" localSheetId="31" hidden="1">#REF!</definedName>
    <definedName name="BEx3FHMD1P5XBCH23ZKIFO6ZTCNB" localSheetId="32" hidden="1">#REF!</definedName>
    <definedName name="BEx3FHMD1P5XBCH23ZKIFO6ZTCNB" hidden="1">#REF!</definedName>
    <definedName name="BEx3FI2G3YYIACQHXNXEA15M8ZK5" localSheetId="30" hidden="1">#REF!</definedName>
    <definedName name="BEx3FI2G3YYIACQHXNXEA15M8ZK5" localSheetId="29" hidden="1">#REF!</definedName>
    <definedName name="BEx3FI2G3YYIACQHXNXEA15M8ZK5" localSheetId="33" hidden="1">#REF!</definedName>
    <definedName name="BEx3FI2G3YYIACQHXNXEA15M8ZK5" localSheetId="31" hidden="1">#REF!</definedName>
    <definedName name="BEx3FI2G3YYIACQHXNXEA15M8ZK5" localSheetId="32" hidden="1">#REF!</definedName>
    <definedName name="BEx3FI2G3YYIACQHXNXEA15M8ZK5" hidden="1">#REF!</definedName>
    <definedName name="BEx3FJ9MHSLDK8W91GO85FX1GX57" localSheetId="30" hidden="1">#REF!</definedName>
    <definedName name="BEx3FJ9MHSLDK8W91GO85FX1GX57" localSheetId="29" hidden="1">#REF!</definedName>
    <definedName name="BEx3FJ9MHSLDK8W91GO85FX1GX57" localSheetId="33" hidden="1">#REF!</definedName>
    <definedName name="BEx3FJ9MHSLDK8W91GO85FX1GX57" localSheetId="31" hidden="1">#REF!</definedName>
    <definedName name="BEx3FJ9MHSLDK8W91GO85FX1GX57" localSheetId="32" hidden="1">#REF!</definedName>
    <definedName name="BEx3FJ9MHSLDK8W91GO85FX1GX57" hidden="1">#REF!</definedName>
    <definedName name="BEx3FR251HFU7A33PU01SJUENL2B" localSheetId="30" hidden="1">#REF!</definedName>
    <definedName name="BEx3FR251HFU7A33PU01SJUENL2B" localSheetId="29" hidden="1">#REF!</definedName>
    <definedName name="BEx3FR251HFU7A33PU01SJUENL2B" localSheetId="33" hidden="1">#REF!</definedName>
    <definedName name="BEx3FR251HFU7A33PU01SJUENL2B" localSheetId="31" hidden="1">#REF!</definedName>
    <definedName name="BEx3FR251HFU7A33PU01SJUENL2B" localSheetId="32" hidden="1">#REF!</definedName>
    <definedName name="BEx3FR251HFU7A33PU01SJUENL2B" hidden="1">#REF!</definedName>
    <definedName name="BEx3FX7EJL47JSLSWP3EOC265WAE" localSheetId="30" hidden="1">#REF!</definedName>
    <definedName name="BEx3FX7EJL47JSLSWP3EOC265WAE" localSheetId="29" hidden="1">#REF!</definedName>
    <definedName name="BEx3FX7EJL47JSLSWP3EOC265WAE" localSheetId="33" hidden="1">#REF!</definedName>
    <definedName name="BEx3FX7EJL47JSLSWP3EOC265WAE" localSheetId="31" hidden="1">#REF!</definedName>
    <definedName name="BEx3FX7EJL47JSLSWP3EOC265WAE" localSheetId="32" hidden="1">#REF!</definedName>
    <definedName name="BEx3FX7EJL47JSLSWP3EOC265WAE" hidden="1">#REF!</definedName>
    <definedName name="BEx3G201R8NLJ6FIHO2QS0SW9QVV" localSheetId="30" hidden="1">#REF!</definedName>
    <definedName name="BEx3G201R8NLJ6FIHO2QS0SW9QVV" localSheetId="29" hidden="1">#REF!</definedName>
    <definedName name="BEx3G201R8NLJ6FIHO2QS0SW9QVV" localSheetId="33" hidden="1">#REF!</definedName>
    <definedName name="BEx3G201R8NLJ6FIHO2QS0SW9QVV" localSheetId="31" hidden="1">#REF!</definedName>
    <definedName name="BEx3G201R8NLJ6FIHO2QS0SW9QVV" localSheetId="32" hidden="1">#REF!</definedName>
    <definedName name="BEx3G201R8NLJ6FIHO2QS0SW9QVV" hidden="1">#REF!</definedName>
    <definedName name="BEx3G2LL2II66XY5YCDPG4JE13A3" localSheetId="30" hidden="1">#REF!</definedName>
    <definedName name="BEx3G2LL2II66XY5YCDPG4JE13A3" localSheetId="29" hidden="1">#REF!</definedName>
    <definedName name="BEx3G2LL2II66XY5YCDPG4JE13A3" localSheetId="33" hidden="1">#REF!</definedName>
    <definedName name="BEx3G2LL2II66XY5YCDPG4JE13A3" localSheetId="31" hidden="1">#REF!</definedName>
    <definedName name="BEx3G2LL2II66XY5YCDPG4JE13A3" localSheetId="32" hidden="1">#REF!</definedName>
    <definedName name="BEx3G2LL2II66XY5YCDPG4JE13A3" hidden="1">#REF!</definedName>
    <definedName name="BEx3G2WA0DTYY9D8AGHHOBTPE2B2" localSheetId="30" hidden="1">#REF!</definedName>
    <definedName name="BEx3G2WA0DTYY9D8AGHHOBTPE2B2" localSheetId="29" hidden="1">#REF!</definedName>
    <definedName name="BEx3G2WA0DTYY9D8AGHHOBTPE2B2" localSheetId="33" hidden="1">#REF!</definedName>
    <definedName name="BEx3G2WA0DTYY9D8AGHHOBTPE2B2" localSheetId="31" hidden="1">#REF!</definedName>
    <definedName name="BEx3G2WA0DTYY9D8AGHHOBTPE2B2" localSheetId="32" hidden="1">#REF!</definedName>
    <definedName name="BEx3G2WA0DTYY9D8AGHHOBTPE2B2" hidden="1">#REF!</definedName>
    <definedName name="BEx3G6CEPJP0K6Z19ZYIH8I91HKZ" localSheetId="30" hidden="1">#REF!</definedName>
    <definedName name="BEx3G6CEPJP0K6Z19ZYIH8I91HKZ" localSheetId="29" hidden="1">#REF!</definedName>
    <definedName name="BEx3G6CEPJP0K6Z19ZYIH8I91HKZ" localSheetId="33" hidden="1">#REF!</definedName>
    <definedName name="BEx3G6CEPJP0K6Z19ZYIH8I91HKZ" localSheetId="31" hidden="1">#REF!</definedName>
    <definedName name="BEx3G6CEPJP0K6Z19ZYIH8I91HKZ" localSheetId="32" hidden="1">#REF!</definedName>
    <definedName name="BEx3G6CEPJP0K6Z19ZYIH8I91HKZ" hidden="1">#REF!</definedName>
    <definedName name="BEx3GCXR6IAS0B6WJ03GJVH7CO52" localSheetId="30" hidden="1">#REF!</definedName>
    <definedName name="BEx3GCXR6IAS0B6WJ03GJVH7CO52" localSheetId="29" hidden="1">#REF!</definedName>
    <definedName name="BEx3GCXR6IAS0B6WJ03GJVH7CO52" localSheetId="33" hidden="1">#REF!</definedName>
    <definedName name="BEx3GCXR6IAS0B6WJ03GJVH7CO52" localSheetId="31" hidden="1">#REF!</definedName>
    <definedName name="BEx3GCXR6IAS0B6WJ03GJVH7CO52" localSheetId="32" hidden="1">#REF!</definedName>
    <definedName name="BEx3GCXR6IAS0B6WJ03GJVH7CO52" hidden="1">#REF!</definedName>
    <definedName name="BEx3GEVV18SEQDI1JGY7EN6D1GT1" localSheetId="30" hidden="1">#REF!</definedName>
    <definedName name="BEx3GEVV18SEQDI1JGY7EN6D1GT1" localSheetId="29" hidden="1">#REF!</definedName>
    <definedName name="BEx3GEVV18SEQDI1JGY7EN6D1GT1" localSheetId="33" hidden="1">#REF!</definedName>
    <definedName name="BEx3GEVV18SEQDI1JGY7EN6D1GT1" localSheetId="31" hidden="1">#REF!</definedName>
    <definedName name="BEx3GEVV18SEQDI1JGY7EN6D1GT1" localSheetId="32" hidden="1">#REF!</definedName>
    <definedName name="BEx3GEVV18SEQDI1JGY7EN6D1GT1" hidden="1">#REF!</definedName>
    <definedName name="BEx3GKFH64MKQX61S7DYTZ15JCPY" localSheetId="30" hidden="1">#REF!</definedName>
    <definedName name="BEx3GKFH64MKQX61S7DYTZ15JCPY" localSheetId="29" hidden="1">#REF!</definedName>
    <definedName name="BEx3GKFH64MKQX61S7DYTZ15JCPY" localSheetId="33" hidden="1">#REF!</definedName>
    <definedName name="BEx3GKFH64MKQX61S7DYTZ15JCPY" localSheetId="31" hidden="1">#REF!</definedName>
    <definedName name="BEx3GKFH64MKQX61S7DYTZ15JCPY" localSheetId="32" hidden="1">#REF!</definedName>
    <definedName name="BEx3GKFH64MKQX61S7DYTZ15JCPY" hidden="1">#REF!</definedName>
    <definedName name="BEx3GMJ1Y6UU02DLRL0QXCEKDA6C" localSheetId="30" hidden="1">#REF!</definedName>
    <definedName name="BEx3GMJ1Y6UU02DLRL0QXCEKDA6C" localSheetId="29" hidden="1">#REF!</definedName>
    <definedName name="BEx3GMJ1Y6UU02DLRL0QXCEKDA6C" localSheetId="33" hidden="1">#REF!</definedName>
    <definedName name="BEx3GMJ1Y6UU02DLRL0QXCEKDA6C" localSheetId="31" hidden="1">#REF!</definedName>
    <definedName name="BEx3GMJ1Y6UU02DLRL0QXCEKDA6C" localSheetId="32" hidden="1">#REF!</definedName>
    <definedName name="BEx3GMJ1Y6UU02DLRL0QXCEKDA6C" hidden="1">#REF!</definedName>
    <definedName name="BEx3GN4LY0135CBDIN1TU2UEODGF" localSheetId="30" hidden="1">#REF!</definedName>
    <definedName name="BEx3GN4LY0135CBDIN1TU2UEODGF" localSheetId="29" hidden="1">#REF!</definedName>
    <definedName name="BEx3GN4LY0135CBDIN1TU2UEODGF" localSheetId="33" hidden="1">#REF!</definedName>
    <definedName name="BEx3GN4LY0135CBDIN1TU2UEODGF" localSheetId="31" hidden="1">#REF!</definedName>
    <definedName name="BEx3GN4LY0135CBDIN1TU2UEODGF" localSheetId="32" hidden="1">#REF!</definedName>
    <definedName name="BEx3GN4LY0135CBDIN1TU2UEODGF" hidden="1">#REF!</definedName>
    <definedName name="BEx3GPDH2AH4QKT4OOSN563XUHBD" localSheetId="30" hidden="1">#REF!</definedName>
    <definedName name="BEx3GPDH2AH4QKT4OOSN563XUHBD" localSheetId="29" hidden="1">#REF!</definedName>
    <definedName name="BEx3GPDH2AH4QKT4OOSN563XUHBD" localSheetId="33" hidden="1">#REF!</definedName>
    <definedName name="BEx3GPDH2AH4QKT4OOSN563XUHBD" localSheetId="31" hidden="1">#REF!</definedName>
    <definedName name="BEx3GPDH2AH4QKT4OOSN563XUHBD" localSheetId="32" hidden="1">#REF!</definedName>
    <definedName name="BEx3GPDH2AH4QKT4OOSN563XUHBD" hidden="1">#REF!</definedName>
    <definedName name="BEx3H5UX2GZFZZT657YR76RHW5I6" localSheetId="30" hidden="1">#REF!</definedName>
    <definedName name="BEx3H5UX2GZFZZT657YR76RHW5I6" localSheetId="29" hidden="1">#REF!</definedName>
    <definedName name="BEx3H5UX2GZFZZT657YR76RHW5I6" localSheetId="33" hidden="1">#REF!</definedName>
    <definedName name="BEx3H5UX2GZFZZT657YR76RHW5I6" localSheetId="31" hidden="1">#REF!</definedName>
    <definedName name="BEx3H5UX2GZFZZT657YR76RHW5I6" localSheetId="32" hidden="1">#REF!</definedName>
    <definedName name="BEx3H5UX2GZFZZT657YR76RHW5I6" hidden="1">#REF!</definedName>
    <definedName name="BEx3HMSEFOP6DBM4R97XA6B7NFG6" localSheetId="30" hidden="1">#REF!</definedName>
    <definedName name="BEx3HMSEFOP6DBM4R97XA6B7NFG6" localSheetId="29" hidden="1">#REF!</definedName>
    <definedName name="BEx3HMSEFOP6DBM4R97XA6B7NFG6" localSheetId="33" hidden="1">#REF!</definedName>
    <definedName name="BEx3HMSEFOP6DBM4R97XA6B7NFG6" localSheetId="31" hidden="1">#REF!</definedName>
    <definedName name="BEx3HMSEFOP6DBM4R97XA6B7NFG6" localSheetId="32" hidden="1">#REF!</definedName>
    <definedName name="BEx3HMSEFOP6DBM4R97XA6B7NFG6" hidden="1">#REF!</definedName>
    <definedName name="BEx3HQU6QTDGD7L15G35YBP9XWLA" localSheetId="30" hidden="1">#REF!</definedName>
    <definedName name="BEx3HQU6QTDGD7L15G35YBP9XWLA" localSheetId="29" hidden="1">#REF!</definedName>
    <definedName name="BEx3HQU6QTDGD7L15G35YBP9XWLA" localSheetId="33" hidden="1">#REF!</definedName>
    <definedName name="BEx3HQU6QTDGD7L15G35YBP9XWLA" localSheetId="31" hidden="1">#REF!</definedName>
    <definedName name="BEx3HQU6QTDGD7L15G35YBP9XWLA" localSheetId="32" hidden="1">#REF!</definedName>
    <definedName name="BEx3HQU6QTDGD7L15G35YBP9XWLA" hidden="1">#REF!</definedName>
    <definedName name="BEx3HWJ5SQSD2CVCQNR183X44FR8" localSheetId="30" hidden="1">#REF!</definedName>
    <definedName name="BEx3HWJ5SQSD2CVCQNR183X44FR8" localSheetId="29" hidden="1">#REF!</definedName>
    <definedName name="BEx3HWJ5SQSD2CVCQNR183X44FR8" localSheetId="33" hidden="1">#REF!</definedName>
    <definedName name="BEx3HWJ5SQSD2CVCQNR183X44FR8" localSheetId="31" hidden="1">#REF!</definedName>
    <definedName name="BEx3HWJ5SQSD2CVCQNR183X44FR8" localSheetId="32" hidden="1">#REF!</definedName>
    <definedName name="BEx3HWJ5SQSD2CVCQNR183X44FR8" hidden="1">#REF!</definedName>
    <definedName name="BEx3I09YVXO0G4X7KGSA4WGORM35" localSheetId="30" hidden="1">#REF!</definedName>
    <definedName name="BEx3I09YVXO0G4X7KGSA4WGORM35" localSheetId="29" hidden="1">#REF!</definedName>
    <definedName name="BEx3I09YVXO0G4X7KGSA4WGORM35" localSheetId="33" hidden="1">#REF!</definedName>
    <definedName name="BEx3I09YVXO0G4X7KGSA4WGORM35" localSheetId="31" hidden="1">#REF!</definedName>
    <definedName name="BEx3I09YVXO0G4X7KGSA4WGORM35" localSheetId="32" hidden="1">#REF!</definedName>
    <definedName name="BEx3I09YVXO0G4X7KGSA4WGORM35" hidden="1">#REF!</definedName>
    <definedName name="BEx3ICF1GY8HQEBIU9S43PDJ90BX" localSheetId="30" hidden="1">#REF!</definedName>
    <definedName name="BEx3ICF1GY8HQEBIU9S43PDJ90BX" localSheetId="29" hidden="1">#REF!</definedName>
    <definedName name="BEx3ICF1GY8HQEBIU9S43PDJ90BX" localSheetId="33" hidden="1">#REF!</definedName>
    <definedName name="BEx3ICF1GY8HQEBIU9S43PDJ90BX" localSheetId="31" hidden="1">#REF!</definedName>
    <definedName name="BEx3ICF1GY8HQEBIU9S43PDJ90BX" localSheetId="32" hidden="1">#REF!</definedName>
    <definedName name="BEx3ICF1GY8HQEBIU9S43PDJ90BX" hidden="1">#REF!</definedName>
    <definedName name="BEx3IYAH2DEBFWO8F94H4MXE3RLY" localSheetId="30" hidden="1">#REF!</definedName>
    <definedName name="BEx3IYAH2DEBFWO8F94H4MXE3RLY" localSheetId="29" hidden="1">#REF!</definedName>
    <definedName name="BEx3IYAH2DEBFWO8F94H4MXE3RLY" localSheetId="33" hidden="1">#REF!</definedName>
    <definedName name="BEx3IYAH2DEBFWO8F94H4MXE3RLY" localSheetId="31" hidden="1">#REF!</definedName>
    <definedName name="BEx3IYAH2DEBFWO8F94H4MXE3RLY" localSheetId="32" hidden="1">#REF!</definedName>
    <definedName name="BEx3IYAH2DEBFWO8F94H4MXE3RLY" hidden="1">#REF!</definedName>
    <definedName name="BEx3IZXXSYEW50379N2EAFWO8DZV" localSheetId="30" hidden="1">#REF!</definedName>
    <definedName name="BEx3IZXXSYEW50379N2EAFWO8DZV" localSheetId="29" hidden="1">#REF!</definedName>
    <definedName name="BEx3IZXXSYEW50379N2EAFWO8DZV" localSheetId="33" hidden="1">#REF!</definedName>
    <definedName name="BEx3IZXXSYEW50379N2EAFWO8DZV" localSheetId="31" hidden="1">#REF!</definedName>
    <definedName name="BEx3IZXXSYEW50379N2EAFWO8DZV" localSheetId="32" hidden="1">#REF!</definedName>
    <definedName name="BEx3IZXXSYEW50379N2EAFWO8DZV" hidden="1">#REF!</definedName>
    <definedName name="BEx3J1VZVGTKT4ATPO9O5JCSFTTR" localSheetId="30" hidden="1">#REF!</definedName>
    <definedName name="BEx3J1VZVGTKT4ATPO9O5JCSFTTR" localSheetId="29" hidden="1">#REF!</definedName>
    <definedName name="BEx3J1VZVGTKT4ATPO9O5JCSFTTR" localSheetId="33" hidden="1">#REF!</definedName>
    <definedName name="BEx3J1VZVGTKT4ATPO9O5JCSFTTR" localSheetId="31" hidden="1">#REF!</definedName>
    <definedName name="BEx3J1VZVGTKT4ATPO9O5JCSFTTR" localSheetId="32" hidden="1">#REF!</definedName>
    <definedName name="BEx3J1VZVGTKT4ATPO9O5JCSFTTR" hidden="1">#REF!</definedName>
    <definedName name="BEx3JC2TY7JNAAC3L7QHVPQXLGQ8" localSheetId="30" hidden="1">#REF!</definedName>
    <definedName name="BEx3JC2TY7JNAAC3L7QHVPQXLGQ8" localSheetId="29" hidden="1">#REF!</definedName>
    <definedName name="BEx3JC2TY7JNAAC3L7QHVPQXLGQ8" localSheetId="33" hidden="1">#REF!</definedName>
    <definedName name="BEx3JC2TY7JNAAC3L7QHVPQXLGQ8" localSheetId="31" hidden="1">#REF!</definedName>
    <definedName name="BEx3JC2TY7JNAAC3L7QHVPQXLGQ8" localSheetId="32" hidden="1">#REF!</definedName>
    <definedName name="BEx3JC2TY7JNAAC3L7QHVPQXLGQ8" hidden="1">#REF!</definedName>
    <definedName name="BEx3JX23SYDIGOGM4Y0CQFBW8ZBV" localSheetId="30" hidden="1">#REF!</definedName>
    <definedName name="BEx3JX23SYDIGOGM4Y0CQFBW8ZBV" localSheetId="29" hidden="1">#REF!</definedName>
    <definedName name="BEx3JX23SYDIGOGM4Y0CQFBW8ZBV" localSheetId="33" hidden="1">#REF!</definedName>
    <definedName name="BEx3JX23SYDIGOGM4Y0CQFBW8ZBV" localSheetId="31" hidden="1">#REF!</definedName>
    <definedName name="BEx3JX23SYDIGOGM4Y0CQFBW8ZBV" localSheetId="32" hidden="1">#REF!</definedName>
    <definedName name="BEx3JX23SYDIGOGM4Y0CQFBW8ZBV" hidden="1">#REF!</definedName>
    <definedName name="BEx3JXCXCVBZJGV5VEG9MJEI01AL" localSheetId="30" hidden="1">#REF!</definedName>
    <definedName name="BEx3JXCXCVBZJGV5VEG9MJEI01AL" localSheetId="29" hidden="1">#REF!</definedName>
    <definedName name="BEx3JXCXCVBZJGV5VEG9MJEI01AL" localSheetId="33" hidden="1">#REF!</definedName>
    <definedName name="BEx3JXCXCVBZJGV5VEG9MJEI01AL" localSheetId="31" hidden="1">#REF!</definedName>
    <definedName name="BEx3JXCXCVBZJGV5VEG9MJEI01AL" localSheetId="32" hidden="1">#REF!</definedName>
    <definedName name="BEx3JXCXCVBZJGV5VEG9MJEI01AL" hidden="1">#REF!</definedName>
    <definedName name="BEx3JYK2N7X59TPJSKYZ77ENY8SS" localSheetId="30" hidden="1">#REF!</definedName>
    <definedName name="BEx3JYK2N7X59TPJSKYZ77ENY8SS" localSheetId="29" hidden="1">#REF!</definedName>
    <definedName name="BEx3JYK2N7X59TPJSKYZ77ENY8SS" localSheetId="33" hidden="1">#REF!</definedName>
    <definedName name="BEx3JYK2N7X59TPJSKYZ77ENY8SS" localSheetId="31" hidden="1">#REF!</definedName>
    <definedName name="BEx3JYK2N7X59TPJSKYZ77ENY8SS" localSheetId="32" hidden="1">#REF!</definedName>
    <definedName name="BEx3JYK2N7X59TPJSKYZ77ENY8SS" hidden="1">#REF!</definedName>
    <definedName name="BEx3K4EII7GU1CG0BN7UL15M6J8Z" localSheetId="30" hidden="1">#REF!</definedName>
    <definedName name="BEx3K4EII7GU1CG0BN7UL15M6J8Z" localSheetId="29" hidden="1">#REF!</definedName>
    <definedName name="BEx3K4EII7GU1CG0BN7UL15M6J8Z" localSheetId="33" hidden="1">#REF!</definedName>
    <definedName name="BEx3K4EII7GU1CG0BN7UL15M6J8Z" localSheetId="31" hidden="1">#REF!</definedName>
    <definedName name="BEx3K4EII7GU1CG0BN7UL15M6J8Z" localSheetId="32" hidden="1">#REF!</definedName>
    <definedName name="BEx3K4EII7GU1CG0BN7UL15M6J8Z" hidden="1">#REF!</definedName>
    <definedName name="BEx3K4ZXQUQ2KYZF74B84SO48XMW" localSheetId="30" hidden="1">#REF!</definedName>
    <definedName name="BEx3K4ZXQUQ2KYZF74B84SO48XMW" localSheetId="29" hidden="1">#REF!</definedName>
    <definedName name="BEx3K4ZXQUQ2KYZF74B84SO48XMW" localSheetId="33" hidden="1">#REF!</definedName>
    <definedName name="BEx3K4ZXQUQ2KYZF74B84SO48XMW" localSheetId="31" hidden="1">#REF!</definedName>
    <definedName name="BEx3K4ZXQUQ2KYZF74B84SO48XMW" localSheetId="32" hidden="1">#REF!</definedName>
    <definedName name="BEx3K4ZXQUQ2KYZF74B84SO48XMW" hidden="1">#REF!</definedName>
    <definedName name="BEx3KEFXUCVNVPH7KSEGAZYX13B5" localSheetId="30" hidden="1">#REF!</definedName>
    <definedName name="BEx3KEFXUCVNVPH7KSEGAZYX13B5" localSheetId="29" hidden="1">#REF!</definedName>
    <definedName name="BEx3KEFXUCVNVPH7KSEGAZYX13B5" localSheetId="33" hidden="1">#REF!</definedName>
    <definedName name="BEx3KEFXUCVNVPH7KSEGAZYX13B5" localSheetId="31" hidden="1">#REF!</definedName>
    <definedName name="BEx3KEFXUCVNVPH7KSEGAZYX13B5" localSheetId="32" hidden="1">#REF!</definedName>
    <definedName name="BEx3KEFXUCVNVPH7KSEGAZYX13B5" hidden="1">#REF!</definedName>
    <definedName name="BEx3KFXUAF6YXAA47B7Q6X9B3VGB" localSheetId="30" hidden="1">#REF!</definedName>
    <definedName name="BEx3KFXUAF6YXAA47B7Q6X9B3VGB" localSheetId="29" hidden="1">#REF!</definedName>
    <definedName name="BEx3KFXUAF6YXAA47B7Q6X9B3VGB" localSheetId="33" hidden="1">#REF!</definedName>
    <definedName name="BEx3KFXUAF6YXAA47B7Q6X9B3VGB" localSheetId="31" hidden="1">#REF!</definedName>
    <definedName name="BEx3KFXUAF6YXAA47B7Q6X9B3VGB" localSheetId="32" hidden="1">#REF!</definedName>
    <definedName name="BEx3KFXUAF6YXAA47B7Q6X9B3VGB" hidden="1">#REF!</definedName>
    <definedName name="BEx3KISEWSBLTUFGZO80PJ52MM8O" localSheetId="30" hidden="1">#REF!</definedName>
    <definedName name="BEx3KISEWSBLTUFGZO80PJ52MM8O" localSheetId="29" hidden="1">#REF!</definedName>
    <definedName name="BEx3KISEWSBLTUFGZO80PJ52MM8O" localSheetId="33" hidden="1">#REF!</definedName>
    <definedName name="BEx3KISEWSBLTUFGZO80PJ52MM8O" localSheetId="31" hidden="1">#REF!</definedName>
    <definedName name="BEx3KISEWSBLTUFGZO80PJ52MM8O" localSheetId="32" hidden="1">#REF!</definedName>
    <definedName name="BEx3KISEWSBLTUFGZO80PJ52MM8O" hidden="1">#REF!</definedName>
    <definedName name="BEx3KIXQYOGMPK4WJJAVBRX4NR28" localSheetId="30" hidden="1">#REF!</definedName>
    <definedName name="BEx3KIXQYOGMPK4WJJAVBRX4NR28" localSheetId="29" hidden="1">#REF!</definedName>
    <definedName name="BEx3KIXQYOGMPK4WJJAVBRX4NR28" localSheetId="33" hidden="1">#REF!</definedName>
    <definedName name="BEx3KIXQYOGMPK4WJJAVBRX4NR28" localSheetId="31" hidden="1">#REF!</definedName>
    <definedName name="BEx3KIXQYOGMPK4WJJAVBRX4NR28" localSheetId="32" hidden="1">#REF!</definedName>
    <definedName name="BEx3KIXQYOGMPK4WJJAVBRX4NR28" hidden="1">#REF!</definedName>
    <definedName name="BEx3KJOMVOSFZVJUL3GKCNP6DQDS" localSheetId="30" hidden="1">#REF!</definedName>
    <definedName name="BEx3KJOMVOSFZVJUL3GKCNP6DQDS" localSheetId="29" hidden="1">#REF!</definedName>
    <definedName name="BEx3KJOMVOSFZVJUL3GKCNP6DQDS" localSheetId="33" hidden="1">#REF!</definedName>
    <definedName name="BEx3KJOMVOSFZVJUL3GKCNP6DQDS" localSheetId="31" hidden="1">#REF!</definedName>
    <definedName name="BEx3KJOMVOSFZVJUL3GKCNP6DQDS" localSheetId="32" hidden="1">#REF!</definedName>
    <definedName name="BEx3KJOMVOSFZVJUL3GKCNP6DQDS" hidden="1">#REF!</definedName>
    <definedName name="BEx3KP2VRBMORK0QEAZUYCXL3DHJ" localSheetId="30" hidden="1">#REF!</definedName>
    <definedName name="BEx3KP2VRBMORK0QEAZUYCXL3DHJ" localSheetId="29" hidden="1">#REF!</definedName>
    <definedName name="BEx3KP2VRBMORK0QEAZUYCXL3DHJ" localSheetId="33" hidden="1">#REF!</definedName>
    <definedName name="BEx3KP2VRBMORK0QEAZUYCXL3DHJ" localSheetId="31" hidden="1">#REF!</definedName>
    <definedName name="BEx3KP2VRBMORK0QEAZUYCXL3DHJ" localSheetId="32" hidden="1">#REF!</definedName>
    <definedName name="BEx3KP2VRBMORK0QEAZUYCXL3DHJ" hidden="1">#REF!</definedName>
    <definedName name="BEx3L4IN3LI4C26SITKTGAH27CDU" localSheetId="30" hidden="1">#REF!</definedName>
    <definedName name="BEx3L4IN3LI4C26SITKTGAH27CDU" localSheetId="29" hidden="1">#REF!</definedName>
    <definedName name="BEx3L4IN3LI4C26SITKTGAH27CDU" localSheetId="33" hidden="1">#REF!</definedName>
    <definedName name="BEx3L4IN3LI4C26SITKTGAH27CDU" localSheetId="31" hidden="1">#REF!</definedName>
    <definedName name="BEx3L4IN3LI4C26SITKTGAH27CDU" localSheetId="32" hidden="1">#REF!</definedName>
    <definedName name="BEx3L4IN3LI4C26SITKTGAH27CDU" hidden="1">#REF!</definedName>
    <definedName name="BEx3L4YQ0J7ZU0M5QM6YIPCEYC9K" localSheetId="30" hidden="1">#REF!</definedName>
    <definedName name="BEx3L4YQ0J7ZU0M5QM6YIPCEYC9K" localSheetId="29" hidden="1">#REF!</definedName>
    <definedName name="BEx3L4YQ0J7ZU0M5QM6YIPCEYC9K" localSheetId="33" hidden="1">#REF!</definedName>
    <definedName name="BEx3L4YQ0J7ZU0M5QM6YIPCEYC9K" localSheetId="31" hidden="1">#REF!</definedName>
    <definedName name="BEx3L4YQ0J7ZU0M5QM6YIPCEYC9K" localSheetId="32" hidden="1">#REF!</definedName>
    <definedName name="BEx3L4YQ0J7ZU0M5QM6YIPCEYC9K" hidden="1">#REF!</definedName>
    <definedName name="BEx3L60DJOR7NQN42G7YSAODP1EX" localSheetId="30" hidden="1">#REF!</definedName>
    <definedName name="BEx3L60DJOR7NQN42G7YSAODP1EX" localSheetId="29" hidden="1">#REF!</definedName>
    <definedName name="BEx3L60DJOR7NQN42G7YSAODP1EX" localSheetId="33" hidden="1">#REF!</definedName>
    <definedName name="BEx3L60DJOR7NQN42G7YSAODP1EX" localSheetId="31" hidden="1">#REF!</definedName>
    <definedName name="BEx3L60DJOR7NQN42G7YSAODP1EX" localSheetId="32" hidden="1">#REF!</definedName>
    <definedName name="BEx3L60DJOR7NQN42G7YSAODP1EX" hidden="1">#REF!</definedName>
    <definedName name="BEx3L7D0PI38HWZ7VADU16C9E33D" localSheetId="30" hidden="1">#REF!</definedName>
    <definedName name="BEx3L7D0PI38HWZ7VADU16C9E33D" localSheetId="29" hidden="1">#REF!</definedName>
    <definedName name="BEx3L7D0PI38HWZ7VADU16C9E33D" localSheetId="33" hidden="1">#REF!</definedName>
    <definedName name="BEx3L7D0PI38HWZ7VADU16C9E33D" localSheetId="31" hidden="1">#REF!</definedName>
    <definedName name="BEx3L7D0PI38HWZ7VADU16C9E33D" localSheetId="32" hidden="1">#REF!</definedName>
    <definedName name="BEx3L7D0PI38HWZ7VADU16C9E33D" hidden="1">#REF!</definedName>
    <definedName name="BEx3LM1PR4Y7KINKMTMKR984GX8Q" localSheetId="30" hidden="1">#REF!</definedName>
    <definedName name="BEx3LM1PR4Y7KINKMTMKR984GX8Q" localSheetId="29" hidden="1">#REF!</definedName>
    <definedName name="BEx3LM1PR4Y7KINKMTMKR984GX8Q" localSheetId="33" hidden="1">#REF!</definedName>
    <definedName name="BEx3LM1PR4Y7KINKMTMKR984GX8Q" localSheetId="31" hidden="1">#REF!</definedName>
    <definedName name="BEx3LM1PR4Y7KINKMTMKR984GX8Q" localSheetId="32" hidden="1">#REF!</definedName>
    <definedName name="BEx3LM1PR4Y7KINKMTMKR984GX8Q" hidden="1">#REF!</definedName>
    <definedName name="BEx3LPCEZ1C0XEKNCM3YT09JWCUO" localSheetId="30" hidden="1">#REF!</definedName>
    <definedName name="BEx3LPCEZ1C0XEKNCM3YT09JWCUO" localSheetId="29" hidden="1">#REF!</definedName>
    <definedName name="BEx3LPCEZ1C0XEKNCM3YT09JWCUO" localSheetId="33" hidden="1">#REF!</definedName>
    <definedName name="BEx3LPCEZ1C0XEKNCM3YT09JWCUO" localSheetId="31" hidden="1">#REF!</definedName>
    <definedName name="BEx3LPCEZ1C0XEKNCM3YT09JWCUO" localSheetId="32" hidden="1">#REF!</definedName>
    <definedName name="BEx3LPCEZ1C0XEKNCM3YT09JWCUO" hidden="1">#REF!</definedName>
    <definedName name="BEx3LRLE5QPFKJI7Z2TEC0JUQMVS" localSheetId="30" hidden="1">#REF!</definedName>
    <definedName name="BEx3LRLE5QPFKJI7Z2TEC0JUQMVS" localSheetId="29" hidden="1">#REF!</definedName>
    <definedName name="BEx3LRLE5QPFKJI7Z2TEC0JUQMVS" localSheetId="33" hidden="1">#REF!</definedName>
    <definedName name="BEx3LRLE5QPFKJI7Z2TEC0JUQMVS" localSheetId="31" hidden="1">#REF!</definedName>
    <definedName name="BEx3LRLE5QPFKJI7Z2TEC0JUQMVS" localSheetId="32" hidden="1">#REF!</definedName>
    <definedName name="BEx3LRLE5QPFKJI7Z2TEC0JUQMVS" hidden="1">#REF!</definedName>
    <definedName name="BEx3LX4WJY3WX1Q8M1Z987F0FE1Z" localSheetId="30" hidden="1">#REF!</definedName>
    <definedName name="BEx3LX4WJY3WX1Q8M1Z987F0FE1Z" localSheetId="29" hidden="1">#REF!</definedName>
    <definedName name="BEx3LX4WJY3WX1Q8M1Z987F0FE1Z" localSheetId="33" hidden="1">#REF!</definedName>
    <definedName name="BEx3LX4WJY3WX1Q8M1Z987F0FE1Z" localSheetId="31" hidden="1">#REF!</definedName>
    <definedName name="BEx3LX4WJY3WX1Q8M1Z987F0FE1Z" localSheetId="32" hidden="1">#REF!</definedName>
    <definedName name="BEx3LX4WJY3WX1Q8M1Z987F0FE1Z" hidden="1">#REF!</definedName>
    <definedName name="BEx3M1MR1K1NQD03H74BFWOK4MWQ" localSheetId="30" hidden="1">#REF!</definedName>
    <definedName name="BEx3M1MR1K1NQD03H74BFWOK4MWQ" localSheetId="29" hidden="1">#REF!</definedName>
    <definedName name="BEx3M1MR1K1NQD03H74BFWOK4MWQ" localSheetId="33" hidden="1">#REF!</definedName>
    <definedName name="BEx3M1MR1K1NQD03H74BFWOK4MWQ" localSheetId="31" hidden="1">#REF!</definedName>
    <definedName name="BEx3M1MR1K1NQD03H74BFWOK4MWQ" localSheetId="32" hidden="1">#REF!</definedName>
    <definedName name="BEx3M1MR1K1NQD03H74BFWOK4MWQ" hidden="1">#REF!</definedName>
    <definedName name="BEx3M4H77MYUKOOD31H9F80NMVK8" localSheetId="30" hidden="1">#REF!</definedName>
    <definedName name="BEx3M4H77MYUKOOD31H9F80NMVK8" localSheetId="29" hidden="1">#REF!</definedName>
    <definedName name="BEx3M4H77MYUKOOD31H9F80NMVK8" localSheetId="33" hidden="1">#REF!</definedName>
    <definedName name="BEx3M4H77MYUKOOD31H9F80NMVK8" localSheetId="31" hidden="1">#REF!</definedName>
    <definedName name="BEx3M4H77MYUKOOD31H9F80NMVK8" localSheetId="32" hidden="1">#REF!</definedName>
    <definedName name="BEx3M4H77MYUKOOD31H9F80NMVK8" hidden="1">#REF!</definedName>
    <definedName name="BEx3M9VFX329PZWYC4DMZ6P3W9R2" localSheetId="30" hidden="1">#REF!</definedName>
    <definedName name="BEx3M9VFX329PZWYC4DMZ6P3W9R2" localSheetId="29" hidden="1">#REF!</definedName>
    <definedName name="BEx3M9VFX329PZWYC4DMZ6P3W9R2" localSheetId="33" hidden="1">#REF!</definedName>
    <definedName name="BEx3M9VFX329PZWYC4DMZ6P3W9R2" localSheetId="31" hidden="1">#REF!</definedName>
    <definedName name="BEx3M9VFX329PZWYC4DMZ6P3W9R2" localSheetId="32" hidden="1">#REF!</definedName>
    <definedName name="BEx3M9VFX329PZWYC4DMZ6P3W9R2" hidden="1">#REF!</definedName>
    <definedName name="BEx3MCQ0VEBV0CZXDS505L38EQ8N" localSheetId="30" hidden="1">#REF!</definedName>
    <definedName name="BEx3MCQ0VEBV0CZXDS505L38EQ8N" localSheetId="29" hidden="1">#REF!</definedName>
    <definedName name="BEx3MCQ0VEBV0CZXDS505L38EQ8N" localSheetId="33" hidden="1">#REF!</definedName>
    <definedName name="BEx3MCQ0VEBV0CZXDS505L38EQ8N" localSheetId="31" hidden="1">#REF!</definedName>
    <definedName name="BEx3MCQ0VEBV0CZXDS505L38EQ8N" localSheetId="32" hidden="1">#REF!</definedName>
    <definedName name="BEx3MCQ0VEBV0CZXDS505L38EQ8N" hidden="1">#REF!</definedName>
    <definedName name="BEx3MEYV5LQY0BAL7V3CFAFVOM3T" localSheetId="30" hidden="1">#REF!</definedName>
    <definedName name="BEx3MEYV5LQY0BAL7V3CFAFVOM3T" localSheetId="29" hidden="1">#REF!</definedName>
    <definedName name="BEx3MEYV5LQY0BAL7V3CFAFVOM3T" localSheetId="33" hidden="1">#REF!</definedName>
    <definedName name="BEx3MEYV5LQY0BAL7V3CFAFVOM3T" localSheetId="31" hidden="1">#REF!</definedName>
    <definedName name="BEx3MEYV5LQY0BAL7V3CFAFVOM3T" localSheetId="32" hidden="1">#REF!</definedName>
    <definedName name="BEx3MEYV5LQY0BAL7V3CFAFVOM3T" hidden="1">#REF!</definedName>
    <definedName name="BEx3MREOFWJQEYMCMBL7ZE06NBN6" localSheetId="30" hidden="1">#REF!</definedName>
    <definedName name="BEx3MREOFWJQEYMCMBL7ZE06NBN6" localSheetId="29" hidden="1">#REF!</definedName>
    <definedName name="BEx3MREOFWJQEYMCMBL7ZE06NBN6" localSheetId="33" hidden="1">#REF!</definedName>
    <definedName name="BEx3MREOFWJQEYMCMBL7ZE06NBN6" localSheetId="31" hidden="1">#REF!</definedName>
    <definedName name="BEx3MREOFWJQEYMCMBL7ZE06NBN6" localSheetId="32" hidden="1">#REF!</definedName>
    <definedName name="BEx3MREOFWJQEYMCMBL7ZE06NBN6" hidden="1">#REF!</definedName>
    <definedName name="BEx3NKXF7GYXHBK75UI6MDRUSU0J" localSheetId="30" hidden="1">#REF!</definedName>
    <definedName name="BEx3NKXF7GYXHBK75UI6MDRUSU0J" localSheetId="29" hidden="1">#REF!</definedName>
    <definedName name="BEx3NKXF7GYXHBK75UI6MDRUSU0J" localSheetId="33" hidden="1">#REF!</definedName>
    <definedName name="BEx3NKXF7GYXHBK75UI6MDRUSU0J" localSheetId="31" hidden="1">#REF!</definedName>
    <definedName name="BEx3NKXF7GYXHBK75UI6MDRUSU0J" localSheetId="32" hidden="1">#REF!</definedName>
    <definedName name="BEx3NKXF7GYXHBK75UI6MDRUSU0J" hidden="1">#REF!</definedName>
    <definedName name="BEx3NLIZ7PHF2XE59ECZ3MD04ZG1" localSheetId="30" hidden="1">#REF!</definedName>
    <definedName name="BEx3NLIZ7PHF2XE59ECZ3MD04ZG1" localSheetId="29" hidden="1">#REF!</definedName>
    <definedName name="BEx3NLIZ7PHF2XE59ECZ3MD04ZG1" localSheetId="33" hidden="1">#REF!</definedName>
    <definedName name="BEx3NLIZ7PHF2XE59ECZ3MD04ZG1" localSheetId="31" hidden="1">#REF!</definedName>
    <definedName name="BEx3NLIZ7PHF2XE59ECZ3MD04ZG1" localSheetId="32" hidden="1">#REF!</definedName>
    <definedName name="BEx3NLIZ7PHF2XE59ECZ3MD04ZG1" hidden="1">#REF!</definedName>
    <definedName name="BEx3NMQ4BVC94728AUM7CCX7UHTU" localSheetId="30" hidden="1">#REF!</definedName>
    <definedName name="BEx3NMQ4BVC94728AUM7CCX7UHTU" localSheetId="29" hidden="1">#REF!</definedName>
    <definedName name="BEx3NMQ4BVC94728AUM7CCX7UHTU" localSheetId="33" hidden="1">#REF!</definedName>
    <definedName name="BEx3NMQ4BVC94728AUM7CCX7UHTU" localSheetId="31" hidden="1">#REF!</definedName>
    <definedName name="BEx3NMQ4BVC94728AUM7CCX7UHTU" localSheetId="32" hidden="1">#REF!</definedName>
    <definedName name="BEx3NMQ4BVC94728AUM7CCX7UHTU" hidden="1">#REF!</definedName>
    <definedName name="BEx3NR2I4OUFP3Z2QZEDU2PIFIDI" localSheetId="30" hidden="1">#REF!</definedName>
    <definedName name="BEx3NR2I4OUFP3Z2QZEDU2PIFIDI" localSheetId="29" hidden="1">#REF!</definedName>
    <definedName name="BEx3NR2I4OUFP3Z2QZEDU2PIFIDI" localSheetId="33" hidden="1">#REF!</definedName>
    <definedName name="BEx3NR2I4OUFP3Z2QZEDU2PIFIDI" localSheetId="31" hidden="1">#REF!</definedName>
    <definedName name="BEx3NR2I4OUFP3Z2QZEDU2PIFIDI" localSheetId="32" hidden="1">#REF!</definedName>
    <definedName name="BEx3NR2I4OUFP3Z2QZEDU2PIFIDI" hidden="1">#REF!</definedName>
    <definedName name="BEx3O19B8FTTAPVT5DZXQGQXWFR8" localSheetId="30" hidden="1">#REF!</definedName>
    <definedName name="BEx3O19B8FTTAPVT5DZXQGQXWFR8" localSheetId="29" hidden="1">#REF!</definedName>
    <definedName name="BEx3O19B8FTTAPVT5DZXQGQXWFR8" localSheetId="33" hidden="1">#REF!</definedName>
    <definedName name="BEx3O19B8FTTAPVT5DZXQGQXWFR8" localSheetId="31" hidden="1">#REF!</definedName>
    <definedName name="BEx3O19B8FTTAPVT5DZXQGQXWFR8" localSheetId="32" hidden="1">#REF!</definedName>
    <definedName name="BEx3O19B8FTTAPVT5DZXQGQXWFR8" hidden="1">#REF!</definedName>
    <definedName name="BEx3O85IKWARA6NCJOLRBRJFMEWW" localSheetId="30" hidden="1">#REF!</definedName>
    <definedName name="BEx3O85IKWARA6NCJOLRBRJFMEWW" localSheetId="29" hidden="1">#REF!</definedName>
    <definedName name="BEx3O85IKWARA6NCJOLRBRJFMEWW" localSheetId="33" hidden="1">#REF!</definedName>
    <definedName name="BEx3O85IKWARA6NCJOLRBRJFMEWW" localSheetId="31" hidden="1">#REF!</definedName>
    <definedName name="BEx3O85IKWARA6NCJOLRBRJFMEWW" localSheetId="32" hidden="1">#REF!</definedName>
    <definedName name="BEx3O85IKWARA6NCJOLRBRJFMEWW" hidden="1">#REF!</definedName>
    <definedName name="BEx3OJZSCGFRW7SVGBFI0X9DNVMM" localSheetId="30" hidden="1">#REF!</definedName>
    <definedName name="BEx3OJZSCGFRW7SVGBFI0X9DNVMM" localSheetId="29" hidden="1">#REF!</definedName>
    <definedName name="BEx3OJZSCGFRW7SVGBFI0X9DNVMM" localSheetId="33" hidden="1">#REF!</definedName>
    <definedName name="BEx3OJZSCGFRW7SVGBFI0X9DNVMM" localSheetId="31" hidden="1">#REF!</definedName>
    <definedName name="BEx3OJZSCGFRW7SVGBFI0X9DNVMM" localSheetId="32" hidden="1">#REF!</definedName>
    <definedName name="BEx3OJZSCGFRW7SVGBFI0X9DNVMM" hidden="1">#REF!</definedName>
    <definedName name="BEx3ORSBUXAF21MKEY90YJV9AY9A" localSheetId="30" hidden="1">#REF!</definedName>
    <definedName name="BEx3ORSBUXAF21MKEY90YJV9AY9A" localSheetId="29" hidden="1">#REF!</definedName>
    <definedName name="BEx3ORSBUXAF21MKEY90YJV9AY9A" localSheetId="33" hidden="1">#REF!</definedName>
    <definedName name="BEx3ORSBUXAF21MKEY90YJV9AY9A" localSheetId="31" hidden="1">#REF!</definedName>
    <definedName name="BEx3ORSBUXAF21MKEY90YJV9AY9A" localSheetId="32" hidden="1">#REF!</definedName>
    <definedName name="BEx3ORSBUXAF21MKEY90YJV9AY9A" hidden="1">#REF!</definedName>
    <definedName name="BEx3OV8BH6PYNZT7C246LOAU9SVX" localSheetId="30" hidden="1">#REF!</definedName>
    <definedName name="BEx3OV8BH6PYNZT7C246LOAU9SVX" localSheetId="29" hidden="1">#REF!</definedName>
    <definedName name="BEx3OV8BH6PYNZT7C246LOAU9SVX" localSheetId="33" hidden="1">#REF!</definedName>
    <definedName name="BEx3OV8BH6PYNZT7C246LOAU9SVX" localSheetId="31" hidden="1">#REF!</definedName>
    <definedName name="BEx3OV8BH6PYNZT7C246LOAU9SVX" localSheetId="32" hidden="1">#REF!</definedName>
    <definedName name="BEx3OV8BH6PYNZT7C246LOAU9SVX" hidden="1">#REF!</definedName>
    <definedName name="BEx3OXRYJZUEY6E72UJU0PHLMYAR" localSheetId="30" hidden="1">#REF!</definedName>
    <definedName name="BEx3OXRYJZUEY6E72UJU0PHLMYAR" localSheetId="29" hidden="1">#REF!</definedName>
    <definedName name="BEx3OXRYJZUEY6E72UJU0PHLMYAR" localSheetId="33" hidden="1">#REF!</definedName>
    <definedName name="BEx3OXRYJZUEY6E72UJU0PHLMYAR" localSheetId="31" hidden="1">#REF!</definedName>
    <definedName name="BEx3OXRYJZUEY6E72UJU0PHLMYAR" localSheetId="32" hidden="1">#REF!</definedName>
    <definedName name="BEx3OXRYJZUEY6E72UJU0PHLMYAR" hidden="1">#REF!</definedName>
    <definedName name="BEx3P59TTRSGQY888P5C1O7M2PQT" localSheetId="30" hidden="1">#REF!</definedName>
    <definedName name="BEx3P59TTRSGQY888P5C1O7M2PQT" localSheetId="29" hidden="1">#REF!</definedName>
    <definedName name="BEx3P59TTRSGQY888P5C1O7M2PQT" localSheetId="33" hidden="1">#REF!</definedName>
    <definedName name="BEx3P59TTRSGQY888P5C1O7M2PQT" localSheetId="31" hidden="1">#REF!</definedName>
    <definedName name="BEx3P59TTRSGQY888P5C1O7M2PQT" localSheetId="32" hidden="1">#REF!</definedName>
    <definedName name="BEx3P59TTRSGQY888P5C1O7M2PQT" hidden="1">#REF!</definedName>
    <definedName name="BEx3PDNRRNKD5GOUBUQFXAHIXLD9" localSheetId="30" hidden="1">#REF!</definedName>
    <definedName name="BEx3PDNRRNKD5GOUBUQFXAHIXLD9" localSheetId="29" hidden="1">#REF!</definedName>
    <definedName name="BEx3PDNRRNKD5GOUBUQFXAHIXLD9" localSheetId="33" hidden="1">#REF!</definedName>
    <definedName name="BEx3PDNRRNKD5GOUBUQFXAHIXLD9" localSheetId="31" hidden="1">#REF!</definedName>
    <definedName name="BEx3PDNRRNKD5GOUBUQFXAHIXLD9" localSheetId="32" hidden="1">#REF!</definedName>
    <definedName name="BEx3PDNRRNKD5GOUBUQFXAHIXLD9" hidden="1">#REF!</definedName>
    <definedName name="BEx3PDT8GNPWLLN02IH1XPV90XYK" localSheetId="30" hidden="1">#REF!</definedName>
    <definedName name="BEx3PDT8GNPWLLN02IH1XPV90XYK" localSheetId="29" hidden="1">#REF!</definedName>
    <definedName name="BEx3PDT8GNPWLLN02IH1XPV90XYK" localSheetId="33" hidden="1">#REF!</definedName>
    <definedName name="BEx3PDT8GNPWLLN02IH1XPV90XYK" localSheetId="31" hidden="1">#REF!</definedName>
    <definedName name="BEx3PDT8GNPWLLN02IH1XPV90XYK" localSheetId="32" hidden="1">#REF!</definedName>
    <definedName name="BEx3PDT8GNPWLLN02IH1XPV90XYK" hidden="1">#REF!</definedName>
    <definedName name="BEx3PKEMDW8KZEP11IL927C5O7I2" localSheetId="30" hidden="1">#REF!</definedName>
    <definedName name="BEx3PKEMDW8KZEP11IL927C5O7I2" localSheetId="29" hidden="1">#REF!</definedName>
    <definedName name="BEx3PKEMDW8KZEP11IL927C5O7I2" localSheetId="33" hidden="1">#REF!</definedName>
    <definedName name="BEx3PKEMDW8KZEP11IL927C5O7I2" localSheetId="31" hidden="1">#REF!</definedName>
    <definedName name="BEx3PKEMDW8KZEP11IL927C5O7I2" localSheetId="32" hidden="1">#REF!</definedName>
    <definedName name="BEx3PKEMDW8KZEP11IL927C5O7I2" hidden="1">#REF!</definedName>
    <definedName name="BEx3PKJZ1Z7L9S6KV8KXVS6B2FX4" localSheetId="30" hidden="1">#REF!</definedName>
    <definedName name="BEx3PKJZ1Z7L9S6KV8KXVS6B2FX4" localSheetId="29" hidden="1">#REF!</definedName>
    <definedName name="BEx3PKJZ1Z7L9S6KV8KXVS6B2FX4" localSheetId="33" hidden="1">#REF!</definedName>
    <definedName name="BEx3PKJZ1Z7L9S6KV8KXVS6B2FX4" localSheetId="31" hidden="1">#REF!</definedName>
    <definedName name="BEx3PKJZ1Z7L9S6KV8KXVS6B2FX4" localSheetId="32" hidden="1">#REF!</definedName>
    <definedName name="BEx3PKJZ1Z7L9S6KV8KXVS6B2FX4" hidden="1">#REF!</definedName>
    <definedName name="BEx3PMNG53Z5HY138H99QOMTX8W3" localSheetId="30" hidden="1">#REF!</definedName>
    <definedName name="BEx3PMNG53Z5HY138H99QOMTX8W3" localSheetId="29" hidden="1">#REF!</definedName>
    <definedName name="BEx3PMNG53Z5HY138H99QOMTX8W3" localSheetId="33" hidden="1">#REF!</definedName>
    <definedName name="BEx3PMNG53Z5HY138H99QOMTX8W3" localSheetId="31" hidden="1">#REF!</definedName>
    <definedName name="BEx3PMNG53Z5HY138H99QOMTX8W3" localSheetId="32" hidden="1">#REF!</definedName>
    <definedName name="BEx3PMNG53Z5HY138H99QOMTX8W3" hidden="1">#REF!</definedName>
    <definedName name="BEx3PP1RRSFZ8UC0JC9R91W6LNKW" localSheetId="30" hidden="1">#REF!</definedName>
    <definedName name="BEx3PP1RRSFZ8UC0JC9R91W6LNKW" localSheetId="29" hidden="1">#REF!</definedName>
    <definedName name="BEx3PP1RRSFZ8UC0JC9R91W6LNKW" localSheetId="33" hidden="1">#REF!</definedName>
    <definedName name="BEx3PP1RRSFZ8UC0JC9R91W6LNKW" localSheetId="31" hidden="1">#REF!</definedName>
    <definedName name="BEx3PP1RRSFZ8UC0JC9R91W6LNKW" localSheetId="32" hidden="1">#REF!</definedName>
    <definedName name="BEx3PP1RRSFZ8UC0JC9R91W6LNKW" hidden="1">#REF!</definedName>
    <definedName name="BEx3PVXYZC8WB9ZJE7OCKUXZ46EA" localSheetId="30" hidden="1">#REF!</definedName>
    <definedName name="BEx3PVXYZC8WB9ZJE7OCKUXZ46EA" localSheetId="29" hidden="1">#REF!</definedName>
    <definedName name="BEx3PVXYZC8WB9ZJE7OCKUXZ46EA" localSheetId="33" hidden="1">#REF!</definedName>
    <definedName name="BEx3PVXYZC8WB9ZJE7OCKUXZ46EA" localSheetId="31" hidden="1">#REF!</definedName>
    <definedName name="BEx3PVXYZC8WB9ZJE7OCKUXZ46EA" localSheetId="32" hidden="1">#REF!</definedName>
    <definedName name="BEx3PVXYZC8WB9ZJE7OCKUXZ46EA" hidden="1">#REF!</definedName>
    <definedName name="BEx3Q0VWPU5EQECK7MQ47TYJ3SWW" localSheetId="30" hidden="1">#REF!</definedName>
    <definedName name="BEx3Q0VWPU5EQECK7MQ47TYJ3SWW" localSheetId="29" hidden="1">#REF!</definedName>
    <definedName name="BEx3Q0VWPU5EQECK7MQ47TYJ3SWW" localSheetId="33" hidden="1">#REF!</definedName>
    <definedName name="BEx3Q0VWPU5EQECK7MQ47TYJ3SWW" localSheetId="31" hidden="1">#REF!</definedName>
    <definedName name="BEx3Q0VWPU5EQECK7MQ47TYJ3SWW" localSheetId="32" hidden="1">#REF!</definedName>
    <definedName name="BEx3Q0VWPU5EQECK7MQ47TYJ3SWW" hidden="1">#REF!</definedName>
    <definedName name="BEx3Q7BZ9PUXK2RLIOFSIS9AHU1B" localSheetId="30" hidden="1">#REF!</definedName>
    <definedName name="BEx3Q7BZ9PUXK2RLIOFSIS9AHU1B" localSheetId="29" hidden="1">#REF!</definedName>
    <definedName name="BEx3Q7BZ9PUXK2RLIOFSIS9AHU1B" localSheetId="33" hidden="1">#REF!</definedName>
    <definedName name="BEx3Q7BZ9PUXK2RLIOFSIS9AHU1B" localSheetId="31" hidden="1">#REF!</definedName>
    <definedName name="BEx3Q7BZ9PUXK2RLIOFSIS9AHU1B" localSheetId="32" hidden="1">#REF!</definedName>
    <definedName name="BEx3Q7BZ9PUXK2RLIOFSIS9AHU1B" hidden="1">#REF!</definedName>
    <definedName name="BEx3Q8J42S9VU6EAN2Y28MR6DF88" localSheetId="30" hidden="1">#REF!</definedName>
    <definedName name="BEx3Q8J42S9VU6EAN2Y28MR6DF88" localSheetId="29" hidden="1">#REF!</definedName>
    <definedName name="BEx3Q8J42S9VU6EAN2Y28MR6DF88" localSheetId="33" hidden="1">#REF!</definedName>
    <definedName name="BEx3Q8J42S9VU6EAN2Y28MR6DF88" localSheetId="31" hidden="1">#REF!</definedName>
    <definedName name="BEx3Q8J42S9VU6EAN2Y28MR6DF88" localSheetId="32" hidden="1">#REF!</definedName>
    <definedName name="BEx3Q8J42S9VU6EAN2Y28MR6DF88" hidden="1">#REF!</definedName>
    <definedName name="BEx3QEDFOYFY5NBTININ5W4RLD4Q" localSheetId="30" hidden="1">#REF!</definedName>
    <definedName name="BEx3QEDFOYFY5NBTININ5W4RLD4Q" localSheetId="29" hidden="1">#REF!</definedName>
    <definedName name="BEx3QEDFOYFY5NBTININ5W4RLD4Q" localSheetId="33" hidden="1">#REF!</definedName>
    <definedName name="BEx3QEDFOYFY5NBTININ5W4RLD4Q" localSheetId="31" hidden="1">#REF!</definedName>
    <definedName name="BEx3QEDFOYFY5NBTININ5W4RLD4Q" localSheetId="32" hidden="1">#REF!</definedName>
    <definedName name="BEx3QEDFOYFY5NBTININ5W4RLD4Q" hidden="1">#REF!</definedName>
    <definedName name="BEx3QIKJ3U962US1Q564NZDLU8LD" localSheetId="30" hidden="1">#REF!</definedName>
    <definedName name="BEx3QIKJ3U962US1Q564NZDLU8LD" localSheetId="29" hidden="1">#REF!</definedName>
    <definedName name="BEx3QIKJ3U962US1Q564NZDLU8LD" localSheetId="33" hidden="1">#REF!</definedName>
    <definedName name="BEx3QIKJ3U962US1Q564NZDLU8LD" localSheetId="31" hidden="1">#REF!</definedName>
    <definedName name="BEx3QIKJ3U962US1Q564NZDLU8LD" localSheetId="32" hidden="1">#REF!</definedName>
    <definedName name="BEx3QIKJ3U962US1Q564NZDLU8LD" hidden="1">#REF!</definedName>
    <definedName name="BEx3QR9D45DHW50VQ7Y3Q1AXPOB9" localSheetId="30" hidden="1">#REF!</definedName>
    <definedName name="BEx3QR9D45DHW50VQ7Y3Q1AXPOB9" localSheetId="29" hidden="1">#REF!</definedName>
    <definedName name="BEx3QR9D45DHW50VQ7Y3Q1AXPOB9" localSheetId="33" hidden="1">#REF!</definedName>
    <definedName name="BEx3QR9D45DHW50VQ7Y3Q1AXPOB9" localSheetId="31" hidden="1">#REF!</definedName>
    <definedName name="BEx3QR9D45DHW50VQ7Y3Q1AXPOB9" localSheetId="32" hidden="1">#REF!</definedName>
    <definedName name="BEx3QR9D45DHW50VQ7Y3Q1AXPOB9" hidden="1">#REF!</definedName>
    <definedName name="BEx3QSWT2S5KWG6U2V9711IYDQBM" localSheetId="30" hidden="1">#REF!</definedName>
    <definedName name="BEx3QSWT2S5KWG6U2V9711IYDQBM" localSheetId="29" hidden="1">#REF!</definedName>
    <definedName name="BEx3QSWT2S5KWG6U2V9711IYDQBM" localSheetId="33" hidden="1">#REF!</definedName>
    <definedName name="BEx3QSWT2S5KWG6U2V9711IYDQBM" localSheetId="31" hidden="1">#REF!</definedName>
    <definedName name="BEx3QSWT2S5KWG6U2V9711IYDQBM" localSheetId="32" hidden="1">#REF!</definedName>
    <definedName name="BEx3QSWT2S5KWG6U2V9711IYDQBM" hidden="1">#REF!</definedName>
    <definedName name="BEx3QVGG7Q2X4HZHJAM35A8T3VR7" localSheetId="30" hidden="1">#REF!</definedName>
    <definedName name="BEx3QVGG7Q2X4HZHJAM35A8T3VR7" localSheetId="29" hidden="1">#REF!</definedName>
    <definedName name="BEx3QVGG7Q2X4HZHJAM35A8T3VR7" localSheetId="33" hidden="1">#REF!</definedName>
    <definedName name="BEx3QVGG7Q2X4HZHJAM35A8T3VR7" localSheetId="31" hidden="1">#REF!</definedName>
    <definedName name="BEx3QVGG7Q2X4HZHJAM35A8T3VR7" localSheetId="32" hidden="1">#REF!</definedName>
    <definedName name="BEx3QVGG7Q2X4HZHJAM35A8T3VR7" hidden="1">#REF!</definedName>
    <definedName name="BEx3R0JUB9YN8PHPPQTAMIT1IHWK" localSheetId="30" hidden="1">#REF!</definedName>
    <definedName name="BEx3R0JUB9YN8PHPPQTAMIT1IHWK" localSheetId="29" hidden="1">#REF!</definedName>
    <definedName name="BEx3R0JUB9YN8PHPPQTAMIT1IHWK" localSheetId="33" hidden="1">#REF!</definedName>
    <definedName name="BEx3R0JUB9YN8PHPPQTAMIT1IHWK" localSheetId="31" hidden="1">#REF!</definedName>
    <definedName name="BEx3R0JUB9YN8PHPPQTAMIT1IHWK" localSheetId="32" hidden="1">#REF!</definedName>
    <definedName name="BEx3R0JUB9YN8PHPPQTAMIT1IHWK" hidden="1">#REF!</definedName>
    <definedName name="BEx3R81NFRO7M81VHVKOBFT0QBIL" localSheetId="30" hidden="1">#REF!</definedName>
    <definedName name="BEx3R81NFRO7M81VHVKOBFT0QBIL" localSheetId="29" hidden="1">#REF!</definedName>
    <definedName name="BEx3R81NFRO7M81VHVKOBFT0QBIL" localSheetId="33" hidden="1">#REF!</definedName>
    <definedName name="BEx3R81NFRO7M81VHVKOBFT0QBIL" localSheetId="31" hidden="1">#REF!</definedName>
    <definedName name="BEx3R81NFRO7M81VHVKOBFT0QBIL" localSheetId="32" hidden="1">#REF!</definedName>
    <definedName name="BEx3R81NFRO7M81VHVKOBFT0QBIL" hidden="1">#REF!</definedName>
    <definedName name="BEx3REMZQ46IK592VRYJ7XKOA8CO" localSheetId="30" hidden="1">#REF!</definedName>
    <definedName name="BEx3REMZQ46IK592VRYJ7XKOA8CO" localSheetId="29" hidden="1">#REF!</definedName>
    <definedName name="BEx3REMZQ46IK592VRYJ7XKOA8CO" localSheetId="33" hidden="1">#REF!</definedName>
    <definedName name="BEx3REMZQ46IK592VRYJ7XKOA8CO" localSheetId="31" hidden="1">#REF!</definedName>
    <definedName name="BEx3REMZQ46IK592VRYJ7XKOA8CO" localSheetId="32" hidden="1">#REF!</definedName>
    <definedName name="BEx3REMZQ46IK592VRYJ7XKOA8CO" hidden="1">#REF!</definedName>
    <definedName name="BEx3RHC2ZD5UFS6QD4OPFCNNMWH1" localSheetId="30" hidden="1">#REF!</definedName>
    <definedName name="BEx3RHC2ZD5UFS6QD4OPFCNNMWH1" localSheetId="29" hidden="1">#REF!</definedName>
    <definedName name="BEx3RHC2ZD5UFS6QD4OPFCNNMWH1" localSheetId="33" hidden="1">#REF!</definedName>
    <definedName name="BEx3RHC2ZD5UFS6QD4OPFCNNMWH1" localSheetId="31" hidden="1">#REF!</definedName>
    <definedName name="BEx3RHC2ZD5UFS6QD4OPFCNNMWH1" localSheetId="32" hidden="1">#REF!</definedName>
    <definedName name="BEx3RHC2ZD5UFS6QD4OPFCNNMWH1" hidden="1">#REF!</definedName>
    <definedName name="BEx3RQ10QIWBAPHALAA91BUUCM2X" localSheetId="30" hidden="1">#REF!</definedName>
    <definedName name="BEx3RQ10QIWBAPHALAA91BUUCM2X" localSheetId="29" hidden="1">#REF!</definedName>
    <definedName name="BEx3RQ10QIWBAPHALAA91BUUCM2X" localSheetId="33" hidden="1">#REF!</definedName>
    <definedName name="BEx3RQ10QIWBAPHALAA91BUUCM2X" localSheetId="31" hidden="1">#REF!</definedName>
    <definedName name="BEx3RQ10QIWBAPHALAA91BUUCM2X" localSheetId="32" hidden="1">#REF!</definedName>
    <definedName name="BEx3RQ10QIWBAPHALAA91BUUCM2X" hidden="1">#REF!</definedName>
    <definedName name="BEx3RV4E1WT43SZBUN09RTB8EK1O" localSheetId="30" hidden="1">#REF!</definedName>
    <definedName name="BEx3RV4E1WT43SZBUN09RTB8EK1O" localSheetId="29" hidden="1">#REF!</definedName>
    <definedName name="BEx3RV4E1WT43SZBUN09RTB8EK1O" localSheetId="33" hidden="1">#REF!</definedName>
    <definedName name="BEx3RV4E1WT43SZBUN09RTB8EK1O" localSheetId="31" hidden="1">#REF!</definedName>
    <definedName name="BEx3RV4E1WT43SZBUN09RTB8EK1O" localSheetId="32" hidden="1">#REF!</definedName>
    <definedName name="BEx3RV4E1WT43SZBUN09RTB8EK1O" hidden="1">#REF!</definedName>
    <definedName name="BEx3RXYU0QLFXSFTM5EB20GD03W5" localSheetId="30" hidden="1">#REF!</definedName>
    <definedName name="BEx3RXYU0QLFXSFTM5EB20GD03W5" localSheetId="29" hidden="1">#REF!</definedName>
    <definedName name="BEx3RXYU0QLFXSFTM5EB20GD03W5" localSheetId="33" hidden="1">#REF!</definedName>
    <definedName name="BEx3RXYU0QLFXSFTM5EB20GD03W5" localSheetId="31" hidden="1">#REF!</definedName>
    <definedName name="BEx3RXYU0QLFXSFTM5EB20GD03W5" localSheetId="32" hidden="1">#REF!</definedName>
    <definedName name="BEx3RXYU0QLFXSFTM5EB20GD03W5" hidden="1">#REF!</definedName>
    <definedName name="BEx3RYKLC3QQO3XTUN7BEW2AQL98" localSheetId="30" hidden="1">#REF!</definedName>
    <definedName name="BEx3RYKLC3QQO3XTUN7BEW2AQL98" localSheetId="29" hidden="1">#REF!</definedName>
    <definedName name="BEx3RYKLC3QQO3XTUN7BEW2AQL98" localSheetId="33" hidden="1">#REF!</definedName>
    <definedName name="BEx3RYKLC3QQO3XTUN7BEW2AQL98" localSheetId="31" hidden="1">#REF!</definedName>
    <definedName name="BEx3RYKLC3QQO3XTUN7BEW2AQL98" localSheetId="32" hidden="1">#REF!</definedName>
    <definedName name="BEx3RYKLC3QQO3XTUN7BEW2AQL98" hidden="1">#REF!</definedName>
    <definedName name="BEx3S7K41J9GZ05QYUCG9Z2PAMCN" localSheetId="30" hidden="1">#REF!</definedName>
    <definedName name="BEx3S7K41J9GZ05QYUCG9Z2PAMCN" localSheetId="29" hidden="1">#REF!</definedName>
    <definedName name="BEx3S7K41J9GZ05QYUCG9Z2PAMCN" localSheetId="33" hidden="1">#REF!</definedName>
    <definedName name="BEx3S7K41J9GZ05QYUCG9Z2PAMCN" localSheetId="31" hidden="1">#REF!</definedName>
    <definedName name="BEx3S7K41J9GZ05QYUCG9Z2PAMCN" localSheetId="32" hidden="1">#REF!</definedName>
    <definedName name="BEx3S7K41J9GZ05QYUCG9Z2PAMCN" hidden="1">#REF!</definedName>
    <definedName name="BEx3SICJ45BYT6FHBER86PJT25FC" localSheetId="30" hidden="1">#REF!</definedName>
    <definedName name="BEx3SICJ45BYT6FHBER86PJT25FC" localSheetId="29" hidden="1">#REF!</definedName>
    <definedName name="BEx3SICJ45BYT6FHBER86PJT25FC" localSheetId="33" hidden="1">#REF!</definedName>
    <definedName name="BEx3SICJ45BYT6FHBER86PJT25FC" localSheetId="31" hidden="1">#REF!</definedName>
    <definedName name="BEx3SICJ45BYT6FHBER86PJT25FC" localSheetId="32" hidden="1">#REF!</definedName>
    <definedName name="BEx3SICJ45BYT6FHBER86PJT25FC" hidden="1">#REF!</definedName>
    <definedName name="BEx3SMUCMJVGQ2H4EHQI5ZFHEF0P" localSheetId="30" hidden="1">#REF!</definedName>
    <definedName name="BEx3SMUCMJVGQ2H4EHQI5ZFHEF0P" localSheetId="29" hidden="1">#REF!</definedName>
    <definedName name="BEx3SMUCMJVGQ2H4EHQI5ZFHEF0P" localSheetId="33" hidden="1">#REF!</definedName>
    <definedName name="BEx3SMUCMJVGQ2H4EHQI5ZFHEF0P" localSheetId="31" hidden="1">#REF!</definedName>
    <definedName name="BEx3SMUCMJVGQ2H4EHQI5ZFHEF0P" localSheetId="32" hidden="1">#REF!</definedName>
    <definedName name="BEx3SMUCMJVGQ2H4EHQI5ZFHEF0P" hidden="1">#REF!</definedName>
    <definedName name="BEx3SN56F03CPDRDA7LZ763V0N4I" localSheetId="30" hidden="1">#REF!</definedName>
    <definedName name="BEx3SN56F03CPDRDA7LZ763V0N4I" localSheetId="29" hidden="1">#REF!</definedName>
    <definedName name="BEx3SN56F03CPDRDA7LZ763V0N4I" localSheetId="33" hidden="1">#REF!</definedName>
    <definedName name="BEx3SN56F03CPDRDA7LZ763V0N4I" localSheetId="31" hidden="1">#REF!</definedName>
    <definedName name="BEx3SN56F03CPDRDA7LZ763V0N4I" localSheetId="32" hidden="1">#REF!</definedName>
    <definedName name="BEx3SN56F03CPDRDA7LZ763V0N4I" hidden="1">#REF!</definedName>
    <definedName name="BEx3SPE6N1ORXPRCDL3JPZD73Z9F" localSheetId="30" hidden="1">#REF!</definedName>
    <definedName name="BEx3SPE6N1ORXPRCDL3JPZD73Z9F" localSheetId="29" hidden="1">#REF!</definedName>
    <definedName name="BEx3SPE6N1ORXPRCDL3JPZD73Z9F" localSheetId="33" hidden="1">#REF!</definedName>
    <definedName name="BEx3SPE6N1ORXPRCDL3JPZD73Z9F" localSheetId="31" hidden="1">#REF!</definedName>
    <definedName name="BEx3SPE6N1ORXPRCDL3JPZD73Z9F" localSheetId="32" hidden="1">#REF!</definedName>
    <definedName name="BEx3SPE6N1ORXPRCDL3JPZD73Z9F" hidden="1">#REF!</definedName>
    <definedName name="BEx3T29ZTULQE0OMSMWUMZDU9ZZ0" localSheetId="30" hidden="1">#REF!</definedName>
    <definedName name="BEx3T29ZTULQE0OMSMWUMZDU9ZZ0" localSheetId="29" hidden="1">#REF!</definedName>
    <definedName name="BEx3T29ZTULQE0OMSMWUMZDU9ZZ0" localSheetId="33" hidden="1">#REF!</definedName>
    <definedName name="BEx3T29ZTULQE0OMSMWUMZDU9ZZ0" localSheetId="31" hidden="1">#REF!</definedName>
    <definedName name="BEx3T29ZTULQE0OMSMWUMZDU9ZZ0" localSheetId="32" hidden="1">#REF!</definedName>
    <definedName name="BEx3T29ZTULQE0OMSMWUMZDU9ZZ0" hidden="1">#REF!</definedName>
    <definedName name="BEx3T6MJ1QDJ929WMUDVZ0O3UW0Y" localSheetId="30" hidden="1">#REF!</definedName>
    <definedName name="BEx3T6MJ1QDJ929WMUDVZ0O3UW0Y" localSheetId="29" hidden="1">#REF!</definedName>
    <definedName name="BEx3T6MJ1QDJ929WMUDVZ0O3UW0Y" localSheetId="33" hidden="1">#REF!</definedName>
    <definedName name="BEx3T6MJ1QDJ929WMUDVZ0O3UW0Y" localSheetId="31" hidden="1">#REF!</definedName>
    <definedName name="BEx3T6MJ1QDJ929WMUDVZ0O3UW0Y" localSheetId="32" hidden="1">#REF!</definedName>
    <definedName name="BEx3T6MJ1QDJ929WMUDVZ0O3UW0Y" hidden="1">#REF!</definedName>
    <definedName name="BEx3TPCSI16OAB2L9M9IULQMQ9J9" localSheetId="30" hidden="1">#REF!</definedName>
    <definedName name="BEx3TPCSI16OAB2L9M9IULQMQ9J9" localSheetId="29" hidden="1">#REF!</definedName>
    <definedName name="BEx3TPCSI16OAB2L9M9IULQMQ9J9" localSheetId="33" hidden="1">#REF!</definedName>
    <definedName name="BEx3TPCSI16OAB2L9M9IULQMQ9J9" localSheetId="31" hidden="1">#REF!</definedName>
    <definedName name="BEx3TPCSI16OAB2L9M9IULQMQ9J9" localSheetId="32" hidden="1">#REF!</definedName>
    <definedName name="BEx3TPCSI16OAB2L9M9IULQMQ9J9" hidden="1">#REF!</definedName>
    <definedName name="BEx3TRLSBKFYRI2KATHZAB0MWA18" localSheetId="30" hidden="1">#REF!</definedName>
    <definedName name="BEx3TRLSBKFYRI2KATHZAB0MWA18" localSheetId="29" hidden="1">#REF!</definedName>
    <definedName name="BEx3TRLSBKFYRI2KATHZAB0MWA18" localSheetId="33" hidden="1">#REF!</definedName>
    <definedName name="BEx3TRLSBKFYRI2KATHZAB0MWA18" localSheetId="31" hidden="1">#REF!</definedName>
    <definedName name="BEx3TRLSBKFYRI2KATHZAB0MWA18" localSheetId="32" hidden="1">#REF!</definedName>
    <definedName name="BEx3TRLSBKFYRI2KATHZAB0MWA18" hidden="1">#REF!</definedName>
    <definedName name="BEx3U64YUOZ419BAJS2W78UMATAW" localSheetId="30" hidden="1">#REF!</definedName>
    <definedName name="BEx3U64YUOZ419BAJS2W78UMATAW" localSheetId="29" hidden="1">#REF!</definedName>
    <definedName name="BEx3U64YUOZ419BAJS2W78UMATAW" localSheetId="33" hidden="1">#REF!</definedName>
    <definedName name="BEx3U64YUOZ419BAJS2W78UMATAW" localSheetId="31" hidden="1">#REF!</definedName>
    <definedName name="BEx3U64YUOZ419BAJS2W78UMATAW" localSheetId="32" hidden="1">#REF!</definedName>
    <definedName name="BEx3U64YUOZ419BAJS2W78UMATAW" hidden="1">#REF!</definedName>
    <definedName name="BEx3U94WCEA5DKMWBEX1GU0LKYG2" localSheetId="30" hidden="1">#REF!</definedName>
    <definedName name="BEx3U94WCEA5DKMWBEX1GU0LKYG2" localSheetId="29" hidden="1">#REF!</definedName>
    <definedName name="BEx3U94WCEA5DKMWBEX1GU0LKYG2" localSheetId="33" hidden="1">#REF!</definedName>
    <definedName name="BEx3U94WCEA5DKMWBEX1GU0LKYG2" localSheetId="31" hidden="1">#REF!</definedName>
    <definedName name="BEx3U94WCEA5DKMWBEX1GU0LKYG2" localSheetId="32" hidden="1">#REF!</definedName>
    <definedName name="BEx3U94WCEA5DKMWBEX1GU0LKYG2" hidden="1">#REF!</definedName>
    <definedName name="BEx3U9VZ8SQVYS6ZA038J7AP7ZGW" localSheetId="30" hidden="1">#REF!</definedName>
    <definedName name="BEx3U9VZ8SQVYS6ZA038J7AP7ZGW" localSheetId="29" hidden="1">#REF!</definedName>
    <definedName name="BEx3U9VZ8SQVYS6ZA038J7AP7ZGW" localSheetId="33" hidden="1">#REF!</definedName>
    <definedName name="BEx3U9VZ8SQVYS6ZA038J7AP7ZGW" localSheetId="31" hidden="1">#REF!</definedName>
    <definedName name="BEx3U9VZ8SQVYS6ZA038J7AP7ZGW" localSheetId="32" hidden="1">#REF!</definedName>
    <definedName name="BEx3U9VZ8SQVYS6ZA038J7AP7ZGW" hidden="1">#REF!</definedName>
    <definedName name="BEx3UIQ5WRJBGNTFCCLOR4N7B1OQ" localSheetId="30" hidden="1">#REF!</definedName>
    <definedName name="BEx3UIQ5WRJBGNTFCCLOR4N7B1OQ" localSheetId="29" hidden="1">#REF!</definedName>
    <definedName name="BEx3UIQ5WRJBGNTFCCLOR4N7B1OQ" localSheetId="33" hidden="1">#REF!</definedName>
    <definedName name="BEx3UIQ5WRJBGNTFCCLOR4N7B1OQ" localSheetId="31" hidden="1">#REF!</definedName>
    <definedName name="BEx3UIQ5WRJBGNTFCCLOR4N7B1OQ" localSheetId="32" hidden="1">#REF!</definedName>
    <definedName name="BEx3UIQ5WRJBGNTFCCLOR4N7B1OQ" hidden="1">#REF!</definedName>
    <definedName name="BEx3UJMIX2NUSSWGMSI25A5DM4CH" localSheetId="30" hidden="1">#REF!</definedName>
    <definedName name="BEx3UJMIX2NUSSWGMSI25A5DM4CH" localSheetId="29" hidden="1">#REF!</definedName>
    <definedName name="BEx3UJMIX2NUSSWGMSI25A5DM4CH" localSheetId="33" hidden="1">#REF!</definedName>
    <definedName name="BEx3UJMIX2NUSSWGMSI25A5DM4CH" localSheetId="31" hidden="1">#REF!</definedName>
    <definedName name="BEx3UJMIX2NUSSWGMSI25A5DM4CH" localSheetId="32" hidden="1">#REF!</definedName>
    <definedName name="BEx3UJMIX2NUSSWGMSI25A5DM4CH" hidden="1">#REF!</definedName>
    <definedName name="BEx3UKOCOQG7S1YQ436S997K1KWV" localSheetId="30" hidden="1">#REF!</definedName>
    <definedName name="BEx3UKOCOQG7S1YQ436S997K1KWV" localSheetId="29" hidden="1">#REF!</definedName>
    <definedName name="BEx3UKOCOQG7S1YQ436S997K1KWV" localSheetId="33" hidden="1">#REF!</definedName>
    <definedName name="BEx3UKOCOQG7S1YQ436S997K1KWV" localSheetId="31" hidden="1">#REF!</definedName>
    <definedName name="BEx3UKOCOQG7S1YQ436S997K1KWV" localSheetId="32" hidden="1">#REF!</definedName>
    <definedName name="BEx3UKOCOQG7S1YQ436S997K1KWV" hidden="1">#REF!</definedName>
    <definedName name="BEx3UYM19VIXLA0EU7LB9NHA77PB" localSheetId="30" hidden="1">#REF!</definedName>
    <definedName name="BEx3UYM19VIXLA0EU7LB9NHA77PB" localSheetId="29" hidden="1">#REF!</definedName>
    <definedName name="BEx3UYM19VIXLA0EU7LB9NHA77PB" localSheetId="33" hidden="1">#REF!</definedName>
    <definedName name="BEx3UYM19VIXLA0EU7LB9NHA77PB" localSheetId="31" hidden="1">#REF!</definedName>
    <definedName name="BEx3UYM19VIXLA0EU7LB9NHA77PB" localSheetId="32" hidden="1">#REF!</definedName>
    <definedName name="BEx3UYM19VIXLA0EU7LB9NHA77PB" hidden="1">#REF!</definedName>
    <definedName name="BEx3VML7CG70HPISMVYIUEN3711Q" localSheetId="30" hidden="1">#REF!</definedName>
    <definedName name="BEx3VML7CG70HPISMVYIUEN3711Q" localSheetId="29" hidden="1">#REF!</definedName>
    <definedName name="BEx3VML7CG70HPISMVYIUEN3711Q" localSheetId="33" hidden="1">#REF!</definedName>
    <definedName name="BEx3VML7CG70HPISMVYIUEN3711Q" localSheetId="31" hidden="1">#REF!</definedName>
    <definedName name="BEx3VML7CG70HPISMVYIUEN3711Q" localSheetId="32" hidden="1">#REF!</definedName>
    <definedName name="BEx3VML7CG70HPISMVYIUEN3711Q" hidden="1">#REF!</definedName>
    <definedName name="BEx56ZID5H04P9AIYLP1OASFGV56" localSheetId="30" hidden="1">#REF!</definedName>
    <definedName name="BEx56ZID5H04P9AIYLP1OASFGV56" localSheetId="29" hidden="1">#REF!</definedName>
    <definedName name="BEx56ZID5H04P9AIYLP1OASFGV56" localSheetId="33" hidden="1">#REF!</definedName>
    <definedName name="BEx56ZID5H04P9AIYLP1OASFGV56" localSheetId="31" hidden="1">#REF!</definedName>
    <definedName name="BEx56ZID5H04P9AIYLP1OASFGV56" localSheetId="32" hidden="1">#REF!</definedName>
    <definedName name="BEx56ZID5H04P9AIYLP1OASFGV56" hidden="1">#REF!</definedName>
    <definedName name="BEx571WNVXM3M1UOGZR5ZOCUBIGJ" localSheetId="30" hidden="1">#REF!</definedName>
    <definedName name="BEx571WNVXM3M1UOGZR5ZOCUBIGJ" localSheetId="29" hidden="1">#REF!</definedName>
    <definedName name="BEx571WNVXM3M1UOGZR5ZOCUBIGJ" localSheetId="33" hidden="1">#REF!</definedName>
    <definedName name="BEx571WNVXM3M1UOGZR5ZOCUBIGJ" localSheetId="31" hidden="1">#REF!</definedName>
    <definedName name="BEx571WNVXM3M1UOGZR5ZOCUBIGJ" localSheetId="32" hidden="1">#REF!</definedName>
    <definedName name="BEx571WNVXM3M1UOGZR5ZOCUBIGJ" hidden="1">#REF!</definedName>
    <definedName name="BEx587EYSS57E3PI8DT973HLJM9E" localSheetId="30" hidden="1">#REF!</definedName>
    <definedName name="BEx587EYSS57E3PI8DT973HLJM9E" localSheetId="29" hidden="1">#REF!</definedName>
    <definedName name="BEx587EYSS57E3PI8DT973HLJM9E" localSheetId="33" hidden="1">#REF!</definedName>
    <definedName name="BEx587EYSS57E3PI8DT973HLJM9E" localSheetId="31" hidden="1">#REF!</definedName>
    <definedName name="BEx587EYSS57E3PI8DT973HLJM9E" localSheetId="32" hidden="1">#REF!</definedName>
    <definedName name="BEx587EYSS57E3PI8DT973HLJM9E" hidden="1">#REF!</definedName>
    <definedName name="BEx587KFQ3VKCOCY1SA5F24PQGUI" localSheetId="30" hidden="1">#REF!</definedName>
    <definedName name="BEx587KFQ3VKCOCY1SA5F24PQGUI" localSheetId="29" hidden="1">#REF!</definedName>
    <definedName name="BEx587KFQ3VKCOCY1SA5F24PQGUI" localSheetId="33" hidden="1">#REF!</definedName>
    <definedName name="BEx587KFQ3VKCOCY1SA5F24PQGUI" localSheetId="31" hidden="1">#REF!</definedName>
    <definedName name="BEx587KFQ3VKCOCY1SA5F24PQGUI" localSheetId="32" hidden="1">#REF!</definedName>
    <definedName name="BEx587KFQ3VKCOCY1SA5F24PQGUI" hidden="1">#REF!</definedName>
    <definedName name="BEx58O780PQ05NF0Z1SKKRB3N099" localSheetId="30" hidden="1">#REF!</definedName>
    <definedName name="BEx58O780PQ05NF0Z1SKKRB3N099" localSheetId="29" hidden="1">#REF!</definedName>
    <definedName name="BEx58O780PQ05NF0Z1SKKRB3N099" localSheetId="33" hidden="1">#REF!</definedName>
    <definedName name="BEx58O780PQ05NF0Z1SKKRB3N099" localSheetId="31" hidden="1">#REF!</definedName>
    <definedName name="BEx58O780PQ05NF0Z1SKKRB3N099" localSheetId="32" hidden="1">#REF!</definedName>
    <definedName name="BEx58O780PQ05NF0Z1SKKRB3N099" hidden="1">#REF!</definedName>
    <definedName name="BEx58XHO7ZULLF2EUD7YIS0MGQJ5" localSheetId="30" hidden="1">#REF!</definedName>
    <definedName name="BEx58XHO7ZULLF2EUD7YIS0MGQJ5" localSheetId="29" hidden="1">#REF!</definedName>
    <definedName name="BEx58XHO7ZULLF2EUD7YIS0MGQJ5" localSheetId="33" hidden="1">#REF!</definedName>
    <definedName name="BEx58XHO7ZULLF2EUD7YIS0MGQJ5" localSheetId="31" hidden="1">#REF!</definedName>
    <definedName name="BEx58XHO7ZULLF2EUD7YIS0MGQJ5" localSheetId="32" hidden="1">#REF!</definedName>
    <definedName name="BEx58XHO7ZULLF2EUD7YIS0MGQJ5" hidden="1">#REF!</definedName>
    <definedName name="BEx58ZW0HAIGIPEX9CVA1PQQTR6X" localSheetId="30" hidden="1">#REF!</definedName>
    <definedName name="BEx58ZW0HAIGIPEX9CVA1PQQTR6X" localSheetId="29" hidden="1">#REF!</definedName>
    <definedName name="BEx58ZW0HAIGIPEX9CVA1PQQTR6X" localSheetId="33" hidden="1">#REF!</definedName>
    <definedName name="BEx58ZW0HAIGIPEX9CVA1PQQTR6X" localSheetId="31" hidden="1">#REF!</definedName>
    <definedName name="BEx58ZW0HAIGIPEX9CVA1PQQTR6X" localSheetId="32" hidden="1">#REF!</definedName>
    <definedName name="BEx58ZW0HAIGIPEX9CVA1PQQTR6X" hidden="1">#REF!</definedName>
    <definedName name="BEx59BA1KH3RG6K1LHL7YS2VB79N" localSheetId="30" hidden="1">#REF!</definedName>
    <definedName name="BEx59BA1KH3RG6K1LHL7YS2VB79N" localSheetId="29" hidden="1">#REF!</definedName>
    <definedName name="BEx59BA1KH3RG6K1LHL7YS2VB79N" localSheetId="33" hidden="1">#REF!</definedName>
    <definedName name="BEx59BA1KH3RG6K1LHL7YS2VB79N" localSheetId="31" hidden="1">#REF!</definedName>
    <definedName name="BEx59BA1KH3RG6K1LHL7YS2VB79N" localSheetId="32" hidden="1">#REF!</definedName>
    <definedName name="BEx59BA1KH3RG6K1LHL7YS2VB79N" hidden="1">#REF!</definedName>
    <definedName name="BEx59E9WABJP2TN71QAIKK79HPK9" localSheetId="30" hidden="1">#REF!</definedName>
    <definedName name="BEx59E9WABJP2TN71QAIKK79HPK9" localSheetId="29" hidden="1">#REF!</definedName>
    <definedName name="BEx59E9WABJP2TN71QAIKK79HPK9" localSheetId="33" hidden="1">#REF!</definedName>
    <definedName name="BEx59E9WABJP2TN71QAIKK79HPK9" localSheetId="31" hidden="1">#REF!</definedName>
    <definedName name="BEx59E9WABJP2TN71QAIKK79HPK9" localSheetId="32" hidden="1">#REF!</definedName>
    <definedName name="BEx59E9WABJP2TN71QAIKK79HPK9" hidden="1">#REF!</definedName>
    <definedName name="BEx59P7MAPNU129ZTC5H3EH892G1" localSheetId="30" hidden="1">#REF!</definedName>
    <definedName name="BEx59P7MAPNU129ZTC5H3EH892G1" localSheetId="29" hidden="1">#REF!</definedName>
    <definedName name="BEx59P7MAPNU129ZTC5H3EH892G1" localSheetId="33" hidden="1">#REF!</definedName>
    <definedName name="BEx59P7MAPNU129ZTC5H3EH892G1" localSheetId="31" hidden="1">#REF!</definedName>
    <definedName name="BEx59P7MAPNU129ZTC5H3EH892G1" localSheetId="32" hidden="1">#REF!</definedName>
    <definedName name="BEx59P7MAPNU129ZTC5H3EH892G1" hidden="1">#REF!</definedName>
    <definedName name="BEx5A11WZRQSIE089QE119AOX9ZG" localSheetId="30" hidden="1">#REF!</definedName>
    <definedName name="BEx5A11WZRQSIE089QE119AOX9ZG" localSheetId="29" hidden="1">#REF!</definedName>
    <definedName name="BEx5A11WZRQSIE089QE119AOX9ZG" localSheetId="33" hidden="1">#REF!</definedName>
    <definedName name="BEx5A11WZRQSIE089QE119AOX9ZG" localSheetId="31" hidden="1">#REF!</definedName>
    <definedName name="BEx5A11WZRQSIE089QE119AOX9ZG" localSheetId="32" hidden="1">#REF!</definedName>
    <definedName name="BEx5A11WZRQSIE089QE119AOX9ZG" hidden="1">#REF!</definedName>
    <definedName name="BEx5A7CIGCOTHJKHGUBDZG91JGPZ" localSheetId="30" hidden="1">#REF!</definedName>
    <definedName name="BEx5A7CIGCOTHJKHGUBDZG91JGPZ" localSheetId="29" hidden="1">#REF!</definedName>
    <definedName name="BEx5A7CIGCOTHJKHGUBDZG91JGPZ" localSheetId="33" hidden="1">#REF!</definedName>
    <definedName name="BEx5A7CIGCOTHJKHGUBDZG91JGPZ" localSheetId="31" hidden="1">#REF!</definedName>
    <definedName name="BEx5A7CIGCOTHJKHGUBDZG91JGPZ" localSheetId="32" hidden="1">#REF!</definedName>
    <definedName name="BEx5A7CIGCOTHJKHGUBDZG91JGPZ" hidden="1">#REF!</definedName>
    <definedName name="BEx5A8UFLT2SWVSG5COFA9B8P376" localSheetId="30" hidden="1">#REF!</definedName>
    <definedName name="BEx5A8UFLT2SWVSG5COFA9B8P376" localSheetId="29" hidden="1">#REF!</definedName>
    <definedName name="BEx5A8UFLT2SWVSG5COFA9B8P376" localSheetId="33" hidden="1">#REF!</definedName>
    <definedName name="BEx5A8UFLT2SWVSG5COFA9B8P376" localSheetId="31" hidden="1">#REF!</definedName>
    <definedName name="BEx5A8UFLT2SWVSG5COFA9B8P376" localSheetId="32" hidden="1">#REF!</definedName>
    <definedName name="BEx5A8UFLT2SWVSG5COFA9B8P376" hidden="1">#REF!</definedName>
    <definedName name="BEx5AFFTN3IXIBHDKM0FYC4OFL1S" localSheetId="30" hidden="1">#REF!</definedName>
    <definedName name="BEx5AFFTN3IXIBHDKM0FYC4OFL1S" localSheetId="29" hidden="1">#REF!</definedName>
    <definedName name="BEx5AFFTN3IXIBHDKM0FYC4OFL1S" localSheetId="33" hidden="1">#REF!</definedName>
    <definedName name="BEx5AFFTN3IXIBHDKM0FYC4OFL1S" localSheetId="31" hidden="1">#REF!</definedName>
    <definedName name="BEx5AFFTN3IXIBHDKM0FYC4OFL1S" localSheetId="32" hidden="1">#REF!</definedName>
    <definedName name="BEx5AFFTN3IXIBHDKM0FYC4OFL1S" hidden="1">#REF!</definedName>
    <definedName name="BEx5AOFIO8KVRHIZ1RII337AA8ML" localSheetId="30" hidden="1">#REF!</definedName>
    <definedName name="BEx5AOFIO8KVRHIZ1RII337AA8ML" localSheetId="29" hidden="1">#REF!</definedName>
    <definedName name="BEx5AOFIO8KVRHIZ1RII337AA8ML" localSheetId="33" hidden="1">#REF!</definedName>
    <definedName name="BEx5AOFIO8KVRHIZ1RII337AA8ML" localSheetId="31" hidden="1">#REF!</definedName>
    <definedName name="BEx5AOFIO8KVRHIZ1RII337AA8ML" localSheetId="32" hidden="1">#REF!</definedName>
    <definedName name="BEx5AOFIO8KVRHIZ1RII337AA8ML" hidden="1">#REF!</definedName>
    <definedName name="BEx5APRZ66L5BWHFE8E4YYNEDTI4" localSheetId="30" hidden="1">#REF!</definedName>
    <definedName name="BEx5APRZ66L5BWHFE8E4YYNEDTI4" localSheetId="29" hidden="1">#REF!</definedName>
    <definedName name="BEx5APRZ66L5BWHFE8E4YYNEDTI4" localSheetId="33" hidden="1">#REF!</definedName>
    <definedName name="BEx5APRZ66L5BWHFE8E4YYNEDTI4" localSheetId="31" hidden="1">#REF!</definedName>
    <definedName name="BEx5APRZ66L5BWHFE8E4YYNEDTI4" localSheetId="32" hidden="1">#REF!</definedName>
    <definedName name="BEx5APRZ66L5BWHFE8E4YYNEDTI4" hidden="1">#REF!</definedName>
    <definedName name="BEx5AUVDSQ35VO4BD9AKKGBM5S7D" localSheetId="30" hidden="1">#REF!</definedName>
    <definedName name="BEx5AUVDSQ35VO4BD9AKKGBM5S7D" localSheetId="29" hidden="1">#REF!</definedName>
    <definedName name="BEx5AUVDSQ35VO4BD9AKKGBM5S7D" localSheetId="33" hidden="1">#REF!</definedName>
    <definedName name="BEx5AUVDSQ35VO4BD9AKKGBM5S7D" localSheetId="31" hidden="1">#REF!</definedName>
    <definedName name="BEx5AUVDSQ35VO4BD9AKKGBM5S7D" localSheetId="32" hidden="1">#REF!</definedName>
    <definedName name="BEx5AUVDSQ35VO4BD9AKKGBM5S7D" hidden="1">#REF!</definedName>
    <definedName name="BEx5B3V3R5EEHH8D8AE88S3Q9SSZ" localSheetId="30" hidden="1">#REF!</definedName>
    <definedName name="BEx5B3V3R5EEHH8D8AE88S3Q9SSZ" localSheetId="29" hidden="1">#REF!</definedName>
    <definedName name="BEx5B3V3R5EEHH8D8AE88S3Q9SSZ" localSheetId="33" hidden="1">#REF!</definedName>
    <definedName name="BEx5B3V3R5EEHH8D8AE88S3Q9SSZ" localSheetId="31" hidden="1">#REF!</definedName>
    <definedName name="BEx5B3V3R5EEHH8D8AE88S3Q9SSZ" localSheetId="32" hidden="1">#REF!</definedName>
    <definedName name="BEx5B3V3R5EEHH8D8AE88S3Q9SSZ" hidden="1">#REF!</definedName>
    <definedName name="BEx5B4RHHX0J1BF2FZKEA0SPP29O" localSheetId="30" hidden="1">#REF!</definedName>
    <definedName name="BEx5B4RHHX0J1BF2FZKEA0SPP29O" localSheetId="29" hidden="1">#REF!</definedName>
    <definedName name="BEx5B4RHHX0J1BF2FZKEA0SPP29O" localSheetId="33" hidden="1">#REF!</definedName>
    <definedName name="BEx5B4RHHX0J1BF2FZKEA0SPP29O" localSheetId="31" hidden="1">#REF!</definedName>
    <definedName name="BEx5B4RHHX0J1BF2FZKEA0SPP29O" localSheetId="32" hidden="1">#REF!</definedName>
    <definedName name="BEx5B4RHHX0J1BF2FZKEA0SPP29O" hidden="1">#REF!</definedName>
    <definedName name="BEx5B5YMSWP0OVI5CIQRP5V18D0C" localSheetId="30" hidden="1">#REF!</definedName>
    <definedName name="BEx5B5YMSWP0OVI5CIQRP5V18D0C" localSheetId="29" hidden="1">#REF!</definedName>
    <definedName name="BEx5B5YMSWP0OVI5CIQRP5V18D0C" localSheetId="33" hidden="1">#REF!</definedName>
    <definedName name="BEx5B5YMSWP0OVI5CIQRP5V18D0C" localSheetId="31" hidden="1">#REF!</definedName>
    <definedName name="BEx5B5YMSWP0OVI5CIQRP5V18D0C" localSheetId="32" hidden="1">#REF!</definedName>
    <definedName name="BEx5B5YMSWP0OVI5CIQRP5V18D0C" hidden="1">#REF!</definedName>
    <definedName name="BEx5B825RW35M5H0UB2IZGGRS4ER" localSheetId="30" hidden="1">#REF!</definedName>
    <definedName name="BEx5B825RW35M5H0UB2IZGGRS4ER" localSheetId="29" hidden="1">#REF!</definedName>
    <definedName name="BEx5B825RW35M5H0UB2IZGGRS4ER" localSheetId="33" hidden="1">#REF!</definedName>
    <definedName name="BEx5B825RW35M5H0UB2IZGGRS4ER" localSheetId="31" hidden="1">#REF!</definedName>
    <definedName name="BEx5B825RW35M5H0UB2IZGGRS4ER" localSheetId="32" hidden="1">#REF!</definedName>
    <definedName name="BEx5B825RW35M5H0UB2IZGGRS4ER" hidden="1">#REF!</definedName>
    <definedName name="BEx5BAWPMY0TL684WDXX6KKJLRCN" localSheetId="30" hidden="1">#REF!</definedName>
    <definedName name="BEx5BAWPMY0TL684WDXX6KKJLRCN" localSheetId="29" hidden="1">#REF!</definedName>
    <definedName name="BEx5BAWPMY0TL684WDXX6KKJLRCN" localSheetId="33" hidden="1">#REF!</definedName>
    <definedName name="BEx5BAWPMY0TL684WDXX6KKJLRCN" localSheetId="31" hidden="1">#REF!</definedName>
    <definedName name="BEx5BAWPMY0TL684WDXX6KKJLRCN" localSheetId="32" hidden="1">#REF!</definedName>
    <definedName name="BEx5BAWPMY0TL684WDXX6KKJLRCN" hidden="1">#REF!</definedName>
    <definedName name="BEx5BBI61U4Y65GD0ARMTALPP7SJ" localSheetId="30" hidden="1">#REF!</definedName>
    <definedName name="BEx5BBI61U4Y65GD0ARMTALPP7SJ" localSheetId="29" hidden="1">#REF!</definedName>
    <definedName name="BEx5BBI61U4Y65GD0ARMTALPP7SJ" localSheetId="33" hidden="1">#REF!</definedName>
    <definedName name="BEx5BBI61U4Y65GD0ARMTALPP7SJ" localSheetId="31" hidden="1">#REF!</definedName>
    <definedName name="BEx5BBI61U4Y65GD0ARMTALPP7SJ" localSheetId="32" hidden="1">#REF!</definedName>
    <definedName name="BEx5BBI61U4Y65GD0ARMTALPP7SJ" hidden="1">#REF!</definedName>
    <definedName name="BEx5BDR56MEV4IHY6CIH2SVNG1UB" localSheetId="30" hidden="1">#REF!</definedName>
    <definedName name="BEx5BDR56MEV4IHY6CIH2SVNG1UB" localSheetId="29" hidden="1">#REF!</definedName>
    <definedName name="BEx5BDR56MEV4IHY6CIH2SVNG1UB" localSheetId="33" hidden="1">#REF!</definedName>
    <definedName name="BEx5BDR56MEV4IHY6CIH2SVNG1UB" localSheetId="31" hidden="1">#REF!</definedName>
    <definedName name="BEx5BDR56MEV4IHY6CIH2SVNG1UB" localSheetId="32" hidden="1">#REF!</definedName>
    <definedName name="BEx5BDR56MEV4IHY6CIH2SVNG1UB" hidden="1">#REF!</definedName>
    <definedName name="BEx5BESZC5H329SKHGJOHZFILYJJ" localSheetId="30" hidden="1">#REF!</definedName>
    <definedName name="BEx5BESZC5H329SKHGJOHZFILYJJ" localSheetId="29" hidden="1">#REF!</definedName>
    <definedName name="BEx5BESZC5H329SKHGJOHZFILYJJ" localSheetId="33" hidden="1">#REF!</definedName>
    <definedName name="BEx5BESZC5H329SKHGJOHZFILYJJ" localSheetId="31" hidden="1">#REF!</definedName>
    <definedName name="BEx5BESZC5H329SKHGJOHZFILYJJ" localSheetId="32" hidden="1">#REF!</definedName>
    <definedName name="BEx5BESZC5H329SKHGJOHZFILYJJ" hidden="1">#REF!</definedName>
    <definedName name="BEx5BH1U84CZ531S8SH2QAAOEKQY" localSheetId="30" hidden="1">#REF!</definedName>
    <definedName name="BEx5BH1U84CZ531S8SH2QAAOEKQY" localSheetId="29" hidden="1">#REF!</definedName>
    <definedName name="BEx5BH1U84CZ531S8SH2QAAOEKQY" localSheetId="33" hidden="1">#REF!</definedName>
    <definedName name="BEx5BH1U84CZ531S8SH2QAAOEKQY" localSheetId="31" hidden="1">#REF!</definedName>
    <definedName name="BEx5BH1U84CZ531S8SH2QAAOEKQY" localSheetId="32" hidden="1">#REF!</definedName>
    <definedName name="BEx5BH1U84CZ531S8SH2QAAOEKQY" hidden="1">#REF!</definedName>
    <definedName name="BEx5BHSQ42B50IU1TEQFUXFX9XQD" localSheetId="30" hidden="1">#REF!</definedName>
    <definedName name="BEx5BHSQ42B50IU1TEQFUXFX9XQD" localSheetId="29" hidden="1">#REF!</definedName>
    <definedName name="BEx5BHSQ42B50IU1TEQFUXFX9XQD" localSheetId="33" hidden="1">#REF!</definedName>
    <definedName name="BEx5BHSQ42B50IU1TEQFUXFX9XQD" localSheetId="31" hidden="1">#REF!</definedName>
    <definedName name="BEx5BHSQ42B50IU1TEQFUXFX9XQD" localSheetId="32" hidden="1">#REF!</definedName>
    <definedName name="BEx5BHSQ42B50IU1TEQFUXFX9XQD" hidden="1">#REF!</definedName>
    <definedName name="BEx5BKSM4UN4C1DM3EYKM79MRC5K" localSheetId="30" hidden="1">#REF!</definedName>
    <definedName name="BEx5BKSM4UN4C1DM3EYKM79MRC5K" localSheetId="29" hidden="1">#REF!</definedName>
    <definedName name="BEx5BKSM4UN4C1DM3EYKM79MRC5K" localSheetId="33" hidden="1">#REF!</definedName>
    <definedName name="BEx5BKSM4UN4C1DM3EYKM79MRC5K" localSheetId="31" hidden="1">#REF!</definedName>
    <definedName name="BEx5BKSM4UN4C1DM3EYKM79MRC5K" localSheetId="32" hidden="1">#REF!</definedName>
    <definedName name="BEx5BKSM4UN4C1DM3EYKM79MRC5K" hidden="1">#REF!</definedName>
    <definedName name="BEx5BNN8NPH9KVOBARB9CDD9WLB6" localSheetId="30" hidden="1">#REF!</definedName>
    <definedName name="BEx5BNN8NPH9KVOBARB9CDD9WLB6" localSheetId="29" hidden="1">#REF!</definedName>
    <definedName name="BEx5BNN8NPH9KVOBARB9CDD9WLB6" localSheetId="33" hidden="1">#REF!</definedName>
    <definedName name="BEx5BNN8NPH9KVOBARB9CDD9WLB6" localSheetId="31" hidden="1">#REF!</definedName>
    <definedName name="BEx5BNN8NPH9KVOBARB9CDD9WLB6" localSheetId="32" hidden="1">#REF!</definedName>
    <definedName name="BEx5BNN8NPH9KVOBARB9CDD9WLB6" hidden="1">#REF!</definedName>
    <definedName name="BEx5BQXX0VRBKAR0LAWLCPTZJGA2" localSheetId="30" hidden="1">#REF!</definedName>
    <definedName name="BEx5BQXX0VRBKAR0LAWLCPTZJGA2" localSheetId="29" hidden="1">#REF!</definedName>
    <definedName name="BEx5BQXX0VRBKAR0LAWLCPTZJGA2" localSheetId="33" hidden="1">#REF!</definedName>
    <definedName name="BEx5BQXX0VRBKAR0LAWLCPTZJGA2" localSheetId="31" hidden="1">#REF!</definedName>
    <definedName name="BEx5BQXX0VRBKAR0LAWLCPTZJGA2" localSheetId="32" hidden="1">#REF!</definedName>
    <definedName name="BEx5BQXX0VRBKAR0LAWLCPTZJGA2" hidden="1">#REF!</definedName>
    <definedName name="BEx5BYFMZ80TDDN2EZO8CF39AIAC" localSheetId="30" hidden="1">#REF!</definedName>
    <definedName name="BEx5BYFMZ80TDDN2EZO8CF39AIAC" localSheetId="29" hidden="1">#REF!</definedName>
    <definedName name="BEx5BYFMZ80TDDN2EZO8CF39AIAC" localSheetId="33" hidden="1">#REF!</definedName>
    <definedName name="BEx5BYFMZ80TDDN2EZO8CF39AIAC" localSheetId="31" hidden="1">#REF!</definedName>
    <definedName name="BEx5BYFMZ80TDDN2EZO8CF39AIAC" localSheetId="32" hidden="1">#REF!</definedName>
    <definedName name="BEx5BYFMZ80TDDN2EZO8CF39AIAC" hidden="1">#REF!</definedName>
    <definedName name="BEx5C2BWFW6SHZBFDEISKGXHZCQW" localSheetId="30" hidden="1">#REF!</definedName>
    <definedName name="BEx5C2BWFW6SHZBFDEISKGXHZCQW" localSheetId="29" hidden="1">#REF!</definedName>
    <definedName name="BEx5C2BWFW6SHZBFDEISKGXHZCQW" localSheetId="33" hidden="1">#REF!</definedName>
    <definedName name="BEx5C2BWFW6SHZBFDEISKGXHZCQW" localSheetId="31" hidden="1">#REF!</definedName>
    <definedName name="BEx5C2BWFW6SHZBFDEISKGXHZCQW" localSheetId="32" hidden="1">#REF!</definedName>
    <definedName name="BEx5C2BWFW6SHZBFDEISKGXHZCQW" hidden="1">#REF!</definedName>
    <definedName name="BEx5C49ZFH8TO9ZU55729C3F7XG7" localSheetId="30" hidden="1">#REF!</definedName>
    <definedName name="BEx5C49ZFH8TO9ZU55729C3F7XG7" localSheetId="29" hidden="1">#REF!</definedName>
    <definedName name="BEx5C49ZFH8TO9ZU55729C3F7XG7" localSheetId="33" hidden="1">#REF!</definedName>
    <definedName name="BEx5C49ZFH8TO9ZU55729C3F7XG7" localSheetId="31" hidden="1">#REF!</definedName>
    <definedName name="BEx5C49ZFH8TO9ZU55729C3F7XG7" localSheetId="32" hidden="1">#REF!</definedName>
    <definedName name="BEx5C49ZFH8TO9ZU55729C3F7XG7" hidden="1">#REF!</definedName>
    <definedName name="BEx5C8GZQK13G60ZM70P63I5OS0L" localSheetId="30" hidden="1">#REF!</definedName>
    <definedName name="BEx5C8GZQK13G60ZM70P63I5OS0L" localSheetId="29" hidden="1">#REF!</definedName>
    <definedName name="BEx5C8GZQK13G60ZM70P63I5OS0L" localSheetId="33" hidden="1">#REF!</definedName>
    <definedName name="BEx5C8GZQK13G60ZM70P63I5OS0L" localSheetId="31" hidden="1">#REF!</definedName>
    <definedName name="BEx5C8GZQK13G60ZM70P63I5OS0L" localSheetId="32" hidden="1">#REF!</definedName>
    <definedName name="BEx5C8GZQK13G60ZM70P63I5OS0L" hidden="1">#REF!</definedName>
    <definedName name="BEx5CAPTVN2NBT3UOMA1UFAL1C2R" localSheetId="30" hidden="1">#REF!</definedName>
    <definedName name="BEx5CAPTVN2NBT3UOMA1UFAL1C2R" localSheetId="29" hidden="1">#REF!</definedName>
    <definedName name="BEx5CAPTVN2NBT3UOMA1UFAL1C2R" localSheetId="33" hidden="1">#REF!</definedName>
    <definedName name="BEx5CAPTVN2NBT3UOMA1UFAL1C2R" localSheetId="31" hidden="1">#REF!</definedName>
    <definedName name="BEx5CAPTVN2NBT3UOMA1UFAL1C2R" localSheetId="32" hidden="1">#REF!</definedName>
    <definedName name="BEx5CAPTVN2NBT3UOMA1UFAL1C2R" hidden="1">#REF!</definedName>
    <definedName name="BEx5CEM3SYF9XP0ZZVE0GEPCLV3F" localSheetId="30" hidden="1">#REF!</definedName>
    <definedName name="BEx5CEM3SYF9XP0ZZVE0GEPCLV3F" localSheetId="29" hidden="1">#REF!</definedName>
    <definedName name="BEx5CEM3SYF9XP0ZZVE0GEPCLV3F" localSheetId="33" hidden="1">#REF!</definedName>
    <definedName name="BEx5CEM3SYF9XP0ZZVE0GEPCLV3F" localSheetId="31" hidden="1">#REF!</definedName>
    <definedName name="BEx5CEM3SYF9XP0ZZVE0GEPCLV3F" localSheetId="32" hidden="1">#REF!</definedName>
    <definedName name="BEx5CEM3SYF9XP0ZZVE0GEPCLV3F" hidden="1">#REF!</definedName>
    <definedName name="BEx5CFYQ0F1Z6P8SCVJ0I3UPVFE4" localSheetId="30" hidden="1">#REF!</definedName>
    <definedName name="BEx5CFYQ0F1Z6P8SCVJ0I3UPVFE4" localSheetId="29" hidden="1">#REF!</definedName>
    <definedName name="BEx5CFYQ0F1Z6P8SCVJ0I3UPVFE4" localSheetId="33" hidden="1">#REF!</definedName>
    <definedName name="BEx5CFYQ0F1Z6P8SCVJ0I3UPVFE4" localSheetId="31" hidden="1">#REF!</definedName>
    <definedName name="BEx5CFYQ0F1Z6P8SCVJ0I3UPVFE4" localSheetId="32" hidden="1">#REF!</definedName>
    <definedName name="BEx5CFYQ0F1Z6P8SCVJ0I3UPVFE4" hidden="1">#REF!</definedName>
    <definedName name="BEx5CINUDCSDCAJSNNV7XVNU8Q79" localSheetId="30" hidden="1">#REF!</definedName>
    <definedName name="BEx5CINUDCSDCAJSNNV7XVNU8Q79" localSheetId="29" hidden="1">#REF!</definedName>
    <definedName name="BEx5CINUDCSDCAJSNNV7XVNU8Q79" localSheetId="33" hidden="1">#REF!</definedName>
    <definedName name="BEx5CINUDCSDCAJSNNV7XVNU8Q79" localSheetId="31" hidden="1">#REF!</definedName>
    <definedName name="BEx5CINUDCSDCAJSNNV7XVNU8Q79" localSheetId="32" hidden="1">#REF!</definedName>
    <definedName name="BEx5CINUDCSDCAJSNNV7XVNU8Q79" hidden="1">#REF!</definedName>
    <definedName name="BEx5CNLUIOYU8EODGA03Z3547I9T" localSheetId="30" hidden="1">#REF!</definedName>
    <definedName name="BEx5CNLUIOYU8EODGA03Z3547I9T" localSheetId="29" hidden="1">#REF!</definedName>
    <definedName name="BEx5CNLUIOYU8EODGA03Z3547I9T" localSheetId="33" hidden="1">#REF!</definedName>
    <definedName name="BEx5CNLUIOYU8EODGA03Z3547I9T" localSheetId="31" hidden="1">#REF!</definedName>
    <definedName name="BEx5CNLUIOYU8EODGA03Z3547I9T" localSheetId="32" hidden="1">#REF!</definedName>
    <definedName name="BEx5CNLUIOYU8EODGA03Z3547I9T" hidden="1">#REF!</definedName>
    <definedName name="BEx5CPEKNSJORIPFQC2E1LTRYY8L" localSheetId="30" hidden="1">#REF!</definedName>
    <definedName name="BEx5CPEKNSJORIPFQC2E1LTRYY8L" localSheetId="29" hidden="1">#REF!</definedName>
    <definedName name="BEx5CPEKNSJORIPFQC2E1LTRYY8L" localSheetId="33" hidden="1">#REF!</definedName>
    <definedName name="BEx5CPEKNSJORIPFQC2E1LTRYY8L" localSheetId="31" hidden="1">#REF!</definedName>
    <definedName name="BEx5CPEKNSJORIPFQC2E1LTRYY8L" localSheetId="32" hidden="1">#REF!</definedName>
    <definedName name="BEx5CPEKNSJORIPFQC2E1LTRYY8L" hidden="1">#REF!</definedName>
    <definedName name="BEx5CSUOL05D8PAM2TRDA9VRJT1O" localSheetId="30" hidden="1">#REF!</definedName>
    <definedName name="BEx5CSUOL05D8PAM2TRDA9VRJT1O" localSheetId="29" hidden="1">#REF!</definedName>
    <definedName name="BEx5CSUOL05D8PAM2TRDA9VRJT1O" localSheetId="33" hidden="1">#REF!</definedName>
    <definedName name="BEx5CSUOL05D8PAM2TRDA9VRJT1O" localSheetId="31" hidden="1">#REF!</definedName>
    <definedName name="BEx5CSUOL05D8PAM2TRDA9VRJT1O" localSheetId="32" hidden="1">#REF!</definedName>
    <definedName name="BEx5CSUOL05D8PAM2TRDA9VRJT1O" hidden="1">#REF!</definedName>
    <definedName name="BEx5CUNFOO4YDFJ22HCMI2QKIGKM" localSheetId="30" hidden="1">#REF!</definedName>
    <definedName name="BEx5CUNFOO4YDFJ22HCMI2QKIGKM" localSheetId="29" hidden="1">#REF!</definedName>
    <definedName name="BEx5CUNFOO4YDFJ22HCMI2QKIGKM" localSheetId="33" hidden="1">#REF!</definedName>
    <definedName name="BEx5CUNFOO4YDFJ22HCMI2QKIGKM" localSheetId="31" hidden="1">#REF!</definedName>
    <definedName name="BEx5CUNFOO4YDFJ22HCMI2QKIGKM" localSheetId="32" hidden="1">#REF!</definedName>
    <definedName name="BEx5CUNFOO4YDFJ22HCMI2QKIGKM" hidden="1">#REF!</definedName>
    <definedName name="BEx5CXCJE4XS5WQ4QEUTT6CIR7JD" localSheetId="30" hidden="1">#REF!</definedName>
    <definedName name="BEx5CXCJE4XS5WQ4QEUTT6CIR7JD" localSheetId="29" hidden="1">#REF!</definedName>
    <definedName name="BEx5CXCJE4XS5WQ4QEUTT6CIR7JD" localSheetId="33" hidden="1">#REF!</definedName>
    <definedName name="BEx5CXCJE4XS5WQ4QEUTT6CIR7JD" localSheetId="31" hidden="1">#REF!</definedName>
    <definedName name="BEx5CXCJE4XS5WQ4QEUTT6CIR7JD" localSheetId="32" hidden="1">#REF!</definedName>
    <definedName name="BEx5CXCJE4XS5WQ4QEUTT6CIR7JD" hidden="1">#REF!</definedName>
    <definedName name="BEx5D8L47OF0WHBPFWXGZINZWUBZ" localSheetId="30" hidden="1">#REF!</definedName>
    <definedName name="BEx5D8L47OF0WHBPFWXGZINZWUBZ" localSheetId="29" hidden="1">#REF!</definedName>
    <definedName name="BEx5D8L47OF0WHBPFWXGZINZWUBZ" localSheetId="33" hidden="1">#REF!</definedName>
    <definedName name="BEx5D8L47OF0WHBPFWXGZINZWUBZ" localSheetId="31" hidden="1">#REF!</definedName>
    <definedName name="BEx5D8L47OF0WHBPFWXGZINZWUBZ" localSheetId="32" hidden="1">#REF!</definedName>
    <definedName name="BEx5D8L47OF0WHBPFWXGZINZWUBZ" hidden="1">#REF!</definedName>
    <definedName name="BEx5DAJAHQ2SKUPCKSCR3PYML67L" localSheetId="30" hidden="1">#REF!</definedName>
    <definedName name="BEx5DAJAHQ2SKUPCKSCR3PYML67L" localSheetId="29" hidden="1">#REF!</definedName>
    <definedName name="BEx5DAJAHQ2SKUPCKSCR3PYML67L" localSheetId="33" hidden="1">#REF!</definedName>
    <definedName name="BEx5DAJAHQ2SKUPCKSCR3PYML67L" localSheetId="31" hidden="1">#REF!</definedName>
    <definedName name="BEx5DAJAHQ2SKUPCKSCR3PYML67L" localSheetId="32" hidden="1">#REF!</definedName>
    <definedName name="BEx5DAJAHQ2SKUPCKSCR3PYML67L" hidden="1">#REF!</definedName>
    <definedName name="BEx5DC18JM1KJCV44PF18E0LNRKA" localSheetId="30" hidden="1">#REF!</definedName>
    <definedName name="BEx5DC18JM1KJCV44PF18E0LNRKA" localSheetId="29" hidden="1">#REF!</definedName>
    <definedName name="BEx5DC18JM1KJCV44PF18E0LNRKA" localSheetId="33" hidden="1">#REF!</definedName>
    <definedName name="BEx5DC18JM1KJCV44PF18E0LNRKA" localSheetId="31" hidden="1">#REF!</definedName>
    <definedName name="BEx5DC18JM1KJCV44PF18E0LNRKA" localSheetId="32" hidden="1">#REF!</definedName>
    <definedName name="BEx5DC18JM1KJCV44PF18E0LNRKA" hidden="1">#REF!</definedName>
    <definedName name="BEx5DJIZBTNS011R9IIG2OQ2L6ZX" localSheetId="30" hidden="1">#REF!</definedName>
    <definedName name="BEx5DJIZBTNS011R9IIG2OQ2L6ZX" localSheetId="29" hidden="1">#REF!</definedName>
    <definedName name="BEx5DJIZBTNS011R9IIG2OQ2L6ZX" localSheetId="33" hidden="1">#REF!</definedName>
    <definedName name="BEx5DJIZBTNS011R9IIG2OQ2L6ZX" localSheetId="31" hidden="1">#REF!</definedName>
    <definedName name="BEx5DJIZBTNS011R9IIG2OQ2L6ZX" localSheetId="32" hidden="1">#REF!</definedName>
    <definedName name="BEx5DJIZBTNS011R9IIG2OQ2L6ZX" hidden="1">#REF!</definedName>
    <definedName name="BEx5DW9GIV9VZTQD3DC71KQY4V6S" localSheetId="30" hidden="1">#REF!</definedName>
    <definedName name="BEx5DW9GIV9VZTQD3DC71KQY4V6S" localSheetId="29" hidden="1">#REF!</definedName>
    <definedName name="BEx5DW9GIV9VZTQD3DC71KQY4V6S" localSheetId="33" hidden="1">#REF!</definedName>
    <definedName name="BEx5DW9GIV9VZTQD3DC71KQY4V6S" localSheetId="31" hidden="1">#REF!</definedName>
    <definedName name="BEx5DW9GIV9VZTQD3DC71KQY4V6S" localSheetId="32" hidden="1">#REF!</definedName>
    <definedName name="BEx5DW9GIV9VZTQD3DC71KQY4V6S" hidden="1">#REF!</definedName>
    <definedName name="BEx5E123OLO9WQUOIRIDJ967KAGK" localSheetId="30" hidden="1">#REF!</definedName>
    <definedName name="BEx5E123OLO9WQUOIRIDJ967KAGK" localSheetId="29" hidden="1">#REF!</definedName>
    <definedName name="BEx5E123OLO9WQUOIRIDJ967KAGK" localSheetId="33" hidden="1">#REF!</definedName>
    <definedName name="BEx5E123OLO9WQUOIRIDJ967KAGK" localSheetId="31" hidden="1">#REF!</definedName>
    <definedName name="BEx5E123OLO9WQUOIRIDJ967KAGK" localSheetId="32" hidden="1">#REF!</definedName>
    <definedName name="BEx5E123OLO9WQUOIRIDJ967KAGK" hidden="1">#REF!</definedName>
    <definedName name="BEx5E2UU5NES6W779W2OZTZOB4O7" localSheetId="30" hidden="1">#REF!</definedName>
    <definedName name="BEx5E2UU5NES6W779W2OZTZOB4O7" localSheetId="29" hidden="1">#REF!</definedName>
    <definedName name="BEx5E2UU5NES6W779W2OZTZOB4O7" localSheetId="33" hidden="1">#REF!</definedName>
    <definedName name="BEx5E2UU5NES6W779W2OZTZOB4O7" localSheetId="31" hidden="1">#REF!</definedName>
    <definedName name="BEx5E2UU5NES6W779W2OZTZOB4O7" localSheetId="32" hidden="1">#REF!</definedName>
    <definedName name="BEx5E2UU5NES6W779W2OZTZOB4O7" hidden="1">#REF!</definedName>
    <definedName name="BEx5E4CSE5G83J5K32WENF7BXL82" localSheetId="30" hidden="1">#REF!</definedName>
    <definedName name="BEx5E4CSE5G83J5K32WENF7BXL82" localSheetId="29" hidden="1">#REF!</definedName>
    <definedName name="BEx5E4CSE5G83J5K32WENF7BXL82" localSheetId="33" hidden="1">#REF!</definedName>
    <definedName name="BEx5E4CSE5G83J5K32WENF7BXL82" localSheetId="31" hidden="1">#REF!</definedName>
    <definedName name="BEx5E4CSE5G83J5K32WENF7BXL82" localSheetId="32" hidden="1">#REF!</definedName>
    <definedName name="BEx5E4CSE5G83J5K32WENF7BXL82" hidden="1">#REF!</definedName>
    <definedName name="BEx5EEOYJN11XM1MKAYZZIPEOB2H" localSheetId="30" hidden="1">#REF!</definedName>
    <definedName name="BEx5EEOYJN11XM1MKAYZZIPEOB2H" localSheetId="29" hidden="1">#REF!</definedName>
    <definedName name="BEx5EEOYJN11XM1MKAYZZIPEOB2H" localSheetId="33" hidden="1">#REF!</definedName>
    <definedName name="BEx5EEOYJN11XM1MKAYZZIPEOB2H" localSheetId="31" hidden="1">#REF!</definedName>
    <definedName name="BEx5EEOYJN11XM1MKAYZZIPEOB2H" localSheetId="32" hidden="1">#REF!</definedName>
    <definedName name="BEx5EEOYJN11XM1MKAYZZIPEOB2H" hidden="1">#REF!</definedName>
    <definedName name="BEx5ELQL9B0VR6UT18KP11DHOTFX" localSheetId="30" hidden="1">#REF!</definedName>
    <definedName name="BEx5ELQL9B0VR6UT18KP11DHOTFX" localSheetId="29" hidden="1">#REF!</definedName>
    <definedName name="BEx5ELQL9B0VR6UT18KP11DHOTFX" localSheetId="33" hidden="1">#REF!</definedName>
    <definedName name="BEx5ELQL9B0VR6UT18KP11DHOTFX" localSheetId="31" hidden="1">#REF!</definedName>
    <definedName name="BEx5ELQL9B0VR6UT18KP11DHOTFX" localSheetId="32" hidden="1">#REF!</definedName>
    <definedName name="BEx5ELQL9B0VR6UT18KP11DHOTFX" hidden="1">#REF!</definedName>
    <definedName name="BEx5ER4TJTFPN7IB1MNEB1ZFR5M6" localSheetId="30" hidden="1">#REF!</definedName>
    <definedName name="BEx5ER4TJTFPN7IB1MNEB1ZFR5M6" localSheetId="29" hidden="1">#REF!</definedName>
    <definedName name="BEx5ER4TJTFPN7IB1MNEB1ZFR5M6" localSheetId="33" hidden="1">#REF!</definedName>
    <definedName name="BEx5ER4TJTFPN7IB1MNEB1ZFR5M6" localSheetId="31" hidden="1">#REF!</definedName>
    <definedName name="BEx5ER4TJTFPN7IB1MNEB1ZFR5M6" localSheetId="32" hidden="1">#REF!</definedName>
    <definedName name="BEx5ER4TJTFPN7IB1MNEB1ZFR5M6" hidden="1">#REF!</definedName>
    <definedName name="BEx5F6V72QTCK7O39Y59R0EVM6CW" localSheetId="30" hidden="1">#REF!</definedName>
    <definedName name="BEx5F6V72QTCK7O39Y59R0EVM6CW" localSheetId="29" hidden="1">#REF!</definedName>
    <definedName name="BEx5F6V72QTCK7O39Y59R0EVM6CW" localSheetId="33" hidden="1">#REF!</definedName>
    <definedName name="BEx5F6V72QTCK7O39Y59R0EVM6CW" localSheetId="31" hidden="1">#REF!</definedName>
    <definedName name="BEx5F6V72QTCK7O39Y59R0EVM6CW" localSheetId="32" hidden="1">#REF!</definedName>
    <definedName name="BEx5F6V72QTCK7O39Y59R0EVM6CW" hidden="1">#REF!</definedName>
    <definedName name="BEx5FGLQVACD5F5YZG4DGSCHCGO2" localSheetId="30" hidden="1">#REF!</definedName>
    <definedName name="BEx5FGLQVACD5F5YZG4DGSCHCGO2" localSheetId="29" hidden="1">#REF!</definedName>
    <definedName name="BEx5FGLQVACD5F5YZG4DGSCHCGO2" localSheetId="33" hidden="1">#REF!</definedName>
    <definedName name="BEx5FGLQVACD5F5YZG4DGSCHCGO2" localSheetId="31" hidden="1">#REF!</definedName>
    <definedName name="BEx5FGLQVACD5F5YZG4DGSCHCGO2" localSheetId="32" hidden="1">#REF!</definedName>
    <definedName name="BEx5FGLQVACD5F5YZG4DGSCHCGO2" hidden="1">#REF!</definedName>
    <definedName name="BEx5FLJWHLW3BTZILDPN5NMA449V" localSheetId="30" hidden="1">#REF!</definedName>
    <definedName name="BEx5FLJWHLW3BTZILDPN5NMA449V" localSheetId="29" hidden="1">#REF!</definedName>
    <definedName name="BEx5FLJWHLW3BTZILDPN5NMA449V" localSheetId="33" hidden="1">#REF!</definedName>
    <definedName name="BEx5FLJWHLW3BTZILDPN5NMA449V" localSheetId="31" hidden="1">#REF!</definedName>
    <definedName name="BEx5FLJWHLW3BTZILDPN5NMA449V" localSheetId="32" hidden="1">#REF!</definedName>
    <definedName name="BEx5FLJWHLW3BTZILDPN5NMA449V" hidden="1">#REF!</definedName>
    <definedName name="BEx5FNI2O10YN2SI1NO4X5GP3GTF" localSheetId="30" hidden="1">#REF!</definedName>
    <definedName name="BEx5FNI2O10YN2SI1NO4X5GP3GTF" localSheetId="29" hidden="1">#REF!</definedName>
    <definedName name="BEx5FNI2O10YN2SI1NO4X5GP3GTF" localSheetId="33" hidden="1">#REF!</definedName>
    <definedName name="BEx5FNI2O10YN2SI1NO4X5GP3GTF" localSheetId="31" hidden="1">#REF!</definedName>
    <definedName name="BEx5FNI2O10YN2SI1NO4X5GP3GTF" localSheetId="32" hidden="1">#REF!</definedName>
    <definedName name="BEx5FNI2O10YN2SI1NO4X5GP3GTF" hidden="1">#REF!</definedName>
    <definedName name="BEx5FO8YRFSZCG3L608EHIHIHFY4" localSheetId="30" hidden="1">#REF!</definedName>
    <definedName name="BEx5FO8YRFSZCG3L608EHIHIHFY4" localSheetId="29" hidden="1">#REF!</definedName>
    <definedName name="BEx5FO8YRFSZCG3L608EHIHIHFY4" localSheetId="33" hidden="1">#REF!</definedName>
    <definedName name="BEx5FO8YRFSZCG3L608EHIHIHFY4" localSheetId="31" hidden="1">#REF!</definedName>
    <definedName name="BEx5FO8YRFSZCG3L608EHIHIHFY4" localSheetId="32" hidden="1">#REF!</definedName>
    <definedName name="BEx5FO8YRFSZCG3L608EHIHIHFY4" hidden="1">#REF!</definedName>
    <definedName name="BEx5FQNA6V4CNYSH013K45RI4BCV" localSheetId="30" hidden="1">#REF!</definedName>
    <definedName name="BEx5FQNA6V4CNYSH013K45RI4BCV" localSheetId="29" hidden="1">#REF!</definedName>
    <definedName name="BEx5FQNA6V4CNYSH013K45RI4BCV" localSheetId="33" hidden="1">#REF!</definedName>
    <definedName name="BEx5FQNA6V4CNYSH013K45RI4BCV" localSheetId="31" hidden="1">#REF!</definedName>
    <definedName name="BEx5FQNA6V4CNYSH013K45RI4BCV" localSheetId="32" hidden="1">#REF!</definedName>
    <definedName name="BEx5FQNA6V4CNYSH013K45RI4BCV" hidden="1">#REF!</definedName>
    <definedName name="BEx5FVQPPEU32CPNV9RRQ9MNLLVE" localSheetId="30" hidden="1">#REF!</definedName>
    <definedName name="BEx5FVQPPEU32CPNV9RRQ9MNLLVE" localSheetId="29" hidden="1">#REF!</definedName>
    <definedName name="BEx5FVQPPEU32CPNV9RRQ9MNLLVE" localSheetId="33" hidden="1">#REF!</definedName>
    <definedName name="BEx5FVQPPEU32CPNV9RRQ9MNLLVE" localSheetId="31" hidden="1">#REF!</definedName>
    <definedName name="BEx5FVQPPEU32CPNV9RRQ9MNLLVE" localSheetId="32" hidden="1">#REF!</definedName>
    <definedName name="BEx5FVQPPEU32CPNV9RRQ9MNLLVE" hidden="1">#REF!</definedName>
    <definedName name="BEx5G08KGMG5X2AQKDGPFYG5GH94" localSheetId="30" hidden="1">#REF!</definedName>
    <definedName name="BEx5G08KGMG5X2AQKDGPFYG5GH94" localSheetId="29" hidden="1">#REF!</definedName>
    <definedName name="BEx5G08KGMG5X2AQKDGPFYG5GH94" localSheetId="33" hidden="1">#REF!</definedName>
    <definedName name="BEx5G08KGMG5X2AQKDGPFYG5GH94" localSheetId="31" hidden="1">#REF!</definedName>
    <definedName name="BEx5G08KGMG5X2AQKDGPFYG5GH94" localSheetId="32" hidden="1">#REF!</definedName>
    <definedName name="BEx5G08KGMG5X2AQKDGPFYG5GH94" hidden="1">#REF!</definedName>
    <definedName name="BEx5G1A8TFN4C4QII35U9DKYNIS8" localSheetId="30" hidden="1">#REF!</definedName>
    <definedName name="BEx5G1A8TFN4C4QII35U9DKYNIS8" localSheetId="29" hidden="1">#REF!</definedName>
    <definedName name="BEx5G1A8TFN4C4QII35U9DKYNIS8" localSheetId="33" hidden="1">#REF!</definedName>
    <definedName name="BEx5G1A8TFN4C4QII35U9DKYNIS8" localSheetId="31" hidden="1">#REF!</definedName>
    <definedName name="BEx5G1A8TFN4C4QII35U9DKYNIS8" localSheetId="32" hidden="1">#REF!</definedName>
    <definedName name="BEx5G1A8TFN4C4QII35U9DKYNIS8" hidden="1">#REF!</definedName>
    <definedName name="BEx5G1L0QO91KEPDMV1D8OT4BT73" localSheetId="30" hidden="1">#REF!</definedName>
    <definedName name="BEx5G1L0QO91KEPDMV1D8OT4BT73" localSheetId="29" hidden="1">#REF!</definedName>
    <definedName name="BEx5G1L0QO91KEPDMV1D8OT4BT73" localSheetId="33" hidden="1">#REF!</definedName>
    <definedName name="BEx5G1L0QO91KEPDMV1D8OT4BT73" localSheetId="31" hidden="1">#REF!</definedName>
    <definedName name="BEx5G1L0QO91KEPDMV1D8OT4BT73" localSheetId="32" hidden="1">#REF!</definedName>
    <definedName name="BEx5G1L0QO91KEPDMV1D8OT4BT73" hidden="1">#REF!</definedName>
    <definedName name="BEx5G86DZL1VYUX6KWODAP3WFAWP" localSheetId="30" hidden="1">#REF!</definedName>
    <definedName name="BEx5G86DZL1VYUX6KWODAP3WFAWP" localSheetId="29" hidden="1">#REF!</definedName>
    <definedName name="BEx5G86DZL1VYUX6KWODAP3WFAWP" localSheetId="33" hidden="1">#REF!</definedName>
    <definedName name="BEx5G86DZL1VYUX6KWODAP3WFAWP" localSheetId="31" hidden="1">#REF!</definedName>
    <definedName name="BEx5G86DZL1VYUX6KWODAP3WFAWP" localSheetId="32" hidden="1">#REF!</definedName>
    <definedName name="BEx5G86DZL1VYUX6KWODAP3WFAWP" hidden="1">#REF!</definedName>
    <definedName name="BEx5G8BV2GIOCM3C7IUFK8L04A6M" localSheetId="30" hidden="1">#REF!</definedName>
    <definedName name="BEx5G8BV2GIOCM3C7IUFK8L04A6M" localSheetId="29" hidden="1">#REF!</definedName>
    <definedName name="BEx5G8BV2GIOCM3C7IUFK8L04A6M" localSheetId="33" hidden="1">#REF!</definedName>
    <definedName name="BEx5G8BV2GIOCM3C7IUFK8L04A6M" localSheetId="31" hidden="1">#REF!</definedName>
    <definedName name="BEx5G8BV2GIOCM3C7IUFK8L04A6M" localSheetId="32" hidden="1">#REF!</definedName>
    <definedName name="BEx5G8BV2GIOCM3C7IUFK8L04A6M" hidden="1">#REF!</definedName>
    <definedName name="BEx5GID9MVBUPFFT9M8K8B5MO9NV" localSheetId="30" hidden="1">#REF!</definedName>
    <definedName name="BEx5GID9MVBUPFFT9M8K8B5MO9NV" localSheetId="29" hidden="1">#REF!</definedName>
    <definedName name="BEx5GID9MVBUPFFT9M8K8B5MO9NV" localSheetId="33" hidden="1">#REF!</definedName>
    <definedName name="BEx5GID9MVBUPFFT9M8K8B5MO9NV" localSheetId="31" hidden="1">#REF!</definedName>
    <definedName name="BEx5GID9MVBUPFFT9M8K8B5MO9NV" localSheetId="32" hidden="1">#REF!</definedName>
    <definedName name="BEx5GID9MVBUPFFT9M8K8B5MO9NV" hidden="1">#REF!</definedName>
    <definedName name="BEx5GN0EWA9SCQDPQ7NTUQH82QVK" localSheetId="30" hidden="1">#REF!</definedName>
    <definedName name="BEx5GN0EWA9SCQDPQ7NTUQH82QVK" localSheetId="29" hidden="1">#REF!</definedName>
    <definedName name="BEx5GN0EWA9SCQDPQ7NTUQH82QVK" localSheetId="33" hidden="1">#REF!</definedName>
    <definedName name="BEx5GN0EWA9SCQDPQ7NTUQH82QVK" localSheetId="31" hidden="1">#REF!</definedName>
    <definedName name="BEx5GN0EWA9SCQDPQ7NTUQH82QVK" localSheetId="32" hidden="1">#REF!</definedName>
    <definedName name="BEx5GN0EWA9SCQDPQ7NTUQH82QVK" hidden="1">#REF!</definedName>
    <definedName name="BEx5GNBCU4WZ74I0UXFL9ZG2XSGJ" localSheetId="30" hidden="1">#REF!</definedName>
    <definedName name="BEx5GNBCU4WZ74I0UXFL9ZG2XSGJ" localSheetId="29" hidden="1">#REF!</definedName>
    <definedName name="BEx5GNBCU4WZ74I0UXFL9ZG2XSGJ" localSheetId="33" hidden="1">#REF!</definedName>
    <definedName name="BEx5GNBCU4WZ74I0UXFL9ZG2XSGJ" localSheetId="31" hidden="1">#REF!</definedName>
    <definedName name="BEx5GNBCU4WZ74I0UXFL9ZG2XSGJ" localSheetId="32" hidden="1">#REF!</definedName>
    <definedName name="BEx5GNBCU4WZ74I0UXFL9ZG2XSGJ" hidden="1">#REF!</definedName>
    <definedName name="BEx5GUCTYC7QCWGWU5BTO7Y7HDZX" localSheetId="30" hidden="1">#REF!</definedName>
    <definedName name="BEx5GUCTYC7QCWGWU5BTO7Y7HDZX" localSheetId="29" hidden="1">#REF!</definedName>
    <definedName name="BEx5GUCTYC7QCWGWU5BTO7Y7HDZX" localSheetId="33" hidden="1">#REF!</definedName>
    <definedName name="BEx5GUCTYC7QCWGWU5BTO7Y7HDZX" localSheetId="31" hidden="1">#REF!</definedName>
    <definedName name="BEx5GUCTYC7QCWGWU5BTO7Y7HDZX" localSheetId="32" hidden="1">#REF!</definedName>
    <definedName name="BEx5GUCTYC7QCWGWU5BTO7Y7HDZX" hidden="1">#REF!</definedName>
    <definedName name="BEx5GYUPJULJQ624TEESYFG1NFOH" localSheetId="30" hidden="1">#REF!</definedName>
    <definedName name="BEx5GYUPJULJQ624TEESYFG1NFOH" localSheetId="29" hidden="1">#REF!</definedName>
    <definedName name="BEx5GYUPJULJQ624TEESYFG1NFOH" localSheetId="33" hidden="1">#REF!</definedName>
    <definedName name="BEx5GYUPJULJQ624TEESYFG1NFOH" localSheetId="31" hidden="1">#REF!</definedName>
    <definedName name="BEx5GYUPJULJQ624TEESYFG1NFOH" localSheetId="32" hidden="1">#REF!</definedName>
    <definedName name="BEx5GYUPJULJQ624TEESYFG1NFOH" hidden="1">#REF!</definedName>
    <definedName name="BEx5H0NEE0AIN5E2UHJ9J9ISU9N1" localSheetId="30" hidden="1">#REF!</definedName>
    <definedName name="BEx5H0NEE0AIN5E2UHJ9J9ISU9N1" localSheetId="29" hidden="1">#REF!</definedName>
    <definedName name="BEx5H0NEE0AIN5E2UHJ9J9ISU9N1" localSheetId="33" hidden="1">#REF!</definedName>
    <definedName name="BEx5H0NEE0AIN5E2UHJ9J9ISU9N1" localSheetId="31" hidden="1">#REF!</definedName>
    <definedName name="BEx5H0NEE0AIN5E2UHJ9J9ISU9N1" localSheetId="32" hidden="1">#REF!</definedName>
    <definedName name="BEx5H0NEE0AIN5E2UHJ9J9ISU9N1" hidden="1">#REF!</definedName>
    <definedName name="BEx5H1UJSEUQM2K8QHQXO5THVHSO" localSheetId="30" hidden="1">#REF!</definedName>
    <definedName name="BEx5H1UJSEUQM2K8QHQXO5THVHSO" localSheetId="29" hidden="1">#REF!</definedName>
    <definedName name="BEx5H1UJSEUQM2K8QHQXO5THVHSO" localSheetId="33" hidden="1">#REF!</definedName>
    <definedName name="BEx5H1UJSEUQM2K8QHQXO5THVHSO" localSheetId="31" hidden="1">#REF!</definedName>
    <definedName name="BEx5H1UJSEUQM2K8QHQXO5THVHSO" localSheetId="32" hidden="1">#REF!</definedName>
    <definedName name="BEx5H1UJSEUQM2K8QHQXO5THVHSO" hidden="1">#REF!</definedName>
    <definedName name="BEx5HAOT9XWUF7XIFRZZS8B9F5TZ" localSheetId="30" hidden="1">#REF!</definedName>
    <definedName name="BEx5HAOT9XWUF7XIFRZZS8B9F5TZ" localSheetId="29" hidden="1">#REF!</definedName>
    <definedName name="BEx5HAOT9XWUF7XIFRZZS8B9F5TZ" localSheetId="33" hidden="1">#REF!</definedName>
    <definedName name="BEx5HAOT9XWUF7XIFRZZS8B9F5TZ" localSheetId="31" hidden="1">#REF!</definedName>
    <definedName name="BEx5HAOT9XWUF7XIFRZZS8B9F5TZ" localSheetId="32" hidden="1">#REF!</definedName>
    <definedName name="BEx5HAOT9XWUF7XIFRZZS8B9F5TZ" hidden="1">#REF!</definedName>
    <definedName name="BEx5HE4XRF9BUY04MENWY9CHHN5H" localSheetId="30" hidden="1">#REF!</definedName>
    <definedName name="BEx5HE4XRF9BUY04MENWY9CHHN5H" localSheetId="29" hidden="1">#REF!</definedName>
    <definedName name="BEx5HE4XRF9BUY04MENWY9CHHN5H" localSheetId="33" hidden="1">#REF!</definedName>
    <definedName name="BEx5HE4XRF9BUY04MENWY9CHHN5H" localSheetId="31" hidden="1">#REF!</definedName>
    <definedName name="BEx5HE4XRF9BUY04MENWY9CHHN5H" localSheetId="32" hidden="1">#REF!</definedName>
    <definedName name="BEx5HE4XRF9BUY04MENWY9CHHN5H" hidden="1">#REF!</definedName>
    <definedName name="BEx5HFHMABAT0H9KKS754X4T304E" localSheetId="30" hidden="1">#REF!</definedName>
    <definedName name="BEx5HFHMABAT0H9KKS754X4T304E" localSheetId="29" hidden="1">#REF!</definedName>
    <definedName name="BEx5HFHMABAT0H9KKS754X4T304E" localSheetId="33" hidden="1">#REF!</definedName>
    <definedName name="BEx5HFHMABAT0H9KKS754X4T304E" localSheetId="31" hidden="1">#REF!</definedName>
    <definedName name="BEx5HFHMABAT0H9KKS754X4T304E" localSheetId="32" hidden="1">#REF!</definedName>
    <definedName name="BEx5HFHMABAT0H9KKS754X4T304E" hidden="1">#REF!</definedName>
    <definedName name="BEx5HGDZ7MX1S3KNXLRL9WU565V4" localSheetId="30" hidden="1">#REF!</definedName>
    <definedName name="BEx5HGDZ7MX1S3KNXLRL9WU565V4" localSheetId="29" hidden="1">#REF!</definedName>
    <definedName name="BEx5HGDZ7MX1S3KNXLRL9WU565V4" localSheetId="33" hidden="1">#REF!</definedName>
    <definedName name="BEx5HGDZ7MX1S3KNXLRL9WU565V4" localSheetId="31" hidden="1">#REF!</definedName>
    <definedName name="BEx5HGDZ7MX1S3KNXLRL9WU565V4" localSheetId="32" hidden="1">#REF!</definedName>
    <definedName name="BEx5HGDZ7MX1S3KNXLRL9WU565V4" hidden="1">#REF!</definedName>
    <definedName name="BEx5HJZ9FAVNZSSBTAYRPZDYM9NU" localSheetId="30" hidden="1">#REF!</definedName>
    <definedName name="BEx5HJZ9FAVNZSSBTAYRPZDYM9NU" localSheetId="29" hidden="1">#REF!</definedName>
    <definedName name="BEx5HJZ9FAVNZSSBTAYRPZDYM9NU" localSheetId="33" hidden="1">#REF!</definedName>
    <definedName name="BEx5HJZ9FAVNZSSBTAYRPZDYM9NU" localSheetId="31" hidden="1">#REF!</definedName>
    <definedName name="BEx5HJZ9FAVNZSSBTAYRPZDYM9NU" localSheetId="32" hidden="1">#REF!</definedName>
    <definedName name="BEx5HJZ9FAVNZSSBTAYRPZDYM9NU" hidden="1">#REF!</definedName>
    <definedName name="BEx5HZ9JMKHNLFWLVUB1WP5B39BL" localSheetId="30" hidden="1">#REF!</definedName>
    <definedName name="BEx5HZ9JMKHNLFWLVUB1WP5B39BL" localSheetId="29" hidden="1">#REF!</definedName>
    <definedName name="BEx5HZ9JMKHNLFWLVUB1WP5B39BL" localSheetId="33" hidden="1">#REF!</definedName>
    <definedName name="BEx5HZ9JMKHNLFWLVUB1WP5B39BL" localSheetId="31" hidden="1">#REF!</definedName>
    <definedName name="BEx5HZ9JMKHNLFWLVUB1WP5B39BL" localSheetId="32" hidden="1">#REF!</definedName>
    <definedName name="BEx5HZ9JMKHNLFWLVUB1WP5B39BL" hidden="1">#REF!</definedName>
    <definedName name="BEx5I1YO0ZZJHPCLCKFWXI7ZPGR2" localSheetId="30" hidden="1">#REF!</definedName>
    <definedName name="BEx5I1YO0ZZJHPCLCKFWXI7ZPGR2" localSheetId="29" hidden="1">#REF!</definedName>
    <definedName name="BEx5I1YO0ZZJHPCLCKFWXI7ZPGR2" localSheetId="33" hidden="1">#REF!</definedName>
    <definedName name="BEx5I1YO0ZZJHPCLCKFWXI7ZPGR2" localSheetId="31" hidden="1">#REF!</definedName>
    <definedName name="BEx5I1YO0ZZJHPCLCKFWXI7ZPGR2" localSheetId="32" hidden="1">#REF!</definedName>
    <definedName name="BEx5I1YO0ZZJHPCLCKFWXI7ZPGR2" hidden="1">#REF!</definedName>
    <definedName name="BEx5I244LQHZTF3XI66J8705R9XX" localSheetId="30" hidden="1">#REF!</definedName>
    <definedName name="BEx5I244LQHZTF3XI66J8705R9XX" localSheetId="29" hidden="1">#REF!</definedName>
    <definedName name="BEx5I244LQHZTF3XI66J8705R9XX" localSheetId="33" hidden="1">#REF!</definedName>
    <definedName name="BEx5I244LQHZTF3XI66J8705R9XX" localSheetId="31" hidden="1">#REF!</definedName>
    <definedName name="BEx5I244LQHZTF3XI66J8705R9XX" localSheetId="32" hidden="1">#REF!</definedName>
    <definedName name="BEx5I244LQHZTF3XI66J8705R9XX" hidden="1">#REF!</definedName>
    <definedName name="BEx5I8PBP4LIXDGID5BP0THLO0AQ" localSheetId="30" hidden="1">#REF!</definedName>
    <definedName name="BEx5I8PBP4LIXDGID5BP0THLO0AQ" localSheetId="29" hidden="1">#REF!</definedName>
    <definedName name="BEx5I8PBP4LIXDGID5BP0THLO0AQ" localSheetId="33" hidden="1">#REF!</definedName>
    <definedName name="BEx5I8PBP4LIXDGID5BP0THLO0AQ" localSheetId="31" hidden="1">#REF!</definedName>
    <definedName name="BEx5I8PBP4LIXDGID5BP0THLO0AQ" localSheetId="32" hidden="1">#REF!</definedName>
    <definedName name="BEx5I8PBP4LIXDGID5BP0THLO0AQ" hidden="1">#REF!</definedName>
    <definedName name="BEx5I8USVUB3JP4S9OXGMZVMOQXR" localSheetId="30" hidden="1">#REF!</definedName>
    <definedName name="BEx5I8USVUB3JP4S9OXGMZVMOQXR" localSheetId="29" hidden="1">#REF!</definedName>
    <definedName name="BEx5I8USVUB3JP4S9OXGMZVMOQXR" localSheetId="33" hidden="1">#REF!</definedName>
    <definedName name="BEx5I8USVUB3JP4S9OXGMZVMOQXR" localSheetId="31" hidden="1">#REF!</definedName>
    <definedName name="BEx5I8USVUB3JP4S9OXGMZVMOQXR" localSheetId="32" hidden="1">#REF!</definedName>
    <definedName name="BEx5I8USVUB3JP4S9OXGMZVMOQXR" hidden="1">#REF!</definedName>
    <definedName name="BEx5I9GDQSYIAL65UQNDMNFQCS9Y" localSheetId="30" hidden="1">#REF!</definedName>
    <definedName name="BEx5I9GDQSYIAL65UQNDMNFQCS9Y" localSheetId="29" hidden="1">#REF!</definedName>
    <definedName name="BEx5I9GDQSYIAL65UQNDMNFQCS9Y" localSheetId="33" hidden="1">#REF!</definedName>
    <definedName name="BEx5I9GDQSYIAL65UQNDMNFQCS9Y" localSheetId="31" hidden="1">#REF!</definedName>
    <definedName name="BEx5I9GDQSYIAL65UQNDMNFQCS9Y" localSheetId="32" hidden="1">#REF!</definedName>
    <definedName name="BEx5I9GDQSYIAL65UQNDMNFQCS9Y" hidden="1">#REF!</definedName>
    <definedName name="BEx5IBUPG9AWNW5PK7JGRGEJ4OLM" localSheetId="30" hidden="1">#REF!</definedName>
    <definedName name="BEx5IBUPG9AWNW5PK7JGRGEJ4OLM" localSheetId="29" hidden="1">#REF!</definedName>
    <definedName name="BEx5IBUPG9AWNW5PK7JGRGEJ4OLM" localSheetId="33" hidden="1">#REF!</definedName>
    <definedName name="BEx5IBUPG9AWNW5PK7JGRGEJ4OLM" localSheetId="31" hidden="1">#REF!</definedName>
    <definedName name="BEx5IBUPG9AWNW5PK7JGRGEJ4OLM" localSheetId="32" hidden="1">#REF!</definedName>
    <definedName name="BEx5IBUPG9AWNW5PK7JGRGEJ4OLM" hidden="1">#REF!</definedName>
    <definedName name="BEx5IC06RVN8BSAEPREVKHKLCJ2L" localSheetId="30" hidden="1">#REF!</definedName>
    <definedName name="BEx5IC06RVN8BSAEPREVKHKLCJ2L" localSheetId="29" hidden="1">#REF!</definedName>
    <definedName name="BEx5IC06RVN8BSAEPREVKHKLCJ2L" localSheetId="33" hidden="1">#REF!</definedName>
    <definedName name="BEx5IC06RVN8BSAEPREVKHKLCJ2L" localSheetId="31" hidden="1">#REF!</definedName>
    <definedName name="BEx5IC06RVN8BSAEPREVKHKLCJ2L" localSheetId="32" hidden="1">#REF!</definedName>
    <definedName name="BEx5IC06RVN8BSAEPREVKHKLCJ2L" hidden="1">#REF!</definedName>
    <definedName name="BEx5J0FFP1KS4NGY20AEJI8VREEA" localSheetId="30" hidden="1">#REF!</definedName>
    <definedName name="BEx5J0FFP1KS4NGY20AEJI8VREEA" localSheetId="29" hidden="1">#REF!</definedName>
    <definedName name="BEx5J0FFP1KS4NGY20AEJI8VREEA" localSheetId="33" hidden="1">#REF!</definedName>
    <definedName name="BEx5J0FFP1KS4NGY20AEJI8VREEA" localSheetId="31" hidden="1">#REF!</definedName>
    <definedName name="BEx5J0FFP1KS4NGY20AEJI8VREEA" localSheetId="32" hidden="1">#REF!</definedName>
    <definedName name="BEx5J0FFP1KS4NGY20AEJI8VREEA" hidden="1">#REF!</definedName>
    <definedName name="BEx5J3KOU4OOJ9MTN8UG9LPAA0V1" localSheetId="30" hidden="1">#REF!</definedName>
    <definedName name="BEx5J3KOU4OOJ9MTN8UG9LPAA0V1" localSheetId="29" hidden="1">#REF!</definedName>
    <definedName name="BEx5J3KOU4OOJ9MTN8UG9LPAA0V1" localSheetId="33" hidden="1">#REF!</definedName>
    <definedName name="BEx5J3KOU4OOJ9MTN8UG9LPAA0V1" localSheetId="31" hidden="1">#REF!</definedName>
    <definedName name="BEx5J3KOU4OOJ9MTN8UG9LPAA0V1" localSheetId="32" hidden="1">#REF!</definedName>
    <definedName name="BEx5J3KOU4OOJ9MTN8UG9LPAA0V1" hidden="1">#REF!</definedName>
    <definedName name="BEx5JF3ZXLDIS8VNKDCY7ZI7H1CI" localSheetId="30" hidden="1">#REF!</definedName>
    <definedName name="BEx5JF3ZXLDIS8VNKDCY7ZI7H1CI" localSheetId="29" hidden="1">#REF!</definedName>
    <definedName name="BEx5JF3ZXLDIS8VNKDCY7ZI7H1CI" localSheetId="33" hidden="1">#REF!</definedName>
    <definedName name="BEx5JF3ZXLDIS8VNKDCY7ZI7H1CI" localSheetId="31" hidden="1">#REF!</definedName>
    <definedName name="BEx5JF3ZXLDIS8VNKDCY7ZI7H1CI" localSheetId="32" hidden="1">#REF!</definedName>
    <definedName name="BEx5JF3ZXLDIS8VNKDCY7ZI7H1CI" hidden="1">#REF!</definedName>
    <definedName name="BEx5JHCZJ8G6OOOW6EF3GABXKH6F" localSheetId="30" hidden="1">#REF!</definedName>
    <definedName name="BEx5JHCZJ8G6OOOW6EF3GABXKH6F" localSheetId="29" hidden="1">#REF!</definedName>
    <definedName name="BEx5JHCZJ8G6OOOW6EF3GABXKH6F" localSheetId="33" hidden="1">#REF!</definedName>
    <definedName name="BEx5JHCZJ8G6OOOW6EF3GABXKH6F" localSheetId="31" hidden="1">#REF!</definedName>
    <definedName name="BEx5JHCZJ8G6OOOW6EF3GABXKH6F" localSheetId="32" hidden="1">#REF!</definedName>
    <definedName name="BEx5JHCZJ8G6OOOW6EF3GABXKH6F" hidden="1">#REF!</definedName>
    <definedName name="BEx5JJB6W446THXQCRUKD3I7RKLP" localSheetId="30" hidden="1">#REF!</definedName>
    <definedName name="BEx5JJB6W446THXQCRUKD3I7RKLP" localSheetId="29" hidden="1">#REF!</definedName>
    <definedName name="BEx5JJB6W446THXQCRUKD3I7RKLP" localSheetId="33" hidden="1">#REF!</definedName>
    <definedName name="BEx5JJB6W446THXQCRUKD3I7RKLP" localSheetId="31" hidden="1">#REF!</definedName>
    <definedName name="BEx5JJB6W446THXQCRUKD3I7RKLP" localSheetId="32" hidden="1">#REF!</definedName>
    <definedName name="BEx5JJB6W446THXQCRUKD3I7RKLP" hidden="1">#REF!</definedName>
    <definedName name="BEx5JM0AVE92WG3OV5NLZ48V4QX0" localSheetId="30" hidden="1">#REF!</definedName>
    <definedName name="BEx5JM0AVE92WG3OV5NLZ48V4QX0" localSheetId="29" hidden="1">#REF!</definedName>
    <definedName name="BEx5JM0AVE92WG3OV5NLZ48V4QX0" localSheetId="33" hidden="1">#REF!</definedName>
    <definedName name="BEx5JM0AVE92WG3OV5NLZ48V4QX0" localSheetId="31" hidden="1">#REF!</definedName>
    <definedName name="BEx5JM0AVE92WG3OV5NLZ48V4QX0" localSheetId="32" hidden="1">#REF!</definedName>
    <definedName name="BEx5JM0AVE92WG3OV5NLZ48V4QX0" hidden="1">#REF!</definedName>
    <definedName name="BEx5JNCT8Z7XSSPD5EMNAJELCU2V" localSheetId="30" hidden="1">#REF!</definedName>
    <definedName name="BEx5JNCT8Z7XSSPD5EMNAJELCU2V" localSheetId="29" hidden="1">#REF!</definedName>
    <definedName name="BEx5JNCT8Z7XSSPD5EMNAJELCU2V" localSheetId="33" hidden="1">#REF!</definedName>
    <definedName name="BEx5JNCT8Z7XSSPD5EMNAJELCU2V" localSheetId="31" hidden="1">#REF!</definedName>
    <definedName name="BEx5JNCT8Z7XSSPD5EMNAJELCU2V" localSheetId="32" hidden="1">#REF!</definedName>
    <definedName name="BEx5JNCT8Z7XSSPD5EMNAJELCU2V" hidden="1">#REF!</definedName>
    <definedName name="BEx5JQCNT9Y4RM306CHC8IPY3HBZ" localSheetId="30" hidden="1">#REF!</definedName>
    <definedName name="BEx5JQCNT9Y4RM306CHC8IPY3HBZ" localSheetId="29" hidden="1">#REF!</definedName>
    <definedName name="BEx5JQCNT9Y4RM306CHC8IPY3HBZ" localSheetId="33" hidden="1">#REF!</definedName>
    <definedName name="BEx5JQCNT9Y4RM306CHC8IPY3HBZ" localSheetId="31" hidden="1">#REF!</definedName>
    <definedName name="BEx5JQCNT9Y4RM306CHC8IPY3HBZ" localSheetId="32" hidden="1">#REF!</definedName>
    <definedName name="BEx5JQCNT9Y4RM306CHC8IPY3HBZ" hidden="1">#REF!</definedName>
    <definedName name="BEx5K08PYKE6JOKBYIB006TX619P" localSheetId="30" hidden="1">#REF!</definedName>
    <definedName name="BEx5K08PYKE6JOKBYIB006TX619P" localSheetId="29" hidden="1">#REF!</definedName>
    <definedName name="BEx5K08PYKE6JOKBYIB006TX619P" localSheetId="33" hidden="1">#REF!</definedName>
    <definedName name="BEx5K08PYKE6JOKBYIB006TX619P" localSheetId="31" hidden="1">#REF!</definedName>
    <definedName name="BEx5K08PYKE6JOKBYIB006TX619P" localSheetId="32" hidden="1">#REF!</definedName>
    <definedName name="BEx5K08PYKE6JOKBYIB006TX619P" hidden="1">#REF!</definedName>
    <definedName name="BEx5K51DSERT1TR7B4A29R41W4NX" localSheetId="30" hidden="1">#REF!</definedName>
    <definedName name="BEx5K51DSERT1TR7B4A29R41W4NX" localSheetId="29" hidden="1">#REF!</definedName>
    <definedName name="BEx5K51DSERT1TR7B4A29R41W4NX" localSheetId="33" hidden="1">#REF!</definedName>
    <definedName name="BEx5K51DSERT1TR7B4A29R41W4NX" localSheetId="31" hidden="1">#REF!</definedName>
    <definedName name="BEx5K51DSERT1TR7B4A29R41W4NX" localSheetId="32" hidden="1">#REF!</definedName>
    <definedName name="BEx5K51DSERT1TR7B4A29R41W4NX" hidden="1">#REF!</definedName>
    <definedName name="BEx5K86RBUYWHL4S241FHY2W0B7K" localSheetId="30" hidden="1">#REF!</definedName>
    <definedName name="BEx5K86RBUYWHL4S241FHY2W0B7K" localSheetId="29" hidden="1">#REF!</definedName>
    <definedName name="BEx5K86RBUYWHL4S241FHY2W0B7K" localSheetId="33" hidden="1">#REF!</definedName>
    <definedName name="BEx5K86RBUYWHL4S241FHY2W0B7K" localSheetId="31" hidden="1">#REF!</definedName>
    <definedName name="BEx5K86RBUYWHL4S241FHY2W0B7K" localSheetId="32" hidden="1">#REF!</definedName>
    <definedName name="BEx5K86RBUYWHL4S241FHY2W0B7K" hidden="1">#REF!</definedName>
    <definedName name="BEx5KYER580I4T7WTLMUN7NLNP5K" localSheetId="30" hidden="1">#REF!</definedName>
    <definedName name="BEx5KYER580I4T7WTLMUN7NLNP5K" localSheetId="29" hidden="1">#REF!</definedName>
    <definedName name="BEx5KYER580I4T7WTLMUN7NLNP5K" localSheetId="33" hidden="1">#REF!</definedName>
    <definedName name="BEx5KYER580I4T7WTLMUN7NLNP5K" localSheetId="31" hidden="1">#REF!</definedName>
    <definedName name="BEx5KYER580I4T7WTLMUN7NLNP5K" localSheetId="32" hidden="1">#REF!</definedName>
    <definedName name="BEx5KYER580I4T7WTLMUN7NLNP5K" hidden="1">#REF!</definedName>
    <definedName name="BEx5LHLB3M6K4ZKY2F42QBZT30ZH" localSheetId="30" hidden="1">#REF!</definedName>
    <definedName name="BEx5LHLB3M6K4ZKY2F42QBZT30ZH" localSheetId="29" hidden="1">#REF!</definedName>
    <definedName name="BEx5LHLB3M6K4ZKY2F42QBZT30ZH" localSheetId="33" hidden="1">#REF!</definedName>
    <definedName name="BEx5LHLB3M6K4ZKY2F42QBZT30ZH" localSheetId="31" hidden="1">#REF!</definedName>
    <definedName name="BEx5LHLB3M6K4ZKY2F42QBZT30ZH" localSheetId="32" hidden="1">#REF!</definedName>
    <definedName name="BEx5LHLB3M6K4ZKY2F42QBZT30ZH" hidden="1">#REF!</definedName>
    <definedName name="BEx5LRMNU3HXIE1BUMDHRU31F7JJ" localSheetId="30" hidden="1">#REF!</definedName>
    <definedName name="BEx5LRMNU3HXIE1BUMDHRU31F7JJ" localSheetId="29" hidden="1">#REF!</definedName>
    <definedName name="BEx5LRMNU3HXIE1BUMDHRU31F7JJ" localSheetId="33" hidden="1">#REF!</definedName>
    <definedName name="BEx5LRMNU3HXIE1BUMDHRU31F7JJ" localSheetId="31" hidden="1">#REF!</definedName>
    <definedName name="BEx5LRMNU3HXIE1BUMDHRU31F7JJ" localSheetId="32" hidden="1">#REF!</definedName>
    <definedName name="BEx5LRMNU3HXIE1BUMDHRU31F7JJ" hidden="1">#REF!</definedName>
    <definedName name="BEx5LSJ1LPUAX3ENSPECWPG4J7D1" localSheetId="30" hidden="1">#REF!</definedName>
    <definedName name="BEx5LSJ1LPUAX3ENSPECWPG4J7D1" localSheetId="29" hidden="1">#REF!</definedName>
    <definedName name="BEx5LSJ1LPUAX3ENSPECWPG4J7D1" localSheetId="33" hidden="1">#REF!</definedName>
    <definedName name="BEx5LSJ1LPUAX3ENSPECWPG4J7D1" localSheetId="31" hidden="1">#REF!</definedName>
    <definedName name="BEx5LSJ1LPUAX3ENSPECWPG4J7D1" localSheetId="32" hidden="1">#REF!</definedName>
    <definedName name="BEx5LSJ1LPUAX3ENSPECWPG4J7D1" hidden="1">#REF!</definedName>
    <definedName name="BEx5LTKQ8RQWJE4BC88OP928893U" localSheetId="30" hidden="1">#REF!</definedName>
    <definedName name="BEx5LTKQ8RQWJE4BC88OP928893U" localSheetId="29" hidden="1">#REF!</definedName>
    <definedName name="BEx5LTKQ8RQWJE4BC88OP928893U" localSheetId="33" hidden="1">#REF!</definedName>
    <definedName name="BEx5LTKQ8RQWJE4BC88OP928893U" localSheetId="31" hidden="1">#REF!</definedName>
    <definedName name="BEx5LTKQ8RQWJE4BC88OP928893U" localSheetId="32" hidden="1">#REF!</definedName>
    <definedName name="BEx5LTKQ8RQWJE4BC88OP928893U" hidden="1">#REF!</definedName>
    <definedName name="BEx5MB9BR71LZDG7XXQ2EO58JC5F" localSheetId="30" hidden="1">#REF!</definedName>
    <definedName name="BEx5MB9BR71LZDG7XXQ2EO58JC5F" localSheetId="29" hidden="1">#REF!</definedName>
    <definedName name="BEx5MB9BR71LZDG7XXQ2EO58JC5F" localSheetId="33" hidden="1">#REF!</definedName>
    <definedName name="BEx5MB9BR71LZDG7XXQ2EO58JC5F" localSheetId="31" hidden="1">#REF!</definedName>
    <definedName name="BEx5MB9BR71LZDG7XXQ2EO58JC5F" localSheetId="32" hidden="1">#REF!</definedName>
    <definedName name="BEx5MB9BR71LZDG7XXQ2EO58JC5F" hidden="1">#REF!</definedName>
    <definedName name="BEx5MKULSMSABWNYG2QS17VBG7D9" localSheetId="30" hidden="1">#REF!</definedName>
    <definedName name="BEx5MKULSMSABWNYG2QS17VBG7D9" localSheetId="29" hidden="1">#REF!</definedName>
    <definedName name="BEx5MKULSMSABWNYG2QS17VBG7D9" localSheetId="33" hidden="1">#REF!</definedName>
    <definedName name="BEx5MKULSMSABWNYG2QS17VBG7D9" localSheetId="31" hidden="1">#REF!</definedName>
    <definedName name="BEx5MKULSMSABWNYG2QS17VBG7D9" localSheetId="32" hidden="1">#REF!</definedName>
    <definedName name="BEx5MKULSMSABWNYG2QS17VBG7D9" hidden="1">#REF!</definedName>
    <definedName name="BEx5MLQZM68YQSKARVWTTPINFQ2C" localSheetId="30" hidden="1">#REF!</definedName>
    <definedName name="BEx5MLQZM68YQSKARVWTTPINFQ2C" localSheetId="29" hidden="1">#REF!</definedName>
    <definedName name="BEx5MLQZM68YQSKARVWTTPINFQ2C" localSheetId="33" hidden="1">#REF!</definedName>
    <definedName name="BEx5MLQZM68YQSKARVWTTPINFQ2C" localSheetId="31" hidden="1">#REF!</definedName>
    <definedName name="BEx5MLQZM68YQSKARVWTTPINFQ2C" localSheetId="32" hidden="1">#REF!</definedName>
    <definedName name="BEx5MLQZM68YQSKARVWTTPINFQ2C" hidden="1">#REF!</definedName>
    <definedName name="BEx5MVXTKNBXHNWTL43C670E4KXC" localSheetId="30" hidden="1">#REF!</definedName>
    <definedName name="BEx5MVXTKNBXHNWTL43C670E4KXC" localSheetId="29" hidden="1">#REF!</definedName>
    <definedName name="BEx5MVXTKNBXHNWTL43C670E4KXC" localSheetId="33" hidden="1">#REF!</definedName>
    <definedName name="BEx5MVXTKNBXHNWTL43C670E4KXC" localSheetId="31" hidden="1">#REF!</definedName>
    <definedName name="BEx5MVXTKNBXHNWTL43C670E4KXC" localSheetId="32" hidden="1">#REF!</definedName>
    <definedName name="BEx5MVXTKNBXHNWTL43C670E4KXC" hidden="1">#REF!</definedName>
    <definedName name="BEx5N4XI4PWB1W9PMZ4O5R0HWTYD" localSheetId="30" hidden="1">#REF!</definedName>
    <definedName name="BEx5N4XI4PWB1W9PMZ4O5R0HWTYD" localSheetId="29" hidden="1">#REF!</definedName>
    <definedName name="BEx5N4XI4PWB1W9PMZ4O5R0HWTYD" localSheetId="33" hidden="1">#REF!</definedName>
    <definedName name="BEx5N4XI4PWB1W9PMZ4O5R0HWTYD" localSheetId="31" hidden="1">#REF!</definedName>
    <definedName name="BEx5N4XI4PWB1W9PMZ4O5R0HWTYD" localSheetId="32" hidden="1">#REF!</definedName>
    <definedName name="BEx5N4XI4PWB1W9PMZ4O5R0HWTYD" hidden="1">#REF!</definedName>
    <definedName name="BEx5NA68N6FJFX9UJXK4M14U487F" localSheetId="30" hidden="1">#REF!</definedName>
    <definedName name="BEx5NA68N6FJFX9UJXK4M14U487F" localSheetId="29" hidden="1">#REF!</definedName>
    <definedName name="BEx5NA68N6FJFX9UJXK4M14U487F" localSheetId="33" hidden="1">#REF!</definedName>
    <definedName name="BEx5NA68N6FJFX9UJXK4M14U487F" localSheetId="31" hidden="1">#REF!</definedName>
    <definedName name="BEx5NA68N6FJFX9UJXK4M14U487F" localSheetId="32" hidden="1">#REF!</definedName>
    <definedName name="BEx5NA68N6FJFX9UJXK4M14U487F" hidden="1">#REF!</definedName>
    <definedName name="BEx5NIKBG2GDJOYGE3WCXKU7YY51" localSheetId="30" hidden="1">#REF!</definedName>
    <definedName name="BEx5NIKBG2GDJOYGE3WCXKU7YY51" localSheetId="29" hidden="1">#REF!</definedName>
    <definedName name="BEx5NIKBG2GDJOYGE3WCXKU7YY51" localSheetId="33" hidden="1">#REF!</definedName>
    <definedName name="BEx5NIKBG2GDJOYGE3WCXKU7YY51" localSheetId="31" hidden="1">#REF!</definedName>
    <definedName name="BEx5NIKBG2GDJOYGE3WCXKU7YY51" localSheetId="32" hidden="1">#REF!</definedName>
    <definedName name="BEx5NIKBG2GDJOYGE3WCXKU7YY51" hidden="1">#REF!</definedName>
    <definedName name="BEx5NV06L5J5IMKGOMGKGJ4PBZCD" localSheetId="30" hidden="1">#REF!</definedName>
    <definedName name="BEx5NV06L5J5IMKGOMGKGJ4PBZCD" localSheetId="29" hidden="1">#REF!</definedName>
    <definedName name="BEx5NV06L5J5IMKGOMGKGJ4PBZCD" localSheetId="33" hidden="1">#REF!</definedName>
    <definedName name="BEx5NV06L5J5IMKGOMGKGJ4PBZCD" localSheetId="31" hidden="1">#REF!</definedName>
    <definedName name="BEx5NV06L5J5IMKGOMGKGJ4PBZCD" localSheetId="32" hidden="1">#REF!</definedName>
    <definedName name="BEx5NV06L5J5IMKGOMGKGJ4PBZCD" hidden="1">#REF!</definedName>
    <definedName name="BEx5NZSSQ6PY99ZX2D7Q9IGOR34W" localSheetId="30" hidden="1">#REF!</definedName>
    <definedName name="BEx5NZSSQ6PY99ZX2D7Q9IGOR34W" localSheetId="29" hidden="1">#REF!</definedName>
    <definedName name="BEx5NZSSQ6PY99ZX2D7Q9IGOR34W" localSheetId="33" hidden="1">#REF!</definedName>
    <definedName name="BEx5NZSSQ6PY99ZX2D7Q9IGOR34W" localSheetId="31" hidden="1">#REF!</definedName>
    <definedName name="BEx5NZSSQ6PY99ZX2D7Q9IGOR34W" localSheetId="32" hidden="1">#REF!</definedName>
    <definedName name="BEx5NZSSQ6PY99ZX2D7Q9IGOR34W" hidden="1">#REF!</definedName>
    <definedName name="BEx5O3ZUQ2OARA1CDOZ3NC4UE5AA" localSheetId="30" hidden="1">#REF!</definedName>
    <definedName name="BEx5O3ZUQ2OARA1CDOZ3NC4UE5AA" localSheetId="29" hidden="1">#REF!</definedName>
    <definedName name="BEx5O3ZUQ2OARA1CDOZ3NC4UE5AA" localSheetId="33" hidden="1">#REF!</definedName>
    <definedName name="BEx5O3ZUQ2OARA1CDOZ3NC4UE5AA" localSheetId="31" hidden="1">#REF!</definedName>
    <definedName name="BEx5O3ZUQ2OARA1CDOZ3NC4UE5AA" localSheetId="32" hidden="1">#REF!</definedName>
    <definedName name="BEx5O3ZUQ2OARA1CDOZ3NC4UE5AA" hidden="1">#REF!</definedName>
    <definedName name="BEx5O98MKR84QDOF04M8NPI42B03" localSheetId="30" hidden="1">#REF!</definedName>
    <definedName name="BEx5O98MKR84QDOF04M8NPI42B03" localSheetId="29" hidden="1">#REF!</definedName>
    <definedName name="BEx5O98MKR84QDOF04M8NPI42B03" localSheetId="33" hidden="1">#REF!</definedName>
    <definedName name="BEx5O98MKR84QDOF04M8NPI42B03" localSheetId="31" hidden="1">#REF!</definedName>
    <definedName name="BEx5O98MKR84QDOF04M8NPI42B03" localSheetId="32" hidden="1">#REF!</definedName>
    <definedName name="BEx5O98MKR84QDOF04M8NPI42B03" hidden="1">#REF!</definedName>
    <definedName name="BEx5OAFS0NJ2CB86A02E1JYHMLQ1" localSheetId="30" hidden="1">#REF!</definedName>
    <definedName name="BEx5OAFS0NJ2CB86A02E1JYHMLQ1" localSheetId="29" hidden="1">#REF!</definedName>
    <definedName name="BEx5OAFS0NJ2CB86A02E1JYHMLQ1" localSheetId="33" hidden="1">#REF!</definedName>
    <definedName name="BEx5OAFS0NJ2CB86A02E1JYHMLQ1" localSheetId="31" hidden="1">#REF!</definedName>
    <definedName name="BEx5OAFS0NJ2CB86A02E1JYHMLQ1" localSheetId="32" hidden="1">#REF!</definedName>
    <definedName name="BEx5OAFS0NJ2CB86A02E1JYHMLQ1" hidden="1">#REF!</definedName>
    <definedName name="BEx5OG4RPU8W1ETWDWM234NYYYEN" localSheetId="30" hidden="1">#REF!</definedName>
    <definedName name="BEx5OG4RPU8W1ETWDWM234NYYYEN" localSheetId="29" hidden="1">#REF!</definedName>
    <definedName name="BEx5OG4RPU8W1ETWDWM234NYYYEN" localSheetId="33" hidden="1">#REF!</definedName>
    <definedName name="BEx5OG4RPU8W1ETWDWM234NYYYEN" localSheetId="31" hidden="1">#REF!</definedName>
    <definedName name="BEx5OG4RPU8W1ETWDWM234NYYYEN" localSheetId="32" hidden="1">#REF!</definedName>
    <definedName name="BEx5OG4RPU8W1ETWDWM234NYYYEN" hidden="1">#REF!</definedName>
    <definedName name="BEx5OK6DFVFYML506QJP89Q45ZW7" localSheetId="30" hidden="1">#REF!</definedName>
    <definedName name="BEx5OK6DFVFYML506QJP89Q45ZW7" localSheetId="29" hidden="1">#REF!</definedName>
    <definedName name="BEx5OK6DFVFYML506QJP89Q45ZW7" localSheetId="33" hidden="1">#REF!</definedName>
    <definedName name="BEx5OK6DFVFYML506QJP89Q45ZW7" localSheetId="31" hidden="1">#REF!</definedName>
    <definedName name="BEx5OK6DFVFYML506QJP89Q45ZW7" localSheetId="32" hidden="1">#REF!</definedName>
    <definedName name="BEx5OK6DFVFYML506QJP89Q45ZW7" hidden="1">#REF!</definedName>
    <definedName name="BEx5OP9Y43F99O2IT69MKCCXGL61" localSheetId="30" hidden="1">#REF!</definedName>
    <definedName name="BEx5OP9Y43F99O2IT69MKCCXGL61" localSheetId="29" hidden="1">#REF!</definedName>
    <definedName name="BEx5OP9Y43F99O2IT69MKCCXGL61" localSheetId="33" hidden="1">#REF!</definedName>
    <definedName name="BEx5OP9Y43F99O2IT69MKCCXGL61" localSheetId="31" hidden="1">#REF!</definedName>
    <definedName name="BEx5OP9Y43F99O2IT69MKCCXGL61" localSheetId="32" hidden="1">#REF!</definedName>
    <definedName name="BEx5OP9Y43F99O2IT69MKCCXGL61" hidden="1">#REF!</definedName>
    <definedName name="BEx5P9Y9RDXNUAJ6CZ2LHMM8IM7T" localSheetId="30" hidden="1">#REF!</definedName>
    <definedName name="BEx5P9Y9RDXNUAJ6CZ2LHMM8IM7T" localSheetId="29" hidden="1">#REF!</definedName>
    <definedName name="BEx5P9Y9RDXNUAJ6CZ2LHMM8IM7T" localSheetId="33" hidden="1">#REF!</definedName>
    <definedName name="BEx5P9Y9RDXNUAJ6CZ2LHMM8IM7T" localSheetId="31" hidden="1">#REF!</definedName>
    <definedName name="BEx5P9Y9RDXNUAJ6CZ2LHMM8IM7T" localSheetId="32" hidden="1">#REF!</definedName>
    <definedName name="BEx5P9Y9RDXNUAJ6CZ2LHMM8IM7T" hidden="1">#REF!</definedName>
    <definedName name="BEx5PHWB2C0D5QLP3BZIP3UO7DIZ" localSheetId="30" hidden="1">#REF!</definedName>
    <definedName name="BEx5PHWB2C0D5QLP3BZIP3UO7DIZ" localSheetId="29" hidden="1">#REF!</definedName>
    <definedName name="BEx5PHWB2C0D5QLP3BZIP3UO7DIZ" localSheetId="33" hidden="1">#REF!</definedName>
    <definedName name="BEx5PHWB2C0D5QLP3BZIP3UO7DIZ" localSheetId="31" hidden="1">#REF!</definedName>
    <definedName name="BEx5PHWB2C0D5QLP3BZIP3UO7DIZ" localSheetId="32" hidden="1">#REF!</definedName>
    <definedName name="BEx5PHWB2C0D5QLP3BZIP3UO7DIZ" hidden="1">#REF!</definedName>
    <definedName name="BEx5PJP02W68K2E46L5C5YBSNU6T" localSheetId="30" hidden="1">#REF!</definedName>
    <definedName name="BEx5PJP02W68K2E46L5C5YBSNU6T" localSheetId="29" hidden="1">#REF!</definedName>
    <definedName name="BEx5PJP02W68K2E46L5C5YBSNU6T" localSheetId="33" hidden="1">#REF!</definedName>
    <definedName name="BEx5PJP02W68K2E46L5C5YBSNU6T" localSheetId="31" hidden="1">#REF!</definedName>
    <definedName name="BEx5PJP02W68K2E46L5C5YBSNU6T" localSheetId="32" hidden="1">#REF!</definedName>
    <definedName name="BEx5PJP02W68K2E46L5C5YBSNU6T" hidden="1">#REF!</definedName>
    <definedName name="BEx5PLCA8DOMAU315YCS5275L2HS" localSheetId="30" hidden="1">#REF!</definedName>
    <definedName name="BEx5PLCA8DOMAU315YCS5275L2HS" localSheetId="29" hidden="1">#REF!</definedName>
    <definedName name="BEx5PLCA8DOMAU315YCS5275L2HS" localSheetId="33" hidden="1">#REF!</definedName>
    <definedName name="BEx5PLCA8DOMAU315YCS5275L2HS" localSheetId="31" hidden="1">#REF!</definedName>
    <definedName name="BEx5PLCA8DOMAU315YCS5275L2HS" localSheetId="32" hidden="1">#REF!</definedName>
    <definedName name="BEx5PLCA8DOMAU315YCS5275L2HS" hidden="1">#REF!</definedName>
    <definedName name="BEx5PRXMZ5M65Z732WNNGV564C2J" localSheetId="30" hidden="1">#REF!</definedName>
    <definedName name="BEx5PRXMZ5M65Z732WNNGV564C2J" localSheetId="29" hidden="1">#REF!</definedName>
    <definedName name="BEx5PRXMZ5M65Z732WNNGV564C2J" localSheetId="33" hidden="1">#REF!</definedName>
    <definedName name="BEx5PRXMZ5M65Z732WNNGV564C2J" localSheetId="31" hidden="1">#REF!</definedName>
    <definedName name="BEx5PRXMZ5M65Z732WNNGV564C2J" localSheetId="32" hidden="1">#REF!</definedName>
    <definedName name="BEx5PRXMZ5M65Z732WNNGV564C2J" hidden="1">#REF!</definedName>
    <definedName name="BEx5QPSW4IPLH50WSR87HRER05RF" localSheetId="30" hidden="1">#REF!</definedName>
    <definedName name="BEx5QPSW4IPLH50WSR87HRER05RF" localSheetId="29" hidden="1">#REF!</definedName>
    <definedName name="BEx5QPSW4IPLH50WSR87HRER05RF" localSheetId="33" hidden="1">#REF!</definedName>
    <definedName name="BEx5QPSW4IPLH50WSR87HRER05RF" localSheetId="31" hidden="1">#REF!</definedName>
    <definedName name="BEx5QPSW4IPLH50WSR87HRER05RF" localSheetId="32" hidden="1">#REF!</definedName>
    <definedName name="BEx5QPSW4IPLH50WSR87HRER05RF" hidden="1">#REF!</definedName>
    <definedName name="BEx73V0EP8EMNRC3EZJJKKVKWQVB" localSheetId="30" hidden="1">#REF!</definedName>
    <definedName name="BEx73V0EP8EMNRC3EZJJKKVKWQVB" localSheetId="29" hidden="1">#REF!</definedName>
    <definedName name="BEx73V0EP8EMNRC3EZJJKKVKWQVB" localSheetId="33" hidden="1">#REF!</definedName>
    <definedName name="BEx73V0EP8EMNRC3EZJJKKVKWQVB" localSheetId="31" hidden="1">#REF!</definedName>
    <definedName name="BEx73V0EP8EMNRC3EZJJKKVKWQVB" localSheetId="32" hidden="1">#REF!</definedName>
    <definedName name="BEx73V0EP8EMNRC3EZJJKKVKWQVB" hidden="1">#REF!</definedName>
    <definedName name="BEx741WJHIJVXUX131SBXTVW8D71" localSheetId="30" hidden="1">#REF!</definedName>
    <definedName name="BEx741WJHIJVXUX131SBXTVW8D71" localSheetId="29" hidden="1">#REF!</definedName>
    <definedName name="BEx741WJHIJVXUX131SBXTVW8D71" localSheetId="33" hidden="1">#REF!</definedName>
    <definedName name="BEx741WJHIJVXUX131SBXTVW8D71" localSheetId="31" hidden="1">#REF!</definedName>
    <definedName name="BEx741WJHIJVXUX131SBXTVW8D71" localSheetId="32" hidden="1">#REF!</definedName>
    <definedName name="BEx741WJHIJVXUX131SBXTVW8D71" hidden="1">#REF!</definedName>
    <definedName name="BEx74Q6H3O7133AWQXWC21MI2UFT" localSheetId="30" hidden="1">#REF!</definedName>
    <definedName name="BEx74Q6H3O7133AWQXWC21MI2UFT" localSheetId="29" hidden="1">#REF!</definedName>
    <definedName name="BEx74Q6H3O7133AWQXWC21MI2UFT" localSheetId="33" hidden="1">#REF!</definedName>
    <definedName name="BEx74Q6H3O7133AWQXWC21MI2UFT" localSheetId="31" hidden="1">#REF!</definedName>
    <definedName name="BEx74Q6H3O7133AWQXWC21MI2UFT" localSheetId="32" hidden="1">#REF!</definedName>
    <definedName name="BEx74Q6H3O7133AWQXWC21MI2UFT" hidden="1">#REF!</definedName>
    <definedName name="BEx74W6BJ8ENO3J25WNM5H5APKA3" localSheetId="30" hidden="1">#REF!</definedName>
    <definedName name="BEx74W6BJ8ENO3J25WNM5H5APKA3" localSheetId="29" hidden="1">#REF!</definedName>
    <definedName name="BEx74W6BJ8ENO3J25WNM5H5APKA3" localSheetId="33" hidden="1">#REF!</definedName>
    <definedName name="BEx74W6BJ8ENO3J25WNM5H5APKA3" localSheetId="31" hidden="1">#REF!</definedName>
    <definedName name="BEx74W6BJ8ENO3J25WNM5H5APKA3" localSheetId="32" hidden="1">#REF!</definedName>
    <definedName name="BEx74W6BJ8ENO3J25WNM5H5APKA3" hidden="1">#REF!</definedName>
    <definedName name="BEx755GRRD9BL27YHLH5QWIYLWB7" localSheetId="30" hidden="1">#REF!</definedName>
    <definedName name="BEx755GRRD9BL27YHLH5QWIYLWB7" localSheetId="29" hidden="1">#REF!</definedName>
    <definedName name="BEx755GRRD9BL27YHLH5QWIYLWB7" localSheetId="33" hidden="1">#REF!</definedName>
    <definedName name="BEx755GRRD9BL27YHLH5QWIYLWB7" localSheetId="31" hidden="1">#REF!</definedName>
    <definedName name="BEx755GRRD9BL27YHLH5QWIYLWB7" localSheetId="32" hidden="1">#REF!</definedName>
    <definedName name="BEx755GRRD9BL27YHLH5QWIYLWB7" hidden="1">#REF!</definedName>
    <definedName name="BEx75927VDOKUJQ3ZVKKGYQVGGZ0" localSheetId="30" hidden="1">#REF!</definedName>
    <definedName name="BEx75927VDOKUJQ3ZVKKGYQVGGZ0" localSheetId="29" hidden="1">#REF!</definedName>
    <definedName name="BEx75927VDOKUJQ3ZVKKGYQVGGZ0" localSheetId="33" hidden="1">#REF!</definedName>
    <definedName name="BEx75927VDOKUJQ3ZVKKGYQVGGZ0" localSheetId="31" hidden="1">#REF!</definedName>
    <definedName name="BEx75927VDOKUJQ3ZVKKGYQVGGZ0" localSheetId="32" hidden="1">#REF!</definedName>
    <definedName name="BEx75927VDOKUJQ3ZVKKGYQVGGZ0" hidden="1">#REF!</definedName>
    <definedName name="BEx759D1D5SXS5ELLZVBI0SXYUNF" localSheetId="30" hidden="1">#REF!</definedName>
    <definedName name="BEx759D1D5SXS5ELLZVBI0SXYUNF" localSheetId="29" hidden="1">#REF!</definedName>
    <definedName name="BEx759D1D5SXS5ELLZVBI0SXYUNF" localSheetId="33" hidden="1">#REF!</definedName>
    <definedName name="BEx759D1D5SXS5ELLZVBI0SXYUNF" localSheetId="31" hidden="1">#REF!</definedName>
    <definedName name="BEx759D1D5SXS5ELLZVBI0SXYUNF" localSheetId="32" hidden="1">#REF!</definedName>
    <definedName name="BEx759D1D5SXS5ELLZVBI0SXYUNF" hidden="1">#REF!</definedName>
    <definedName name="BEx75GJZSZHUDN6OOAGQYFUDA2LP" localSheetId="30" hidden="1">#REF!</definedName>
    <definedName name="BEx75GJZSZHUDN6OOAGQYFUDA2LP" localSheetId="29" hidden="1">#REF!</definedName>
    <definedName name="BEx75GJZSZHUDN6OOAGQYFUDA2LP" localSheetId="33" hidden="1">#REF!</definedName>
    <definedName name="BEx75GJZSZHUDN6OOAGQYFUDA2LP" localSheetId="31" hidden="1">#REF!</definedName>
    <definedName name="BEx75GJZSZHUDN6OOAGQYFUDA2LP" localSheetId="32" hidden="1">#REF!</definedName>
    <definedName name="BEx75GJZSZHUDN6OOAGQYFUDA2LP" hidden="1">#REF!</definedName>
    <definedName name="BEx75HGCCV5K4UCJWYV8EV9AG5YT" localSheetId="30" hidden="1">#REF!</definedName>
    <definedName name="BEx75HGCCV5K4UCJWYV8EV9AG5YT" localSheetId="29" hidden="1">#REF!</definedName>
    <definedName name="BEx75HGCCV5K4UCJWYV8EV9AG5YT" localSheetId="33" hidden="1">#REF!</definedName>
    <definedName name="BEx75HGCCV5K4UCJWYV8EV9AG5YT" localSheetId="31" hidden="1">#REF!</definedName>
    <definedName name="BEx75HGCCV5K4UCJWYV8EV9AG5YT" localSheetId="32" hidden="1">#REF!</definedName>
    <definedName name="BEx75HGCCV5K4UCJWYV8EV9AG5YT" hidden="1">#REF!</definedName>
    <definedName name="BEx75PZT8TY5P13U978NVBUXKHT4" localSheetId="30" hidden="1">#REF!</definedName>
    <definedName name="BEx75PZT8TY5P13U978NVBUXKHT4" localSheetId="29" hidden="1">#REF!</definedName>
    <definedName name="BEx75PZT8TY5P13U978NVBUXKHT4" localSheetId="33" hidden="1">#REF!</definedName>
    <definedName name="BEx75PZT8TY5P13U978NVBUXKHT4" localSheetId="31" hidden="1">#REF!</definedName>
    <definedName name="BEx75PZT8TY5P13U978NVBUXKHT4" localSheetId="32" hidden="1">#REF!</definedName>
    <definedName name="BEx75PZT8TY5P13U978NVBUXKHT4" hidden="1">#REF!</definedName>
    <definedName name="BEx75T55F7GML8V1DMWL26WRT006" localSheetId="30" hidden="1">#REF!</definedName>
    <definedName name="BEx75T55F7GML8V1DMWL26WRT006" localSheetId="29" hidden="1">#REF!</definedName>
    <definedName name="BEx75T55F7GML8V1DMWL26WRT006" localSheetId="33" hidden="1">#REF!</definedName>
    <definedName name="BEx75T55F7GML8V1DMWL26WRT006" localSheetId="31" hidden="1">#REF!</definedName>
    <definedName name="BEx75T55F7GML8V1DMWL26WRT006" localSheetId="32" hidden="1">#REF!</definedName>
    <definedName name="BEx75T55F7GML8V1DMWL26WRT006" hidden="1">#REF!</definedName>
    <definedName name="BEx75VJGR07JY6UUWURQ4PJ29UKC" localSheetId="30" hidden="1">#REF!</definedName>
    <definedName name="BEx75VJGR07JY6UUWURQ4PJ29UKC" localSheetId="29" hidden="1">#REF!</definedName>
    <definedName name="BEx75VJGR07JY6UUWURQ4PJ29UKC" localSheetId="33" hidden="1">#REF!</definedName>
    <definedName name="BEx75VJGR07JY6UUWURQ4PJ29UKC" localSheetId="31" hidden="1">#REF!</definedName>
    <definedName name="BEx75VJGR07JY6UUWURQ4PJ29UKC" localSheetId="32" hidden="1">#REF!</definedName>
    <definedName name="BEx75VJGR07JY6UUWURQ4PJ29UKC" hidden="1">#REF!</definedName>
    <definedName name="BEx76CX9TMMAC4Y6243IVE7FLPOB" localSheetId="30" hidden="1">#REF!</definedName>
    <definedName name="BEx76CX9TMMAC4Y6243IVE7FLPOB" localSheetId="29" hidden="1">#REF!</definedName>
    <definedName name="BEx76CX9TMMAC4Y6243IVE7FLPOB" localSheetId="33" hidden="1">#REF!</definedName>
    <definedName name="BEx76CX9TMMAC4Y6243IVE7FLPOB" localSheetId="31" hidden="1">#REF!</definedName>
    <definedName name="BEx76CX9TMMAC4Y6243IVE7FLPOB" localSheetId="32" hidden="1">#REF!</definedName>
    <definedName name="BEx76CX9TMMAC4Y6243IVE7FLPOB" hidden="1">#REF!</definedName>
    <definedName name="BEx772UJB5CMJZ7OXELG92F8P9FX" localSheetId="30" hidden="1">#REF!</definedName>
    <definedName name="BEx772UJB5CMJZ7OXELG92F8P9FX" localSheetId="29" hidden="1">#REF!</definedName>
    <definedName name="BEx772UJB5CMJZ7OXELG92F8P9FX" localSheetId="33" hidden="1">#REF!</definedName>
    <definedName name="BEx772UJB5CMJZ7OXELG92F8P9FX" localSheetId="31" hidden="1">#REF!</definedName>
    <definedName name="BEx772UJB5CMJZ7OXELG92F8P9FX" localSheetId="32" hidden="1">#REF!</definedName>
    <definedName name="BEx772UJB5CMJZ7OXELG92F8P9FX" hidden="1">#REF!</definedName>
    <definedName name="BEx7741OUGLA0WJQLQRUJSL4DE00" localSheetId="30" hidden="1">#REF!</definedName>
    <definedName name="BEx7741OUGLA0WJQLQRUJSL4DE00" localSheetId="29" hidden="1">#REF!</definedName>
    <definedName name="BEx7741OUGLA0WJQLQRUJSL4DE00" localSheetId="33" hidden="1">#REF!</definedName>
    <definedName name="BEx7741OUGLA0WJQLQRUJSL4DE00" localSheetId="31" hidden="1">#REF!</definedName>
    <definedName name="BEx7741OUGLA0WJQLQRUJSL4DE00" localSheetId="32" hidden="1">#REF!</definedName>
    <definedName name="BEx7741OUGLA0WJQLQRUJSL4DE00" hidden="1">#REF!</definedName>
    <definedName name="BEx774N83DXLJZ54Q42PWIJZ2DN1" localSheetId="30" hidden="1">#REF!</definedName>
    <definedName name="BEx774N83DXLJZ54Q42PWIJZ2DN1" localSheetId="29" hidden="1">#REF!</definedName>
    <definedName name="BEx774N83DXLJZ54Q42PWIJZ2DN1" localSheetId="33" hidden="1">#REF!</definedName>
    <definedName name="BEx774N83DXLJZ54Q42PWIJZ2DN1" localSheetId="31" hidden="1">#REF!</definedName>
    <definedName name="BEx774N83DXLJZ54Q42PWIJZ2DN1" localSheetId="32" hidden="1">#REF!</definedName>
    <definedName name="BEx774N83DXLJZ54Q42PWIJZ2DN1" hidden="1">#REF!</definedName>
    <definedName name="BEx779QNIY3061ZV9BR462WKEGRW" localSheetId="30" hidden="1">#REF!</definedName>
    <definedName name="BEx779QNIY3061ZV9BR462WKEGRW" localSheetId="29" hidden="1">#REF!</definedName>
    <definedName name="BEx779QNIY3061ZV9BR462WKEGRW" localSheetId="33" hidden="1">#REF!</definedName>
    <definedName name="BEx779QNIY3061ZV9BR462WKEGRW" localSheetId="31" hidden="1">#REF!</definedName>
    <definedName name="BEx779QNIY3061ZV9BR462WKEGRW" localSheetId="32" hidden="1">#REF!</definedName>
    <definedName name="BEx779QNIY3061ZV9BR462WKEGRW" hidden="1">#REF!</definedName>
    <definedName name="BEx77G19QU9A95CNHE6QMVSQR2T3" localSheetId="30" hidden="1">#REF!</definedName>
    <definedName name="BEx77G19QU9A95CNHE6QMVSQR2T3" localSheetId="29" hidden="1">#REF!</definedName>
    <definedName name="BEx77G19QU9A95CNHE6QMVSQR2T3" localSheetId="33" hidden="1">#REF!</definedName>
    <definedName name="BEx77G19QU9A95CNHE6QMVSQR2T3" localSheetId="31" hidden="1">#REF!</definedName>
    <definedName name="BEx77G19QU9A95CNHE6QMVSQR2T3" localSheetId="32" hidden="1">#REF!</definedName>
    <definedName name="BEx77G19QU9A95CNHE6QMVSQR2T3" hidden="1">#REF!</definedName>
    <definedName name="BEx77P0S3GVMS7BJUL9OWUGJ1B02" localSheetId="30" hidden="1">#REF!</definedName>
    <definedName name="BEx77P0S3GVMS7BJUL9OWUGJ1B02" localSheetId="29" hidden="1">#REF!</definedName>
    <definedName name="BEx77P0S3GVMS7BJUL9OWUGJ1B02" localSheetId="33" hidden="1">#REF!</definedName>
    <definedName name="BEx77P0S3GVMS7BJUL9OWUGJ1B02" localSheetId="31" hidden="1">#REF!</definedName>
    <definedName name="BEx77P0S3GVMS7BJUL9OWUGJ1B02" localSheetId="32" hidden="1">#REF!</definedName>
    <definedName name="BEx77P0S3GVMS7BJUL9OWUGJ1B02" hidden="1">#REF!</definedName>
    <definedName name="BEx77QDESURI6WW5582YXSK3A972" localSheetId="30" hidden="1">#REF!</definedName>
    <definedName name="BEx77QDESURI6WW5582YXSK3A972" localSheetId="29" hidden="1">#REF!</definedName>
    <definedName name="BEx77QDESURI6WW5582YXSK3A972" localSheetId="33" hidden="1">#REF!</definedName>
    <definedName name="BEx77QDESURI6WW5582YXSK3A972" localSheetId="31" hidden="1">#REF!</definedName>
    <definedName name="BEx77QDESURI6WW5582YXSK3A972" localSheetId="32" hidden="1">#REF!</definedName>
    <definedName name="BEx77QDESURI6WW5582YXSK3A972" hidden="1">#REF!</definedName>
    <definedName name="BEx77VBI9XOPFHKEWU5EHQ9J675Y" localSheetId="30" hidden="1">#REF!</definedName>
    <definedName name="BEx77VBI9XOPFHKEWU5EHQ9J675Y" localSheetId="29" hidden="1">#REF!</definedName>
    <definedName name="BEx77VBI9XOPFHKEWU5EHQ9J675Y" localSheetId="33" hidden="1">#REF!</definedName>
    <definedName name="BEx77VBI9XOPFHKEWU5EHQ9J675Y" localSheetId="31" hidden="1">#REF!</definedName>
    <definedName name="BEx77VBI9XOPFHKEWU5EHQ9J675Y" localSheetId="32" hidden="1">#REF!</definedName>
    <definedName name="BEx77VBI9XOPFHKEWU5EHQ9J675Y" hidden="1">#REF!</definedName>
    <definedName name="BEx7809GQOCLHSNH95VOYIX7P1TV" localSheetId="30" hidden="1">#REF!</definedName>
    <definedName name="BEx7809GQOCLHSNH95VOYIX7P1TV" localSheetId="29" hidden="1">#REF!</definedName>
    <definedName name="BEx7809GQOCLHSNH95VOYIX7P1TV" localSheetId="33" hidden="1">#REF!</definedName>
    <definedName name="BEx7809GQOCLHSNH95VOYIX7P1TV" localSheetId="31" hidden="1">#REF!</definedName>
    <definedName name="BEx7809GQOCLHSNH95VOYIX7P1TV" localSheetId="32" hidden="1">#REF!</definedName>
    <definedName name="BEx7809GQOCLHSNH95VOYIX7P1TV" hidden="1">#REF!</definedName>
    <definedName name="BEx780K8XAXUHGVZGZWQ74DK4CI3" localSheetId="30" hidden="1">#REF!</definedName>
    <definedName name="BEx780K8XAXUHGVZGZWQ74DK4CI3" localSheetId="29" hidden="1">#REF!</definedName>
    <definedName name="BEx780K8XAXUHGVZGZWQ74DK4CI3" localSheetId="33" hidden="1">#REF!</definedName>
    <definedName name="BEx780K8XAXUHGVZGZWQ74DK4CI3" localSheetId="31" hidden="1">#REF!</definedName>
    <definedName name="BEx780K8XAXUHGVZGZWQ74DK4CI3" localSheetId="32" hidden="1">#REF!</definedName>
    <definedName name="BEx780K8XAXUHGVZGZWQ74DK4CI3" hidden="1">#REF!</definedName>
    <definedName name="BEx78226TN58UE0CTY98YEDU0LSL" localSheetId="30" hidden="1">#REF!</definedName>
    <definedName name="BEx78226TN58UE0CTY98YEDU0LSL" localSheetId="29" hidden="1">#REF!</definedName>
    <definedName name="BEx78226TN58UE0CTY98YEDU0LSL" localSheetId="33" hidden="1">#REF!</definedName>
    <definedName name="BEx78226TN58UE0CTY98YEDU0LSL" localSheetId="31" hidden="1">#REF!</definedName>
    <definedName name="BEx78226TN58UE0CTY98YEDU0LSL" localSheetId="32" hidden="1">#REF!</definedName>
    <definedName name="BEx78226TN58UE0CTY98YEDU0LSL" hidden="1">#REF!</definedName>
    <definedName name="BEx7881ZZBWHRAX6W2GY19J8MGEQ" localSheetId="30" hidden="1">#REF!</definedName>
    <definedName name="BEx7881ZZBWHRAX6W2GY19J8MGEQ" localSheetId="29" hidden="1">#REF!</definedName>
    <definedName name="BEx7881ZZBWHRAX6W2GY19J8MGEQ" localSheetId="33" hidden="1">#REF!</definedName>
    <definedName name="BEx7881ZZBWHRAX6W2GY19J8MGEQ" localSheetId="31" hidden="1">#REF!</definedName>
    <definedName name="BEx7881ZZBWHRAX6W2GY19J8MGEQ" localSheetId="32" hidden="1">#REF!</definedName>
    <definedName name="BEx7881ZZBWHRAX6W2GY19J8MGEQ" hidden="1">#REF!</definedName>
    <definedName name="BEx78CUNI2TYHD7PNBMEABG1W7PV" localSheetId="30" hidden="1">#REF!</definedName>
    <definedName name="BEx78CUNI2TYHD7PNBMEABG1W7PV" localSheetId="29" hidden="1">#REF!</definedName>
    <definedName name="BEx78CUNI2TYHD7PNBMEABG1W7PV" localSheetId="33" hidden="1">#REF!</definedName>
    <definedName name="BEx78CUNI2TYHD7PNBMEABG1W7PV" localSheetId="31" hidden="1">#REF!</definedName>
    <definedName name="BEx78CUNI2TYHD7PNBMEABG1W7PV" localSheetId="32" hidden="1">#REF!</definedName>
    <definedName name="BEx78CUNI2TYHD7PNBMEABG1W7PV" hidden="1">#REF!</definedName>
    <definedName name="BEx78HHRIWDLHQX2LG0HWFRYEL1T" localSheetId="30" hidden="1">#REF!</definedName>
    <definedName name="BEx78HHRIWDLHQX2LG0HWFRYEL1T" localSheetId="29" hidden="1">#REF!</definedName>
    <definedName name="BEx78HHRIWDLHQX2LG0HWFRYEL1T" localSheetId="33" hidden="1">#REF!</definedName>
    <definedName name="BEx78HHRIWDLHQX2LG0HWFRYEL1T" localSheetId="31" hidden="1">#REF!</definedName>
    <definedName name="BEx78HHRIWDLHQX2LG0HWFRYEL1T" localSheetId="32" hidden="1">#REF!</definedName>
    <definedName name="BEx78HHRIWDLHQX2LG0HWFRYEL1T" hidden="1">#REF!</definedName>
    <definedName name="BEx78QMXZ2P1ZB3HJ9O50DWHCMXR" localSheetId="30" hidden="1">#REF!</definedName>
    <definedName name="BEx78QMXZ2P1ZB3HJ9O50DWHCMXR" localSheetId="29" hidden="1">#REF!</definedName>
    <definedName name="BEx78QMXZ2P1ZB3HJ9O50DWHCMXR" localSheetId="33" hidden="1">#REF!</definedName>
    <definedName name="BEx78QMXZ2P1ZB3HJ9O50DWHCMXR" localSheetId="31" hidden="1">#REF!</definedName>
    <definedName name="BEx78QMXZ2P1ZB3HJ9O50DWHCMXR" localSheetId="32" hidden="1">#REF!</definedName>
    <definedName name="BEx78QMXZ2P1ZB3HJ9O50DWHCMXR" hidden="1">#REF!</definedName>
    <definedName name="BEx78SFO5VR28677DWZEMDN7G86X" localSheetId="30" hidden="1">#REF!</definedName>
    <definedName name="BEx78SFO5VR28677DWZEMDN7G86X" localSheetId="29" hidden="1">#REF!</definedName>
    <definedName name="BEx78SFO5VR28677DWZEMDN7G86X" localSheetId="33" hidden="1">#REF!</definedName>
    <definedName name="BEx78SFO5VR28677DWZEMDN7G86X" localSheetId="31" hidden="1">#REF!</definedName>
    <definedName name="BEx78SFO5VR28677DWZEMDN7G86X" localSheetId="32" hidden="1">#REF!</definedName>
    <definedName name="BEx78SFO5VR28677DWZEMDN7G86X" hidden="1">#REF!</definedName>
    <definedName name="BEx78SFOYH1Z0ZDTO47W2M60TW6K" localSheetId="30" hidden="1">#REF!</definedName>
    <definedName name="BEx78SFOYH1Z0ZDTO47W2M60TW6K" localSheetId="29" hidden="1">#REF!</definedName>
    <definedName name="BEx78SFOYH1Z0ZDTO47W2M60TW6K" localSheetId="33" hidden="1">#REF!</definedName>
    <definedName name="BEx78SFOYH1Z0ZDTO47W2M60TW6K" localSheetId="31" hidden="1">#REF!</definedName>
    <definedName name="BEx78SFOYH1Z0ZDTO47W2M60TW6K" localSheetId="32" hidden="1">#REF!</definedName>
    <definedName name="BEx78SFOYH1Z0ZDTO47W2M60TW6K" hidden="1">#REF!</definedName>
    <definedName name="BEx79JK3E6JO8MX4O35A5G8NZCC8" localSheetId="30" hidden="1">#REF!</definedName>
    <definedName name="BEx79JK3E6JO8MX4O35A5G8NZCC8" localSheetId="29" hidden="1">#REF!</definedName>
    <definedName name="BEx79JK3E6JO8MX4O35A5G8NZCC8" localSheetId="33" hidden="1">#REF!</definedName>
    <definedName name="BEx79JK3E6JO8MX4O35A5G8NZCC8" localSheetId="31" hidden="1">#REF!</definedName>
    <definedName name="BEx79JK3E6JO8MX4O35A5G8NZCC8" localSheetId="32" hidden="1">#REF!</definedName>
    <definedName name="BEx79JK3E6JO8MX4O35A5G8NZCC8" hidden="1">#REF!</definedName>
    <definedName name="BEx79OCP4HQ6XP8EWNGEUDLOZBBS" localSheetId="30" hidden="1">#REF!</definedName>
    <definedName name="BEx79OCP4HQ6XP8EWNGEUDLOZBBS" localSheetId="29" hidden="1">#REF!</definedName>
    <definedName name="BEx79OCP4HQ6XP8EWNGEUDLOZBBS" localSheetId="33" hidden="1">#REF!</definedName>
    <definedName name="BEx79OCP4HQ6XP8EWNGEUDLOZBBS" localSheetId="31" hidden="1">#REF!</definedName>
    <definedName name="BEx79OCP4HQ6XP8EWNGEUDLOZBBS" localSheetId="32" hidden="1">#REF!</definedName>
    <definedName name="BEx79OCP4HQ6XP8EWNGEUDLOZBBS" hidden="1">#REF!</definedName>
    <definedName name="BEx79SEAYKUZB0H4LYBCD6WWJBG2" localSheetId="30" hidden="1">#REF!</definedName>
    <definedName name="BEx79SEAYKUZB0H4LYBCD6WWJBG2" localSheetId="29" hidden="1">#REF!</definedName>
    <definedName name="BEx79SEAYKUZB0H4LYBCD6WWJBG2" localSheetId="33" hidden="1">#REF!</definedName>
    <definedName name="BEx79SEAYKUZB0H4LYBCD6WWJBG2" localSheetId="31" hidden="1">#REF!</definedName>
    <definedName name="BEx79SEAYKUZB0H4LYBCD6WWJBG2" localSheetId="32" hidden="1">#REF!</definedName>
    <definedName name="BEx79SEAYKUZB0H4LYBCD6WWJBG2" hidden="1">#REF!</definedName>
    <definedName name="BEx79SJRHTLS9PYM69O9BWW1FMJK" localSheetId="30" hidden="1">#REF!</definedName>
    <definedName name="BEx79SJRHTLS9PYM69O9BWW1FMJK" localSheetId="29" hidden="1">#REF!</definedName>
    <definedName name="BEx79SJRHTLS9PYM69O9BWW1FMJK" localSheetId="33" hidden="1">#REF!</definedName>
    <definedName name="BEx79SJRHTLS9PYM69O9BWW1FMJK" localSheetId="31" hidden="1">#REF!</definedName>
    <definedName name="BEx79SJRHTLS9PYM69O9BWW1FMJK" localSheetId="32" hidden="1">#REF!</definedName>
    <definedName name="BEx79SJRHTLS9PYM69O9BWW1FMJK" hidden="1">#REF!</definedName>
    <definedName name="BEx79YJJLBELICW9F9FRYSCQ101L" localSheetId="30" hidden="1">#REF!</definedName>
    <definedName name="BEx79YJJLBELICW9F9FRYSCQ101L" localSheetId="29" hidden="1">#REF!</definedName>
    <definedName name="BEx79YJJLBELICW9F9FRYSCQ101L" localSheetId="33" hidden="1">#REF!</definedName>
    <definedName name="BEx79YJJLBELICW9F9FRYSCQ101L" localSheetId="31" hidden="1">#REF!</definedName>
    <definedName name="BEx79YJJLBELICW9F9FRYSCQ101L" localSheetId="32" hidden="1">#REF!</definedName>
    <definedName name="BEx79YJJLBELICW9F9FRYSCQ101L" hidden="1">#REF!</definedName>
    <definedName name="BEx79YUC7B0V77FSBGIRCY1BR4VK" localSheetId="30" hidden="1">#REF!</definedName>
    <definedName name="BEx79YUC7B0V77FSBGIRCY1BR4VK" localSheetId="29" hidden="1">#REF!</definedName>
    <definedName name="BEx79YUC7B0V77FSBGIRCY1BR4VK" localSheetId="33" hidden="1">#REF!</definedName>
    <definedName name="BEx79YUC7B0V77FSBGIRCY1BR4VK" localSheetId="31" hidden="1">#REF!</definedName>
    <definedName name="BEx79YUC7B0V77FSBGIRCY1BR4VK" localSheetId="32" hidden="1">#REF!</definedName>
    <definedName name="BEx79YUC7B0V77FSBGIRCY1BR4VK" hidden="1">#REF!</definedName>
    <definedName name="BEx7A06T3RC2891FUX05G3QPRAUE" localSheetId="30" hidden="1">#REF!</definedName>
    <definedName name="BEx7A06T3RC2891FUX05G3QPRAUE" localSheetId="29" hidden="1">#REF!</definedName>
    <definedName name="BEx7A06T3RC2891FUX05G3QPRAUE" localSheetId="33" hidden="1">#REF!</definedName>
    <definedName name="BEx7A06T3RC2891FUX05G3QPRAUE" localSheetId="31" hidden="1">#REF!</definedName>
    <definedName name="BEx7A06T3RC2891FUX05G3QPRAUE" localSheetId="32" hidden="1">#REF!</definedName>
    <definedName name="BEx7A06T3RC2891FUX05G3QPRAUE" hidden="1">#REF!</definedName>
    <definedName name="BEx7A9S3JA1X7FH4CFSQLTZC4691" localSheetId="30" hidden="1">#REF!</definedName>
    <definedName name="BEx7A9S3JA1X7FH4CFSQLTZC4691" localSheetId="29" hidden="1">#REF!</definedName>
    <definedName name="BEx7A9S3JA1X7FH4CFSQLTZC4691" localSheetId="33" hidden="1">#REF!</definedName>
    <definedName name="BEx7A9S3JA1X7FH4CFSQLTZC4691" localSheetId="31" hidden="1">#REF!</definedName>
    <definedName name="BEx7A9S3JA1X7FH4CFSQLTZC4691" localSheetId="32" hidden="1">#REF!</definedName>
    <definedName name="BEx7A9S3JA1X7FH4CFSQLTZC4691" hidden="1">#REF!</definedName>
    <definedName name="BEx7ABA2C9IWH5VSLVLLLCY62161" localSheetId="30" hidden="1">#REF!</definedName>
    <definedName name="BEx7ABA2C9IWH5VSLVLLLCY62161" localSheetId="29" hidden="1">#REF!</definedName>
    <definedName name="BEx7ABA2C9IWH5VSLVLLLCY62161" localSheetId="33" hidden="1">#REF!</definedName>
    <definedName name="BEx7ABA2C9IWH5VSLVLLLCY62161" localSheetId="31" hidden="1">#REF!</definedName>
    <definedName name="BEx7ABA2C9IWH5VSLVLLLCY62161" localSheetId="32" hidden="1">#REF!</definedName>
    <definedName name="BEx7ABA2C9IWH5VSLVLLLCY62161" hidden="1">#REF!</definedName>
    <definedName name="BEx7AE4LPLX8N85BYB0WCO5S7ZPV" localSheetId="30" hidden="1">#REF!</definedName>
    <definedName name="BEx7AE4LPLX8N85BYB0WCO5S7ZPV" localSheetId="29" hidden="1">#REF!</definedName>
    <definedName name="BEx7AE4LPLX8N85BYB0WCO5S7ZPV" localSheetId="33" hidden="1">#REF!</definedName>
    <definedName name="BEx7AE4LPLX8N85BYB0WCO5S7ZPV" localSheetId="31" hidden="1">#REF!</definedName>
    <definedName name="BEx7AE4LPLX8N85BYB0WCO5S7ZPV" localSheetId="32" hidden="1">#REF!</definedName>
    <definedName name="BEx7AE4LPLX8N85BYB0WCO5S7ZPV" hidden="1">#REF!</definedName>
    <definedName name="BEx7AHKLJJVNTISY9QGHK8F37120" localSheetId="30" hidden="1">#REF!</definedName>
    <definedName name="BEx7AHKLJJVNTISY9QGHK8F37120" localSheetId="29" hidden="1">#REF!</definedName>
    <definedName name="BEx7AHKLJJVNTISY9QGHK8F37120" localSheetId="33" hidden="1">#REF!</definedName>
    <definedName name="BEx7AHKLJJVNTISY9QGHK8F37120" localSheetId="31" hidden="1">#REF!</definedName>
    <definedName name="BEx7AHKLJJVNTISY9QGHK8F37120" localSheetId="32" hidden="1">#REF!</definedName>
    <definedName name="BEx7AHKLJJVNTISY9QGHK8F37120" hidden="1">#REF!</definedName>
    <definedName name="BEx7ASD1I654MEDCO6GGWA95PXSC" localSheetId="30" hidden="1">#REF!</definedName>
    <definedName name="BEx7ASD1I654MEDCO6GGWA95PXSC" localSheetId="29" hidden="1">#REF!</definedName>
    <definedName name="BEx7ASD1I654MEDCO6GGWA95PXSC" localSheetId="33" hidden="1">#REF!</definedName>
    <definedName name="BEx7ASD1I654MEDCO6GGWA95PXSC" localSheetId="31" hidden="1">#REF!</definedName>
    <definedName name="BEx7ASD1I654MEDCO6GGWA95PXSC" localSheetId="32" hidden="1">#REF!</definedName>
    <definedName name="BEx7ASD1I654MEDCO6GGWA95PXSC" hidden="1">#REF!</definedName>
    <definedName name="BEx7AVCX9S5RJP3NSZ4QM4E6ERDT" localSheetId="30" hidden="1">#REF!</definedName>
    <definedName name="BEx7AVCX9S5RJP3NSZ4QM4E6ERDT" localSheetId="29" hidden="1">#REF!</definedName>
    <definedName name="BEx7AVCX9S5RJP3NSZ4QM4E6ERDT" localSheetId="33" hidden="1">#REF!</definedName>
    <definedName name="BEx7AVCX9S5RJP3NSZ4QM4E6ERDT" localSheetId="31" hidden="1">#REF!</definedName>
    <definedName name="BEx7AVCX9S5RJP3NSZ4QM4E6ERDT" localSheetId="32" hidden="1">#REF!</definedName>
    <definedName name="BEx7AVCX9S5RJP3NSZ4QM4E6ERDT" hidden="1">#REF!</definedName>
    <definedName name="BEx7AVYIGP0930MV5JEBWRYCJN68" localSheetId="30" hidden="1">#REF!</definedName>
    <definedName name="BEx7AVYIGP0930MV5JEBWRYCJN68" localSheetId="29" hidden="1">#REF!</definedName>
    <definedName name="BEx7AVYIGP0930MV5JEBWRYCJN68" localSheetId="33" hidden="1">#REF!</definedName>
    <definedName name="BEx7AVYIGP0930MV5JEBWRYCJN68" localSheetId="31" hidden="1">#REF!</definedName>
    <definedName name="BEx7AVYIGP0930MV5JEBWRYCJN68" localSheetId="32" hidden="1">#REF!</definedName>
    <definedName name="BEx7AVYIGP0930MV5JEBWRYCJN68" hidden="1">#REF!</definedName>
    <definedName name="BEx7B6LH6917TXOSAAQ6U7HVF018" localSheetId="30" hidden="1">#REF!</definedName>
    <definedName name="BEx7B6LH6917TXOSAAQ6U7HVF018" localSheetId="29" hidden="1">#REF!</definedName>
    <definedName name="BEx7B6LH6917TXOSAAQ6U7HVF018" localSheetId="33" hidden="1">#REF!</definedName>
    <definedName name="BEx7B6LH6917TXOSAAQ6U7HVF018" localSheetId="31" hidden="1">#REF!</definedName>
    <definedName name="BEx7B6LH6917TXOSAAQ6U7HVF018" localSheetId="32" hidden="1">#REF!</definedName>
    <definedName name="BEx7B6LH6917TXOSAAQ6U7HVF018" hidden="1">#REF!</definedName>
    <definedName name="BEx7BPXFZXJ79FQ0E8AQE21PGVHA" localSheetId="30" hidden="1">#REF!</definedName>
    <definedName name="BEx7BPXFZXJ79FQ0E8AQE21PGVHA" localSheetId="29" hidden="1">#REF!</definedName>
    <definedName name="BEx7BPXFZXJ79FQ0E8AQE21PGVHA" localSheetId="33" hidden="1">#REF!</definedName>
    <definedName name="BEx7BPXFZXJ79FQ0E8AQE21PGVHA" localSheetId="31" hidden="1">#REF!</definedName>
    <definedName name="BEx7BPXFZXJ79FQ0E8AQE21PGVHA" localSheetId="32" hidden="1">#REF!</definedName>
    <definedName name="BEx7BPXFZXJ79FQ0E8AQE21PGVHA" hidden="1">#REF!</definedName>
    <definedName name="BEx7BWO6937WIH0FPL1PLHSFOBRE" localSheetId="30" hidden="1">#REF!</definedName>
    <definedName name="BEx7BWO6937WIH0FPL1PLHSFOBRE" localSheetId="29" hidden="1">#REF!</definedName>
    <definedName name="BEx7BWO6937WIH0FPL1PLHSFOBRE" localSheetId="33" hidden="1">#REF!</definedName>
    <definedName name="BEx7BWO6937WIH0FPL1PLHSFOBRE" localSheetId="31" hidden="1">#REF!</definedName>
    <definedName name="BEx7BWO6937WIH0FPL1PLHSFOBRE" localSheetId="32" hidden="1">#REF!</definedName>
    <definedName name="BEx7BWO6937WIH0FPL1PLHSFOBRE" hidden="1">#REF!</definedName>
    <definedName name="BEx7C04AM39DQMC1TIX7CFZ2ADHX" localSheetId="30" hidden="1">#REF!</definedName>
    <definedName name="BEx7C04AM39DQMC1TIX7CFZ2ADHX" localSheetId="29" hidden="1">#REF!</definedName>
    <definedName name="BEx7C04AM39DQMC1TIX7CFZ2ADHX" localSheetId="33" hidden="1">#REF!</definedName>
    <definedName name="BEx7C04AM39DQMC1TIX7CFZ2ADHX" localSheetId="31" hidden="1">#REF!</definedName>
    <definedName name="BEx7C04AM39DQMC1TIX7CFZ2ADHX" localSheetId="32" hidden="1">#REF!</definedName>
    <definedName name="BEx7C04AM39DQMC1TIX7CFZ2ADHX" hidden="1">#REF!</definedName>
    <definedName name="BEx7C40F0PQURHPI6YQ39NFIR86Z" localSheetId="30" hidden="1">#REF!</definedName>
    <definedName name="BEx7C40F0PQURHPI6YQ39NFIR86Z" localSheetId="29" hidden="1">#REF!</definedName>
    <definedName name="BEx7C40F0PQURHPI6YQ39NFIR86Z" localSheetId="33" hidden="1">#REF!</definedName>
    <definedName name="BEx7C40F0PQURHPI6YQ39NFIR86Z" localSheetId="31" hidden="1">#REF!</definedName>
    <definedName name="BEx7C40F0PQURHPI6YQ39NFIR86Z" localSheetId="32" hidden="1">#REF!</definedName>
    <definedName name="BEx7C40F0PQURHPI6YQ39NFIR86Z" hidden="1">#REF!</definedName>
    <definedName name="BEx7C93VR7SYRIJS1JO8YZKSFAW9" localSheetId="30" hidden="1">#REF!</definedName>
    <definedName name="BEx7C93VR7SYRIJS1JO8YZKSFAW9" localSheetId="29" hidden="1">#REF!</definedName>
    <definedName name="BEx7C93VR7SYRIJS1JO8YZKSFAW9" localSheetId="33" hidden="1">#REF!</definedName>
    <definedName name="BEx7C93VR7SYRIJS1JO8YZKSFAW9" localSheetId="31" hidden="1">#REF!</definedName>
    <definedName name="BEx7C93VR7SYRIJS1JO8YZKSFAW9" localSheetId="32" hidden="1">#REF!</definedName>
    <definedName name="BEx7C93VR7SYRIJS1JO8YZKSFAW9" hidden="1">#REF!</definedName>
    <definedName name="BEx7CCPC6R1KQQZ2JQU6EFI1G0RM" localSheetId="30" hidden="1">#REF!</definedName>
    <definedName name="BEx7CCPC6R1KQQZ2JQU6EFI1G0RM" localSheetId="29" hidden="1">#REF!</definedName>
    <definedName name="BEx7CCPC6R1KQQZ2JQU6EFI1G0RM" localSheetId="33" hidden="1">#REF!</definedName>
    <definedName name="BEx7CCPC6R1KQQZ2JQU6EFI1G0RM" localSheetId="31" hidden="1">#REF!</definedName>
    <definedName name="BEx7CCPC6R1KQQZ2JQU6EFI1G0RM" localSheetId="32" hidden="1">#REF!</definedName>
    <definedName name="BEx7CCPC6R1KQQZ2JQU6EFI1G0RM" hidden="1">#REF!</definedName>
    <definedName name="BEx7CIJST9GLS2QD383UK7VUDTGL" localSheetId="30" hidden="1">#REF!</definedName>
    <definedName name="BEx7CIJST9GLS2QD383UK7VUDTGL" localSheetId="29" hidden="1">#REF!</definedName>
    <definedName name="BEx7CIJST9GLS2QD383UK7VUDTGL" localSheetId="33" hidden="1">#REF!</definedName>
    <definedName name="BEx7CIJST9GLS2QD383UK7VUDTGL" localSheetId="31" hidden="1">#REF!</definedName>
    <definedName name="BEx7CIJST9GLS2QD383UK7VUDTGL" localSheetId="32" hidden="1">#REF!</definedName>
    <definedName name="BEx7CIJST9GLS2QD383UK7VUDTGL" hidden="1">#REF!</definedName>
    <definedName name="BEx7CO8T2XKC7GHDSYNAWTZ9L7YR" localSheetId="30" hidden="1">#REF!</definedName>
    <definedName name="BEx7CO8T2XKC7GHDSYNAWTZ9L7YR" localSheetId="29" hidden="1">#REF!</definedName>
    <definedName name="BEx7CO8T2XKC7GHDSYNAWTZ9L7YR" localSheetId="33" hidden="1">#REF!</definedName>
    <definedName name="BEx7CO8T2XKC7GHDSYNAWTZ9L7YR" localSheetId="31" hidden="1">#REF!</definedName>
    <definedName name="BEx7CO8T2XKC7GHDSYNAWTZ9L7YR" localSheetId="32" hidden="1">#REF!</definedName>
    <definedName name="BEx7CO8T2XKC7GHDSYNAWTZ9L7YR" hidden="1">#REF!</definedName>
    <definedName name="BEx7CW1CF00DO8A36UNC2X7K65C2" localSheetId="30" hidden="1">#REF!</definedName>
    <definedName name="BEx7CW1CF00DO8A36UNC2X7K65C2" localSheetId="29" hidden="1">#REF!</definedName>
    <definedName name="BEx7CW1CF00DO8A36UNC2X7K65C2" localSheetId="33" hidden="1">#REF!</definedName>
    <definedName name="BEx7CW1CF00DO8A36UNC2X7K65C2" localSheetId="31" hidden="1">#REF!</definedName>
    <definedName name="BEx7CW1CF00DO8A36UNC2X7K65C2" localSheetId="32" hidden="1">#REF!</definedName>
    <definedName name="BEx7CW1CF00DO8A36UNC2X7K65C2" hidden="1">#REF!</definedName>
    <definedName name="BEx7CW6NFRL2P4XWP0MWHIYA97KF" localSheetId="30" hidden="1">#REF!</definedName>
    <definedName name="BEx7CW6NFRL2P4XWP0MWHIYA97KF" localSheetId="29" hidden="1">#REF!</definedName>
    <definedName name="BEx7CW6NFRL2P4XWP0MWHIYA97KF" localSheetId="33" hidden="1">#REF!</definedName>
    <definedName name="BEx7CW6NFRL2P4XWP0MWHIYA97KF" localSheetId="31" hidden="1">#REF!</definedName>
    <definedName name="BEx7CW6NFRL2P4XWP0MWHIYA97KF" localSheetId="32" hidden="1">#REF!</definedName>
    <definedName name="BEx7CW6NFRL2P4XWP0MWHIYA97KF" hidden="1">#REF!</definedName>
    <definedName name="BEx7D5RWKRS4W71J4NZ6ZSFHPKFT" localSheetId="30" hidden="1">#REF!</definedName>
    <definedName name="BEx7D5RWKRS4W71J4NZ6ZSFHPKFT" localSheetId="29" hidden="1">#REF!</definedName>
    <definedName name="BEx7D5RWKRS4W71J4NZ6ZSFHPKFT" localSheetId="33" hidden="1">#REF!</definedName>
    <definedName name="BEx7D5RWKRS4W71J4NZ6ZSFHPKFT" localSheetId="31" hidden="1">#REF!</definedName>
    <definedName name="BEx7D5RWKRS4W71J4NZ6ZSFHPKFT" localSheetId="32" hidden="1">#REF!</definedName>
    <definedName name="BEx7D5RWKRS4W71J4NZ6ZSFHPKFT" hidden="1">#REF!</definedName>
    <definedName name="BEx7D8H1TPOX1UN17QZYEV7Q58GA" localSheetId="30" hidden="1">#REF!</definedName>
    <definedName name="BEx7D8H1TPOX1UN17QZYEV7Q58GA" localSheetId="29" hidden="1">#REF!</definedName>
    <definedName name="BEx7D8H1TPOX1UN17QZYEV7Q58GA" localSheetId="33" hidden="1">#REF!</definedName>
    <definedName name="BEx7D8H1TPOX1UN17QZYEV7Q58GA" localSheetId="31" hidden="1">#REF!</definedName>
    <definedName name="BEx7D8H1TPOX1UN17QZYEV7Q58GA" localSheetId="32" hidden="1">#REF!</definedName>
    <definedName name="BEx7D8H1TPOX1UN17QZYEV7Q58GA" hidden="1">#REF!</definedName>
    <definedName name="BEx7DGF13H2074LRWFZQ45PZ6JPX" localSheetId="30" hidden="1">#REF!</definedName>
    <definedName name="BEx7DGF13H2074LRWFZQ45PZ6JPX" localSheetId="29" hidden="1">#REF!</definedName>
    <definedName name="BEx7DGF13H2074LRWFZQ45PZ6JPX" localSheetId="33" hidden="1">#REF!</definedName>
    <definedName name="BEx7DGF13H2074LRWFZQ45PZ6JPX" localSheetId="31" hidden="1">#REF!</definedName>
    <definedName name="BEx7DGF13H2074LRWFZQ45PZ6JPX" localSheetId="32" hidden="1">#REF!</definedName>
    <definedName name="BEx7DGF13H2074LRWFZQ45PZ6JPX" hidden="1">#REF!</definedName>
    <definedName name="BEx7DKWUXEDIISSX4GDD4YYT887F" localSheetId="30" hidden="1">#REF!</definedName>
    <definedName name="BEx7DKWUXEDIISSX4GDD4YYT887F" localSheetId="29" hidden="1">#REF!</definedName>
    <definedName name="BEx7DKWUXEDIISSX4GDD4YYT887F" localSheetId="33" hidden="1">#REF!</definedName>
    <definedName name="BEx7DKWUXEDIISSX4GDD4YYT887F" localSheetId="31" hidden="1">#REF!</definedName>
    <definedName name="BEx7DKWUXEDIISSX4GDD4YYT887F" localSheetId="32" hidden="1">#REF!</definedName>
    <definedName name="BEx7DKWUXEDIISSX4GDD4YYT887F" hidden="1">#REF!</definedName>
    <definedName name="BEx7DMUYR2HC26WW7AOB1TULERMB" localSheetId="30" hidden="1">#REF!</definedName>
    <definedName name="BEx7DMUYR2HC26WW7AOB1TULERMB" localSheetId="29" hidden="1">#REF!</definedName>
    <definedName name="BEx7DMUYR2HC26WW7AOB1TULERMB" localSheetId="33" hidden="1">#REF!</definedName>
    <definedName name="BEx7DMUYR2HC26WW7AOB1TULERMB" localSheetId="31" hidden="1">#REF!</definedName>
    <definedName name="BEx7DMUYR2HC26WW7AOB1TULERMB" localSheetId="32" hidden="1">#REF!</definedName>
    <definedName name="BEx7DMUYR2HC26WW7AOB1TULERMB" hidden="1">#REF!</definedName>
    <definedName name="BEx7DONPAW2SXTTEMIIJQU5TTRC5" localSheetId="30" hidden="1">#REF!</definedName>
    <definedName name="BEx7DONPAW2SXTTEMIIJQU5TTRC5" localSheetId="29" hidden="1">#REF!</definedName>
    <definedName name="BEx7DONPAW2SXTTEMIIJQU5TTRC5" localSheetId="33" hidden="1">#REF!</definedName>
    <definedName name="BEx7DONPAW2SXTTEMIIJQU5TTRC5" localSheetId="31" hidden="1">#REF!</definedName>
    <definedName name="BEx7DONPAW2SXTTEMIIJQU5TTRC5" localSheetId="32" hidden="1">#REF!</definedName>
    <definedName name="BEx7DONPAW2SXTTEMIIJQU5TTRC5" hidden="1">#REF!</definedName>
    <definedName name="BEx7DVJTRV44IMJIBFXELE67SZ7S" localSheetId="30" hidden="1">#REF!</definedName>
    <definedName name="BEx7DVJTRV44IMJIBFXELE67SZ7S" localSheetId="29" hidden="1">#REF!</definedName>
    <definedName name="BEx7DVJTRV44IMJIBFXELE67SZ7S" localSheetId="33" hidden="1">#REF!</definedName>
    <definedName name="BEx7DVJTRV44IMJIBFXELE67SZ7S" localSheetId="31" hidden="1">#REF!</definedName>
    <definedName name="BEx7DVJTRV44IMJIBFXELE67SZ7S" localSheetId="32" hidden="1">#REF!</definedName>
    <definedName name="BEx7DVJTRV44IMJIBFXELE67SZ7S" hidden="1">#REF!</definedName>
    <definedName name="BEx7DVUMFCI5INHMVFIJ44RTTSTT" localSheetId="30" hidden="1">#REF!</definedName>
    <definedName name="BEx7DVUMFCI5INHMVFIJ44RTTSTT" localSheetId="29" hidden="1">#REF!</definedName>
    <definedName name="BEx7DVUMFCI5INHMVFIJ44RTTSTT" localSheetId="33" hidden="1">#REF!</definedName>
    <definedName name="BEx7DVUMFCI5INHMVFIJ44RTTSTT" localSheetId="31" hidden="1">#REF!</definedName>
    <definedName name="BEx7DVUMFCI5INHMVFIJ44RTTSTT" localSheetId="32" hidden="1">#REF!</definedName>
    <definedName name="BEx7DVUMFCI5INHMVFIJ44RTTSTT" hidden="1">#REF!</definedName>
    <definedName name="BEx7E2QT2U8THYOKBPXONB1B47WH" localSheetId="30" hidden="1">#REF!</definedName>
    <definedName name="BEx7E2QT2U8THYOKBPXONB1B47WH" localSheetId="29" hidden="1">#REF!</definedName>
    <definedName name="BEx7E2QT2U8THYOKBPXONB1B47WH" localSheetId="33" hidden="1">#REF!</definedName>
    <definedName name="BEx7E2QT2U8THYOKBPXONB1B47WH" localSheetId="31" hidden="1">#REF!</definedName>
    <definedName name="BEx7E2QT2U8THYOKBPXONB1B47WH" localSheetId="32" hidden="1">#REF!</definedName>
    <definedName name="BEx7E2QT2U8THYOKBPXONB1B47WH" hidden="1">#REF!</definedName>
    <definedName name="BEx7E5QP7W6UKO74F5Y0VJ741HS5" localSheetId="30" hidden="1">#REF!</definedName>
    <definedName name="BEx7E5QP7W6UKO74F5Y0VJ741HS5" localSheetId="29" hidden="1">#REF!</definedName>
    <definedName name="BEx7E5QP7W6UKO74F5Y0VJ741HS5" localSheetId="33" hidden="1">#REF!</definedName>
    <definedName name="BEx7E5QP7W6UKO74F5Y0VJ741HS5" localSheetId="31" hidden="1">#REF!</definedName>
    <definedName name="BEx7E5QP7W6UKO74F5Y0VJ741HS5" localSheetId="32" hidden="1">#REF!</definedName>
    <definedName name="BEx7E5QP7W6UKO74F5Y0VJ741HS5" hidden="1">#REF!</definedName>
    <definedName name="BEx7E6HLK1Y29ASAA3JMNP2NTF3J" localSheetId="30" hidden="1">#REF!</definedName>
    <definedName name="BEx7E6HLK1Y29ASAA3JMNP2NTF3J" localSheetId="29" hidden="1">#REF!</definedName>
    <definedName name="BEx7E6HLK1Y29ASAA3JMNP2NTF3J" localSheetId="33" hidden="1">#REF!</definedName>
    <definedName name="BEx7E6HLK1Y29ASAA3JMNP2NTF3J" localSheetId="31" hidden="1">#REF!</definedName>
    <definedName name="BEx7E6HLK1Y29ASAA3JMNP2NTF3J" localSheetId="32" hidden="1">#REF!</definedName>
    <definedName name="BEx7E6HLK1Y29ASAA3JMNP2NTF3J" hidden="1">#REF!</definedName>
    <definedName name="BEx7E6N29HGH3I47AFB2DCS6MVS6" localSheetId="30" hidden="1">#REF!</definedName>
    <definedName name="BEx7E6N29HGH3I47AFB2DCS6MVS6" localSheetId="29" hidden="1">#REF!</definedName>
    <definedName name="BEx7E6N29HGH3I47AFB2DCS6MVS6" localSheetId="33" hidden="1">#REF!</definedName>
    <definedName name="BEx7E6N29HGH3I47AFB2DCS6MVS6" localSheetId="31" hidden="1">#REF!</definedName>
    <definedName name="BEx7E6N29HGH3I47AFB2DCS6MVS6" localSheetId="32" hidden="1">#REF!</definedName>
    <definedName name="BEx7E6N29HGH3I47AFB2DCS6MVS6" hidden="1">#REF!</definedName>
    <definedName name="BEx7EBA8IYHQKT7IQAOAML660SYA" localSheetId="30" hidden="1">#REF!</definedName>
    <definedName name="BEx7EBA8IYHQKT7IQAOAML660SYA" localSheetId="29" hidden="1">#REF!</definedName>
    <definedName name="BEx7EBA8IYHQKT7IQAOAML660SYA" localSheetId="33" hidden="1">#REF!</definedName>
    <definedName name="BEx7EBA8IYHQKT7IQAOAML660SYA" localSheetId="31" hidden="1">#REF!</definedName>
    <definedName name="BEx7EBA8IYHQKT7IQAOAML660SYA" localSheetId="32" hidden="1">#REF!</definedName>
    <definedName name="BEx7EBA8IYHQKT7IQAOAML660SYA" hidden="1">#REF!</definedName>
    <definedName name="BEx7EI6C8MCRZFEQYUBE5FSUTIHK" localSheetId="30" hidden="1">#REF!</definedName>
    <definedName name="BEx7EI6C8MCRZFEQYUBE5FSUTIHK" localSheetId="29" hidden="1">#REF!</definedName>
    <definedName name="BEx7EI6C8MCRZFEQYUBE5FSUTIHK" localSheetId="33" hidden="1">#REF!</definedName>
    <definedName name="BEx7EI6C8MCRZFEQYUBE5FSUTIHK" localSheetId="31" hidden="1">#REF!</definedName>
    <definedName name="BEx7EI6C8MCRZFEQYUBE5FSUTIHK" localSheetId="32" hidden="1">#REF!</definedName>
    <definedName name="BEx7EI6C8MCRZFEQYUBE5FSUTIHK" hidden="1">#REF!</definedName>
    <definedName name="BEx7EI6DL1Z6UWLFBXAKVGZTKHWJ" localSheetId="30" hidden="1">#REF!</definedName>
    <definedName name="BEx7EI6DL1Z6UWLFBXAKVGZTKHWJ" localSheetId="29" hidden="1">#REF!</definedName>
    <definedName name="BEx7EI6DL1Z6UWLFBXAKVGZTKHWJ" localSheetId="33" hidden="1">#REF!</definedName>
    <definedName name="BEx7EI6DL1Z6UWLFBXAKVGZTKHWJ" localSheetId="31" hidden="1">#REF!</definedName>
    <definedName name="BEx7EI6DL1Z6UWLFBXAKVGZTKHWJ" localSheetId="32" hidden="1">#REF!</definedName>
    <definedName name="BEx7EI6DL1Z6UWLFBXAKVGZTKHWJ" hidden="1">#REF!</definedName>
    <definedName name="BEx7EQKHX7GZYOLXRDU534TT4H64" localSheetId="30" hidden="1">#REF!</definedName>
    <definedName name="BEx7EQKHX7GZYOLXRDU534TT4H64" localSheetId="29" hidden="1">#REF!</definedName>
    <definedName name="BEx7EQKHX7GZYOLXRDU534TT4H64" localSheetId="33" hidden="1">#REF!</definedName>
    <definedName name="BEx7EQKHX7GZYOLXRDU534TT4H64" localSheetId="31" hidden="1">#REF!</definedName>
    <definedName name="BEx7EQKHX7GZYOLXRDU534TT4H64" localSheetId="32" hidden="1">#REF!</definedName>
    <definedName name="BEx7EQKHX7GZYOLXRDU534TT4H64" hidden="1">#REF!</definedName>
    <definedName name="BEx7ETV6L1TM7JSXJIGK3FC6RVZW" localSheetId="30" hidden="1">#REF!</definedName>
    <definedName name="BEx7ETV6L1TM7JSXJIGK3FC6RVZW" localSheetId="29" hidden="1">#REF!</definedName>
    <definedName name="BEx7ETV6L1TM7JSXJIGK3FC6RVZW" localSheetId="33" hidden="1">#REF!</definedName>
    <definedName name="BEx7ETV6L1TM7JSXJIGK3FC6RVZW" localSheetId="31" hidden="1">#REF!</definedName>
    <definedName name="BEx7ETV6L1TM7JSXJIGK3FC6RVZW" localSheetId="32" hidden="1">#REF!</definedName>
    <definedName name="BEx7ETV6L1TM7JSXJIGK3FC6RVZW" hidden="1">#REF!</definedName>
    <definedName name="BEx7EYYLHMBYQTH6I377FCQS7CSX" localSheetId="30" hidden="1">#REF!</definedName>
    <definedName name="BEx7EYYLHMBYQTH6I377FCQS7CSX" localSheetId="29" hidden="1">#REF!</definedName>
    <definedName name="BEx7EYYLHMBYQTH6I377FCQS7CSX" localSheetId="33" hidden="1">#REF!</definedName>
    <definedName name="BEx7EYYLHMBYQTH6I377FCQS7CSX" localSheetId="31" hidden="1">#REF!</definedName>
    <definedName name="BEx7EYYLHMBYQTH6I377FCQS7CSX" localSheetId="32" hidden="1">#REF!</definedName>
    <definedName name="BEx7EYYLHMBYQTH6I377FCQS7CSX" hidden="1">#REF!</definedName>
    <definedName name="BEx7FCLG1RYI2SNOU1Y2GQZNZSWA" localSheetId="30" hidden="1">#REF!</definedName>
    <definedName name="BEx7FCLG1RYI2SNOU1Y2GQZNZSWA" localSheetId="29" hidden="1">#REF!</definedName>
    <definedName name="BEx7FCLG1RYI2SNOU1Y2GQZNZSWA" localSheetId="33" hidden="1">#REF!</definedName>
    <definedName name="BEx7FCLG1RYI2SNOU1Y2GQZNZSWA" localSheetId="31" hidden="1">#REF!</definedName>
    <definedName name="BEx7FCLG1RYI2SNOU1Y2GQZNZSWA" localSheetId="32" hidden="1">#REF!</definedName>
    <definedName name="BEx7FCLG1RYI2SNOU1Y2GQZNZSWA" hidden="1">#REF!</definedName>
    <definedName name="BEx7FL50QCDNTGY5Y2AKU6QUGAPN" localSheetId="30" hidden="1">#REF!</definedName>
    <definedName name="BEx7FL50QCDNTGY5Y2AKU6QUGAPN" localSheetId="29" hidden="1">#REF!</definedName>
    <definedName name="BEx7FL50QCDNTGY5Y2AKU6QUGAPN" localSheetId="33" hidden="1">#REF!</definedName>
    <definedName name="BEx7FL50QCDNTGY5Y2AKU6QUGAPN" localSheetId="31" hidden="1">#REF!</definedName>
    <definedName name="BEx7FL50QCDNTGY5Y2AKU6QUGAPN" localSheetId="32" hidden="1">#REF!</definedName>
    <definedName name="BEx7FL50QCDNTGY5Y2AKU6QUGAPN" hidden="1">#REF!</definedName>
    <definedName name="BEx7FN32ZGWOAA4TTH79KINTDWR9" localSheetId="30" hidden="1">#REF!</definedName>
    <definedName name="BEx7FN32ZGWOAA4TTH79KINTDWR9" localSheetId="29" hidden="1">#REF!</definedName>
    <definedName name="BEx7FN32ZGWOAA4TTH79KINTDWR9" localSheetId="33" hidden="1">#REF!</definedName>
    <definedName name="BEx7FN32ZGWOAA4TTH79KINTDWR9" localSheetId="31" hidden="1">#REF!</definedName>
    <definedName name="BEx7FN32ZGWOAA4TTH79KINTDWR9" localSheetId="32" hidden="1">#REF!</definedName>
    <definedName name="BEx7FN32ZGWOAA4TTH79KINTDWR9" hidden="1">#REF!</definedName>
    <definedName name="BEx7G82CKM3NIY1PHNFK28M09PCH" localSheetId="30" hidden="1">#REF!</definedName>
    <definedName name="BEx7G82CKM3NIY1PHNFK28M09PCH" localSheetId="29" hidden="1">#REF!</definedName>
    <definedName name="BEx7G82CKM3NIY1PHNFK28M09PCH" localSheetId="33" hidden="1">#REF!</definedName>
    <definedName name="BEx7G82CKM3NIY1PHNFK28M09PCH" localSheetId="31" hidden="1">#REF!</definedName>
    <definedName name="BEx7G82CKM3NIY1PHNFK28M09PCH" localSheetId="32" hidden="1">#REF!</definedName>
    <definedName name="BEx7G82CKM3NIY1PHNFK28M09PCH" hidden="1">#REF!</definedName>
    <definedName name="BEx7GR3ENYWRXXS5IT0UMEGOLGUH" localSheetId="30" hidden="1">#REF!</definedName>
    <definedName name="BEx7GR3ENYWRXXS5IT0UMEGOLGUH" localSheetId="29" hidden="1">#REF!</definedName>
    <definedName name="BEx7GR3ENYWRXXS5IT0UMEGOLGUH" localSheetId="33" hidden="1">#REF!</definedName>
    <definedName name="BEx7GR3ENYWRXXS5IT0UMEGOLGUH" localSheetId="31" hidden="1">#REF!</definedName>
    <definedName name="BEx7GR3ENYWRXXS5IT0UMEGOLGUH" localSheetId="32" hidden="1">#REF!</definedName>
    <definedName name="BEx7GR3ENYWRXXS5IT0UMEGOLGUH" hidden="1">#REF!</definedName>
    <definedName name="BEx7GSAL6P7TASL8MB63RFST1LJL" localSheetId="30" hidden="1">#REF!</definedName>
    <definedName name="BEx7GSAL6P7TASL8MB63RFST1LJL" localSheetId="29" hidden="1">#REF!</definedName>
    <definedName name="BEx7GSAL6P7TASL8MB63RFST1LJL" localSheetId="33" hidden="1">#REF!</definedName>
    <definedName name="BEx7GSAL6P7TASL8MB63RFST1LJL" localSheetId="31" hidden="1">#REF!</definedName>
    <definedName name="BEx7GSAL6P7TASL8MB63RFST1LJL" localSheetId="32" hidden="1">#REF!</definedName>
    <definedName name="BEx7GSAL6P7TASL8MB63RFST1LJL" hidden="1">#REF!</definedName>
    <definedName name="BEx7GVFXJ9H44B2K3CNTGXWLY1AJ" localSheetId="30" hidden="1">#REF!</definedName>
    <definedName name="BEx7GVFXJ9H44B2K3CNTGXWLY1AJ" localSheetId="29" hidden="1">#REF!</definedName>
    <definedName name="BEx7GVFXJ9H44B2K3CNTGXWLY1AJ" localSheetId="33" hidden="1">#REF!</definedName>
    <definedName name="BEx7GVFXJ9H44B2K3CNTGXWLY1AJ" localSheetId="31" hidden="1">#REF!</definedName>
    <definedName name="BEx7GVFXJ9H44B2K3CNTGXWLY1AJ" localSheetId="32" hidden="1">#REF!</definedName>
    <definedName name="BEx7GVFXJ9H44B2K3CNTGXWLY1AJ" hidden="1">#REF!</definedName>
    <definedName name="BEx7H0JD6I5I8WQLLWOYWY5YWPQE" localSheetId="30" hidden="1">#REF!</definedName>
    <definedName name="BEx7H0JD6I5I8WQLLWOYWY5YWPQE" localSheetId="29" hidden="1">#REF!</definedName>
    <definedName name="BEx7H0JD6I5I8WQLLWOYWY5YWPQE" localSheetId="33" hidden="1">#REF!</definedName>
    <definedName name="BEx7H0JD6I5I8WQLLWOYWY5YWPQE" localSheetId="31" hidden="1">#REF!</definedName>
    <definedName name="BEx7H0JD6I5I8WQLLWOYWY5YWPQE" localSheetId="32" hidden="1">#REF!</definedName>
    <definedName name="BEx7H0JD6I5I8WQLLWOYWY5YWPQE" hidden="1">#REF!</definedName>
    <definedName name="BEx7H14XCXH7WEXEY1HVO53A6AGH" localSheetId="30" hidden="1">#REF!</definedName>
    <definedName name="BEx7H14XCXH7WEXEY1HVO53A6AGH" localSheetId="29" hidden="1">#REF!</definedName>
    <definedName name="BEx7H14XCXH7WEXEY1HVO53A6AGH" localSheetId="33" hidden="1">#REF!</definedName>
    <definedName name="BEx7H14XCXH7WEXEY1HVO53A6AGH" localSheetId="31" hidden="1">#REF!</definedName>
    <definedName name="BEx7H14XCXH7WEXEY1HVO53A6AGH" localSheetId="32" hidden="1">#REF!</definedName>
    <definedName name="BEx7H14XCXH7WEXEY1HVO53A6AGH" hidden="1">#REF!</definedName>
    <definedName name="BEx7HFTIA8AC8BR8HKIN81VE1SGW" localSheetId="30" hidden="1">#REF!</definedName>
    <definedName name="BEx7HFTIA8AC8BR8HKIN81VE1SGW" localSheetId="29" hidden="1">#REF!</definedName>
    <definedName name="BEx7HFTIA8AC8BR8HKIN81VE1SGW" localSheetId="33" hidden="1">#REF!</definedName>
    <definedName name="BEx7HFTIA8AC8BR8HKIN81VE1SGW" localSheetId="31" hidden="1">#REF!</definedName>
    <definedName name="BEx7HFTIA8AC8BR8HKIN81VE1SGW" localSheetId="32" hidden="1">#REF!</definedName>
    <definedName name="BEx7HFTIA8AC8BR8HKIN81VE1SGW" hidden="1">#REF!</definedName>
    <definedName name="BEx7HGVBEF4LEIF6RC14N3PSU461" localSheetId="30" hidden="1">#REF!</definedName>
    <definedName name="BEx7HGVBEF4LEIF6RC14N3PSU461" localSheetId="29" hidden="1">#REF!</definedName>
    <definedName name="BEx7HGVBEF4LEIF6RC14N3PSU461" localSheetId="33" hidden="1">#REF!</definedName>
    <definedName name="BEx7HGVBEF4LEIF6RC14N3PSU461" localSheetId="31" hidden="1">#REF!</definedName>
    <definedName name="BEx7HGVBEF4LEIF6RC14N3PSU461" localSheetId="32" hidden="1">#REF!</definedName>
    <definedName name="BEx7HGVBEF4LEIF6RC14N3PSU461" hidden="1">#REF!</definedName>
    <definedName name="BEx7HQ5T9FZ42QWS09UO4DT42Y0R" localSheetId="30" hidden="1">#REF!</definedName>
    <definedName name="BEx7HQ5T9FZ42QWS09UO4DT42Y0R" localSheetId="29" hidden="1">#REF!</definedName>
    <definedName name="BEx7HQ5T9FZ42QWS09UO4DT42Y0R" localSheetId="33" hidden="1">#REF!</definedName>
    <definedName name="BEx7HQ5T9FZ42QWS09UO4DT42Y0R" localSheetId="31" hidden="1">#REF!</definedName>
    <definedName name="BEx7HQ5T9FZ42QWS09UO4DT42Y0R" localSheetId="32" hidden="1">#REF!</definedName>
    <definedName name="BEx7HQ5T9FZ42QWS09UO4DT42Y0R" hidden="1">#REF!</definedName>
    <definedName name="BEx7HRCZE3CVGON1HV07MT5MNDZ3" localSheetId="30" hidden="1">#REF!</definedName>
    <definedName name="BEx7HRCZE3CVGON1HV07MT5MNDZ3" localSheetId="29" hidden="1">#REF!</definedName>
    <definedName name="BEx7HRCZE3CVGON1HV07MT5MNDZ3" localSheetId="33" hidden="1">#REF!</definedName>
    <definedName name="BEx7HRCZE3CVGON1HV07MT5MNDZ3" localSheetId="31" hidden="1">#REF!</definedName>
    <definedName name="BEx7HRCZE3CVGON1HV07MT5MNDZ3" localSheetId="32" hidden="1">#REF!</definedName>
    <definedName name="BEx7HRCZE3CVGON1HV07MT5MNDZ3" hidden="1">#REF!</definedName>
    <definedName name="BEx7HWGE2CANG5M17X4C8YNC3N8F" localSheetId="30" hidden="1">#REF!</definedName>
    <definedName name="BEx7HWGE2CANG5M17X4C8YNC3N8F" localSheetId="29" hidden="1">#REF!</definedName>
    <definedName name="BEx7HWGE2CANG5M17X4C8YNC3N8F" localSheetId="33" hidden="1">#REF!</definedName>
    <definedName name="BEx7HWGE2CANG5M17X4C8YNC3N8F" localSheetId="31" hidden="1">#REF!</definedName>
    <definedName name="BEx7HWGE2CANG5M17X4C8YNC3N8F" localSheetId="32" hidden="1">#REF!</definedName>
    <definedName name="BEx7HWGE2CANG5M17X4C8YNC3N8F" hidden="1">#REF!</definedName>
    <definedName name="BEx7IBVYN47SFZIA0K4MDKQZNN9V" localSheetId="30" hidden="1">#REF!</definedName>
    <definedName name="BEx7IBVYN47SFZIA0K4MDKQZNN9V" localSheetId="29" hidden="1">#REF!</definedName>
    <definedName name="BEx7IBVYN47SFZIA0K4MDKQZNN9V" localSheetId="33" hidden="1">#REF!</definedName>
    <definedName name="BEx7IBVYN47SFZIA0K4MDKQZNN9V" localSheetId="31" hidden="1">#REF!</definedName>
    <definedName name="BEx7IBVYN47SFZIA0K4MDKQZNN9V" localSheetId="32" hidden="1">#REF!</definedName>
    <definedName name="BEx7IBVYN47SFZIA0K4MDKQZNN9V" hidden="1">#REF!</definedName>
    <definedName name="BEx7IV2IJ5WT7UC0UG7WP0WF2JZI" localSheetId="30" hidden="1">#REF!</definedName>
    <definedName name="BEx7IV2IJ5WT7UC0UG7WP0WF2JZI" localSheetId="29" hidden="1">#REF!</definedName>
    <definedName name="BEx7IV2IJ5WT7UC0UG7WP0WF2JZI" localSheetId="33" hidden="1">#REF!</definedName>
    <definedName name="BEx7IV2IJ5WT7UC0UG7WP0WF2JZI" localSheetId="31" hidden="1">#REF!</definedName>
    <definedName name="BEx7IV2IJ5WT7UC0UG7WP0WF2JZI" localSheetId="32" hidden="1">#REF!</definedName>
    <definedName name="BEx7IV2IJ5WT7UC0UG7WP0WF2JZI" hidden="1">#REF!</definedName>
    <definedName name="BEx7IXGU74GE5E4S6W4Z13AR092Y" localSheetId="30" hidden="1">#REF!</definedName>
    <definedName name="BEx7IXGU74GE5E4S6W4Z13AR092Y" localSheetId="29" hidden="1">#REF!</definedName>
    <definedName name="BEx7IXGU74GE5E4S6W4Z13AR092Y" localSheetId="33" hidden="1">#REF!</definedName>
    <definedName name="BEx7IXGU74GE5E4S6W4Z13AR092Y" localSheetId="31" hidden="1">#REF!</definedName>
    <definedName name="BEx7IXGU74GE5E4S6W4Z13AR092Y" localSheetId="32" hidden="1">#REF!</definedName>
    <definedName name="BEx7IXGU74GE5E4S6W4Z13AR092Y" hidden="1">#REF!</definedName>
    <definedName name="BEx7J4YL8Q3BI1MLH16YYQ18IJRD" localSheetId="30" hidden="1">#REF!</definedName>
    <definedName name="BEx7J4YL8Q3BI1MLH16YYQ18IJRD" localSheetId="29" hidden="1">#REF!</definedName>
    <definedName name="BEx7J4YL8Q3BI1MLH16YYQ18IJRD" localSheetId="33" hidden="1">#REF!</definedName>
    <definedName name="BEx7J4YL8Q3BI1MLH16YYQ18IJRD" localSheetId="31" hidden="1">#REF!</definedName>
    <definedName name="BEx7J4YL8Q3BI1MLH16YYQ18IJRD" localSheetId="32" hidden="1">#REF!</definedName>
    <definedName name="BEx7J4YL8Q3BI1MLH16YYQ18IJRD" hidden="1">#REF!</definedName>
    <definedName name="BEx7JGCLMAWFP0IG5Y9ZQXYQZJNE" localSheetId="30" hidden="1">#REF!</definedName>
    <definedName name="BEx7JGCLMAWFP0IG5Y9ZQXYQZJNE" localSheetId="29" hidden="1">#REF!</definedName>
    <definedName name="BEx7JGCLMAWFP0IG5Y9ZQXYQZJNE" localSheetId="33" hidden="1">#REF!</definedName>
    <definedName name="BEx7JGCLMAWFP0IG5Y9ZQXYQZJNE" localSheetId="31" hidden="1">#REF!</definedName>
    <definedName name="BEx7JGCLMAWFP0IG5Y9ZQXYQZJNE" localSheetId="32" hidden="1">#REF!</definedName>
    <definedName name="BEx7JGCLMAWFP0IG5Y9ZQXYQZJNE" hidden="1">#REF!</definedName>
    <definedName name="BEx7JH3HGBPI07OHZ5LFYK0UFZQR" localSheetId="30" hidden="1">#REF!</definedName>
    <definedName name="BEx7JH3HGBPI07OHZ5LFYK0UFZQR" localSheetId="29" hidden="1">#REF!</definedName>
    <definedName name="BEx7JH3HGBPI07OHZ5LFYK0UFZQR" localSheetId="33" hidden="1">#REF!</definedName>
    <definedName name="BEx7JH3HGBPI07OHZ5LFYK0UFZQR" localSheetId="31" hidden="1">#REF!</definedName>
    <definedName name="BEx7JH3HGBPI07OHZ5LFYK0UFZQR" localSheetId="32" hidden="1">#REF!</definedName>
    <definedName name="BEx7JH3HGBPI07OHZ5LFYK0UFZQR" hidden="1">#REF!</definedName>
    <definedName name="BEx7JV194190CNM6WWGQ3UBJ3CHH" localSheetId="30" hidden="1">#REF!</definedName>
    <definedName name="BEx7JV194190CNM6WWGQ3UBJ3CHH" localSheetId="29" hidden="1">#REF!</definedName>
    <definedName name="BEx7JV194190CNM6WWGQ3UBJ3CHH" localSheetId="33" hidden="1">#REF!</definedName>
    <definedName name="BEx7JV194190CNM6WWGQ3UBJ3CHH" localSheetId="31" hidden="1">#REF!</definedName>
    <definedName name="BEx7JV194190CNM6WWGQ3UBJ3CHH" localSheetId="32" hidden="1">#REF!</definedName>
    <definedName name="BEx7JV194190CNM6WWGQ3UBJ3CHH" hidden="1">#REF!</definedName>
    <definedName name="BEx7K7GZ607XQOGB81A1HINBTGOZ" localSheetId="30" hidden="1">#REF!</definedName>
    <definedName name="BEx7K7GZ607XQOGB81A1HINBTGOZ" localSheetId="29" hidden="1">#REF!</definedName>
    <definedName name="BEx7K7GZ607XQOGB81A1HINBTGOZ" localSheetId="33" hidden="1">#REF!</definedName>
    <definedName name="BEx7K7GZ607XQOGB81A1HINBTGOZ" localSheetId="31" hidden="1">#REF!</definedName>
    <definedName name="BEx7K7GZ607XQOGB81A1HINBTGOZ" localSheetId="32" hidden="1">#REF!</definedName>
    <definedName name="BEx7K7GZ607XQOGB81A1HINBTGOZ" hidden="1">#REF!</definedName>
    <definedName name="BEx7KAM5DH2FLG1RMDDGXGJ6T827" localSheetId="30" hidden="1">#REF!</definedName>
    <definedName name="BEx7KAM5DH2FLG1RMDDGXGJ6T827" localSheetId="29" hidden="1">#REF!</definedName>
    <definedName name="BEx7KAM5DH2FLG1RMDDGXGJ6T827" localSheetId="33" hidden="1">#REF!</definedName>
    <definedName name="BEx7KAM5DH2FLG1RMDDGXGJ6T827" localSheetId="31" hidden="1">#REF!</definedName>
    <definedName name="BEx7KAM5DH2FLG1RMDDGXGJ6T827" localSheetId="32" hidden="1">#REF!</definedName>
    <definedName name="BEx7KAM5DH2FLG1RMDDGXGJ6T827" hidden="1">#REF!</definedName>
    <definedName name="BEx7KEYPBDXSNROH8M6CDCBN6B50" localSheetId="30" hidden="1">#REF!</definedName>
    <definedName name="BEx7KEYPBDXSNROH8M6CDCBN6B50" localSheetId="29" hidden="1">#REF!</definedName>
    <definedName name="BEx7KEYPBDXSNROH8M6CDCBN6B50" localSheetId="33" hidden="1">#REF!</definedName>
    <definedName name="BEx7KEYPBDXSNROH8M6CDCBN6B50" localSheetId="31" hidden="1">#REF!</definedName>
    <definedName name="BEx7KEYPBDXSNROH8M6CDCBN6B50" localSheetId="32" hidden="1">#REF!</definedName>
    <definedName name="BEx7KEYPBDXSNROH8M6CDCBN6B50" hidden="1">#REF!</definedName>
    <definedName name="BEx7KSAS8BZT6H8OQCZ5DNSTMO07" localSheetId="30" hidden="1">#REF!</definedName>
    <definedName name="BEx7KSAS8BZT6H8OQCZ5DNSTMO07" localSheetId="29" hidden="1">#REF!</definedName>
    <definedName name="BEx7KSAS8BZT6H8OQCZ5DNSTMO07" localSheetId="33" hidden="1">#REF!</definedName>
    <definedName name="BEx7KSAS8BZT6H8OQCZ5DNSTMO07" localSheetId="31" hidden="1">#REF!</definedName>
    <definedName name="BEx7KSAS8BZT6H8OQCZ5DNSTMO07" localSheetId="32" hidden="1">#REF!</definedName>
    <definedName name="BEx7KSAS8BZT6H8OQCZ5DNSTMO07" hidden="1">#REF!</definedName>
    <definedName name="BEx7KWHTBD21COXVI4HNEQH0Z3L8" localSheetId="30" hidden="1">#REF!</definedName>
    <definedName name="BEx7KWHTBD21COXVI4HNEQH0Z3L8" localSheetId="29" hidden="1">#REF!</definedName>
    <definedName name="BEx7KWHTBD21COXVI4HNEQH0Z3L8" localSheetId="33" hidden="1">#REF!</definedName>
    <definedName name="BEx7KWHTBD21COXVI4HNEQH0Z3L8" localSheetId="31" hidden="1">#REF!</definedName>
    <definedName name="BEx7KWHTBD21COXVI4HNEQH0Z3L8" localSheetId="32" hidden="1">#REF!</definedName>
    <definedName name="BEx7KWHTBD21COXVI4HNEQH0Z3L8" hidden="1">#REF!</definedName>
    <definedName name="BEx7KXUGRMRSUXCM97Z7VRZQ9JH2" localSheetId="30" hidden="1">#REF!</definedName>
    <definedName name="BEx7KXUGRMRSUXCM97Z7VRZQ9JH2" localSheetId="29" hidden="1">#REF!</definedName>
    <definedName name="BEx7KXUGRMRSUXCM97Z7VRZQ9JH2" localSheetId="33" hidden="1">#REF!</definedName>
    <definedName name="BEx7KXUGRMRSUXCM97Z7VRZQ9JH2" localSheetId="31" hidden="1">#REF!</definedName>
    <definedName name="BEx7KXUGRMRSUXCM97Z7VRZQ9JH2" localSheetId="32" hidden="1">#REF!</definedName>
    <definedName name="BEx7KXUGRMRSUXCM97Z7VRZQ9JH2" hidden="1">#REF!</definedName>
    <definedName name="BEx7L21IQVP1N1TTQLRMANSSLSLE" localSheetId="30" hidden="1">#REF!</definedName>
    <definedName name="BEx7L21IQVP1N1TTQLRMANSSLSLE" localSheetId="29" hidden="1">#REF!</definedName>
    <definedName name="BEx7L21IQVP1N1TTQLRMANSSLSLE" localSheetId="33" hidden="1">#REF!</definedName>
    <definedName name="BEx7L21IQVP1N1TTQLRMANSSLSLE" localSheetId="31" hidden="1">#REF!</definedName>
    <definedName name="BEx7L21IQVP1N1TTQLRMANSSLSLE" localSheetId="32" hidden="1">#REF!</definedName>
    <definedName name="BEx7L21IQVP1N1TTQLRMANSSLSLE" hidden="1">#REF!</definedName>
    <definedName name="BEx7L5C6U8MP6IZ67BD649WQYJEK" localSheetId="30" hidden="1">#REF!</definedName>
    <definedName name="BEx7L5C6U8MP6IZ67BD649WQYJEK" localSheetId="29" hidden="1">#REF!</definedName>
    <definedName name="BEx7L5C6U8MP6IZ67BD649WQYJEK" localSheetId="33" hidden="1">#REF!</definedName>
    <definedName name="BEx7L5C6U8MP6IZ67BD649WQYJEK" localSheetId="31" hidden="1">#REF!</definedName>
    <definedName name="BEx7L5C6U8MP6IZ67BD649WQYJEK" localSheetId="32" hidden="1">#REF!</definedName>
    <definedName name="BEx7L5C6U8MP6IZ67BD649WQYJEK" hidden="1">#REF!</definedName>
    <definedName name="BEx7L8HEYEVTATR0OG5JJO647KNI" localSheetId="30" hidden="1">#REF!</definedName>
    <definedName name="BEx7L8HEYEVTATR0OG5JJO647KNI" localSheetId="29" hidden="1">#REF!</definedName>
    <definedName name="BEx7L8HEYEVTATR0OG5JJO647KNI" localSheetId="33" hidden="1">#REF!</definedName>
    <definedName name="BEx7L8HEYEVTATR0OG5JJO647KNI" localSheetId="31" hidden="1">#REF!</definedName>
    <definedName name="BEx7L8HEYEVTATR0OG5JJO647KNI" localSheetId="32" hidden="1">#REF!</definedName>
    <definedName name="BEx7L8HEYEVTATR0OG5JJO647KNI" hidden="1">#REF!</definedName>
    <definedName name="BEx7L8XOV64OMS15ZFURFEUXLMWF" localSheetId="30" hidden="1">#REF!</definedName>
    <definedName name="BEx7L8XOV64OMS15ZFURFEUXLMWF" localSheetId="29" hidden="1">#REF!</definedName>
    <definedName name="BEx7L8XOV64OMS15ZFURFEUXLMWF" localSheetId="33" hidden="1">#REF!</definedName>
    <definedName name="BEx7L8XOV64OMS15ZFURFEUXLMWF" localSheetId="31" hidden="1">#REF!</definedName>
    <definedName name="BEx7L8XOV64OMS15ZFURFEUXLMWF" localSheetId="32" hidden="1">#REF!</definedName>
    <definedName name="BEx7L8XOV64OMS15ZFURFEUXLMWF" hidden="1">#REF!</definedName>
    <definedName name="BEx7MAUI1JJFDIJGDW4RWY5384LY" localSheetId="30" hidden="1">#REF!</definedName>
    <definedName name="BEx7MAUI1JJFDIJGDW4RWY5384LY" localSheetId="29" hidden="1">#REF!</definedName>
    <definedName name="BEx7MAUI1JJFDIJGDW4RWY5384LY" localSheetId="33" hidden="1">#REF!</definedName>
    <definedName name="BEx7MAUI1JJFDIJGDW4RWY5384LY" localSheetId="31" hidden="1">#REF!</definedName>
    <definedName name="BEx7MAUI1JJFDIJGDW4RWY5384LY" localSheetId="32" hidden="1">#REF!</definedName>
    <definedName name="BEx7MAUI1JJFDIJGDW4RWY5384LY" hidden="1">#REF!</definedName>
    <definedName name="BEx7MJZO3UKAMJ53UWOJ5ZD4GGMQ" localSheetId="30" hidden="1">#REF!</definedName>
    <definedName name="BEx7MJZO3UKAMJ53UWOJ5ZD4GGMQ" localSheetId="29" hidden="1">#REF!</definedName>
    <definedName name="BEx7MJZO3UKAMJ53UWOJ5ZD4GGMQ" localSheetId="33" hidden="1">#REF!</definedName>
    <definedName name="BEx7MJZO3UKAMJ53UWOJ5ZD4GGMQ" localSheetId="31" hidden="1">#REF!</definedName>
    <definedName name="BEx7MJZO3UKAMJ53UWOJ5ZD4GGMQ" localSheetId="32" hidden="1">#REF!</definedName>
    <definedName name="BEx7MJZO3UKAMJ53UWOJ5ZD4GGMQ" hidden="1">#REF!</definedName>
    <definedName name="BEx7MT4MFNXIVQGAT6D971GZW7CA" localSheetId="30" hidden="1">#REF!</definedName>
    <definedName name="BEx7MT4MFNXIVQGAT6D971GZW7CA" localSheetId="29" hidden="1">#REF!</definedName>
    <definedName name="BEx7MT4MFNXIVQGAT6D971GZW7CA" localSheetId="33" hidden="1">#REF!</definedName>
    <definedName name="BEx7MT4MFNXIVQGAT6D971GZW7CA" localSheetId="31" hidden="1">#REF!</definedName>
    <definedName name="BEx7MT4MFNXIVQGAT6D971GZW7CA" localSheetId="32" hidden="1">#REF!</definedName>
    <definedName name="BEx7MT4MFNXIVQGAT6D971GZW7CA" hidden="1">#REF!</definedName>
    <definedName name="BEx7NI062THZAM6I8AJWTFJL91CS" localSheetId="30" hidden="1">#REF!</definedName>
    <definedName name="BEx7NI062THZAM6I8AJWTFJL91CS" localSheetId="29" hidden="1">#REF!</definedName>
    <definedName name="BEx7NI062THZAM6I8AJWTFJL91CS" localSheetId="33" hidden="1">#REF!</definedName>
    <definedName name="BEx7NI062THZAM6I8AJWTFJL91CS" localSheetId="31" hidden="1">#REF!</definedName>
    <definedName name="BEx7NI062THZAM6I8AJWTFJL91CS" localSheetId="32" hidden="1">#REF!</definedName>
    <definedName name="BEx7NI062THZAM6I8AJWTFJL91CS" hidden="1">#REF!</definedName>
    <definedName name="BEx8Z30QDFMHKIKILLY19GEWEYXJ" localSheetId="30" hidden="1">#REF!</definedName>
    <definedName name="BEx8Z30QDFMHKIKILLY19GEWEYXJ" localSheetId="29" hidden="1">#REF!</definedName>
    <definedName name="BEx8Z30QDFMHKIKILLY19GEWEYXJ" localSheetId="33" hidden="1">#REF!</definedName>
    <definedName name="BEx8Z30QDFMHKIKILLY19GEWEYXJ" localSheetId="31" hidden="1">#REF!</definedName>
    <definedName name="BEx8Z30QDFMHKIKILLY19GEWEYXJ" localSheetId="32" hidden="1">#REF!</definedName>
    <definedName name="BEx8Z30QDFMHKIKILLY19GEWEYXJ" hidden="1">#REF!</definedName>
    <definedName name="BEx904S75BPRYMHF0083JF7ES4NG" localSheetId="30" hidden="1">#REF!</definedName>
    <definedName name="BEx904S75BPRYMHF0083JF7ES4NG" localSheetId="29" hidden="1">#REF!</definedName>
    <definedName name="BEx904S75BPRYMHF0083JF7ES4NG" localSheetId="33" hidden="1">#REF!</definedName>
    <definedName name="BEx904S75BPRYMHF0083JF7ES4NG" localSheetId="31" hidden="1">#REF!</definedName>
    <definedName name="BEx904S75BPRYMHF0083JF7ES4NG" localSheetId="32" hidden="1">#REF!</definedName>
    <definedName name="BEx904S75BPRYMHF0083JF7ES4NG" hidden="1">#REF!</definedName>
    <definedName name="BEx90HDD4RWF7JZGA8GCGG7D63MG" localSheetId="30" hidden="1">#REF!</definedName>
    <definedName name="BEx90HDD4RWF7JZGA8GCGG7D63MG" localSheetId="29" hidden="1">#REF!</definedName>
    <definedName name="BEx90HDD4RWF7JZGA8GCGG7D63MG" localSheetId="33" hidden="1">#REF!</definedName>
    <definedName name="BEx90HDD4RWF7JZGA8GCGG7D63MG" localSheetId="31" hidden="1">#REF!</definedName>
    <definedName name="BEx90HDD4RWF7JZGA8GCGG7D63MG" localSheetId="32" hidden="1">#REF!</definedName>
    <definedName name="BEx90HDD4RWF7JZGA8GCGG7D63MG" hidden="1">#REF!</definedName>
    <definedName name="BEx90VGH5H09ON2QXYC9WIIEU98T" localSheetId="30" hidden="1">#REF!</definedName>
    <definedName name="BEx90VGH5H09ON2QXYC9WIIEU98T" localSheetId="29" hidden="1">#REF!</definedName>
    <definedName name="BEx90VGH5H09ON2QXYC9WIIEU98T" localSheetId="33" hidden="1">#REF!</definedName>
    <definedName name="BEx90VGH5H09ON2QXYC9WIIEU98T" localSheetId="31" hidden="1">#REF!</definedName>
    <definedName name="BEx90VGH5H09ON2QXYC9WIIEU98T" localSheetId="32" hidden="1">#REF!</definedName>
    <definedName name="BEx90VGH5H09ON2QXYC9WIIEU98T" hidden="1">#REF!</definedName>
    <definedName name="BEx9175B70QXYAU5A8DJPGZQ46L9" localSheetId="30" hidden="1">#REF!</definedName>
    <definedName name="BEx9175B70QXYAU5A8DJPGZQ46L9" localSheetId="29" hidden="1">#REF!</definedName>
    <definedName name="BEx9175B70QXYAU5A8DJPGZQ46L9" localSheetId="33" hidden="1">#REF!</definedName>
    <definedName name="BEx9175B70QXYAU5A8DJPGZQ46L9" localSheetId="31" hidden="1">#REF!</definedName>
    <definedName name="BEx9175B70QXYAU5A8DJPGZQ46L9" localSheetId="32" hidden="1">#REF!</definedName>
    <definedName name="BEx9175B70QXYAU5A8DJPGZQ46L9" hidden="1">#REF!</definedName>
    <definedName name="BEx91AQQRTV87AO27VWHSFZAD4ZR" localSheetId="30" hidden="1">#REF!</definedName>
    <definedName name="BEx91AQQRTV87AO27VWHSFZAD4ZR" localSheetId="29" hidden="1">#REF!</definedName>
    <definedName name="BEx91AQQRTV87AO27VWHSFZAD4ZR" localSheetId="33" hidden="1">#REF!</definedName>
    <definedName name="BEx91AQQRTV87AO27VWHSFZAD4ZR" localSheetId="31" hidden="1">#REF!</definedName>
    <definedName name="BEx91AQQRTV87AO27VWHSFZAD4ZR" localSheetId="32" hidden="1">#REF!</definedName>
    <definedName name="BEx91AQQRTV87AO27VWHSFZAD4ZR" hidden="1">#REF!</definedName>
    <definedName name="BEx91L8FLL5CWLA2CDHKCOMGVDZN" localSheetId="30" hidden="1">#REF!</definedName>
    <definedName name="BEx91L8FLL5CWLA2CDHKCOMGVDZN" localSheetId="29" hidden="1">#REF!</definedName>
    <definedName name="BEx91L8FLL5CWLA2CDHKCOMGVDZN" localSheetId="33" hidden="1">#REF!</definedName>
    <definedName name="BEx91L8FLL5CWLA2CDHKCOMGVDZN" localSheetId="31" hidden="1">#REF!</definedName>
    <definedName name="BEx91L8FLL5CWLA2CDHKCOMGVDZN" localSheetId="32" hidden="1">#REF!</definedName>
    <definedName name="BEx91L8FLL5CWLA2CDHKCOMGVDZN" hidden="1">#REF!</definedName>
    <definedName name="BEx91OTVH9ZDBC3QTORU8RZX4EOC" localSheetId="30" hidden="1">#REF!</definedName>
    <definedName name="BEx91OTVH9ZDBC3QTORU8RZX4EOC" localSheetId="29" hidden="1">#REF!</definedName>
    <definedName name="BEx91OTVH9ZDBC3QTORU8RZX4EOC" localSheetId="33" hidden="1">#REF!</definedName>
    <definedName name="BEx91OTVH9ZDBC3QTORU8RZX4EOC" localSheetId="31" hidden="1">#REF!</definedName>
    <definedName name="BEx91OTVH9ZDBC3QTORU8RZX4EOC" localSheetId="32" hidden="1">#REF!</definedName>
    <definedName name="BEx91OTVH9ZDBC3QTORU8RZX4EOC" hidden="1">#REF!</definedName>
    <definedName name="BEx91QH5JRZKQP1GPN2SQMR3CKAG" localSheetId="30" hidden="1">#REF!</definedName>
    <definedName name="BEx91QH5JRZKQP1GPN2SQMR3CKAG" localSheetId="29" hidden="1">#REF!</definedName>
    <definedName name="BEx91QH5JRZKQP1GPN2SQMR3CKAG" localSheetId="33" hidden="1">#REF!</definedName>
    <definedName name="BEx91QH5JRZKQP1GPN2SQMR3CKAG" localSheetId="31" hidden="1">#REF!</definedName>
    <definedName name="BEx91QH5JRZKQP1GPN2SQMR3CKAG" localSheetId="32" hidden="1">#REF!</definedName>
    <definedName name="BEx91QH5JRZKQP1GPN2SQMR3CKAG" hidden="1">#REF!</definedName>
    <definedName name="BEx91ROALDNHO7FI4X8L61RH4UJE" localSheetId="30" hidden="1">#REF!</definedName>
    <definedName name="BEx91ROALDNHO7FI4X8L61RH4UJE" localSheetId="29" hidden="1">#REF!</definedName>
    <definedName name="BEx91ROALDNHO7FI4X8L61RH4UJE" localSheetId="33" hidden="1">#REF!</definedName>
    <definedName name="BEx91ROALDNHO7FI4X8L61RH4UJE" localSheetId="31" hidden="1">#REF!</definedName>
    <definedName name="BEx91ROALDNHO7FI4X8L61RH4UJE" localSheetId="32" hidden="1">#REF!</definedName>
    <definedName name="BEx91ROALDNHO7FI4X8L61RH4UJE" hidden="1">#REF!</definedName>
    <definedName name="BEx91TMID71GVYH0U16QM1RV3PX0" localSheetId="30" hidden="1">#REF!</definedName>
    <definedName name="BEx91TMID71GVYH0U16QM1RV3PX0" localSheetId="29" hidden="1">#REF!</definedName>
    <definedName name="BEx91TMID71GVYH0U16QM1RV3PX0" localSheetId="33" hidden="1">#REF!</definedName>
    <definedName name="BEx91TMID71GVYH0U16QM1RV3PX0" localSheetId="31" hidden="1">#REF!</definedName>
    <definedName name="BEx91TMID71GVYH0U16QM1RV3PX0" localSheetId="32" hidden="1">#REF!</definedName>
    <definedName name="BEx91TMID71GVYH0U16QM1RV3PX0" hidden="1">#REF!</definedName>
    <definedName name="BEx91VF2D78PAF337E3L2L81K9W2" localSheetId="30" hidden="1">#REF!</definedName>
    <definedName name="BEx91VF2D78PAF337E3L2L81K9W2" localSheetId="29" hidden="1">#REF!</definedName>
    <definedName name="BEx91VF2D78PAF337E3L2L81K9W2" localSheetId="33" hidden="1">#REF!</definedName>
    <definedName name="BEx91VF2D78PAF337E3L2L81K9W2" localSheetId="31" hidden="1">#REF!</definedName>
    <definedName name="BEx91VF2D78PAF337E3L2L81K9W2" localSheetId="32" hidden="1">#REF!</definedName>
    <definedName name="BEx91VF2D78PAF337E3L2L81K9W2" hidden="1">#REF!</definedName>
    <definedName name="BEx91Z60ABW9LB3Y9SW54ZGMOWI7" localSheetId="30" hidden="1">#REF!</definedName>
    <definedName name="BEx91Z60ABW9LB3Y9SW54ZGMOWI7" localSheetId="29" hidden="1">#REF!</definedName>
    <definedName name="BEx91Z60ABW9LB3Y9SW54ZGMOWI7" localSheetId="33" hidden="1">#REF!</definedName>
    <definedName name="BEx91Z60ABW9LB3Y9SW54ZGMOWI7" localSheetId="31" hidden="1">#REF!</definedName>
    <definedName name="BEx91Z60ABW9LB3Y9SW54ZGMOWI7" localSheetId="32" hidden="1">#REF!</definedName>
    <definedName name="BEx91Z60ABW9LB3Y9SW54ZGMOWI7" hidden="1">#REF!</definedName>
    <definedName name="BEx921PNZ46VORG2VRMWREWIC0SE" localSheetId="30" hidden="1">#REF!</definedName>
    <definedName name="BEx921PNZ46VORG2VRMWREWIC0SE" localSheetId="29" hidden="1">#REF!</definedName>
    <definedName name="BEx921PNZ46VORG2VRMWREWIC0SE" localSheetId="33" hidden="1">#REF!</definedName>
    <definedName name="BEx921PNZ46VORG2VRMWREWIC0SE" localSheetId="31" hidden="1">#REF!</definedName>
    <definedName name="BEx921PNZ46VORG2VRMWREWIC0SE" localSheetId="32" hidden="1">#REF!</definedName>
    <definedName name="BEx921PNZ46VORG2VRMWREWIC0SE" hidden="1">#REF!</definedName>
    <definedName name="BEx92DPEKL5WM5A3CN8674JI0PR3" localSheetId="30" hidden="1">#REF!</definedName>
    <definedName name="BEx92DPEKL5WM5A3CN8674JI0PR3" localSheetId="29" hidden="1">#REF!</definedName>
    <definedName name="BEx92DPEKL5WM5A3CN8674JI0PR3" localSheetId="33" hidden="1">#REF!</definedName>
    <definedName name="BEx92DPEKL5WM5A3CN8674JI0PR3" localSheetId="31" hidden="1">#REF!</definedName>
    <definedName name="BEx92DPEKL5WM5A3CN8674JI0PR3" localSheetId="32" hidden="1">#REF!</definedName>
    <definedName name="BEx92DPEKL5WM5A3CN8674JI0PR3" hidden="1">#REF!</definedName>
    <definedName name="BEx92ER2RMY93TZK0D9L9T3H0GI5" localSheetId="30" hidden="1">#REF!</definedName>
    <definedName name="BEx92ER2RMY93TZK0D9L9T3H0GI5" localSheetId="29" hidden="1">#REF!</definedName>
    <definedName name="BEx92ER2RMY93TZK0D9L9T3H0GI5" localSheetId="33" hidden="1">#REF!</definedName>
    <definedName name="BEx92ER2RMY93TZK0D9L9T3H0GI5" localSheetId="31" hidden="1">#REF!</definedName>
    <definedName name="BEx92ER2RMY93TZK0D9L9T3H0GI5" localSheetId="32" hidden="1">#REF!</definedName>
    <definedName name="BEx92ER2RMY93TZK0D9L9T3H0GI5" hidden="1">#REF!</definedName>
    <definedName name="BEx92FI04PJT4LI23KKIHRXWJDTT" localSheetId="30" hidden="1">#REF!</definedName>
    <definedName name="BEx92FI04PJT4LI23KKIHRXWJDTT" localSheetId="29" hidden="1">#REF!</definedName>
    <definedName name="BEx92FI04PJT4LI23KKIHRXWJDTT" localSheetId="33" hidden="1">#REF!</definedName>
    <definedName name="BEx92FI04PJT4LI23KKIHRXWJDTT" localSheetId="31" hidden="1">#REF!</definedName>
    <definedName name="BEx92FI04PJT4LI23KKIHRXWJDTT" localSheetId="32" hidden="1">#REF!</definedName>
    <definedName name="BEx92FI04PJT4LI23KKIHRXWJDTT" hidden="1">#REF!</definedName>
    <definedName name="BEx92HR14HQ9D5JXCSPA4SS4RT62" localSheetId="30" hidden="1">#REF!</definedName>
    <definedName name="BEx92HR14HQ9D5JXCSPA4SS4RT62" localSheetId="29" hidden="1">#REF!</definedName>
    <definedName name="BEx92HR14HQ9D5JXCSPA4SS4RT62" localSheetId="33" hidden="1">#REF!</definedName>
    <definedName name="BEx92HR14HQ9D5JXCSPA4SS4RT62" localSheetId="31" hidden="1">#REF!</definedName>
    <definedName name="BEx92HR14HQ9D5JXCSPA4SS4RT62" localSheetId="32" hidden="1">#REF!</definedName>
    <definedName name="BEx92HR14HQ9D5JXCSPA4SS4RT62" hidden="1">#REF!</definedName>
    <definedName name="BEx92HWA2D6A5EX9MFG68G0NOMSN" localSheetId="30" hidden="1">#REF!</definedName>
    <definedName name="BEx92HWA2D6A5EX9MFG68G0NOMSN" localSheetId="29" hidden="1">#REF!</definedName>
    <definedName name="BEx92HWA2D6A5EX9MFG68G0NOMSN" localSheetId="33" hidden="1">#REF!</definedName>
    <definedName name="BEx92HWA2D6A5EX9MFG68G0NOMSN" localSheetId="31" hidden="1">#REF!</definedName>
    <definedName name="BEx92HWA2D6A5EX9MFG68G0NOMSN" localSheetId="32" hidden="1">#REF!</definedName>
    <definedName name="BEx92HWA2D6A5EX9MFG68G0NOMSN" hidden="1">#REF!</definedName>
    <definedName name="BEx92PUBDIXAU1FW5ZAXECMAU0LN" localSheetId="30" hidden="1">#REF!</definedName>
    <definedName name="BEx92PUBDIXAU1FW5ZAXECMAU0LN" localSheetId="29" hidden="1">#REF!</definedName>
    <definedName name="BEx92PUBDIXAU1FW5ZAXECMAU0LN" localSheetId="33" hidden="1">#REF!</definedName>
    <definedName name="BEx92PUBDIXAU1FW5ZAXECMAU0LN" localSheetId="31" hidden="1">#REF!</definedName>
    <definedName name="BEx92PUBDIXAU1FW5ZAXECMAU0LN" localSheetId="32" hidden="1">#REF!</definedName>
    <definedName name="BEx92PUBDIXAU1FW5ZAXECMAU0LN" hidden="1">#REF!</definedName>
    <definedName name="BEx92S8MHFFIVRQ2YSHZNQGOFUHD" localSheetId="30" hidden="1">#REF!</definedName>
    <definedName name="BEx92S8MHFFIVRQ2YSHZNQGOFUHD" localSheetId="29" hidden="1">#REF!</definedName>
    <definedName name="BEx92S8MHFFIVRQ2YSHZNQGOFUHD" localSheetId="33" hidden="1">#REF!</definedName>
    <definedName name="BEx92S8MHFFIVRQ2YSHZNQGOFUHD" localSheetId="31" hidden="1">#REF!</definedName>
    <definedName name="BEx92S8MHFFIVRQ2YSHZNQGOFUHD" localSheetId="32" hidden="1">#REF!</definedName>
    <definedName name="BEx92S8MHFFIVRQ2YSHZNQGOFUHD" hidden="1">#REF!</definedName>
    <definedName name="BEx936X5FW1TRMQY3UYTXBNJSMLR" localSheetId="30" hidden="1">#REF!</definedName>
    <definedName name="BEx936X5FW1TRMQY3UYTXBNJSMLR" localSheetId="29" hidden="1">#REF!</definedName>
    <definedName name="BEx936X5FW1TRMQY3UYTXBNJSMLR" localSheetId="33" hidden="1">#REF!</definedName>
    <definedName name="BEx936X5FW1TRMQY3UYTXBNJSMLR" localSheetId="31" hidden="1">#REF!</definedName>
    <definedName name="BEx936X5FW1TRMQY3UYTXBNJSMLR" localSheetId="32" hidden="1">#REF!</definedName>
    <definedName name="BEx936X5FW1TRMQY3UYTXBNJSMLR" hidden="1">#REF!</definedName>
    <definedName name="BEx93AILNJ28CWYHGVLTXMC5KFJI" localSheetId="30" hidden="1">#REF!</definedName>
    <definedName name="BEx93AILNJ28CWYHGVLTXMC5KFJI" localSheetId="29" hidden="1">#REF!</definedName>
    <definedName name="BEx93AILNJ28CWYHGVLTXMC5KFJI" localSheetId="33" hidden="1">#REF!</definedName>
    <definedName name="BEx93AILNJ28CWYHGVLTXMC5KFJI" localSheetId="31" hidden="1">#REF!</definedName>
    <definedName name="BEx93AILNJ28CWYHGVLTXMC5KFJI" localSheetId="32" hidden="1">#REF!</definedName>
    <definedName name="BEx93AILNJ28CWYHGVLTXMC5KFJI" hidden="1">#REF!</definedName>
    <definedName name="BEx93B9OULL2YGC896XXYAAJSTRK" localSheetId="30" hidden="1">#REF!</definedName>
    <definedName name="BEx93B9OULL2YGC896XXYAAJSTRK" localSheetId="29" hidden="1">#REF!</definedName>
    <definedName name="BEx93B9OULL2YGC896XXYAAJSTRK" localSheetId="33" hidden="1">#REF!</definedName>
    <definedName name="BEx93B9OULL2YGC896XXYAAJSTRK" localSheetId="31" hidden="1">#REF!</definedName>
    <definedName name="BEx93B9OULL2YGC896XXYAAJSTRK" localSheetId="32" hidden="1">#REF!</definedName>
    <definedName name="BEx93B9OULL2YGC896XXYAAJSTRK" hidden="1">#REF!</definedName>
    <definedName name="BEx93FRKF99NRT3LH99UTIH7AAYF" localSheetId="30" hidden="1">#REF!</definedName>
    <definedName name="BEx93FRKF99NRT3LH99UTIH7AAYF" localSheetId="29" hidden="1">#REF!</definedName>
    <definedName name="BEx93FRKF99NRT3LH99UTIH7AAYF" localSheetId="33" hidden="1">#REF!</definedName>
    <definedName name="BEx93FRKF99NRT3LH99UTIH7AAYF" localSheetId="31" hidden="1">#REF!</definedName>
    <definedName name="BEx93FRKF99NRT3LH99UTIH7AAYF" localSheetId="32" hidden="1">#REF!</definedName>
    <definedName name="BEx93FRKF99NRT3LH99UTIH7AAYF" hidden="1">#REF!</definedName>
    <definedName name="BEx93M7FSHP50OG34A4W8W8DF12U" localSheetId="30" hidden="1">#REF!</definedName>
    <definedName name="BEx93M7FSHP50OG34A4W8W8DF12U" localSheetId="29" hidden="1">#REF!</definedName>
    <definedName name="BEx93M7FSHP50OG34A4W8W8DF12U" localSheetId="33" hidden="1">#REF!</definedName>
    <definedName name="BEx93M7FSHP50OG34A4W8W8DF12U" localSheetId="31" hidden="1">#REF!</definedName>
    <definedName name="BEx93M7FSHP50OG34A4W8W8DF12U" localSheetId="32" hidden="1">#REF!</definedName>
    <definedName name="BEx93M7FSHP50OG34A4W8W8DF12U" hidden="1">#REF!</definedName>
    <definedName name="BEx93OLWY2O3PRA74U41VG5RXT4Q" localSheetId="30" hidden="1">#REF!</definedName>
    <definedName name="BEx93OLWY2O3PRA74U41VG5RXT4Q" localSheetId="29" hidden="1">#REF!</definedName>
    <definedName name="BEx93OLWY2O3PRA74U41VG5RXT4Q" localSheetId="33" hidden="1">#REF!</definedName>
    <definedName name="BEx93OLWY2O3PRA74U41VG5RXT4Q" localSheetId="31" hidden="1">#REF!</definedName>
    <definedName name="BEx93OLWY2O3PRA74U41VG5RXT4Q" localSheetId="32" hidden="1">#REF!</definedName>
    <definedName name="BEx93OLWY2O3PRA74U41VG5RXT4Q" hidden="1">#REF!</definedName>
    <definedName name="BEx93RWFAF6YJGYUTITVM445C02U" localSheetId="30" hidden="1">#REF!</definedName>
    <definedName name="BEx93RWFAF6YJGYUTITVM445C02U" localSheetId="29" hidden="1">#REF!</definedName>
    <definedName name="BEx93RWFAF6YJGYUTITVM445C02U" localSheetId="33" hidden="1">#REF!</definedName>
    <definedName name="BEx93RWFAF6YJGYUTITVM445C02U" localSheetId="31" hidden="1">#REF!</definedName>
    <definedName name="BEx93RWFAF6YJGYUTITVM445C02U" localSheetId="32" hidden="1">#REF!</definedName>
    <definedName name="BEx93RWFAF6YJGYUTITVM445C02U" hidden="1">#REF!</definedName>
    <definedName name="BEx93SY9RWG3HUV4YXQKXJH9FH14" localSheetId="30" hidden="1">#REF!</definedName>
    <definedName name="BEx93SY9RWG3HUV4YXQKXJH9FH14" localSheetId="29" hidden="1">#REF!</definedName>
    <definedName name="BEx93SY9RWG3HUV4YXQKXJH9FH14" localSheetId="33" hidden="1">#REF!</definedName>
    <definedName name="BEx93SY9RWG3HUV4YXQKXJH9FH14" localSheetId="31" hidden="1">#REF!</definedName>
    <definedName name="BEx93SY9RWG3HUV4YXQKXJH9FH14" localSheetId="32" hidden="1">#REF!</definedName>
    <definedName name="BEx93SY9RWG3HUV4YXQKXJH9FH14" hidden="1">#REF!</definedName>
    <definedName name="BEx93TJUX3U0FJDBG6DDSNQ91R5J" localSheetId="30" hidden="1">#REF!</definedName>
    <definedName name="BEx93TJUX3U0FJDBG6DDSNQ91R5J" localSheetId="29" hidden="1">#REF!</definedName>
    <definedName name="BEx93TJUX3U0FJDBG6DDSNQ91R5J" localSheetId="33" hidden="1">#REF!</definedName>
    <definedName name="BEx93TJUX3U0FJDBG6DDSNQ91R5J" localSheetId="31" hidden="1">#REF!</definedName>
    <definedName name="BEx93TJUX3U0FJDBG6DDSNQ91R5J" localSheetId="32" hidden="1">#REF!</definedName>
    <definedName name="BEx93TJUX3U0FJDBG6DDSNQ91R5J" hidden="1">#REF!</definedName>
    <definedName name="BEx942UCRHMI4B0US31HO95GSC2X" localSheetId="30" hidden="1">#REF!</definedName>
    <definedName name="BEx942UCRHMI4B0US31HO95GSC2X" localSheetId="29" hidden="1">#REF!</definedName>
    <definedName name="BEx942UCRHMI4B0US31HO95GSC2X" localSheetId="33" hidden="1">#REF!</definedName>
    <definedName name="BEx942UCRHMI4B0US31HO95GSC2X" localSheetId="31" hidden="1">#REF!</definedName>
    <definedName name="BEx942UCRHMI4B0US31HO95GSC2X" localSheetId="32" hidden="1">#REF!</definedName>
    <definedName name="BEx942UCRHMI4B0US31HO95GSC2X" hidden="1">#REF!</definedName>
    <definedName name="BEx948ZFFQWVIDNG4AZAUGGGEB5U" localSheetId="30" hidden="1">#REF!</definedName>
    <definedName name="BEx948ZFFQWVIDNG4AZAUGGGEB5U" localSheetId="29" hidden="1">#REF!</definedName>
    <definedName name="BEx948ZFFQWVIDNG4AZAUGGGEB5U" localSheetId="33" hidden="1">#REF!</definedName>
    <definedName name="BEx948ZFFQWVIDNG4AZAUGGGEB5U" localSheetId="31" hidden="1">#REF!</definedName>
    <definedName name="BEx948ZFFQWVIDNG4AZAUGGGEB5U" localSheetId="32" hidden="1">#REF!</definedName>
    <definedName name="BEx948ZFFQWVIDNG4AZAUGGGEB5U" hidden="1">#REF!</definedName>
    <definedName name="BEx94CKXG92OMURH41SNU6IOHK4J" localSheetId="30" hidden="1">#REF!</definedName>
    <definedName name="BEx94CKXG92OMURH41SNU6IOHK4J" localSheetId="29" hidden="1">#REF!</definedName>
    <definedName name="BEx94CKXG92OMURH41SNU6IOHK4J" localSheetId="33" hidden="1">#REF!</definedName>
    <definedName name="BEx94CKXG92OMURH41SNU6IOHK4J" localSheetId="31" hidden="1">#REF!</definedName>
    <definedName name="BEx94CKXG92OMURH41SNU6IOHK4J" localSheetId="32" hidden="1">#REF!</definedName>
    <definedName name="BEx94CKXG92OMURH41SNU6IOHK4J" hidden="1">#REF!</definedName>
    <definedName name="BEx94GXG30CIVB6ZQN3X3IK6BZXQ" localSheetId="30" hidden="1">#REF!</definedName>
    <definedName name="BEx94GXG30CIVB6ZQN3X3IK6BZXQ" localSheetId="29" hidden="1">#REF!</definedName>
    <definedName name="BEx94GXG30CIVB6ZQN3X3IK6BZXQ" localSheetId="33" hidden="1">#REF!</definedName>
    <definedName name="BEx94GXG30CIVB6ZQN3X3IK6BZXQ" localSheetId="31" hidden="1">#REF!</definedName>
    <definedName name="BEx94GXG30CIVB6ZQN3X3IK6BZXQ" localSheetId="32" hidden="1">#REF!</definedName>
    <definedName name="BEx94GXG30CIVB6ZQN3X3IK6BZXQ" hidden="1">#REF!</definedName>
    <definedName name="BEx94HZ5LURYM9ST744ALV6ZCKYP" localSheetId="30" hidden="1">#REF!</definedName>
    <definedName name="BEx94HZ5LURYM9ST744ALV6ZCKYP" localSheetId="29" hidden="1">#REF!</definedName>
    <definedName name="BEx94HZ5LURYM9ST744ALV6ZCKYP" localSheetId="33" hidden="1">#REF!</definedName>
    <definedName name="BEx94HZ5LURYM9ST744ALV6ZCKYP" localSheetId="31" hidden="1">#REF!</definedName>
    <definedName name="BEx94HZ5LURYM9ST744ALV6ZCKYP" localSheetId="32" hidden="1">#REF!</definedName>
    <definedName name="BEx94HZ5LURYM9ST744ALV6ZCKYP" hidden="1">#REF!</definedName>
    <definedName name="BEx94IQ75E90YUMWJ9N591LR7DQQ" localSheetId="30" hidden="1">#REF!</definedName>
    <definedName name="BEx94IQ75E90YUMWJ9N591LR7DQQ" localSheetId="29" hidden="1">#REF!</definedName>
    <definedName name="BEx94IQ75E90YUMWJ9N591LR7DQQ" localSheetId="33" hidden="1">#REF!</definedName>
    <definedName name="BEx94IQ75E90YUMWJ9N591LR7DQQ" localSheetId="31" hidden="1">#REF!</definedName>
    <definedName name="BEx94IQ75E90YUMWJ9N591LR7DQQ" localSheetId="32" hidden="1">#REF!</definedName>
    <definedName name="BEx94IQ75E90YUMWJ9N591LR7DQQ" hidden="1">#REF!</definedName>
    <definedName name="BEx94KO8G62UEJIQRMXPBH8LNODN" localSheetId="30" hidden="1">#REF!</definedName>
    <definedName name="BEx94KO8G62UEJIQRMXPBH8LNODN" localSheetId="29" hidden="1">#REF!</definedName>
    <definedName name="BEx94KO8G62UEJIQRMXPBH8LNODN" localSheetId="33" hidden="1">#REF!</definedName>
    <definedName name="BEx94KO8G62UEJIQRMXPBH8LNODN" localSheetId="31" hidden="1">#REF!</definedName>
    <definedName name="BEx94KO8G62UEJIQRMXPBH8LNODN" localSheetId="32" hidden="1">#REF!</definedName>
    <definedName name="BEx94KO8G62UEJIQRMXPBH8LNODN" hidden="1">#REF!</definedName>
    <definedName name="BEx94N7W5T3U7UOE97D6OVIBUCXS" localSheetId="30" hidden="1">#REF!</definedName>
    <definedName name="BEx94N7W5T3U7UOE97D6OVIBUCXS" localSheetId="29" hidden="1">#REF!</definedName>
    <definedName name="BEx94N7W5T3U7UOE97D6OVIBUCXS" localSheetId="33" hidden="1">#REF!</definedName>
    <definedName name="BEx94N7W5T3U7UOE97D6OVIBUCXS" localSheetId="31" hidden="1">#REF!</definedName>
    <definedName name="BEx94N7W5T3U7UOE97D6OVIBUCXS" localSheetId="32" hidden="1">#REF!</definedName>
    <definedName name="BEx94N7W5T3U7UOE97D6OVIBUCXS" hidden="1">#REF!</definedName>
    <definedName name="BEx955NIAWX5OLAHMTV6QFUZPR30" localSheetId="30" hidden="1">#REF!</definedName>
    <definedName name="BEx955NIAWX5OLAHMTV6QFUZPR30" localSheetId="29" hidden="1">#REF!</definedName>
    <definedName name="BEx955NIAWX5OLAHMTV6QFUZPR30" localSheetId="33" hidden="1">#REF!</definedName>
    <definedName name="BEx955NIAWX5OLAHMTV6QFUZPR30" localSheetId="31" hidden="1">#REF!</definedName>
    <definedName name="BEx955NIAWX5OLAHMTV6QFUZPR30" localSheetId="32" hidden="1">#REF!</definedName>
    <definedName name="BEx955NIAWX5OLAHMTV6QFUZPR30" hidden="1">#REF!</definedName>
    <definedName name="BEx9581TYVI2M5TT4ISDAJV4W7Z6" localSheetId="30" hidden="1">#REF!</definedName>
    <definedName name="BEx9581TYVI2M5TT4ISDAJV4W7Z6" localSheetId="29" hidden="1">#REF!</definedName>
    <definedName name="BEx9581TYVI2M5TT4ISDAJV4W7Z6" localSheetId="33" hidden="1">#REF!</definedName>
    <definedName name="BEx9581TYVI2M5TT4ISDAJV4W7Z6" localSheetId="31" hidden="1">#REF!</definedName>
    <definedName name="BEx9581TYVI2M5TT4ISDAJV4W7Z6" localSheetId="32" hidden="1">#REF!</definedName>
    <definedName name="BEx9581TYVI2M5TT4ISDAJV4W7Z6" hidden="1">#REF!</definedName>
    <definedName name="BEx95NHF4RVUE0YDOAFZEIVBYJXD" localSheetId="30" hidden="1">#REF!</definedName>
    <definedName name="BEx95NHF4RVUE0YDOAFZEIVBYJXD" localSheetId="29" hidden="1">#REF!</definedName>
    <definedName name="BEx95NHF4RVUE0YDOAFZEIVBYJXD" localSheetId="33" hidden="1">#REF!</definedName>
    <definedName name="BEx95NHF4RVUE0YDOAFZEIVBYJXD" localSheetId="31" hidden="1">#REF!</definedName>
    <definedName name="BEx95NHF4RVUE0YDOAFZEIVBYJXD" localSheetId="32" hidden="1">#REF!</definedName>
    <definedName name="BEx95NHF4RVUE0YDOAFZEIVBYJXD" hidden="1">#REF!</definedName>
    <definedName name="BEx95QBZMG0E2KQ9BERJ861QLYN3" localSheetId="30" hidden="1">#REF!</definedName>
    <definedName name="BEx95QBZMG0E2KQ9BERJ861QLYN3" localSheetId="29" hidden="1">#REF!</definedName>
    <definedName name="BEx95QBZMG0E2KQ9BERJ861QLYN3" localSheetId="33" hidden="1">#REF!</definedName>
    <definedName name="BEx95QBZMG0E2KQ9BERJ861QLYN3" localSheetId="31" hidden="1">#REF!</definedName>
    <definedName name="BEx95QBZMG0E2KQ9BERJ861QLYN3" localSheetId="32" hidden="1">#REF!</definedName>
    <definedName name="BEx95QBZMG0E2KQ9BERJ861QLYN3" hidden="1">#REF!</definedName>
    <definedName name="BEx95QHBVDN795UNQJLRXG3RDU49" localSheetId="30" hidden="1">#REF!</definedName>
    <definedName name="BEx95QHBVDN795UNQJLRXG3RDU49" localSheetId="29" hidden="1">#REF!</definedName>
    <definedName name="BEx95QHBVDN795UNQJLRXG3RDU49" localSheetId="33" hidden="1">#REF!</definedName>
    <definedName name="BEx95QHBVDN795UNQJLRXG3RDU49" localSheetId="31" hidden="1">#REF!</definedName>
    <definedName name="BEx95QHBVDN795UNQJLRXG3RDU49" localSheetId="32" hidden="1">#REF!</definedName>
    <definedName name="BEx95QHBVDN795UNQJLRXG3RDU49" hidden="1">#REF!</definedName>
    <definedName name="BEx95TBVUWV7L7OMFMZDQEXGVHU6" localSheetId="30" hidden="1">#REF!</definedName>
    <definedName name="BEx95TBVUWV7L7OMFMZDQEXGVHU6" localSheetId="29" hidden="1">#REF!</definedName>
    <definedName name="BEx95TBVUWV7L7OMFMZDQEXGVHU6" localSheetId="33" hidden="1">#REF!</definedName>
    <definedName name="BEx95TBVUWV7L7OMFMZDQEXGVHU6" localSheetId="31" hidden="1">#REF!</definedName>
    <definedName name="BEx95TBVUWV7L7OMFMZDQEXGVHU6" localSheetId="32" hidden="1">#REF!</definedName>
    <definedName name="BEx95TBVUWV7L7OMFMZDQEXGVHU6" hidden="1">#REF!</definedName>
    <definedName name="BEx95U89DZZSVO39TGS62CX8G9N4" localSheetId="30" hidden="1">#REF!</definedName>
    <definedName name="BEx95U89DZZSVO39TGS62CX8G9N4" localSheetId="29" hidden="1">#REF!</definedName>
    <definedName name="BEx95U89DZZSVO39TGS62CX8G9N4" localSheetId="33" hidden="1">#REF!</definedName>
    <definedName name="BEx95U89DZZSVO39TGS62CX8G9N4" localSheetId="31" hidden="1">#REF!</definedName>
    <definedName name="BEx95U89DZZSVO39TGS62CX8G9N4" localSheetId="32" hidden="1">#REF!</definedName>
    <definedName name="BEx95U89DZZSVO39TGS62CX8G9N4" hidden="1">#REF!</definedName>
    <definedName name="BEx9602K2GHNBUEUVT9ONRQU1GMD" localSheetId="30" hidden="1">#REF!</definedName>
    <definedName name="BEx9602K2GHNBUEUVT9ONRQU1GMD" localSheetId="29" hidden="1">#REF!</definedName>
    <definedName name="BEx9602K2GHNBUEUVT9ONRQU1GMD" localSheetId="33" hidden="1">#REF!</definedName>
    <definedName name="BEx9602K2GHNBUEUVT9ONRQU1GMD" localSheetId="31" hidden="1">#REF!</definedName>
    <definedName name="BEx9602K2GHNBUEUVT9ONRQU1GMD" localSheetId="32" hidden="1">#REF!</definedName>
    <definedName name="BEx9602K2GHNBUEUVT9ONRQU1GMD" hidden="1">#REF!</definedName>
    <definedName name="BEx962BL3Y4LA53EBYI64ZYMZE8U" localSheetId="30" hidden="1">#REF!</definedName>
    <definedName name="BEx962BL3Y4LA53EBYI64ZYMZE8U" localSheetId="29" hidden="1">#REF!</definedName>
    <definedName name="BEx962BL3Y4LA53EBYI64ZYMZE8U" localSheetId="33" hidden="1">#REF!</definedName>
    <definedName name="BEx962BL3Y4LA53EBYI64ZYMZE8U" localSheetId="31" hidden="1">#REF!</definedName>
    <definedName name="BEx962BL3Y4LA53EBYI64ZYMZE8U" localSheetId="32" hidden="1">#REF!</definedName>
    <definedName name="BEx962BL3Y4LA53EBYI64ZYMZE8U" hidden="1">#REF!</definedName>
    <definedName name="BEx96929YBNPEW7ZWS2H5E5KCRZM" localSheetId="30" hidden="1">#REF!</definedName>
    <definedName name="BEx96929YBNPEW7ZWS2H5E5KCRZM" localSheetId="29" hidden="1">#REF!</definedName>
    <definedName name="BEx96929YBNPEW7ZWS2H5E5KCRZM" localSheetId="33" hidden="1">#REF!</definedName>
    <definedName name="BEx96929YBNPEW7ZWS2H5E5KCRZM" localSheetId="31" hidden="1">#REF!</definedName>
    <definedName name="BEx96929YBNPEW7ZWS2H5E5KCRZM" localSheetId="32" hidden="1">#REF!</definedName>
    <definedName name="BEx96929YBNPEW7ZWS2H5E5KCRZM" hidden="1">#REF!</definedName>
    <definedName name="BEx96KR21O7H9R29TN0S45Y3QPUK" localSheetId="30" hidden="1">#REF!</definedName>
    <definedName name="BEx96KR21O7H9R29TN0S45Y3QPUK" localSheetId="29" hidden="1">#REF!</definedName>
    <definedName name="BEx96KR21O7H9R29TN0S45Y3QPUK" localSheetId="33" hidden="1">#REF!</definedName>
    <definedName name="BEx96KR21O7H9R29TN0S45Y3QPUK" localSheetId="31" hidden="1">#REF!</definedName>
    <definedName name="BEx96KR21O7H9R29TN0S45Y3QPUK" localSheetId="32" hidden="1">#REF!</definedName>
    <definedName name="BEx96KR21O7H9R29TN0S45Y3QPUK" hidden="1">#REF!</definedName>
    <definedName name="BEx96SUFKHHFE8XQ6UUO6ILDOXHO" localSheetId="30" hidden="1">#REF!</definedName>
    <definedName name="BEx96SUFKHHFE8XQ6UUO6ILDOXHO" localSheetId="29" hidden="1">#REF!</definedName>
    <definedName name="BEx96SUFKHHFE8XQ6UUO6ILDOXHO" localSheetId="33" hidden="1">#REF!</definedName>
    <definedName name="BEx96SUFKHHFE8XQ6UUO6ILDOXHO" localSheetId="31" hidden="1">#REF!</definedName>
    <definedName name="BEx96SUFKHHFE8XQ6UUO6ILDOXHO" localSheetId="32" hidden="1">#REF!</definedName>
    <definedName name="BEx96SUFKHHFE8XQ6UUO6ILDOXHO" hidden="1">#REF!</definedName>
    <definedName name="BEx96UN4YWXBDEZ1U1ZUIPP41Z7I" localSheetId="30" hidden="1">#REF!</definedName>
    <definedName name="BEx96UN4YWXBDEZ1U1ZUIPP41Z7I" localSheetId="29" hidden="1">#REF!</definedName>
    <definedName name="BEx96UN4YWXBDEZ1U1ZUIPP41Z7I" localSheetId="33" hidden="1">#REF!</definedName>
    <definedName name="BEx96UN4YWXBDEZ1U1ZUIPP41Z7I" localSheetId="31" hidden="1">#REF!</definedName>
    <definedName name="BEx96UN4YWXBDEZ1U1ZUIPP41Z7I" localSheetId="32" hidden="1">#REF!</definedName>
    <definedName name="BEx96UN4YWXBDEZ1U1ZUIPP41Z7I" hidden="1">#REF!</definedName>
    <definedName name="BEx970MYCPJ6DQ44TKLOIGZO5LHH" localSheetId="30" hidden="1">#REF!</definedName>
    <definedName name="BEx970MYCPJ6DQ44TKLOIGZO5LHH" localSheetId="29" hidden="1">#REF!</definedName>
    <definedName name="BEx970MYCPJ6DQ44TKLOIGZO5LHH" localSheetId="33" hidden="1">#REF!</definedName>
    <definedName name="BEx970MYCPJ6DQ44TKLOIGZO5LHH" localSheetId="31" hidden="1">#REF!</definedName>
    <definedName name="BEx970MYCPJ6DQ44TKLOIGZO5LHH" localSheetId="32" hidden="1">#REF!</definedName>
    <definedName name="BEx970MYCPJ6DQ44TKLOIGZO5LHH" hidden="1">#REF!</definedName>
    <definedName name="BEx978KSD61YJH3S9DGO050R2EHA" localSheetId="30" hidden="1">#REF!</definedName>
    <definedName name="BEx978KSD61YJH3S9DGO050R2EHA" localSheetId="29" hidden="1">#REF!</definedName>
    <definedName name="BEx978KSD61YJH3S9DGO050R2EHA" localSheetId="33" hidden="1">#REF!</definedName>
    <definedName name="BEx978KSD61YJH3S9DGO050R2EHA" localSheetId="31" hidden="1">#REF!</definedName>
    <definedName name="BEx978KSD61YJH3S9DGO050R2EHA" localSheetId="32" hidden="1">#REF!</definedName>
    <definedName name="BEx978KSD61YJH3S9DGO050R2EHA" hidden="1">#REF!</definedName>
    <definedName name="BEx97H9O1NAKAPK4MX4PKO34ICL5" localSheetId="30" hidden="1">#REF!</definedName>
    <definedName name="BEx97H9O1NAKAPK4MX4PKO34ICL5" localSheetId="29" hidden="1">#REF!</definedName>
    <definedName name="BEx97H9O1NAKAPK4MX4PKO34ICL5" localSheetId="33" hidden="1">#REF!</definedName>
    <definedName name="BEx97H9O1NAKAPK4MX4PKO34ICL5" localSheetId="31" hidden="1">#REF!</definedName>
    <definedName name="BEx97H9O1NAKAPK4MX4PKO34ICL5" localSheetId="32" hidden="1">#REF!</definedName>
    <definedName name="BEx97H9O1NAKAPK4MX4PKO34ICL5" hidden="1">#REF!</definedName>
    <definedName name="BEx97HVA5F2I0D6ID81KCUDEQOIH" localSheetId="30" hidden="1">#REF!</definedName>
    <definedName name="BEx97HVA5F2I0D6ID81KCUDEQOIH" localSheetId="29" hidden="1">#REF!</definedName>
    <definedName name="BEx97HVA5F2I0D6ID81KCUDEQOIH" localSheetId="33" hidden="1">#REF!</definedName>
    <definedName name="BEx97HVA5F2I0D6ID81KCUDEQOIH" localSheetId="31" hidden="1">#REF!</definedName>
    <definedName name="BEx97HVA5F2I0D6ID81KCUDEQOIH" localSheetId="32" hidden="1">#REF!</definedName>
    <definedName name="BEx97HVA5F2I0D6ID81KCUDEQOIH" hidden="1">#REF!</definedName>
    <definedName name="BEx97MNUZQ1Z0AO2FL7XQYVNCPR7" localSheetId="30" hidden="1">#REF!</definedName>
    <definedName name="BEx97MNUZQ1Z0AO2FL7XQYVNCPR7" localSheetId="29" hidden="1">#REF!</definedName>
    <definedName name="BEx97MNUZQ1Z0AO2FL7XQYVNCPR7" localSheetId="33" hidden="1">#REF!</definedName>
    <definedName name="BEx97MNUZQ1Z0AO2FL7XQYVNCPR7" localSheetId="31" hidden="1">#REF!</definedName>
    <definedName name="BEx97MNUZQ1Z0AO2FL7XQYVNCPR7" localSheetId="32" hidden="1">#REF!</definedName>
    <definedName name="BEx97MNUZQ1Z0AO2FL7XQYVNCPR7" hidden="1">#REF!</definedName>
    <definedName name="BEx97NPQBACJVD9K1YXI08RTW9E2" localSheetId="30" hidden="1">#REF!</definedName>
    <definedName name="BEx97NPQBACJVD9K1YXI08RTW9E2" localSheetId="29" hidden="1">#REF!</definedName>
    <definedName name="BEx97NPQBACJVD9K1YXI08RTW9E2" localSheetId="33" hidden="1">#REF!</definedName>
    <definedName name="BEx97NPQBACJVD9K1YXI08RTW9E2" localSheetId="31" hidden="1">#REF!</definedName>
    <definedName name="BEx97NPQBACJVD9K1YXI08RTW9E2" localSheetId="32" hidden="1">#REF!</definedName>
    <definedName name="BEx97NPQBACJVD9K1YXI08RTW9E2" hidden="1">#REF!</definedName>
    <definedName name="BEx97RWQLXS0OORDCN69IGA58CWU" localSheetId="30" hidden="1">#REF!</definedName>
    <definedName name="BEx97RWQLXS0OORDCN69IGA58CWU" localSheetId="29" hidden="1">#REF!</definedName>
    <definedName name="BEx97RWQLXS0OORDCN69IGA58CWU" localSheetId="33" hidden="1">#REF!</definedName>
    <definedName name="BEx97RWQLXS0OORDCN69IGA58CWU" localSheetId="31" hidden="1">#REF!</definedName>
    <definedName name="BEx97RWQLXS0OORDCN69IGA58CWU" localSheetId="32" hidden="1">#REF!</definedName>
    <definedName name="BEx97RWQLXS0OORDCN69IGA58CWU" hidden="1">#REF!</definedName>
    <definedName name="BEx97YNGGDFIXHTMGFL2IHAQX9MI" localSheetId="30" hidden="1">#REF!</definedName>
    <definedName name="BEx97YNGGDFIXHTMGFL2IHAQX9MI" localSheetId="29" hidden="1">#REF!</definedName>
    <definedName name="BEx97YNGGDFIXHTMGFL2IHAQX9MI" localSheetId="33" hidden="1">#REF!</definedName>
    <definedName name="BEx97YNGGDFIXHTMGFL2IHAQX9MI" localSheetId="31" hidden="1">#REF!</definedName>
    <definedName name="BEx97YNGGDFIXHTMGFL2IHAQX9MI" localSheetId="32" hidden="1">#REF!</definedName>
    <definedName name="BEx97YNGGDFIXHTMGFL2IHAQX9MI" hidden="1">#REF!</definedName>
    <definedName name="BEx981HW73BUZWT14TBTZHC0ZTJ4" localSheetId="30" hidden="1">#REF!</definedName>
    <definedName name="BEx981HW73BUZWT14TBTZHC0ZTJ4" localSheetId="29" hidden="1">#REF!</definedName>
    <definedName name="BEx981HW73BUZWT14TBTZHC0ZTJ4" localSheetId="33" hidden="1">#REF!</definedName>
    <definedName name="BEx981HW73BUZWT14TBTZHC0ZTJ4" localSheetId="31" hidden="1">#REF!</definedName>
    <definedName name="BEx981HW73BUZWT14TBTZHC0ZTJ4" localSheetId="32" hidden="1">#REF!</definedName>
    <definedName name="BEx981HW73BUZWT14TBTZHC0ZTJ4" hidden="1">#REF!</definedName>
    <definedName name="BEx9871KU0N99P0900EAK69VFYT2" localSheetId="30" hidden="1">#REF!</definedName>
    <definedName name="BEx9871KU0N99P0900EAK69VFYT2" localSheetId="29" hidden="1">#REF!</definedName>
    <definedName name="BEx9871KU0N99P0900EAK69VFYT2" localSheetId="33" hidden="1">#REF!</definedName>
    <definedName name="BEx9871KU0N99P0900EAK69VFYT2" localSheetId="31" hidden="1">#REF!</definedName>
    <definedName name="BEx9871KU0N99P0900EAK69VFYT2" localSheetId="32" hidden="1">#REF!</definedName>
    <definedName name="BEx9871KU0N99P0900EAK69VFYT2" hidden="1">#REF!</definedName>
    <definedName name="BEx98IFKNJFGZFLID1YTRFEG1SXY" localSheetId="30" hidden="1">#REF!</definedName>
    <definedName name="BEx98IFKNJFGZFLID1YTRFEG1SXY" localSheetId="29" hidden="1">#REF!</definedName>
    <definedName name="BEx98IFKNJFGZFLID1YTRFEG1SXY" localSheetId="33" hidden="1">#REF!</definedName>
    <definedName name="BEx98IFKNJFGZFLID1YTRFEG1SXY" localSheetId="31" hidden="1">#REF!</definedName>
    <definedName name="BEx98IFKNJFGZFLID1YTRFEG1SXY" localSheetId="32" hidden="1">#REF!</definedName>
    <definedName name="BEx98IFKNJFGZFLID1YTRFEG1SXY" hidden="1">#REF!</definedName>
    <definedName name="BEx98YM27QBVISHK90ZRUOQPEX84" localSheetId="30" hidden="1">#REF!</definedName>
    <definedName name="BEx98YM27QBVISHK90ZRUOQPEX84" localSheetId="29" hidden="1">#REF!</definedName>
    <definedName name="BEx98YM27QBVISHK90ZRUOQPEX84" localSheetId="33" hidden="1">#REF!</definedName>
    <definedName name="BEx98YM27QBVISHK90ZRUOQPEX84" localSheetId="31" hidden="1">#REF!</definedName>
    <definedName name="BEx98YM27QBVISHK90ZRUOQPEX84" localSheetId="32" hidden="1">#REF!</definedName>
    <definedName name="BEx98YM27QBVISHK90ZRUOQPEX84" hidden="1">#REF!</definedName>
    <definedName name="BEx9915UVD4G7RA3IMLFZ0LG3UA2" localSheetId="30" hidden="1">#REF!</definedName>
    <definedName name="BEx9915UVD4G7RA3IMLFZ0LG3UA2" localSheetId="29" hidden="1">#REF!</definedName>
    <definedName name="BEx9915UVD4G7RA3IMLFZ0LG3UA2" localSheetId="33" hidden="1">#REF!</definedName>
    <definedName name="BEx9915UVD4G7RA3IMLFZ0LG3UA2" localSheetId="31" hidden="1">#REF!</definedName>
    <definedName name="BEx9915UVD4G7RA3IMLFZ0LG3UA2" localSheetId="32" hidden="1">#REF!</definedName>
    <definedName name="BEx9915UVD4G7RA3IMLFZ0LG3UA2" hidden="1">#REF!</definedName>
    <definedName name="BEx992CZON8AO7U7V88VN1JBO0MG" localSheetId="30" hidden="1">#REF!</definedName>
    <definedName name="BEx992CZON8AO7U7V88VN1JBO0MG" localSheetId="29" hidden="1">#REF!</definedName>
    <definedName name="BEx992CZON8AO7U7V88VN1JBO0MG" localSheetId="33" hidden="1">#REF!</definedName>
    <definedName name="BEx992CZON8AO7U7V88VN1JBO0MG" localSheetId="31" hidden="1">#REF!</definedName>
    <definedName name="BEx992CZON8AO7U7V88VN1JBO0MG" localSheetId="32" hidden="1">#REF!</definedName>
    <definedName name="BEx992CZON8AO7U7V88VN1JBO0MG" hidden="1">#REF!</definedName>
    <definedName name="BEx9952469XMFGSPXL7CMXHPJF90" localSheetId="30" hidden="1">#REF!</definedName>
    <definedName name="BEx9952469XMFGSPXL7CMXHPJF90" localSheetId="29" hidden="1">#REF!</definedName>
    <definedName name="BEx9952469XMFGSPXL7CMXHPJF90" localSheetId="33" hidden="1">#REF!</definedName>
    <definedName name="BEx9952469XMFGSPXL7CMXHPJF90" localSheetId="31" hidden="1">#REF!</definedName>
    <definedName name="BEx9952469XMFGSPXL7CMXHPJF90" localSheetId="32" hidden="1">#REF!</definedName>
    <definedName name="BEx9952469XMFGSPXL7CMXHPJF90" hidden="1">#REF!</definedName>
    <definedName name="BEx99B77I7TUSHRR4HIZ9FU2EIUT" localSheetId="30" hidden="1">#REF!</definedName>
    <definedName name="BEx99B77I7TUSHRR4HIZ9FU2EIUT" localSheetId="29" hidden="1">#REF!</definedName>
    <definedName name="BEx99B77I7TUSHRR4HIZ9FU2EIUT" localSheetId="33" hidden="1">#REF!</definedName>
    <definedName name="BEx99B77I7TUSHRR4HIZ9FU2EIUT" localSheetId="31" hidden="1">#REF!</definedName>
    <definedName name="BEx99B77I7TUSHRR4HIZ9FU2EIUT" localSheetId="32" hidden="1">#REF!</definedName>
    <definedName name="BEx99B77I7TUSHRR4HIZ9FU2EIUT" hidden="1">#REF!</definedName>
    <definedName name="BEx99Q6PH5F3OQKCCAAO75PYDEFN" localSheetId="30" hidden="1">#REF!</definedName>
    <definedName name="BEx99Q6PH5F3OQKCCAAO75PYDEFN" localSheetId="29" hidden="1">#REF!</definedName>
    <definedName name="BEx99Q6PH5F3OQKCCAAO75PYDEFN" localSheetId="33" hidden="1">#REF!</definedName>
    <definedName name="BEx99Q6PH5F3OQKCCAAO75PYDEFN" localSheetId="31" hidden="1">#REF!</definedName>
    <definedName name="BEx99Q6PH5F3OQKCCAAO75PYDEFN" localSheetId="32" hidden="1">#REF!</definedName>
    <definedName name="BEx99Q6PH5F3OQKCCAAO75PYDEFN" hidden="1">#REF!</definedName>
    <definedName name="BEx99SQHW8YQ6PDKVXF5YLCCQMG6" localSheetId="30" hidden="1">#REF!</definedName>
    <definedName name="BEx99SQHW8YQ6PDKVXF5YLCCQMG6" localSheetId="29" hidden="1">#REF!</definedName>
    <definedName name="BEx99SQHW8YQ6PDKVXF5YLCCQMG6" localSheetId="33" hidden="1">#REF!</definedName>
    <definedName name="BEx99SQHW8YQ6PDKVXF5YLCCQMG6" localSheetId="31" hidden="1">#REF!</definedName>
    <definedName name="BEx99SQHW8YQ6PDKVXF5YLCCQMG6" localSheetId="32" hidden="1">#REF!</definedName>
    <definedName name="BEx99SQHW8YQ6PDKVXF5YLCCQMG6" hidden="1">#REF!</definedName>
    <definedName name="BEx99WBYT2D6UUC1PT7A40ENYID4" localSheetId="30" hidden="1">#REF!</definedName>
    <definedName name="BEx99WBYT2D6UUC1PT7A40ENYID4" localSheetId="29" hidden="1">#REF!</definedName>
    <definedName name="BEx99WBYT2D6UUC1PT7A40ENYID4" localSheetId="33" hidden="1">#REF!</definedName>
    <definedName name="BEx99WBYT2D6UUC1PT7A40ENYID4" localSheetId="31" hidden="1">#REF!</definedName>
    <definedName name="BEx99WBYT2D6UUC1PT7A40ENYID4" localSheetId="32" hidden="1">#REF!</definedName>
    <definedName name="BEx99WBYT2D6UUC1PT7A40ENYID4" hidden="1">#REF!</definedName>
    <definedName name="BEx99XTXFV1N4YWS4HK384X7A4HI" localSheetId="30" hidden="1">#REF!</definedName>
    <definedName name="BEx99XTXFV1N4YWS4HK384X7A4HI" localSheetId="29" hidden="1">#REF!</definedName>
    <definedName name="BEx99XTXFV1N4YWS4HK384X7A4HI" localSheetId="33" hidden="1">#REF!</definedName>
    <definedName name="BEx99XTXFV1N4YWS4HK384X7A4HI" localSheetId="31" hidden="1">#REF!</definedName>
    <definedName name="BEx99XTXFV1N4YWS4HK384X7A4HI" localSheetId="32" hidden="1">#REF!</definedName>
    <definedName name="BEx99XTXFV1N4YWS4HK384X7A4HI" hidden="1">#REF!</definedName>
    <definedName name="BEx99ZRZ4I7FHDPGRAT5VW7NVBPU" localSheetId="30" hidden="1">#REF!</definedName>
    <definedName name="BEx99ZRZ4I7FHDPGRAT5VW7NVBPU" localSheetId="29" hidden="1">#REF!</definedName>
    <definedName name="BEx99ZRZ4I7FHDPGRAT5VW7NVBPU" localSheetId="33" hidden="1">#REF!</definedName>
    <definedName name="BEx99ZRZ4I7FHDPGRAT5VW7NVBPU" localSheetId="31" hidden="1">#REF!</definedName>
    <definedName name="BEx99ZRZ4I7FHDPGRAT5VW7NVBPU" localSheetId="32" hidden="1">#REF!</definedName>
    <definedName name="BEx99ZRZ4I7FHDPGRAT5VW7NVBPU" hidden="1">#REF!</definedName>
    <definedName name="BEx9AMJZPH3517LLTELV6CKC7KOC" localSheetId="30" hidden="1">#REF!</definedName>
    <definedName name="BEx9AMJZPH3517LLTELV6CKC7KOC" localSheetId="29" hidden="1">#REF!</definedName>
    <definedName name="BEx9AMJZPH3517LLTELV6CKC7KOC" localSheetId="33" hidden="1">#REF!</definedName>
    <definedName name="BEx9AMJZPH3517LLTELV6CKC7KOC" localSheetId="31" hidden="1">#REF!</definedName>
    <definedName name="BEx9AMJZPH3517LLTELV6CKC7KOC" localSheetId="32" hidden="1">#REF!</definedName>
    <definedName name="BEx9AMJZPH3517LLTELV6CKC7KOC" hidden="1">#REF!</definedName>
    <definedName name="BEx9AT5E3ZSHKSOL35O38L8HF9TH" localSheetId="30" hidden="1">#REF!</definedName>
    <definedName name="BEx9AT5E3ZSHKSOL35O38L8HF9TH" localSheetId="29" hidden="1">#REF!</definedName>
    <definedName name="BEx9AT5E3ZSHKSOL35O38L8HF9TH" localSheetId="33" hidden="1">#REF!</definedName>
    <definedName name="BEx9AT5E3ZSHKSOL35O38L8HF9TH" localSheetId="31" hidden="1">#REF!</definedName>
    <definedName name="BEx9AT5E3ZSHKSOL35O38L8HF9TH" localSheetId="32" hidden="1">#REF!</definedName>
    <definedName name="BEx9AT5E3ZSHKSOL35O38L8HF9TH" hidden="1">#REF!</definedName>
    <definedName name="BEx9AV8W1FAWF5BHATYEN47X12JN" localSheetId="30" hidden="1">#REF!</definedName>
    <definedName name="BEx9AV8W1FAWF5BHATYEN47X12JN" localSheetId="29" hidden="1">#REF!</definedName>
    <definedName name="BEx9AV8W1FAWF5BHATYEN47X12JN" localSheetId="33" hidden="1">#REF!</definedName>
    <definedName name="BEx9AV8W1FAWF5BHATYEN47X12JN" localSheetId="31" hidden="1">#REF!</definedName>
    <definedName name="BEx9AV8W1FAWF5BHATYEN47X12JN" localSheetId="32" hidden="1">#REF!</definedName>
    <definedName name="BEx9AV8W1FAWF5BHATYEN47X12JN" hidden="1">#REF!</definedName>
    <definedName name="BEx9B8A5186FNTQQNLIO5LK02ABI" localSheetId="30" hidden="1">#REF!</definedName>
    <definedName name="BEx9B8A5186FNTQQNLIO5LK02ABI" localSheetId="29" hidden="1">#REF!</definedName>
    <definedName name="BEx9B8A5186FNTQQNLIO5LK02ABI" localSheetId="33" hidden="1">#REF!</definedName>
    <definedName name="BEx9B8A5186FNTQQNLIO5LK02ABI" localSheetId="31" hidden="1">#REF!</definedName>
    <definedName name="BEx9B8A5186FNTQQNLIO5LK02ABI" localSheetId="32" hidden="1">#REF!</definedName>
    <definedName name="BEx9B8A5186FNTQQNLIO5LK02ABI" hidden="1">#REF!</definedName>
    <definedName name="BEx9B8VR20E2CILU4CDQUQQ9ONXK" localSheetId="30" hidden="1">#REF!</definedName>
    <definedName name="BEx9B8VR20E2CILU4CDQUQQ9ONXK" localSheetId="29" hidden="1">#REF!</definedName>
    <definedName name="BEx9B8VR20E2CILU4CDQUQQ9ONXK" localSheetId="33" hidden="1">#REF!</definedName>
    <definedName name="BEx9B8VR20E2CILU4CDQUQQ9ONXK" localSheetId="31" hidden="1">#REF!</definedName>
    <definedName name="BEx9B8VR20E2CILU4CDQUQQ9ONXK" localSheetId="32" hidden="1">#REF!</definedName>
    <definedName name="BEx9B8VR20E2CILU4CDQUQQ9ONXK" hidden="1">#REF!</definedName>
    <definedName name="BEx9B917EUP13X6FQ3NPQL76XM5V" localSheetId="30" hidden="1">#REF!</definedName>
    <definedName name="BEx9B917EUP13X6FQ3NPQL76XM5V" localSheetId="29" hidden="1">#REF!</definedName>
    <definedName name="BEx9B917EUP13X6FQ3NPQL76XM5V" localSheetId="33" hidden="1">#REF!</definedName>
    <definedName name="BEx9B917EUP13X6FQ3NPQL76XM5V" localSheetId="31" hidden="1">#REF!</definedName>
    <definedName name="BEx9B917EUP13X6FQ3NPQL76XM5V" localSheetId="32" hidden="1">#REF!</definedName>
    <definedName name="BEx9B917EUP13X6FQ3NPQL76XM5V" hidden="1">#REF!</definedName>
    <definedName name="BEx9B9S465SGT52ZPM5IZT7IHQU6" localSheetId="30" hidden="1">#REF!</definedName>
    <definedName name="BEx9B9S465SGT52ZPM5IZT7IHQU6" localSheetId="29" hidden="1">#REF!</definedName>
    <definedName name="BEx9B9S465SGT52ZPM5IZT7IHQU6" localSheetId="33" hidden="1">#REF!</definedName>
    <definedName name="BEx9B9S465SGT52ZPM5IZT7IHQU6" localSheetId="31" hidden="1">#REF!</definedName>
    <definedName name="BEx9B9S465SGT52ZPM5IZT7IHQU6" localSheetId="32" hidden="1">#REF!</definedName>
    <definedName name="BEx9B9S465SGT52ZPM5IZT7IHQU6" hidden="1">#REF!</definedName>
    <definedName name="BEx9BAJ5WYEQ623HUT9NNCMP3RUG" localSheetId="30" hidden="1">#REF!</definedName>
    <definedName name="BEx9BAJ5WYEQ623HUT9NNCMP3RUG" localSheetId="29" hidden="1">#REF!</definedName>
    <definedName name="BEx9BAJ5WYEQ623HUT9NNCMP3RUG" localSheetId="33" hidden="1">#REF!</definedName>
    <definedName name="BEx9BAJ5WYEQ623HUT9NNCMP3RUG" localSheetId="31" hidden="1">#REF!</definedName>
    <definedName name="BEx9BAJ5WYEQ623HUT9NNCMP3RUG" localSheetId="32" hidden="1">#REF!</definedName>
    <definedName name="BEx9BAJ5WYEQ623HUT9NNCMP3RUG" hidden="1">#REF!</definedName>
    <definedName name="BEx9BJO5TQPFFYFYPMBNBA2W0B6W" localSheetId="30" hidden="1">#REF!</definedName>
    <definedName name="BEx9BJO5TQPFFYFYPMBNBA2W0B6W" localSheetId="29" hidden="1">#REF!</definedName>
    <definedName name="BEx9BJO5TQPFFYFYPMBNBA2W0B6W" localSheetId="33" hidden="1">#REF!</definedName>
    <definedName name="BEx9BJO5TQPFFYFYPMBNBA2W0B6W" localSheetId="31" hidden="1">#REF!</definedName>
    <definedName name="BEx9BJO5TQPFFYFYPMBNBA2W0B6W" localSheetId="32" hidden="1">#REF!</definedName>
    <definedName name="BEx9BJO5TQPFFYFYPMBNBA2W0B6W" hidden="1">#REF!</definedName>
    <definedName name="BEx9BYSYW7QCPXS2NAVLFAU5Y2Z2" localSheetId="30" hidden="1">#REF!</definedName>
    <definedName name="BEx9BYSYW7QCPXS2NAVLFAU5Y2Z2" localSheetId="29" hidden="1">#REF!</definedName>
    <definedName name="BEx9BYSYW7QCPXS2NAVLFAU5Y2Z2" localSheetId="33" hidden="1">#REF!</definedName>
    <definedName name="BEx9BYSYW7QCPXS2NAVLFAU5Y2Z2" localSheetId="31" hidden="1">#REF!</definedName>
    <definedName name="BEx9BYSYW7QCPXS2NAVLFAU5Y2Z2" localSheetId="32" hidden="1">#REF!</definedName>
    <definedName name="BEx9BYSYW7QCPXS2NAVLFAU5Y2Z2" hidden="1">#REF!</definedName>
    <definedName name="BEx9C590HJ2O31IWJB73C1HR74AI" localSheetId="30" hidden="1">#REF!</definedName>
    <definedName name="BEx9C590HJ2O31IWJB73C1HR74AI" localSheetId="29" hidden="1">#REF!</definedName>
    <definedName name="BEx9C590HJ2O31IWJB73C1HR74AI" localSheetId="33" hidden="1">#REF!</definedName>
    <definedName name="BEx9C590HJ2O31IWJB73C1HR74AI" localSheetId="31" hidden="1">#REF!</definedName>
    <definedName name="BEx9C590HJ2O31IWJB73C1HR74AI" localSheetId="32" hidden="1">#REF!</definedName>
    <definedName name="BEx9C590HJ2O31IWJB73C1HR74AI" hidden="1">#REF!</definedName>
    <definedName name="BEx9CCQRMYYOGIOYTOM73VKDIPS1" localSheetId="30" hidden="1">#REF!</definedName>
    <definedName name="BEx9CCQRMYYOGIOYTOM73VKDIPS1" localSheetId="29" hidden="1">#REF!</definedName>
    <definedName name="BEx9CCQRMYYOGIOYTOM73VKDIPS1" localSheetId="33" hidden="1">#REF!</definedName>
    <definedName name="BEx9CCQRMYYOGIOYTOM73VKDIPS1" localSheetId="31" hidden="1">#REF!</definedName>
    <definedName name="BEx9CCQRMYYOGIOYTOM73VKDIPS1" localSheetId="32" hidden="1">#REF!</definedName>
    <definedName name="BEx9CCQRMYYOGIOYTOM73VKDIPS1" hidden="1">#REF!</definedName>
    <definedName name="BEx9CRFFOBZD8OWT8FV5V8GF1I06" localSheetId="30" hidden="1">#REF!</definedName>
    <definedName name="BEx9CRFFOBZD8OWT8FV5V8GF1I06" localSheetId="29" hidden="1">#REF!</definedName>
    <definedName name="BEx9CRFFOBZD8OWT8FV5V8GF1I06" localSheetId="33" hidden="1">#REF!</definedName>
    <definedName name="BEx9CRFFOBZD8OWT8FV5V8GF1I06" localSheetId="31" hidden="1">#REF!</definedName>
    <definedName name="BEx9CRFFOBZD8OWT8FV5V8GF1I06" localSheetId="32" hidden="1">#REF!</definedName>
    <definedName name="BEx9CRFFOBZD8OWT8FV5V8GF1I06" hidden="1">#REF!</definedName>
    <definedName name="BEx9D1BC9FT19KY0INAABNDBAMR1" localSheetId="30" hidden="1">#REF!</definedName>
    <definedName name="BEx9D1BC9FT19KY0INAABNDBAMR1" localSheetId="29" hidden="1">#REF!</definedName>
    <definedName name="BEx9D1BC9FT19KY0INAABNDBAMR1" localSheetId="33" hidden="1">#REF!</definedName>
    <definedName name="BEx9D1BC9FT19KY0INAABNDBAMR1" localSheetId="31" hidden="1">#REF!</definedName>
    <definedName name="BEx9D1BC9FT19KY0INAABNDBAMR1" localSheetId="32" hidden="1">#REF!</definedName>
    <definedName name="BEx9D1BC9FT19KY0INAABNDBAMR1" hidden="1">#REF!</definedName>
    <definedName name="BEx9DN6ZMF18Q39MPMXSDJTZQNJ3" localSheetId="30" hidden="1">#REF!</definedName>
    <definedName name="BEx9DN6ZMF18Q39MPMXSDJTZQNJ3" localSheetId="29" hidden="1">#REF!</definedName>
    <definedName name="BEx9DN6ZMF18Q39MPMXSDJTZQNJ3" localSheetId="33" hidden="1">#REF!</definedName>
    <definedName name="BEx9DN6ZMF18Q39MPMXSDJTZQNJ3" localSheetId="31" hidden="1">#REF!</definedName>
    <definedName name="BEx9DN6ZMF18Q39MPMXSDJTZQNJ3" localSheetId="32" hidden="1">#REF!</definedName>
    <definedName name="BEx9DN6ZMF18Q39MPMXSDJTZQNJ3" hidden="1">#REF!</definedName>
    <definedName name="BEx9E14TDNSEMI784W0OTIEQMWN6" localSheetId="30" hidden="1">#REF!</definedName>
    <definedName name="BEx9E14TDNSEMI784W0OTIEQMWN6" localSheetId="29" hidden="1">#REF!</definedName>
    <definedName name="BEx9E14TDNSEMI784W0OTIEQMWN6" localSheetId="33" hidden="1">#REF!</definedName>
    <definedName name="BEx9E14TDNSEMI784W0OTIEQMWN6" localSheetId="31" hidden="1">#REF!</definedName>
    <definedName name="BEx9E14TDNSEMI784W0OTIEQMWN6" localSheetId="32" hidden="1">#REF!</definedName>
    <definedName name="BEx9E14TDNSEMI784W0OTIEQMWN6" hidden="1">#REF!</definedName>
    <definedName name="BEx9E2BZ2B1R41FMGJCJ7JLGLUAJ" localSheetId="30" hidden="1">#REF!</definedName>
    <definedName name="BEx9E2BZ2B1R41FMGJCJ7JLGLUAJ" localSheetId="29" hidden="1">#REF!</definedName>
    <definedName name="BEx9E2BZ2B1R41FMGJCJ7JLGLUAJ" localSheetId="33" hidden="1">#REF!</definedName>
    <definedName name="BEx9E2BZ2B1R41FMGJCJ7JLGLUAJ" localSheetId="31" hidden="1">#REF!</definedName>
    <definedName name="BEx9E2BZ2B1R41FMGJCJ7JLGLUAJ" localSheetId="32" hidden="1">#REF!</definedName>
    <definedName name="BEx9E2BZ2B1R41FMGJCJ7JLGLUAJ" hidden="1">#REF!</definedName>
    <definedName name="BEx9EG9KBJ77M8LEOR9ITOKN5KXY" localSheetId="30" hidden="1">#REF!</definedName>
    <definedName name="BEx9EG9KBJ77M8LEOR9ITOKN5KXY" localSheetId="29" hidden="1">#REF!</definedName>
    <definedName name="BEx9EG9KBJ77M8LEOR9ITOKN5KXY" localSheetId="33" hidden="1">#REF!</definedName>
    <definedName name="BEx9EG9KBJ77M8LEOR9ITOKN5KXY" localSheetId="31" hidden="1">#REF!</definedName>
    <definedName name="BEx9EG9KBJ77M8LEOR9ITOKN5KXY" localSheetId="32" hidden="1">#REF!</definedName>
    <definedName name="BEx9EG9KBJ77M8LEOR9ITOKN5KXY" hidden="1">#REF!</definedName>
    <definedName name="BEx9EMK6HAJJMVYZTN5AUIV7O1E6" localSheetId="30" hidden="1">#REF!</definedName>
    <definedName name="BEx9EMK6HAJJMVYZTN5AUIV7O1E6" localSheetId="29" hidden="1">#REF!</definedName>
    <definedName name="BEx9EMK6HAJJMVYZTN5AUIV7O1E6" localSheetId="33" hidden="1">#REF!</definedName>
    <definedName name="BEx9EMK6HAJJMVYZTN5AUIV7O1E6" localSheetId="31" hidden="1">#REF!</definedName>
    <definedName name="BEx9EMK6HAJJMVYZTN5AUIV7O1E6" localSheetId="32" hidden="1">#REF!</definedName>
    <definedName name="BEx9EMK6HAJJMVYZTN5AUIV7O1E6" hidden="1">#REF!</definedName>
    <definedName name="BEx9EQLVZHYQ1TPX7WH3SOWXCZLE" localSheetId="30" hidden="1">#REF!</definedName>
    <definedName name="BEx9EQLVZHYQ1TPX7WH3SOWXCZLE" localSheetId="29" hidden="1">#REF!</definedName>
    <definedName name="BEx9EQLVZHYQ1TPX7WH3SOWXCZLE" localSheetId="33" hidden="1">#REF!</definedName>
    <definedName name="BEx9EQLVZHYQ1TPX7WH3SOWXCZLE" localSheetId="31" hidden="1">#REF!</definedName>
    <definedName name="BEx9EQLVZHYQ1TPX7WH3SOWXCZLE" localSheetId="32" hidden="1">#REF!</definedName>
    <definedName name="BEx9EQLVZHYQ1TPX7WH3SOWXCZLE" hidden="1">#REF!</definedName>
    <definedName name="BEx9ETLU0EK5LGEM1QCNYN2S8O5F" localSheetId="30" hidden="1">#REF!</definedName>
    <definedName name="BEx9ETLU0EK5LGEM1QCNYN2S8O5F" localSheetId="29" hidden="1">#REF!</definedName>
    <definedName name="BEx9ETLU0EK5LGEM1QCNYN2S8O5F" localSheetId="33" hidden="1">#REF!</definedName>
    <definedName name="BEx9ETLU0EK5LGEM1QCNYN2S8O5F" localSheetId="31" hidden="1">#REF!</definedName>
    <definedName name="BEx9ETLU0EK5LGEM1QCNYN2S8O5F" localSheetId="32" hidden="1">#REF!</definedName>
    <definedName name="BEx9ETLU0EK5LGEM1QCNYN2S8O5F" hidden="1">#REF!</definedName>
    <definedName name="BEx9F0Y2ESUNE3U7TQDLMPE9BO67" localSheetId="30" hidden="1">#REF!</definedName>
    <definedName name="BEx9F0Y2ESUNE3U7TQDLMPE9BO67" localSheetId="29" hidden="1">#REF!</definedName>
    <definedName name="BEx9F0Y2ESUNE3U7TQDLMPE9BO67" localSheetId="33" hidden="1">#REF!</definedName>
    <definedName name="BEx9F0Y2ESUNE3U7TQDLMPE9BO67" localSheetId="31" hidden="1">#REF!</definedName>
    <definedName name="BEx9F0Y2ESUNE3U7TQDLMPE9BO67" localSheetId="32" hidden="1">#REF!</definedName>
    <definedName name="BEx9F0Y2ESUNE3U7TQDLMPE9BO67" hidden="1">#REF!</definedName>
    <definedName name="BEx9F5W18ZGFOKGRE8PR6T1MO6GT" localSheetId="30" hidden="1">#REF!</definedName>
    <definedName name="BEx9F5W18ZGFOKGRE8PR6T1MO6GT" localSheetId="29" hidden="1">#REF!</definedName>
    <definedName name="BEx9F5W18ZGFOKGRE8PR6T1MO6GT" localSheetId="33" hidden="1">#REF!</definedName>
    <definedName name="BEx9F5W18ZGFOKGRE8PR6T1MO6GT" localSheetId="31" hidden="1">#REF!</definedName>
    <definedName name="BEx9F5W18ZGFOKGRE8PR6T1MO6GT" localSheetId="32" hidden="1">#REF!</definedName>
    <definedName name="BEx9F5W18ZGFOKGRE8PR6T1MO6GT" hidden="1">#REF!</definedName>
    <definedName name="BEx9F78N4HY0XFGBQ4UJRD52L1EI" localSheetId="30" hidden="1">#REF!</definedName>
    <definedName name="BEx9F78N4HY0XFGBQ4UJRD52L1EI" localSheetId="29" hidden="1">#REF!</definedName>
    <definedName name="BEx9F78N4HY0XFGBQ4UJRD52L1EI" localSheetId="33" hidden="1">#REF!</definedName>
    <definedName name="BEx9F78N4HY0XFGBQ4UJRD52L1EI" localSheetId="31" hidden="1">#REF!</definedName>
    <definedName name="BEx9F78N4HY0XFGBQ4UJRD52L1EI" localSheetId="32" hidden="1">#REF!</definedName>
    <definedName name="BEx9F78N4HY0XFGBQ4UJRD52L1EI" hidden="1">#REF!</definedName>
    <definedName name="BEx9FF16LOQP5QIR4UHW5EIFGQB8" localSheetId="30" hidden="1">#REF!</definedName>
    <definedName name="BEx9FF16LOQP5QIR4UHW5EIFGQB8" localSheetId="29" hidden="1">#REF!</definedName>
    <definedName name="BEx9FF16LOQP5QIR4UHW5EIFGQB8" localSheetId="33" hidden="1">#REF!</definedName>
    <definedName name="BEx9FF16LOQP5QIR4UHW5EIFGQB8" localSheetId="31" hidden="1">#REF!</definedName>
    <definedName name="BEx9FF16LOQP5QIR4UHW5EIFGQB8" localSheetId="32" hidden="1">#REF!</definedName>
    <definedName name="BEx9FF16LOQP5QIR4UHW5EIFGQB8" hidden="1">#REF!</definedName>
    <definedName name="BEx9FG8CLFFBTX2JG4BUAX3QMPEF" localSheetId="30" hidden="1">#REF!</definedName>
    <definedName name="BEx9FG8CLFFBTX2JG4BUAX3QMPEF" localSheetId="29" hidden="1">#REF!</definedName>
    <definedName name="BEx9FG8CLFFBTX2JG4BUAX3QMPEF" localSheetId="33" hidden="1">#REF!</definedName>
    <definedName name="BEx9FG8CLFFBTX2JG4BUAX3QMPEF" localSheetId="31" hidden="1">#REF!</definedName>
    <definedName name="BEx9FG8CLFFBTX2JG4BUAX3QMPEF" localSheetId="32" hidden="1">#REF!</definedName>
    <definedName name="BEx9FG8CLFFBTX2JG4BUAX3QMPEF" hidden="1">#REF!</definedName>
    <definedName name="BEx9FJTSRCZ3ZXT3QVBJT5NF8T7V" localSheetId="30" hidden="1">#REF!</definedName>
    <definedName name="BEx9FJTSRCZ3ZXT3QVBJT5NF8T7V" localSheetId="29" hidden="1">#REF!</definedName>
    <definedName name="BEx9FJTSRCZ3ZXT3QVBJT5NF8T7V" localSheetId="33" hidden="1">#REF!</definedName>
    <definedName name="BEx9FJTSRCZ3ZXT3QVBJT5NF8T7V" localSheetId="31" hidden="1">#REF!</definedName>
    <definedName name="BEx9FJTSRCZ3ZXT3QVBJT5NF8T7V" localSheetId="32" hidden="1">#REF!</definedName>
    <definedName name="BEx9FJTSRCZ3ZXT3QVBJT5NF8T7V" hidden="1">#REF!</definedName>
    <definedName name="BEx9FRBEEYPS5HLS3XT34AKZN94G" localSheetId="30" hidden="1">#REF!</definedName>
    <definedName name="BEx9FRBEEYPS5HLS3XT34AKZN94G" localSheetId="29" hidden="1">#REF!</definedName>
    <definedName name="BEx9FRBEEYPS5HLS3XT34AKZN94G" localSheetId="33" hidden="1">#REF!</definedName>
    <definedName name="BEx9FRBEEYPS5HLS3XT34AKZN94G" localSheetId="31" hidden="1">#REF!</definedName>
    <definedName name="BEx9FRBEEYPS5HLS3XT34AKZN94G" localSheetId="32" hidden="1">#REF!</definedName>
    <definedName name="BEx9FRBEEYPS5HLS3XT34AKZN94G" hidden="1">#REF!</definedName>
    <definedName name="BEx9GDY4D8ZPQJCYFIMYM0V0C51Y" localSheetId="30" hidden="1">#REF!</definedName>
    <definedName name="BEx9GDY4D8ZPQJCYFIMYM0V0C51Y" localSheetId="29" hidden="1">#REF!</definedName>
    <definedName name="BEx9GDY4D8ZPQJCYFIMYM0V0C51Y" localSheetId="33" hidden="1">#REF!</definedName>
    <definedName name="BEx9GDY4D8ZPQJCYFIMYM0V0C51Y" localSheetId="31" hidden="1">#REF!</definedName>
    <definedName name="BEx9GDY4D8ZPQJCYFIMYM0V0C51Y" localSheetId="32" hidden="1">#REF!</definedName>
    <definedName name="BEx9GDY4D8ZPQJCYFIMYM0V0C51Y" hidden="1">#REF!</definedName>
    <definedName name="BEx9GGY04V0ZWI6O9KZH4KSBB389" localSheetId="30" hidden="1">#REF!</definedName>
    <definedName name="BEx9GGY04V0ZWI6O9KZH4KSBB389" localSheetId="29" hidden="1">#REF!</definedName>
    <definedName name="BEx9GGY04V0ZWI6O9KZH4KSBB389" localSheetId="33" hidden="1">#REF!</definedName>
    <definedName name="BEx9GGY04V0ZWI6O9KZH4KSBB389" localSheetId="31" hidden="1">#REF!</definedName>
    <definedName name="BEx9GGY04V0ZWI6O9KZH4KSBB389" localSheetId="32" hidden="1">#REF!</definedName>
    <definedName name="BEx9GGY04V0ZWI6O9KZH4KSBB389" hidden="1">#REF!</definedName>
    <definedName name="BEx9GNOPB6OZ2RH3FCDNJR38RJOS" localSheetId="30" hidden="1">#REF!</definedName>
    <definedName name="BEx9GNOPB6OZ2RH3FCDNJR38RJOS" localSheetId="29" hidden="1">#REF!</definedName>
    <definedName name="BEx9GNOPB6OZ2RH3FCDNJR38RJOS" localSheetId="33" hidden="1">#REF!</definedName>
    <definedName name="BEx9GNOPB6OZ2RH3FCDNJR38RJOS" localSheetId="31" hidden="1">#REF!</definedName>
    <definedName name="BEx9GNOPB6OZ2RH3FCDNJR38RJOS" localSheetId="32" hidden="1">#REF!</definedName>
    <definedName name="BEx9GNOPB6OZ2RH3FCDNJR38RJOS" hidden="1">#REF!</definedName>
    <definedName name="BEx9GUQALUWCD30UKUQGSWW8KBQ7" localSheetId="30" hidden="1">#REF!</definedName>
    <definedName name="BEx9GUQALUWCD30UKUQGSWW8KBQ7" localSheetId="29" hidden="1">#REF!</definedName>
    <definedName name="BEx9GUQALUWCD30UKUQGSWW8KBQ7" localSheetId="33" hidden="1">#REF!</definedName>
    <definedName name="BEx9GUQALUWCD30UKUQGSWW8KBQ7" localSheetId="31" hidden="1">#REF!</definedName>
    <definedName name="BEx9GUQALUWCD30UKUQGSWW8KBQ7" localSheetId="32" hidden="1">#REF!</definedName>
    <definedName name="BEx9GUQALUWCD30UKUQGSWW8KBQ7" hidden="1">#REF!</definedName>
    <definedName name="BEx9GY6BVFQGCLMOWVT6PIC9WP5X" localSheetId="30" hidden="1">#REF!</definedName>
    <definedName name="BEx9GY6BVFQGCLMOWVT6PIC9WP5X" localSheetId="29" hidden="1">#REF!</definedName>
    <definedName name="BEx9GY6BVFQGCLMOWVT6PIC9WP5X" localSheetId="33" hidden="1">#REF!</definedName>
    <definedName name="BEx9GY6BVFQGCLMOWVT6PIC9WP5X" localSheetId="31" hidden="1">#REF!</definedName>
    <definedName name="BEx9GY6BVFQGCLMOWVT6PIC9WP5X" localSheetId="32" hidden="1">#REF!</definedName>
    <definedName name="BEx9GY6BVFQGCLMOWVT6PIC9WP5X" hidden="1">#REF!</definedName>
    <definedName name="BEx9GZ2P3FDHKXEBXX2VS0BG2NP2" localSheetId="30" hidden="1">#REF!</definedName>
    <definedName name="BEx9GZ2P3FDHKXEBXX2VS0BG2NP2" localSheetId="29" hidden="1">#REF!</definedName>
    <definedName name="BEx9GZ2P3FDHKXEBXX2VS0BG2NP2" localSheetId="33" hidden="1">#REF!</definedName>
    <definedName name="BEx9GZ2P3FDHKXEBXX2VS0BG2NP2" localSheetId="31" hidden="1">#REF!</definedName>
    <definedName name="BEx9GZ2P3FDHKXEBXX2VS0BG2NP2" localSheetId="32" hidden="1">#REF!</definedName>
    <definedName name="BEx9GZ2P3FDHKXEBXX2VS0BG2NP2" hidden="1">#REF!</definedName>
    <definedName name="BEx9H04IB14E1437FF2OIRRWBSD7" localSheetId="30" hidden="1">#REF!</definedName>
    <definedName name="BEx9H04IB14E1437FF2OIRRWBSD7" localSheetId="29" hidden="1">#REF!</definedName>
    <definedName name="BEx9H04IB14E1437FF2OIRRWBSD7" localSheetId="33" hidden="1">#REF!</definedName>
    <definedName name="BEx9H04IB14E1437FF2OIRRWBSD7" localSheetId="31" hidden="1">#REF!</definedName>
    <definedName name="BEx9H04IB14E1437FF2OIRRWBSD7" localSheetId="32" hidden="1">#REF!</definedName>
    <definedName name="BEx9H04IB14E1437FF2OIRRWBSD7" hidden="1">#REF!</definedName>
    <definedName name="BEx9H5O1KDZJCW91Q29VRPY5YS6P" localSheetId="30" hidden="1">#REF!</definedName>
    <definedName name="BEx9H5O1KDZJCW91Q29VRPY5YS6P" localSheetId="29" hidden="1">#REF!</definedName>
    <definedName name="BEx9H5O1KDZJCW91Q29VRPY5YS6P" localSheetId="33" hidden="1">#REF!</definedName>
    <definedName name="BEx9H5O1KDZJCW91Q29VRPY5YS6P" localSheetId="31" hidden="1">#REF!</definedName>
    <definedName name="BEx9H5O1KDZJCW91Q29VRPY5YS6P" localSheetId="32" hidden="1">#REF!</definedName>
    <definedName name="BEx9H5O1KDZJCW91Q29VRPY5YS6P" hidden="1">#REF!</definedName>
    <definedName name="BEx9H8YR0E906F1JXZMBX3LNT004" localSheetId="30" hidden="1">#REF!</definedName>
    <definedName name="BEx9H8YR0E906F1JXZMBX3LNT004" localSheetId="29" hidden="1">#REF!</definedName>
    <definedName name="BEx9H8YR0E906F1JXZMBX3LNT004" localSheetId="33" hidden="1">#REF!</definedName>
    <definedName name="BEx9H8YR0E906F1JXZMBX3LNT004" localSheetId="31" hidden="1">#REF!</definedName>
    <definedName name="BEx9H8YR0E906F1JXZMBX3LNT004" localSheetId="32" hidden="1">#REF!</definedName>
    <definedName name="BEx9H8YR0E906F1JXZMBX3LNT004" hidden="1">#REF!</definedName>
    <definedName name="BEx9I8XIG7E5NB48QQHXP23FIN60" localSheetId="30" hidden="1">#REF!</definedName>
    <definedName name="BEx9I8XIG7E5NB48QQHXP23FIN60" localSheetId="29" hidden="1">#REF!</definedName>
    <definedName name="BEx9I8XIG7E5NB48QQHXP23FIN60" localSheetId="33" hidden="1">#REF!</definedName>
    <definedName name="BEx9I8XIG7E5NB48QQHXP23FIN60" localSheetId="31" hidden="1">#REF!</definedName>
    <definedName name="BEx9I8XIG7E5NB48QQHXP23FIN60" localSheetId="32" hidden="1">#REF!</definedName>
    <definedName name="BEx9I8XIG7E5NB48QQHXP23FIN60" hidden="1">#REF!</definedName>
    <definedName name="BEx9IQRF01ATLVK0YE60ARKQJ68L" localSheetId="30" hidden="1">#REF!</definedName>
    <definedName name="BEx9IQRF01ATLVK0YE60ARKQJ68L" localSheetId="29" hidden="1">#REF!</definedName>
    <definedName name="BEx9IQRF01ATLVK0YE60ARKQJ68L" localSheetId="33" hidden="1">#REF!</definedName>
    <definedName name="BEx9IQRF01ATLVK0YE60ARKQJ68L" localSheetId="31" hidden="1">#REF!</definedName>
    <definedName name="BEx9IQRF01ATLVK0YE60ARKQJ68L" localSheetId="32" hidden="1">#REF!</definedName>
    <definedName name="BEx9IQRF01ATLVK0YE60ARKQJ68L" hidden="1">#REF!</definedName>
    <definedName name="BEx9IT5QNZWKM6YQ5WER0DC2PMMU" localSheetId="30" hidden="1">#REF!</definedName>
    <definedName name="BEx9IT5QNZWKM6YQ5WER0DC2PMMU" localSheetId="29" hidden="1">#REF!</definedName>
    <definedName name="BEx9IT5QNZWKM6YQ5WER0DC2PMMU" localSheetId="33" hidden="1">#REF!</definedName>
    <definedName name="BEx9IT5QNZWKM6YQ5WER0DC2PMMU" localSheetId="31" hidden="1">#REF!</definedName>
    <definedName name="BEx9IT5QNZWKM6YQ5WER0DC2PMMU" localSheetId="32" hidden="1">#REF!</definedName>
    <definedName name="BEx9IT5QNZWKM6YQ5WER0DC2PMMU" hidden="1">#REF!</definedName>
    <definedName name="BEx9IW5MFLXTVCJHVUZTUH93AXOS" localSheetId="30" hidden="1">#REF!</definedName>
    <definedName name="BEx9IW5MFLXTVCJHVUZTUH93AXOS" localSheetId="29" hidden="1">#REF!</definedName>
    <definedName name="BEx9IW5MFLXTVCJHVUZTUH93AXOS" localSheetId="33" hidden="1">#REF!</definedName>
    <definedName name="BEx9IW5MFLXTVCJHVUZTUH93AXOS" localSheetId="31" hidden="1">#REF!</definedName>
    <definedName name="BEx9IW5MFLXTVCJHVUZTUH93AXOS" localSheetId="32" hidden="1">#REF!</definedName>
    <definedName name="BEx9IW5MFLXTVCJHVUZTUH93AXOS" hidden="1">#REF!</definedName>
    <definedName name="BEx9IXCSPSZC80YZUPRCYTG326KV" localSheetId="30" hidden="1">#REF!</definedName>
    <definedName name="BEx9IXCSPSZC80YZUPRCYTG326KV" localSheetId="29" hidden="1">#REF!</definedName>
    <definedName name="BEx9IXCSPSZC80YZUPRCYTG326KV" localSheetId="33" hidden="1">#REF!</definedName>
    <definedName name="BEx9IXCSPSZC80YZUPRCYTG326KV" localSheetId="31" hidden="1">#REF!</definedName>
    <definedName name="BEx9IXCSPSZC80YZUPRCYTG326KV" localSheetId="32" hidden="1">#REF!</definedName>
    <definedName name="BEx9IXCSPSZC80YZUPRCYTG326KV" hidden="1">#REF!</definedName>
    <definedName name="BEx9IZR39NHDGOM97H4E6F81RTQW" localSheetId="30" hidden="1">#REF!</definedName>
    <definedName name="BEx9IZR39NHDGOM97H4E6F81RTQW" localSheetId="29" hidden="1">#REF!</definedName>
    <definedName name="BEx9IZR39NHDGOM97H4E6F81RTQW" localSheetId="33" hidden="1">#REF!</definedName>
    <definedName name="BEx9IZR39NHDGOM97H4E6F81RTQW" localSheetId="31" hidden="1">#REF!</definedName>
    <definedName name="BEx9IZR39NHDGOM97H4E6F81RTQW" localSheetId="32" hidden="1">#REF!</definedName>
    <definedName name="BEx9IZR39NHDGOM97H4E6F81RTQW" hidden="1">#REF!</definedName>
    <definedName name="BEx9J6CH5E7YZPER7HXEIOIKGPCA" localSheetId="30" hidden="1">#REF!</definedName>
    <definedName name="BEx9J6CH5E7YZPER7HXEIOIKGPCA" localSheetId="29" hidden="1">#REF!</definedName>
    <definedName name="BEx9J6CH5E7YZPER7HXEIOIKGPCA" localSheetId="33" hidden="1">#REF!</definedName>
    <definedName name="BEx9J6CH5E7YZPER7HXEIOIKGPCA" localSheetId="31" hidden="1">#REF!</definedName>
    <definedName name="BEx9J6CH5E7YZPER7HXEIOIKGPCA" localSheetId="32" hidden="1">#REF!</definedName>
    <definedName name="BEx9J6CH5E7YZPER7HXEIOIKGPCA" hidden="1">#REF!</definedName>
    <definedName name="BEx9JJTZKVUJAVPTRE0RAVTEH41G" localSheetId="30" hidden="1">#REF!</definedName>
    <definedName name="BEx9JJTZKVUJAVPTRE0RAVTEH41G" localSheetId="29" hidden="1">#REF!</definedName>
    <definedName name="BEx9JJTZKVUJAVPTRE0RAVTEH41G" localSheetId="33" hidden="1">#REF!</definedName>
    <definedName name="BEx9JJTZKVUJAVPTRE0RAVTEH41G" localSheetId="31" hidden="1">#REF!</definedName>
    <definedName name="BEx9JJTZKVUJAVPTRE0RAVTEH41G" localSheetId="32" hidden="1">#REF!</definedName>
    <definedName name="BEx9JJTZKVUJAVPTRE0RAVTEH41G" hidden="1">#REF!</definedName>
    <definedName name="BEx9JLBYK239B3F841C7YG1GT7ST" localSheetId="30" hidden="1">#REF!</definedName>
    <definedName name="BEx9JLBYK239B3F841C7YG1GT7ST" localSheetId="29" hidden="1">#REF!</definedName>
    <definedName name="BEx9JLBYK239B3F841C7YG1GT7ST" localSheetId="33" hidden="1">#REF!</definedName>
    <definedName name="BEx9JLBYK239B3F841C7YG1GT7ST" localSheetId="31" hidden="1">#REF!</definedName>
    <definedName name="BEx9JLBYK239B3F841C7YG1GT7ST" localSheetId="32" hidden="1">#REF!</definedName>
    <definedName name="BEx9JLBYK239B3F841C7YG1GT7ST" hidden="1">#REF!</definedName>
    <definedName name="BExAV8QT84AFHCB32UHLM1U7AZEC" localSheetId="30" hidden="1">#REF!</definedName>
    <definedName name="BExAV8QT84AFHCB32UHLM1U7AZEC" localSheetId="29" hidden="1">#REF!</definedName>
    <definedName name="BExAV8QT84AFHCB32UHLM1U7AZEC" localSheetId="33" hidden="1">#REF!</definedName>
    <definedName name="BExAV8QT84AFHCB32UHLM1U7AZEC" localSheetId="31" hidden="1">#REF!</definedName>
    <definedName name="BExAV8QT84AFHCB32UHLM1U7AZEC" localSheetId="32" hidden="1">#REF!</definedName>
    <definedName name="BExAV8QT84AFHCB32UHLM1U7AZEC" hidden="1">#REF!</definedName>
    <definedName name="BExAW4IIW5D0MDY6TJ3G4FOLPYIR" localSheetId="30" hidden="1">#REF!</definedName>
    <definedName name="BExAW4IIW5D0MDY6TJ3G4FOLPYIR" localSheetId="29" hidden="1">#REF!</definedName>
    <definedName name="BExAW4IIW5D0MDY6TJ3G4FOLPYIR" localSheetId="33" hidden="1">#REF!</definedName>
    <definedName name="BExAW4IIW5D0MDY6TJ3G4FOLPYIR" localSheetId="31" hidden="1">#REF!</definedName>
    <definedName name="BExAW4IIW5D0MDY6TJ3G4FOLPYIR" localSheetId="32" hidden="1">#REF!</definedName>
    <definedName name="BExAW4IIW5D0MDY6TJ3G4FOLPYIR" hidden="1">#REF!</definedName>
    <definedName name="BExAX410NB4F2XOB84OR2197H8M5" localSheetId="30" hidden="1">#REF!</definedName>
    <definedName name="BExAX410NB4F2XOB84OR2197H8M5" localSheetId="29" hidden="1">#REF!</definedName>
    <definedName name="BExAX410NB4F2XOB84OR2197H8M5" localSheetId="33" hidden="1">#REF!</definedName>
    <definedName name="BExAX410NB4F2XOB84OR2197H8M5" localSheetId="31" hidden="1">#REF!</definedName>
    <definedName name="BExAX410NB4F2XOB84OR2197H8M5" localSheetId="32" hidden="1">#REF!</definedName>
    <definedName name="BExAX410NB4F2XOB84OR2197H8M5" hidden="1">#REF!</definedName>
    <definedName name="BExAX8TNG8LQ5Q4904SAYQIPGBSV" localSheetId="30" hidden="1">#REF!</definedName>
    <definedName name="BExAX8TNG8LQ5Q4904SAYQIPGBSV" localSheetId="29" hidden="1">#REF!</definedName>
    <definedName name="BExAX8TNG8LQ5Q4904SAYQIPGBSV" localSheetId="33" hidden="1">#REF!</definedName>
    <definedName name="BExAX8TNG8LQ5Q4904SAYQIPGBSV" localSheetId="31" hidden="1">#REF!</definedName>
    <definedName name="BExAX8TNG8LQ5Q4904SAYQIPGBSV" localSheetId="32" hidden="1">#REF!</definedName>
    <definedName name="BExAX8TNG8LQ5Q4904SAYQIPGBSV" hidden="1">#REF!</definedName>
    <definedName name="BExAXVLO1F66KIHD2RW6LZT1PS8U" localSheetId="30" hidden="1">#REF!</definedName>
    <definedName name="BExAXVLO1F66KIHD2RW6LZT1PS8U" localSheetId="29" hidden="1">#REF!</definedName>
    <definedName name="BExAXVLO1F66KIHD2RW6LZT1PS8U" localSheetId="33" hidden="1">#REF!</definedName>
    <definedName name="BExAXVLO1F66KIHD2RW6LZT1PS8U" localSheetId="31" hidden="1">#REF!</definedName>
    <definedName name="BExAXVLO1F66KIHD2RW6LZT1PS8U" localSheetId="32" hidden="1">#REF!</definedName>
    <definedName name="BExAXVLO1F66KIHD2RW6LZT1PS8U" hidden="1">#REF!</definedName>
    <definedName name="BExAY0EAT2LXR5MFGM0DLIB45PLO" localSheetId="30" hidden="1">#REF!</definedName>
    <definedName name="BExAY0EAT2LXR5MFGM0DLIB45PLO" localSheetId="29" hidden="1">#REF!</definedName>
    <definedName name="BExAY0EAT2LXR5MFGM0DLIB45PLO" localSheetId="33" hidden="1">#REF!</definedName>
    <definedName name="BExAY0EAT2LXR5MFGM0DLIB45PLO" localSheetId="31" hidden="1">#REF!</definedName>
    <definedName name="BExAY0EAT2LXR5MFGM0DLIB45PLO" localSheetId="32" hidden="1">#REF!</definedName>
    <definedName name="BExAY0EAT2LXR5MFGM0DLIB45PLO" hidden="1">#REF!</definedName>
    <definedName name="BExAYE6LNIEBR9DSNI5JGNITGKIT" localSheetId="30" hidden="1">#REF!</definedName>
    <definedName name="BExAYE6LNIEBR9DSNI5JGNITGKIT" localSheetId="29" hidden="1">#REF!</definedName>
    <definedName name="BExAYE6LNIEBR9DSNI5JGNITGKIT" localSheetId="33" hidden="1">#REF!</definedName>
    <definedName name="BExAYE6LNIEBR9DSNI5JGNITGKIT" localSheetId="31" hidden="1">#REF!</definedName>
    <definedName name="BExAYE6LNIEBR9DSNI5JGNITGKIT" localSheetId="32" hidden="1">#REF!</definedName>
    <definedName name="BExAYE6LNIEBR9DSNI5JGNITGKIT" hidden="1">#REF!</definedName>
    <definedName name="BExAYHMLXGGO25P8HYB2S75DEB4F" localSheetId="30" hidden="1">#REF!</definedName>
    <definedName name="BExAYHMLXGGO25P8HYB2S75DEB4F" localSheetId="29" hidden="1">#REF!</definedName>
    <definedName name="BExAYHMLXGGO25P8HYB2S75DEB4F" localSheetId="33" hidden="1">#REF!</definedName>
    <definedName name="BExAYHMLXGGO25P8HYB2S75DEB4F" localSheetId="31" hidden="1">#REF!</definedName>
    <definedName name="BExAYHMLXGGO25P8HYB2S75DEB4F" localSheetId="32" hidden="1">#REF!</definedName>
    <definedName name="BExAYHMLXGGO25P8HYB2S75DEB4F" hidden="1">#REF!</definedName>
    <definedName name="BExAYKXAUWGDOPG952TEJ2UKZKWN" localSheetId="30" hidden="1">#REF!</definedName>
    <definedName name="BExAYKXAUWGDOPG952TEJ2UKZKWN" localSheetId="29" hidden="1">#REF!</definedName>
    <definedName name="BExAYKXAUWGDOPG952TEJ2UKZKWN" localSheetId="33" hidden="1">#REF!</definedName>
    <definedName name="BExAYKXAUWGDOPG952TEJ2UKZKWN" localSheetId="31" hidden="1">#REF!</definedName>
    <definedName name="BExAYKXAUWGDOPG952TEJ2UKZKWN" localSheetId="32" hidden="1">#REF!</definedName>
    <definedName name="BExAYKXAUWGDOPG952TEJ2UKZKWN" hidden="1">#REF!</definedName>
    <definedName name="BExAYP9TDTI2MBP6EYE0H39CPMXN" localSheetId="30" hidden="1">#REF!</definedName>
    <definedName name="BExAYP9TDTI2MBP6EYE0H39CPMXN" localSheetId="29" hidden="1">#REF!</definedName>
    <definedName name="BExAYP9TDTI2MBP6EYE0H39CPMXN" localSheetId="33" hidden="1">#REF!</definedName>
    <definedName name="BExAYP9TDTI2MBP6EYE0H39CPMXN" localSheetId="31" hidden="1">#REF!</definedName>
    <definedName name="BExAYP9TDTI2MBP6EYE0H39CPMXN" localSheetId="32" hidden="1">#REF!</definedName>
    <definedName name="BExAYP9TDTI2MBP6EYE0H39CPMXN" hidden="1">#REF!</definedName>
    <definedName name="BExAYPPWJPWDKU59O051WMGB7O0J" localSheetId="30" hidden="1">#REF!</definedName>
    <definedName name="BExAYPPWJPWDKU59O051WMGB7O0J" localSheetId="29" hidden="1">#REF!</definedName>
    <definedName name="BExAYPPWJPWDKU59O051WMGB7O0J" localSheetId="33" hidden="1">#REF!</definedName>
    <definedName name="BExAYPPWJPWDKU59O051WMGB7O0J" localSheetId="31" hidden="1">#REF!</definedName>
    <definedName name="BExAYPPWJPWDKU59O051WMGB7O0J" localSheetId="32" hidden="1">#REF!</definedName>
    <definedName name="BExAYPPWJPWDKU59O051WMGB7O0J" hidden="1">#REF!</definedName>
    <definedName name="BExAYR2JZCJBUH6F1LZC2A7JIVRJ" localSheetId="30" hidden="1">#REF!</definedName>
    <definedName name="BExAYR2JZCJBUH6F1LZC2A7JIVRJ" localSheetId="29" hidden="1">#REF!</definedName>
    <definedName name="BExAYR2JZCJBUH6F1LZC2A7JIVRJ" localSheetId="33" hidden="1">#REF!</definedName>
    <definedName name="BExAYR2JZCJBUH6F1LZC2A7JIVRJ" localSheetId="31" hidden="1">#REF!</definedName>
    <definedName name="BExAYR2JZCJBUH6F1LZC2A7JIVRJ" localSheetId="32" hidden="1">#REF!</definedName>
    <definedName name="BExAYR2JZCJBUH6F1LZC2A7JIVRJ" hidden="1">#REF!</definedName>
    <definedName name="BExAYTGVRD3DLKO75RFPMBKCIWB8" localSheetId="30" hidden="1">#REF!</definedName>
    <definedName name="BExAYTGVRD3DLKO75RFPMBKCIWB8" localSheetId="29" hidden="1">#REF!</definedName>
    <definedName name="BExAYTGVRD3DLKO75RFPMBKCIWB8" localSheetId="33" hidden="1">#REF!</definedName>
    <definedName name="BExAYTGVRD3DLKO75RFPMBKCIWB8" localSheetId="31" hidden="1">#REF!</definedName>
    <definedName name="BExAYTGVRD3DLKO75RFPMBKCIWB8" localSheetId="32" hidden="1">#REF!</definedName>
    <definedName name="BExAYTGVRD3DLKO75RFPMBKCIWB8" hidden="1">#REF!</definedName>
    <definedName name="BExAYY9H9COOT46HJLPVDLTO12UL" localSheetId="30" hidden="1">#REF!</definedName>
    <definedName name="BExAYY9H9COOT46HJLPVDLTO12UL" localSheetId="29" hidden="1">#REF!</definedName>
    <definedName name="BExAYY9H9COOT46HJLPVDLTO12UL" localSheetId="33" hidden="1">#REF!</definedName>
    <definedName name="BExAYY9H9COOT46HJLPVDLTO12UL" localSheetId="31" hidden="1">#REF!</definedName>
    <definedName name="BExAYY9H9COOT46HJLPVDLTO12UL" localSheetId="32" hidden="1">#REF!</definedName>
    <definedName name="BExAYY9H9COOT46HJLPVDLTO12UL" hidden="1">#REF!</definedName>
    <definedName name="BExAZ85JO8SRDX3O1APDG5JILCIH" localSheetId="30" hidden="1">#REF!</definedName>
    <definedName name="BExAZ85JO8SRDX3O1APDG5JILCIH" localSheetId="29" hidden="1">#REF!</definedName>
    <definedName name="BExAZ85JO8SRDX3O1APDG5JILCIH" localSheetId="33" hidden="1">#REF!</definedName>
    <definedName name="BExAZ85JO8SRDX3O1APDG5JILCIH" localSheetId="31" hidden="1">#REF!</definedName>
    <definedName name="BExAZ85JO8SRDX3O1APDG5JILCIH" localSheetId="32" hidden="1">#REF!</definedName>
    <definedName name="BExAZ85JO8SRDX3O1APDG5JILCIH" hidden="1">#REF!</definedName>
    <definedName name="BExAZCNEGB4JYHC8CZ51KTN890US" localSheetId="30" hidden="1">#REF!</definedName>
    <definedName name="BExAZCNEGB4JYHC8CZ51KTN890US" localSheetId="29" hidden="1">#REF!</definedName>
    <definedName name="BExAZCNEGB4JYHC8CZ51KTN890US" localSheetId="33" hidden="1">#REF!</definedName>
    <definedName name="BExAZCNEGB4JYHC8CZ51KTN890US" localSheetId="31" hidden="1">#REF!</definedName>
    <definedName name="BExAZCNEGB4JYHC8CZ51KTN890US" localSheetId="32" hidden="1">#REF!</definedName>
    <definedName name="BExAZCNEGB4JYHC8CZ51KTN890US" hidden="1">#REF!</definedName>
    <definedName name="BExAZFCI302YFYRDJYQDWQQL0Q0O" localSheetId="30" hidden="1">#REF!</definedName>
    <definedName name="BExAZFCI302YFYRDJYQDWQQL0Q0O" localSheetId="29" hidden="1">#REF!</definedName>
    <definedName name="BExAZFCI302YFYRDJYQDWQQL0Q0O" localSheetId="33" hidden="1">#REF!</definedName>
    <definedName name="BExAZFCI302YFYRDJYQDWQQL0Q0O" localSheetId="31" hidden="1">#REF!</definedName>
    <definedName name="BExAZFCI302YFYRDJYQDWQQL0Q0O" localSheetId="32" hidden="1">#REF!</definedName>
    <definedName name="BExAZFCI302YFYRDJYQDWQQL0Q0O" hidden="1">#REF!</definedName>
    <definedName name="BExAZL1JPQVHHMW6C1RPX0C9G0NX" localSheetId="30" hidden="1">#REF!</definedName>
    <definedName name="BExAZL1JPQVHHMW6C1RPX0C9G0NX" localSheetId="29" hidden="1">#REF!</definedName>
    <definedName name="BExAZL1JPQVHHMW6C1RPX0C9G0NX" localSheetId="33" hidden="1">#REF!</definedName>
    <definedName name="BExAZL1JPQVHHMW6C1RPX0C9G0NX" localSheetId="31" hidden="1">#REF!</definedName>
    <definedName name="BExAZL1JPQVHHMW6C1RPX0C9G0NX" localSheetId="32" hidden="1">#REF!</definedName>
    <definedName name="BExAZL1JPQVHHMW6C1RPX0C9G0NX" hidden="1">#REF!</definedName>
    <definedName name="BExAZLHLST9OP89R1HJMC1POQG8H" localSheetId="30" hidden="1">#REF!</definedName>
    <definedName name="BExAZLHLST9OP89R1HJMC1POQG8H" localSheetId="29" hidden="1">#REF!</definedName>
    <definedName name="BExAZLHLST9OP89R1HJMC1POQG8H" localSheetId="33" hidden="1">#REF!</definedName>
    <definedName name="BExAZLHLST9OP89R1HJMC1POQG8H" localSheetId="31" hidden="1">#REF!</definedName>
    <definedName name="BExAZLHLST9OP89R1HJMC1POQG8H" localSheetId="32" hidden="1">#REF!</definedName>
    <definedName name="BExAZLHLST9OP89R1HJMC1POQG8H" hidden="1">#REF!</definedName>
    <definedName name="BExAZMDYMIAA7RX1BMCKU1VLBRGY" localSheetId="30" hidden="1">#REF!</definedName>
    <definedName name="BExAZMDYMIAA7RX1BMCKU1VLBRGY" localSheetId="29" hidden="1">#REF!</definedName>
    <definedName name="BExAZMDYMIAA7RX1BMCKU1VLBRGY" localSheetId="33" hidden="1">#REF!</definedName>
    <definedName name="BExAZMDYMIAA7RX1BMCKU1VLBRGY" localSheetId="31" hidden="1">#REF!</definedName>
    <definedName name="BExAZMDYMIAA7RX1BMCKU1VLBRGY" localSheetId="32" hidden="1">#REF!</definedName>
    <definedName name="BExAZMDYMIAA7RX1BMCKU1VLBRGY" hidden="1">#REF!</definedName>
    <definedName name="BExAZNL6BHI8DCQWXOX4I2P839UX" localSheetId="30" hidden="1">#REF!</definedName>
    <definedName name="BExAZNL6BHI8DCQWXOX4I2P839UX" localSheetId="29" hidden="1">#REF!</definedName>
    <definedName name="BExAZNL6BHI8DCQWXOX4I2P839UX" localSheetId="33" hidden="1">#REF!</definedName>
    <definedName name="BExAZNL6BHI8DCQWXOX4I2P839UX" localSheetId="31" hidden="1">#REF!</definedName>
    <definedName name="BExAZNL6BHI8DCQWXOX4I2P839UX" localSheetId="32" hidden="1">#REF!</definedName>
    <definedName name="BExAZNL6BHI8DCQWXOX4I2P839UX" hidden="1">#REF!</definedName>
    <definedName name="BExAZRMWSONMCG9KDUM4KAQ7BONM" localSheetId="30" hidden="1">#REF!</definedName>
    <definedName name="BExAZRMWSONMCG9KDUM4KAQ7BONM" localSheetId="29" hidden="1">#REF!</definedName>
    <definedName name="BExAZRMWSONMCG9KDUM4KAQ7BONM" localSheetId="33" hidden="1">#REF!</definedName>
    <definedName name="BExAZRMWSONMCG9KDUM4KAQ7BONM" localSheetId="31" hidden="1">#REF!</definedName>
    <definedName name="BExAZRMWSONMCG9KDUM4KAQ7BONM" localSheetId="32" hidden="1">#REF!</definedName>
    <definedName name="BExAZRMWSONMCG9KDUM4KAQ7BONM" hidden="1">#REF!</definedName>
    <definedName name="BExAZTFG4SJRG4TW6JXRF7N08JFI" localSheetId="30" hidden="1">#REF!</definedName>
    <definedName name="BExAZTFG4SJRG4TW6JXRF7N08JFI" localSheetId="29" hidden="1">#REF!</definedName>
    <definedName name="BExAZTFG4SJRG4TW6JXRF7N08JFI" localSheetId="33" hidden="1">#REF!</definedName>
    <definedName name="BExAZTFG4SJRG4TW6JXRF7N08JFI" localSheetId="31" hidden="1">#REF!</definedName>
    <definedName name="BExAZTFG4SJRG4TW6JXRF7N08JFI" localSheetId="32" hidden="1">#REF!</definedName>
    <definedName name="BExAZTFG4SJRG4TW6JXRF7N08JFI" hidden="1">#REF!</definedName>
    <definedName name="BExAZUS4A8OHDZK0MWAOCCCKTH73" localSheetId="30" hidden="1">#REF!</definedName>
    <definedName name="BExAZUS4A8OHDZK0MWAOCCCKTH73" localSheetId="29" hidden="1">#REF!</definedName>
    <definedName name="BExAZUS4A8OHDZK0MWAOCCCKTH73" localSheetId="33" hidden="1">#REF!</definedName>
    <definedName name="BExAZUS4A8OHDZK0MWAOCCCKTH73" localSheetId="31" hidden="1">#REF!</definedName>
    <definedName name="BExAZUS4A8OHDZK0MWAOCCCKTH73" localSheetId="32" hidden="1">#REF!</definedName>
    <definedName name="BExAZUS4A8OHDZK0MWAOCCCKTH73" hidden="1">#REF!</definedName>
    <definedName name="BExAZX6FECVK3E07KXM2XPYKGM6U" localSheetId="30" hidden="1">#REF!</definedName>
    <definedName name="BExAZX6FECVK3E07KXM2XPYKGM6U" localSheetId="29" hidden="1">#REF!</definedName>
    <definedName name="BExAZX6FECVK3E07KXM2XPYKGM6U" localSheetId="33" hidden="1">#REF!</definedName>
    <definedName name="BExAZX6FECVK3E07KXM2XPYKGM6U" localSheetId="31" hidden="1">#REF!</definedName>
    <definedName name="BExAZX6FECVK3E07KXM2XPYKGM6U" localSheetId="32" hidden="1">#REF!</definedName>
    <definedName name="BExAZX6FECVK3E07KXM2XPYKGM6U" hidden="1">#REF!</definedName>
    <definedName name="BExB012NJ8GASTNNPBRRFTLHIOC9" localSheetId="30" hidden="1">#REF!</definedName>
    <definedName name="BExB012NJ8GASTNNPBRRFTLHIOC9" localSheetId="29" hidden="1">#REF!</definedName>
    <definedName name="BExB012NJ8GASTNNPBRRFTLHIOC9" localSheetId="33" hidden="1">#REF!</definedName>
    <definedName name="BExB012NJ8GASTNNPBRRFTLHIOC9" localSheetId="31" hidden="1">#REF!</definedName>
    <definedName name="BExB012NJ8GASTNNPBRRFTLHIOC9" localSheetId="32" hidden="1">#REF!</definedName>
    <definedName name="BExB012NJ8GASTNNPBRRFTLHIOC9" hidden="1">#REF!</definedName>
    <definedName name="BExB072HHXVMUC0VYNGG48GRSH5Q" localSheetId="30" hidden="1">#REF!</definedName>
    <definedName name="BExB072HHXVMUC0VYNGG48GRSH5Q" localSheetId="29" hidden="1">#REF!</definedName>
    <definedName name="BExB072HHXVMUC0VYNGG48GRSH5Q" localSheetId="33" hidden="1">#REF!</definedName>
    <definedName name="BExB072HHXVMUC0VYNGG48GRSH5Q" localSheetId="31" hidden="1">#REF!</definedName>
    <definedName name="BExB072HHXVMUC0VYNGG48GRSH5Q" localSheetId="32" hidden="1">#REF!</definedName>
    <definedName name="BExB072HHXVMUC0VYNGG48GRSH5Q" hidden="1">#REF!</definedName>
    <definedName name="BExB0FRDEYDEUEAB1W8KD6D965XA" localSheetId="30" hidden="1">#REF!</definedName>
    <definedName name="BExB0FRDEYDEUEAB1W8KD6D965XA" localSheetId="29" hidden="1">#REF!</definedName>
    <definedName name="BExB0FRDEYDEUEAB1W8KD6D965XA" localSheetId="33" hidden="1">#REF!</definedName>
    <definedName name="BExB0FRDEYDEUEAB1W8KD6D965XA" localSheetId="31" hidden="1">#REF!</definedName>
    <definedName name="BExB0FRDEYDEUEAB1W8KD6D965XA" localSheetId="32" hidden="1">#REF!</definedName>
    <definedName name="BExB0FRDEYDEUEAB1W8KD6D965XA" hidden="1">#REF!</definedName>
    <definedName name="BExB0KPCN7YJORQAYUCF4YKIKPMC" localSheetId="30" hidden="1">#REF!</definedName>
    <definedName name="BExB0KPCN7YJORQAYUCF4YKIKPMC" localSheetId="29" hidden="1">#REF!</definedName>
    <definedName name="BExB0KPCN7YJORQAYUCF4YKIKPMC" localSheetId="33" hidden="1">#REF!</definedName>
    <definedName name="BExB0KPCN7YJORQAYUCF4YKIKPMC" localSheetId="31" hidden="1">#REF!</definedName>
    <definedName name="BExB0KPCN7YJORQAYUCF4YKIKPMC" localSheetId="32" hidden="1">#REF!</definedName>
    <definedName name="BExB0KPCN7YJORQAYUCF4YKIKPMC" hidden="1">#REF!</definedName>
    <definedName name="BExB0WE4PI3NOBXXVO9CTEN4DIU2" localSheetId="30" hidden="1">#REF!</definedName>
    <definedName name="BExB0WE4PI3NOBXXVO9CTEN4DIU2" localSheetId="29" hidden="1">#REF!</definedName>
    <definedName name="BExB0WE4PI3NOBXXVO9CTEN4DIU2" localSheetId="33" hidden="1">#REF!</definedName>
    <definedName name="BExB0WE4PI3NOBXXVO9CTEN4DIU2" localSheetId="31" hidden="1">#REF!</definedName>
    <definedName name="BExB0WE4PI3NOBXXVO9CTEN4DIU2" localSheetId="32" hidden="1">#REF!</definedName>
    <definedName name="BExB0WE4PI3NOBXXVO9CTEN4DIU2" hidden="1">#REF!</definedName>
    <definedName name="BExB10QNIVITUYS55OAEKK3VLJFE" localSheetId="30" hidden="1">#REF!</definedName>
    <definedName name="BExB10QNIVITUYS55OAEKK3VLJFE" localSheetId="29" hidden="1">#REF!</definedName>
    <definedName name="BExB10QNIVITUYS55OAEKK3VLJFE" localSheetId="33" hidden="1">#REF!</definedName>
    <definedName name="BExB10QNIVITUYS55OAEKK3VLJFE" localSheetId="31" hidden="1">#REF!</definedName>
    <definedName name="BExB10QNIVITUYS55OAEKK3VLJFE" localSheetId="32" hidden="1">#REF!</definedName>
    <definedName name="BExB10QNIVITUYS55OAEKK3VLJFE" hidden="1">#REF!</definedName>
    <definedName name="BExB15ZDRY4CIJ911DONP0KCY9KU" localSheetId="30" hidden="1">#REF!</definedName>
    <definedName name="BExB15ZDRY4CIJ911DONP0KCY9KU" localSheetId="29" hidden="1">#REF!</definedName>
    <definedName name="BExB15ZDRY4CIJ911DONP0KCY9KU" localSheetId="33" hidden="1">#REF!</definedName>
    <definedName name="BExB15ZDRY4CIJ911DONP0KCY9KU" localSheetId="31" hidden="1">#REF!</definedName>
    <definedName name="BExB15ZDRY4CIJ911DONP0KCY9KU" localSheetId="32" hidden="1">#REF!</definedName>
    <definedName name="BExB15ZDRY4CIJ911DONP0KCY9KU" hidden="1">#REF!</definedName>
    <definedName name="BExB16VQY0O0RLZYJFU3OFEONVTE" localSheetId="30" hidden="1">#REF!</definedName>
    <definedName name="BExB16VQY0O0RLZYJFU3OFEONVTE" localSheetId="29" hidden="1">#REF!</definedName>
    <definedName name="BExB16VQY0O0RLZYJFU3OFEONVTE" localSheetId="33" hidden="1">#REF!</definedName>
    <definedName name="BExB16VQY0O0RLZYJFU3OFEONVTE" localSheetId="31" hidden="1">#REF!</definedName>
    <definedName name="BExB16VQY0O0RLZYJFU3OFEONVTE" localSheetId="32" hidden="1">#REF!</definedName>
    <definedName name="BExB16VQY0O0RLZYJFU3OFEONVTE" hidden="1">#REF!</definedName>
    <definedName name="BExB1FKNY2UO4W5FUGFHJOA2WFGG" localSheetId="30" hidden="1">#REF!</definedName>
    <definedName name="BExB1FKNY2UO4W5FUGFHJOA2WFGG" localSheetId="29" hidden="1">#REF!</definedName>
    <definedName name="BExB1FKNY2UO4W5FUGFHJOA2WFGG" localSheetId="33" hidden="1">#REF!</definedName>
    <definedName name="BExB1FKNY2UO4W5FUGFHJOA2WFGG" localSheetId="31" hidden="1">#REF!</definedName>
    <definedName name="BExB1FKNY2UO4W5FUGFHJOA2WFGG" localSheetId="32" hidden="1">#REF!</definedName>
    <definedName name="BExB1FKNY2UO4W5FUGFHJOA2WFGG" hidden="1">#REF!</definedName>
    <definedName name="BExB1GMD0PIDGTFBGQOPRWQSP9I4" localSheetId="30" hidden="1">#REF!</definedName>
    <definedName name="BExB1GMD0PIDGTFBGQOPRWQSP9I4" localSheetId="29" hidden="1">#REF!</definedName>
    <definedName name="BExB1GMD0PIDGTFBGQOPRWQSP9I4" localSheetId="33" hidden="1">#REF!</definedName>
    <definedName name="BExB1GMD0PIDGTFBGQOPRWQSP9I4" localSheetId="31" hidden="1">#REF!</definedName>
    <definedName name="BExB1GMD0PIDGTFBGQOPRWQSP9I4" localSheetId="32" hidden="1">#REF!</definedName>
    <definedName name="BExB1GMD0PIDGTFBGQOPRWQSP9I4" hidden="1">#REF!</definedName>
    <definedName name="BExB1Q29OO6LNFNT1EQLA3KYE7MX" localSheetId="30" hidden="1">#REF!</definedName>
    <definedName name="BExB1Q29OO6LNFNT1EQLA3KYE7MX" localSheetId="29" hidden="1">#REF!</definedName>
    <definedName name="BExB1Q29OO6LNFNT1EQLA3KYE7MX" localSheetId="33" hidden="1">#REF!</definedName>
    <definedName name="BExB1Q29OO6LNFNT1EQLA3KYE7MX" localSheetId="31" hidden="1">#REF!</definedName>
    <definedName name="BExB1Q29OO6LNFNT1EQLA3KYE7MX" localSheetId="32" hidden="1">#REF!</definedName>
    <definedName name="BExB1Q29OO6LNFNT1EQLA3KYE7MX" hidden="1">#REF!</definedName>
    <definedName name="BExB1TNRV5EBWZEHYLHI76T0FVA7" localSheetId="30" hidden="1">#REF!</definedName>
    <definedName name="BExB1TNRV5EBWZEHYLHI76T0FVA7" localSheetId="29" hidden="1">#REF!</definedName>
    <definedName name="BExB1TNRV5EBWZEHYLHI76T0FVA7" localSheetId="33" hidden="1">#REF!</definedName>
    <definedName name="BExB1TNRV5EBWZEHYLHI76T0FVA7" localSheetId="31" hidden="1">#REF!</definedName>
    <definedName name="BExB1TNRV5EBWZEHYLHI76T0FVA7" localSheetId="32" hidden="1">#REF!</definedName>
    <definedName name="BExB1TNRV5EBWZEHYLHI76T0FVA7" hidden="1">#REF!</definedName>
    <definedName name="BExB1WI6M8I0EEP1ANUQZCFY24EV" localSheetId="30" hidden="1">#REF!</definedName>
    <definedName name="BExB1WI6M8I0EEP1ANUQZCFY24EV" localSheetId="29" hidden="1">#REF!</definedName>
    <definedName name="BExB1WI6M8I0EEP1ANUQZCFY24EV" localSheetId="33" hidden="1">#REF!</definedName>
    <definedName name="BExB1WI6M8I0EEP1ANUQZCFY24EV" localSheetId="31" hidden="1">#REF!</definedName>
    <definedName name="BExB1WI6M8I0EEP1ANUQZCFY24EV" localSheetId="32" hidden="1">#REF!</definedName>
    <definedName name="BExB1WI6M8I0EEP1ANUQZCFY24EV" hidden="1">#REF!</definedName>
    <definedName name="BExB203OWC9QZA3BYOKQ18L4FUJE" localSheetId="30" hidden="1">#REF!</definedName>
    <definedName name="BExB203OWC9QZA3BYOKQ18L4FUJE" localSheetId="29" hidden="1">#REF!</definedName>
    <definedName name="BExB203OWC9QZA3BYOKQ18L4FUJE" localSheetId="33" hidden="1">#REF!</definedName>
    <definedName name="BExB203OWC9QZA3BYOKQ18L4FUJE" localSheetId="31" hidden="1">#REF!</definedName>
    <definedName name="BExB203OWC9QZA3BYOKQ18L4FUJE" localSheetId="32" hidden="1">#REF!</definedName>
    <definedName name="BExB203OWC9QZA3BYOKQ18L4FUJE" hidden="1">#REF!</definedName>
    <definedName name="BExB22HZS4VVM6WUWSG1T5TVD5HM" localSheetId="30" hidden="1">#REF!</definedName>
    <definedName name="BExB22HZS4VVM6WUWSG1T5TVD5HM" localSheetId="29" hidden="1">#REF!</definedName>
    <definedName name="BExB22HZS4VVM6WUWSG1T5TVD5HM" localSheetId="33" hidden="1">#REF!</definedName>
    <definedName name="BExB22HZS4VVM6WUWSG1T5TVD5HM" localSheetId="31" hidden="1">#REF!</definedName>
    <definedName name="BExB22HZS4VVM6WUWSG1T5TVD5HM" localSheetId="32" hidden="1">#REF!</definedName>
    <definedName name="BExB22HZS4VVM6WUWSG1T5TVD5HM" hidden="1">#REF!</definedName>
    <definedName name="BExB27W7HB5F21RZV35KA3M9VORS" localSheetId="30" hidden="1">#REF!</definedName>
    <definedName name="BExB27W7HB5F21RZV35KA3M9VORS" localSheetId="29" hidden="1">#REF!</definedName>
    <definedName name="BExB27W7HB5F21RZV35KA3M9VORS" localSheetId="33" hidden="1">#REF!</definedName>
    <definedName name="BExB27W7HB5F21RZV35KA3M9VORS" localSheetId="31" hidden="1">#REF!</definedName>
    <definedName name="BExB27W7HB5F21RZV35KA3M9VORS" localSheetId="32" hidden="1">#REF!</definedName>
    <definedName name="BExB27W7HB5F21RZV35KA3M9VORS" hidden="1">#REF!</definedName>
    <definedName name="BExB293DKW3C7034DNDZ93EGBZIS" localSheetId="30" hidden="1">#REF!</definedName>
    <definedName name="BExB293DKW3C7034DNDZ93EGBZIS" localSheetId="29" hidden="1">#REF!</definedName>
    <definedName name="BExB293DKW3C7034DNDZ93EGBZIS" localSheetId="33" hidden="1">#REF!</definedName>
    <definedName name="BExB293DKW3C7034DNDZ93EGBZIS" localSheetId="31" hidden="1">#REF!</definedName>
    <definedName name="BExB293DKW3C7034DNDZ93EGBZIS" localSheetId="32" hidden="1">#REF!</definedName>
    <definedName name="BExB293DKW3C7034DNDZ93EGBZIS" hidden="1">#REF!</definedName>
    <definedName name="BExB2CJHTU7C591BR4WRL5L2F2K6" localSheetId="30" hidden="1">#REF!</definedName>
    <definedName name="BExB2CJHTU7C591BR4WRL5L2F2K6" localSheetId="29" hidden="1">#REF!</definedName>
    <definedName name="BExB2CJHTU7C591BR4WRL5L2F2K6" localSheetId="33" hidden="1">#REF!</definedName>
    <definedName name="BExB2CJHTU7C591BR4WRL5L2F2K6" localSheetId="31" hidden="1">#REF!</definedName>
    <definedName name="BExB2CJHTU7C591BR4WRL5L2F2K6" localSheetId="32" hidden="1">#REF!</definedName>
    <definedName name="BExB2CJHTU7C591BR4WRL5L2F2K6" hidden="1">#REF!</definedName>
    <definedName name="BExB2K1AV4PGNS1O6C7D7AO411AX" localSheetId="30" hidden="1">#REF!</definedName>
    <definedName name="BExB2K1AV4PGNS1O6C7D7AO411AX" localSheetId="29" hidden="1">#REF!</definedName>
    <definedName name="BExB2K1AV4PGNS1O6C7D7AO411AX" localSheetId="33" hidden="1">#REF!</definedName>
    <definedName name="BExB2K1AV4PGNS1O6C7D7AO411AX" localSheetId="31" hidden="1">#REF!</definedName>
    <definedName name="BExB2K1AV4PGNS1O6C7D7AO411AX" localSheetId="32" hidden="1">#REF!</definedName>
    <definedName name="BExB2K1AV4PGNS1O6C7D7AO411AX" hidden="1">#REF!</definedName>
    <definedName name="BExB2O2UYHKI324YE324E1N7FVIB" localSheetId="30" hidden="1">#REF!</definedName>
    <definedName name="BExB2O2UYHKI324YE324E1N7FVIB" localSheetId="29" hidden="1">#REF!</definedName>
    <definedName name="BExB2O2UYHKI324YE324E1N7FVIB" localSheetId="33" hidden="1">#REF!</definedName>
    <definedName name="BExB2O2UYHKI324YE324E1N7FVIB" localSheetId="31" hidden="1">#REF!</definedName>
    <definedName name="BExB2O2UYHKI324YE324E1N7FVIB" localSheetId="32" hidden="1">#REF!</definedName>
    <definedName name="BExB2O2UYHKI324YE324E1N7FVIB" hidden="1">#REF!</definedName>
    <definedName name="BExB2Q0VJ0MU2URO3JOVUAVHEI3V" localSheetId="30" hidden="1">#REF!</definedName>
    <definedName name="BExB2Q0VJ0MU2URO3JOVUAVHEI3V" localSheetId="29" hidden="1">#REF!</definedName>
    <definedName name="BExB2Q0VJ0MU2URO3JOVUAVHEI3V" localSheetId="33" hidden="1">#REF!</definedName>
    <definedName name="BExB2Q0VJ0MU2URO3JOVUAVHEI3V" localSheetId="31" hidden="1">#REF!</definedName>
    <definedName name="BExB2Q0VJ0MU2URO3JOVUAVHEI3V" localSheetId="32" hidden="1">#REF!</definedName>
    <definedName name="BExB2Q0VJ0MU2URO3JOVUAVHEI3V" hidden="1">#REF!</definedName>
    <definedName name="BExB30IP1DNKNQ6PZ5ERUGR5MK4Z" localSheetId="30" hidden="1">#REF!</definedName>
    <definedName name="BExB30IP1DNKNQ6PZ5ERUGR5MK4Z" localSheetId="29" hidden="1">#REF!</definedName>
    <definedName name="BExB30IP1DNKNQ6PZ5ERUGR5MK4Z" localSheetId="33" hidden="1">#REF!</definedName>
    <definedName name="BExB30IP1DNKNQ6PZ5ERUGR5MK4Z" localSheetId="31" hidden="1">#REF!</definedName>
    <definedName name="BExB30IP1DNKNQ6PZ5ERUGR5MK4Z" localSheetId="32" hidden="1">#REF!</definedName>
    <definedName name="BExB30IP1DNKNQ6PZ5ERUGR5MK4Z" hidden="1">#REF!</definedName>
    <definedName name="BExB442RX0T3L6HUL6X5T21CENW6" localSheetId="30" hidden="1">#REF!</definedName>
    <definedName name="BExB442RX0T3L6HUL6X5T21CENW6" localSheetId="29" hidden="1">#REF!</definedName>
    <definedName name="BExB442RX0T3L6HUL6X5T21CENW6" localSheetId="33" hidden="1">#REF!</definedName>
    <definedName name="BExB442RX0T3L6HUL6X5T21CENW6" localSheetId="31" hidden="1">#REF!</definedName>
    <definedName name="BExB442RX0T3L6HUL6X5T21CENW6" localSheetId="32" hidden="1">#REF!</definedName>
    <definedName name="BExB442RX0T3L6HUL6X5T21CENW6" hidden="1">#REF!</definedName>
    <definedName name="BExB4ADD0L7417CII901XTFKXD1J" localSheetId="30" hidden="1">#REF!</definedName>
    <definedName name="BExB4ADD0L7417CII901XTFKXD1J" localSheetId="29" hidden="1">#REF!</definedName>
    <definedName name="BExB4ADD0L7417CII901XTFKXD1J" localSheetId="33" hidden="1">#REF!</definedName>
    <definedName name="BExB4ADD0L7417CII901XTFKXD1J" localSheetId="31" hidden="1">#REF!</definedName>
    <definedName name="BExB4ADD0L7417CII901XTFKXD1J" localSheetId="32" hidden="1">#REF!</definedName>
    <definedName name="BExB4ADD0L7417CII901XTFKXD1J" hidden="1">#REF!</definedName>
    <definedName name="BExB4DO1V1NL2AVK5YE1RSL5RYHL" localSheetId="30" hidden="1">#REF!</definedName>
    <definedName name="BExB4DO1V1NL2AVK5YE1RSL5RYHL" localSheetId="29" hidden="1">#REF!</definedName>
    <definedName name="BExB4DO1V1NL2AVK5YE1RSL5RYHL" localSheetId="33" hidden="1">#REF!</definedName>
    <definedName name="BExB4DO1V1NL2AVK5YE1RSL5RYHL" localSheetId="31" hidden="1">#REF!</definedName>
    <definedName name="BExB4DO1V1NL2AVK5YE1RSL5RYHL" localSheetId="32" hidden="1">#REF!</definedName>
    <definedName name="BExB4DO1V1NL2AVK5YE1RSL5RYHL" hidden="1">#REF!</definedName>
    <definedName name="BExB4DYU06HCGRIPBSWRCXK804UM" localSheetId="30" hidden="1">#REF!</definedName>
    <definedName name="BExB4DYU06HCGRIPBSWRCXK804UM" localSheetId="29" hidden="1">#REF!</definedName>
    <definedName name="BExB4DYU06HCGRIPBSWRCXK804UM" localSheetId="33" hidden="1">#REF!</definedName>
    <definedName name="BExB4DYU06HCGRIPBSWRCXK804UM" localSheetId="31" hidden="1">#REF!</definedName>
    <definedName name="BExB4DYU06HCGRIPBSWRCXK804UM" localSheetId="32" hidden="1">#REF!</definedName>
    <definedName name="BExB4DYU06HCGRIPBSWRCXK804UM" hidden="1">#REF!</definedName>
    <definedName name="BExB4Z3EZBGYYI33U0KQ8NEIH8PY" localSheetId="30" hidden="1">#REF!</definedName>
    <definedName name="BExB4Z3EZBGYYI33U0KQ8NEIH8PY" localSheetId="29" hidden="1">#REF!</definedName>
    <definedName name="BExB4Z3EZBGYYI33U0KQ8NEIH8PY" localSheetId="33" hidden="1">#REF!</definedName>
    <definedName name="BExB4Z3EZBGYYI33U0KQ8NEIH8PY" localSheetId="31" hidden="1">#REF!</definedName>
    <definedName name="BExB4Z3EZBGYYI33U0KQ8NEIH8PY" localSheetId="32" hidden="1">#REF!</definedName>
    <definedName name="BExB4Z3EZBGYYI33U0KQ8NEIH8PY" hidden="1">#REF!</definedName>
    <definedName name="BExB55368XW7UX657ZSPC6BFE92S" localSheetId="30" hidden="1">#REF!</definedName>
    <definedName name="BExB55368XW7UX657ZSPC6BFE92S" localSheetId="29" hidden="1">#REF!</definedName>
    <definedName name="BExB55368XW7UX657ZSPC6BFE92S" localSheetId="33" hidden="1">#REF!</definedName>
    <definedName name="BExB55368XW7UX657ZSPC6BFE92S" localSheetId="31" hidden="1">#REF!</definedName>
    <definedName name="BExB55368XW7UX657ZSPC6BFE92S" localSheetId="32" hidden="1">#REF!</definedName>
    <definedName name="BExB55368XW7UX657ZSPC6BFE92S" hidden="1">#REF!</definedName>
    <definedName name="BExB57MZEPL2SA2ONPK66YFLZWJU" localSheetId="30" hidden="1">#REF!</definedName>
    <definedName name="BExB57MZEPL2SA2ONPK66YFLZWJU" localSheetId="29" hidden="1">#REF!</definedName>
    <definedName name="BExB57MZEPL2SA2ONPK66YFLZWJU" localSheetId="33" hidden="1">#REF!</definedName>
    <definedName name="BExB57MZEPL2SA2ONPK66YFLZWJU" localSheetId="31" hidden="1">#REF!</definedName>
    <definedName name="BExB57MZEPL2SA2ONPK66YFLZWJU" localSheetId="32" hidden="1">#REF!</definedName>
    <definedName name="BExB57MZEPL2SA2ONPK66YFLZWJU" hidden="1">#REF!</definedName>
    <definedName name="BExB5833OAOJ22VK1YK47FHUSVK2" localSheetId="30" hidden="1">#REF!</definedName>
    <definedName name="BExB5833OAOJ22VK1YK47FHUSVK2" localSheetId="29" hidden="1">#REF!</definedName>
    <definedName name="BExB5833OAOJ22VK1YK47FHUSVK2" localSheetId="33" hidden="1">#REF!</definedName>
    <definedName name="BExB5833OAOJ22VK1YK47FHUSVK2" localSheetId="31" hidden="1">#REF!</definedName>
    <definedName name="BExB5833OAOJ22VK1YK47FHUSVK2" localSheetId="32" hidden="1">#REF!</definedName>
    <definedName name="BExB5833OAOJ22VK1YK47FHUSVK2" hidden="1">#REF!</definedName>
    <definedName name="BExB58JDIHS42JZT9DJJMKA8QFCO" localSheetId="30" hidden="1">#REF!</definedName>
    <definedName name="BExB58JDIHS42JZT9DJJMKA8QFCO" localSheetId="29" hidden="1">#REF!</definedName>
    <definedName name="BExB58JDIHS42JZT9DJJMKA8QFCO" localSheetId="33" hidden="1">#REF!</definedName>
    <definedName name="BExB58JDIHS42JZT9DJJMKA8QFCO" localSheetId="31" hidden="1">#REF!</definedName>
    <definedName name="BExB58JDIHS42JZT9DJJMKA8QFCO" localSheetId="32" hidden="1">#REF!</definedName>
    <definedName name="BExB58JDIHS42JZT9DJJMKA8QFCO" hidden="1">#REF!</definedName>
    <definedName name="BExB58U5FQC5JWV9CGC83HLLZUZI" localSheetId="30" hidden="1">#REF!</definedName>
    <definedName name="BExB58U5FQC5JWV9CGC83HLLZUZI" localSheetId="29" hidden="1">#REF!</definedName>
    <definedName name="BExB58U5FQC5JWV9CGC83HLLZUZI" localSheetId="33" hidden="1">#REF!</definedName>
    <definedName name="BExB58U5FQC5JWV9CGC83HLLZUZI" localSheetId="31" hidden="1">#REF!</definedName>
    <definedName name="BExB58U5FQC5JWV9CGC83HLLZUZI" localSheetId="32" hidden="1">#REF!</definedName>
    <definedName name="BExB58U5FQC5JWV9CGC83HLLZUZI" hidden="1">#REF!</definedName>
    <definedName name="BExB5EDO9XUKHF74X3HAU2WPPHZH" localSheetId="30" hidden="1">#REF!</definedName>
    <definedName name="BExB5EDO9XUKHF74X3HAU2WPPHZH" localSheetId="29" hidden="1">#REF!</definedName>
    <definedName name="BExB5EDO9XUKHF74X3HAU2WPPHZH" localSheetId="33" hidden="1">#REF!</definedName>
    <definedName name="BExB5EDO9XUKHF74X3HAU2WPPHZH" localSheetId="31" hidden="1">#REF!</definedName>
    <definedName name="BExB5EDO9XUKHF74X3HAU2WPPHZH" localSheetId="32" hidden="1">#REF!</definedName>
    <definedName name="BExB5EDO9XUKHF74X3HAU2WPPHZH" hidden="1">#REF!</definedName>
    <definedName name="BExB5G6EH68AYEP1UT0GHUEL3SLN" localSheetId="30" hidden="1">#REF!</definedName>
    <definedName name="BExB5G6EH68AYEP1UT0GHUEL3SLN" localSheetId="29" hidden="1">#REF!</definedName>
    <definedName name="BExB5G6EH68AYEP1UT0GHUEL3SLN" localSheetId="33" hidden="1">#REF!</definedName>
    <definedName name="BExB5G6EH68AYEP1UT0GHUEL3SLN" localSheetId="31" hidden="1">#REF!</definedName>
    <definedName name="BExB5G6EH68AYEP1UT0GHUEL3SLN" localSheetId="32" hidden="1">#REF!</definedName>
    <definedName name="BExB5G6EH68AYEP1UT0GHUEL3SLN" hidden="1">#REF!</definedName>
    <definedName name="BExB5QYVEZWFE5DQVHAM760EV05X" localSheetId="30" hidden="1">#REF!</definedName>
    <definedName name="BExB5QYVEZWFE5DQVHAM760EV05X" localSheetId="29" hidden="1">#REF!</definedName>
    <definedName name="BExB5QYVEZWFE5DQVHAM760EV05X" localSheetId="33" hidden="1">#REF!</definedName>
    <definedName name="BExB5QYVEZWFE5DQVHAM760EV05X" localSheetId="31" hidden="1">#REF!</definedName>
    <definedName name="BExB5QYVEZWFE5DQVHAM760EV05X" localSheetId="32" hidden="1">#REF!</definedName>
    <definedName name="BExB5QYVEZWFE5DQVHAM760EV05X" hidden="1">#REF!</definedName>
    <definedName name="BExB5U9IRH14EMOE0YGIE3WIVLFS" localSheetId="30" hidden="1">#REF!</definedName>
    <definedName name="BExB5U9IRH14EMOE0YGIE3WIVLFS" localSheetId="29" hidden="1">#REF!</definedName>
    <definedName name="BExB5U9IRH14EMOE0YGIE3WIVLFS" localSheetId="33" hidden="1">#REF!</definedName>
    <definedName name="BExB5U9IRH14EMOE0YGIE3WIVLFS" localSheetId="31" hidden="1">#REF!</definedName>
    <definedName name="BExB5U9IRH14EMOE0YGIE3WIVLFS" localSheetId="32" hidden="1">#REF!</definedName>
    <definedName name="BExB5U9IRH14EMOE0YGIE3WIVLFS" hidden="1">#REF!</definedName>
    <definedName name="BExB5VWYMOV6BAIH7XUBBVPU7MMD" localSheetId="30" hidden="1">#REF!</definedName>
    <definedName name="BExB5VWYMOV6BAIH7XUBBVPU7MMD" localSheetId="29" hidden="1">#REF!</definedName>
    <definedName name="BExB5VWYMOV6BAIH7XUBBVPU7MMD" localSheetId="33" hidden="1">#REF!</definedName>
    <definedName name="BExB5VWYMOV6BAIH7XUBBVPU7MMD" localSheetId="31" hidden="1">#REF!</definedName>
    <definedName name="BExB5VWYMOV6BAIH7XUBBVPU7MMD" localSheetId="32" hidden="1">#REF!</definedName>
    <definedName name="BExB5VWYMOV6BAIH7XUBBVPU7MMD" hidden="1">#REF!</definedName>
    <definedName name="BExB610DZWIJP1B72U9QM42COH2B" localSheetId="30" hidden="1">#REF!</definedName>
    <definedName name="BExB610DZWIJP1B72U9QM42COH2B" localSheetId="29" hidden="1">#REF!</definedName>
    <definedName name="BExB610DZWIJP1B72U9QM42COH2B" localSheetId="33" hidden="1">#REF!</definedName>
    <definedName name="BExB610DZWIJP1B72U9QM42COH2B" localSheetId="31" hidden="1">#REF!</definedName>
    <definedName name="BExB610DZWIJP1B72U9QM42COH2B" localSheetId="32" hidden="1">#REF!</definedName>
    <definedName name="BExB610DZWIJP1B72U9QM42COH2B" hidden="1">#REF!</definedName>
    <definedName name="BExB681UQVLXACU8Q3IXO8A6D3FV" localSheetId="30" hidden="1">#REF!</definedName>
    <definedName name="BExB681UQVLXACU8Q3IXO8A6D3FV" localSheetId="29" hidden="1">#REF!</definedName>
    <definedName name="BExB681UQVLXACU8Q3IXO8A6D3FV" localSheetId="33" hidden="1">#REF!</definedName>
    <definedName name="BExB681UQVLXACU8Q3IXO8A6D3FV" localSheetId="31" hidden="1">#REF!</definedName>
    <definedName name="BExB681UQVLXACU8Q3IXO8A6D3FV" localSheetId="32" hidden="1">#REF!</definedName>
    <definedName name="BExB681UQVLXACU8Q3IXO8A6D3FV" hidden="1">#REF!</definedName>
    <definedName name="BExB6C3FUAKK9ML5T767NMWGA9YB" localSheetId="30" hidden="1">#REF!</definedName>
    <definedName name="BExB6C3FUAKK9ML5T767NMWGA9YB" localSheetId="29" hidden="1">#REF!</definedName>
    <definedName name="BExB6C3FUAKK9ML5T767NMWGA9YB" localSheetId="33" hidden="1">#REF!</definedName>
    <definedName name="BExB6C3FUAKK9ML5T767NMWGA9YB" localSheetId="31" hidden="1">#REF!</definedName>
    <definedName name="BExB6C3FUAKK9ML5T767NMWGA9YB" localSheetId="32" hidden="1">#REF!</definedName>
    <definedName name="BExB6C3FUAKK9ML5T767NMWGA9YB" hidden="1">#REF!</definedName>
    <definedName name="BExB6C8X6JYRLKZKK17VE3QUNL3D" localSheetId="30" hidden="1">#REF!</definedName>
    <definedName name="BExB6C8X6JYRLKZKK17VE3QUNL3D" localSheetId="29" hidden="1">#REF!</definedName>
    <definedName name="BExB6C8X6JYRLKZKK17VE3QUNL3D" localSheetId="33" hidden="1">#REF!</definedName>
    <definedName name="BExB6C8X6JYRLKZKK17VE3QUNL3D" localSheetId="31" hidden="1">#REF!</definedName>
    <definedName name="BExB6C8X6JYRLKZKK17VE3QUNL3D" localSheetId="32" hidden="1">#REF!</definedName>
    <definedName name="BExB6C8X6JYRLKZKK17VE3QUNL3D" hidden="1">#REF!</definedName>
    <definedName name="BExB6HN3QRFPXM71MDUK21BKM7PF" localSheetId="30" hidden="1">#REF!</definedName>
    <definedName name="BExB6HN3QRFPXM71MDUK21BKM7PF" localSheetId="29" hidden="1">#REF!</definedName>
    <definedName name="BExB6HN3QRFPXM71MDUK21BKM7PF" localSheetId="33" hidden="1">#REF!</definedName>
    <definedName name="BExB6HN3QRFPXM71MDUK21BKM7PF" localSheetId="31" hidden="1">#REF!</definedName>
    <definedName name="BExB6HN3QRFPXM71MDUK21BKM7PF" localSheetId="32" hidden="1">#REF!</definedName>
    <definedName name="BExB6HN3QRFPXM71MDUK21BKM7PF" hidden="1">#REF!</definedName>
    <definedName name="BExB6IZMHCZ3LB7N73KD90YB1HBZ" localSheetId="30" hidden="1">#REF!</definedName>
    <definedName name="BExB6IZMHCZ3LB7N73KD90YB1HBZ" localSheetId="29" hidden="1">#REF!</definedName>
    <definedName name="BExB6IZMHCZ3LB7N73KD90YB1HBZ" localSheetId="33" hidden="1">#REF!</definedName>
    <definedName name="BExB6IZMHCZ3LB7N73KD90YB1HBZ" localSheetId="31" hidden="1">#REF!</definedName>
    <definedName name="BExB6IZMHCZ3LB7N73KD90YB1HBZ" localSheetId="32" hidden="1">#REF!</definedName>
    <definedName name="BExB6IZMHCZ3LB7N73KD90YB1HBZ" hidden="1">#REF!</definedName>
    <definedName name="BExB719SGNX4Y8NE6JEXC555K596" localSheetId="30" hidden="1">#REF!</definedName>
    <definedName name="BExB719SGNX4Y8NE6JEXC555K596" localSheetId="29" hidden="1">#REF!</definedName>
    <definedName name="BExB719SGNX4Y8NE6JEXC555K596" localSheetId="33" hidden="1">#REF!</definedName>
    <definedName name="BExB719SGNX4Y8NE6JEXC555K596" localSheetId="31" hidden="1">#REF!</definedName>
    <definedName name="BExB719SGNX4Y8NE6JEXC555K596" localSheetId="32" hidden="1">#REF!</definedName>
    <definedName name="BExB719SGNX4Y8NE6JEXC555K596" hidden="1">#REF!</definedName>
    <definedName name="BExB7265DCHKS7V2OWRBXCZTEIW9" localSheetId="30" hidden="1">#REF!</definedName>
    <definedName name="BExB7265DCHKS7V2OWRBXCZTEIW9" localSheetId="29" hidden="1">#REF!</definedName>
    <definedName name="BExB7265DCHKS7V2OWRBXCZTEIW9" localSheetId="33" hidden="1">#REF!</definedName>
    <definedName name="BExB7265DCHKS7V2OWRBXCZTEIW9" localSheetId="31" hidden="1">#REF!</definedName>
    <definedName name="BExB7265DCHKS7V2OWRBXCZTEIW9" localSheetId="32" hidden="1">#REF!</definedName>
    <definedName name="BExB7265DCHKS7V2OWRBXCZTEIW9" hidden="1">#REF!</definedName>
    <definedName name="BExB74PS5P9G0P09Y6DZSCX0FLTJ" localSheetId="30" hidden="1">#REF!</definedName>
    <definedName name="BExB74PS5P9G0P09Y6DZSCX0FLTJ" localSheetId="29" hidden="1">#REF!</definedName>
    <definedName name="BExB74PS5P9G0P09Y6DZSCX0FLTJ" localSheetId="33" hidden="1">#REF!</definedName>
    <definedName name="BExB74PS5P9G0P09Y6DZSCX0FLTJ" localSheetId="31" hidden="1">#REF!</definedName>
    <definedName name="BExB74PS5P9G0P09Y6DZSCX0FLTJ" localSheetId="32" hidden="1">#REF!</definedName>
    <definedName name="BExB74PS5P9G0P09Y6DZSCX0FLTJ" hidden="1">#REF!</definedName>
    <definedName name="BExB78RH79J0MIF7H8CAZ0CFE88Q" localSheetId="30" hidden="1">#REF!</definedName>
    <definedName name="BExB78RH79J0MIF7H8CAZ0CFE88Q" localSheetId="29" hidden="1">#REF!</definedName>
    <definedName name="BExB78RH79J0MIF7H8CAZ0CFE88Q" localSheetId="33" hidden="1">#REF!</definedName>
    <definedName name="BExB78RH79J0MIF7H8CAZ0CFE88Q" localSheetId="31" hidden="1">#REF!</definedName>
    <definedName name="BExB78RH79J0MIF7H8CAZ0CFE88Q" localSheetId="32" hidden="1">#REF!</definedName>
    <definedName name="BExB78RH79J0MIF7H8CAZ0CFE88Q" hidden="1">#REF!</definedName>
    <definedName name="BExB7ELT09HGDVO5BJC1ZY9D09GZ" localSheetId="30" hidden="1">#REF!</definedName>
    <definedName name="BExB7ELT09HGDVO5BJC1ZY9D09GZ" localSheetId="29" hidden="1">#REF!</definedName>
    <definedName name="BExB7ELT09HGDVO5BJC1ZY9D09GZ" localSheetId="33" hidden="1">#REF!</definedName>
    <definedName name="BExB7ELT09HGDVO5BJC1ZY9D09GZ" localSheetId="31" hidden="1">#REF!</definedName>
    <definedName name="BExB7ELT09HGDVO5BJC1ZY9D09GZ" localSheetId="32" hidden="1">#REF!</definedName>
    <definedName name="BExB7ELT09HGDVO5BJC1ZY9D09GZ" hidden="1">#REF!</definedName>
    <definedName name="BExB7TLBJGT6P2CRMRB3UKB4M1EN" localSheetId="30" hidden="1">#REF!</definedName>
    <definedName name="BExB7TLBJGT6P2CRMRB3UKB4M1EN" localSheetId="29" hidden="1">#REF!</definedName>
    <definedName name="BExB7TLBJGT6P2CRMRB3UKB4M1EN" localSheetId="33" hidden="1">#REF!</definedName>
    <definedName name="BExB7TLBJGT6P2CRMRB3UKB4M1EN" localSheetId="31" hidden="1">#REF!</definedName>
    <definedName name="BExB7TLBJGT6P2CRMRB3UKB4M1EN" localSheetId="32" hidden="1">#REF!</definedName>
    <definedName name="BExB7TLBJGT6P2CRMRB3UKB4M1EN" hidden="1">#REF!</definedName>
    <definedName name="BExB806PAXX70XUTA3ZI7OORD78R" localSheetId="30" hidden="1">#REF!</definedName>
    <definedName name="BExB806PAXX70XUTA3ZI7OORD78R" localSheetId="29" hidden="1">#REF!</definedName>
    <definedName name="BExB806PAXX70XUTA3ZI7OORD78R" localSheetId="33" hidden="1">#REF!</definedName>
    <definedName name="BExB806PAXX70XUTA3ZI7OORD78R" localSheetId="31" hidden="1">#REF!</definedName>
    <definedName name="BExB806PAXX70XUTA3ZI7OORD78R" localSheetId="32" hidden="1">#REF!</definedName>
    <definedName name="BExB806PAXX70XUTA3ZI7OORD78R" hidden="1">#REF!</definedName>
    <definedName name="BExB8HF4UBVZKQCSRFRUQL2EE6VL" localSheetId="30" hidden="1">#REF!</definedName>
    <definedName name="BExB8HF4UBVZKQCSRFRUQL2EE6VL" localSheetId="29" hidden="1">#REF!</definedName>
    <definedName name="BExB8HF4UBVZKQCSRFRUQL2EE6VL" localSheetId="33" hidden="1">#REF!</definedName>
    <definedName name="BExB8HF4UBVZKQCSRFRUQL2EE6VL" localSheetId="31" hidden="1">#REF!</definedName>
    <definedName name="BExB8HF4UBVZKQCSRFRUQL2EE6VL" localSheetId="32" hidden="1">#REF!</definedName>
    <definedName name="BExB8HF4UBVZKQCSRFRUQL2EE6VL" hidden="1">#REF!</definedName>
    <definedName name="BExB8HKHKZ1ORJZUYGG2M4VSCC39" localSheetId="30" hidden="1">#REF!</definedName>
    <definedName name="BExB8HKHKZ1ORJZUYGG2M4VSCC39" localSheetId="29" hidden="1">#REF!</definedName>
    <definedName name="BExB8HKHKZ1ORJZUYGG2M4VSCC39" localSheetId="33" hidden="1">#REF!</definedName>
    <definedName name="BExB8HKHKZ1ORJZUYGG2M4VSCC39" localSheetId="31" hidden="1">#REF!</definedName>
    <definedName name="BExB8HKHKZ1ORJZUYGG2M4VSCC39" localSheetId="32" hidden="1">#REF!</definedName>
    <definedName name="BExB8HKHKZ1ORJZUYGG2M4VSCC39" hidden="1">#REF!</definedName>
    <definedName name="BExB8QPH8DC5BESEVPSMBCWVN6PO" localSheetId="30" hidden="1">#REF!</definedName>
    <definedName name="BExB8QPH8DC5BESEVPSMBCWVN6PO" localSheetId="29" hidden="1">#REF!</definedName>
    <definedName name="BExB8QPH8DC5BESEVPSMBCWVN6PO" localSheetId="33" hidden="1">#REF!</definedName>
    <definedName name="BExB8QPH8DC5BESEVPSMBCWVN6PO" localSheetId="31" hidden="1">#REF!</definedName>
    <definedName name="BExB8QPH8DC5BESEVPSMBCWVN6PO" localSheetId="32" hidden="1">#REF!</definedName>
    <definedName name="BExB8QPH8DC5BESEVPSMBCWVN6PO" hidden="1">#REF!</definedName>
    <definedName name="BExB8U5N0D85YR8APKN3PPKG0FWP" localSheetId="30" hidden="1">#REF!</definedName>
    <definedName name="BExB8U5N0D85YR8APKN3PPKG0FWP" localSheetId="29" hidden="1">#REF!</definedName>
    <definedName name="BExB8U5N0D85YR8APKN3PPKG0FWP" localSheetId="33" hidden="1">#REF!</definedName>
    <definedName name="BExB8U5N0D85YR8APKN3PPKG0FWP" localSheetId="31" hidden="1">#REF!</definedName>
    <definedName name="BExB8U5N0D85YR8APKN3PPKG0FWP" localSheetId="32" hidden="1">#REF!</definedName>
    <definedName name="BExB8U5N0D85YR8APKN3PPKG0FWP" hidden="1">#REF!</definedName>
    <definedName name="BExB8ZJV1HMTV5S8LVRD5IXTK0IZ" localSheetId="30" hidden="1">#REF!</definedName>
    <definedName name="BExB8ZJV1HMTV5S8LVRD5IXTK0IZ" localSheetId="29" hidden="1">#REF!</definedName>
    <definedName name="BExB8ZJV1HMTV5S8LVRD5IXTK0IZ" localSheetId="33" hidden="1">#REF!</definedName>
    <definedName name="BExB8ZJV1HMTV5S8LVRD5IXTK0IZ" localSheetId="31" hidden="1">#REF!</definedName>
    <definedName name="BExB8ZJV1HMTV5S8LVRD5IXTK0IZ" localSheetId="32" hidden="1">#REF!</definedName>
    <definedName name="BExB8ZJV1HMTV5S8LVRD5IXTK0IZ" hidden="1">#REF!</definedName>
    <definedName name="BExB965937GB0LA6DQYDXB7HTC7N" localSheetId="30" hidden="1">#REF!</definedName>
    <definedName name="BExB965937GB0LA6DQYDXB7HTC7N" localSheetId="29" hidden="1">#REF!</definedName>
    <definedName name="BExB965937GB0LA6DQYDXB7HTC7N" localSheetId="33" hidden="1">#REF!</definedName>
    <definedName name="BExB965937GB0LA6DQYDXB7HTC7N" localSheetId="31" hidden="1">#REF!</definedName>
    <definedName name="BExB965937GB0LA6DQYDXB7HTC7N" localSheetId="32" hidden="1">#REF!</definedName>
    <definedName name="BExB965937GB0LA6DQYDXB7HTC7N" hidden="1">#REF!</definedName>
    <definedName name="BExB9DHI5I2TJ2LXYPM98EE81L27" localSheetId="30" hidden="1">#REF!</definedName>
    <definedName name="BExB9DHI5I2TJ2LXYPM98EE81L27" localSheetId="29" hidden="1">#REF!</definedName>
    <definedName name="BExB9DHI5I2TJ2LXYPM98EE81L27" localSheetId="33" hidden="1">#REF!</definedName>
    <definedName name="BExB9DHI5I2TJ2LXYPM98EE81L27" localSheetId="31" hidden="1">#REF!</definedName>
    <definedName name="BExB9DHI5I2TJ2LXYPM98EE81L27" localSheetId="32" hidden="1">#REF!</definedName>
    <definedName name="BExB9DHI5I2TJ2LXYPM98EE81L27" hidden="1">#REF!</definedName>
    <definedName name="BExB9Q2MZZHBGW8QQKVEYIMJBPIE" localSheetId="30" hidden="1">#REF!</definedName>
    <definedName name="BExB9Q2MZZHBGW8QQKVEYIMJBPIE" localSheetId="29" hidden="1">#REF!</definedName>
    <definedName name="BExB9Q2MZZHBGW8QQKVEYIMJBPIE" localSheetId="33" hidden="1">#REF!</definedName>
    <definedName name="BExB9Q2MZZHBGW8QQKVEYIMJBPIE" localSheetId="31" hidden="1">#REF!</definedName>
    <definedName name="BExB9Q2MZZHBGW8QQKVEYIMJBPIE" localSheetId="32" hidden="1">#REF!</definedName>
    <definedName name="BExB9Q2MZZHBGW8QQKVEYIMJBPIE" hidden="1">#REF!</definedName>
    <definedName name="BExBA1GON0EZRJ20UYPILAPLNQWM" localSheetId="30" hidden="1">#REF!</definedName>
    <definedName name="BExBA1GON0EZRJ20UYPILAPLNQWM" localSheetId="29" hidden="1">#REF!</definedName>
    <definedName name="BExBA1GON0EZRJ20UYPILAPLNQWM" localSheetId="33" hidden="1">#REF!</definedName>
    <definedName name="BExBA1GON0EZRJ20UYPILAPLNQWM" localSheetId="31" hidden="1">#REF!</definedName>
    <definedName name="BExBA1GON0EZRJ20UYPILAPLNQWM" localSheetId="32" hidden="1">#REF!</definedName>
    <definedName name="BExBA1GON0EZRJ20UYPILAPLNQWM" hidden="1">#REF!</definedName>
    <definedName name="BExBA69ASGYRZW1G1DYIS9QRRTBN" localSheetId="30" hidden="1">#REF!</definedName>
    <definedName name="BExBA69ASGYRZW1G1DYIS9QRRTBN" localSheetId="29" hidden="1">#REF!</definedName>
    <definedName name="BExBA69ASGYRZW1G1DYIS9QRRTBN" localSheetId="33" hidden="1">#REF!</definedName>
    <definedName name="BExBA69ASGYRZW1G1DYIS9QRRTBN" localSheetId="31" hidden="1">#REF!</definedName>
    <definedName name="BExBA69ASGYRZW1G1DYIS9QRRTBN" localSheetId="32" hidden="1">#REF!</definedName>
    <definedName name="BExBA69ASGYRZW1G1DYIS9QRRTBN" hidden="1">#REF!</definedName>
    <definedName name="BExBA6K42582A14WFFWQ3Q8QQWB6" localSheetId="30" hidden="1">#REF!</definedName>
    <definedName name="BExBA6K42582A14WFFWQ3Q8QQWB6" localSheetId="29" hidden="1">#REF!</definedName>
    <definedName name="BExBA6K42582A14WFFWQ3Q8QQWB6" localSheetId="33" hidden="1">#REF!</definedName>
    <definedName name="BExBA6K42582A14WFFWQ3Q8QQWB6" localSheetId="31" hidden="1">#REF!</definedName>
    <definedName name="BExBA6K42582A14WFFWQ3Q8QQWB6" localSheetId="32" hidden="1">#REF!</definedName>
    <definedName name="BExBA6K42582A14WFFWQ3Q8QQWB6" hidden="1">#REF!</definedName>
    <definedName name="BExBA8I5D4R8R2PYQ1K16TWGTOEP" localSheetId="30" hidden="1">#REF!</definedName>
    <definedName name="BExBA8I5D4R8R2PYQ1K16TWGTOEP" localSheetId="29" hidden="1">#REF!</definedName>
    <definedName name="BExBA8I5D4R8R2PYQ1K16TWGTOEP" localSheetId="33" hidden="1">#REF!</definedName>
    <definedName name="BExBA8I5D4R8R2PYQ1K16TWGTOEP" localSheetId="31" hidden="1">#REF!</definedName>
    <definedName name="BExBA8I5D4R8R2PYQ1K16TWGTOEP" localSheetId="32" hidden="1">#REF!</definedName>
    <definedName name="BExBA8I5D4R8R2PYQ1K16TWGTOEP" hidden="1">#REF!</definedName>
    <definedName name="BExBA93PE0DGUUTA7LLSIGBIXWE5" localSheetId="30" hidden="1">#REF!</definedName>
    <definedName name="BExBA93PE0DGUUTA7LLSIGBIXWE5" localSheetId="29" hidden="1">#REF!</definedName>
    <definedName name="BExBA93PE0DGUUTA7LLSIGBIXWE5" localSheetId="33" hidden="1">#REF!</definedName>
    <definedName name="BExBA93PE0DGUUTA7LLSIGBIXWE5" localSheetId="31" hidden="1">#REF!</definedName>
    <definedName name="BExBA93PE0DGUUTA7LLSIGBIXWE5" localSheetId="32" hidden="1">#REF!</definedName>
    <definedName name="BExBA93PE0DGUUTA7LLSIGBIXWE5" hidden="1">#REF!</definedName>
    <definedName name="BExBAI8X0FKDQJ6YZJQDTTG4ZCWY" localSheetId="30" hidden="1">#REF!</definedName>
    <definedName name="BExBAI8X0FKDQJ6YZJQDTTG4ZCWY" localSheetId="29" hidden="1">#REF!</definedName>
    <definedName name="BExBAI8X0FKDQJ6YZJQDTTG4ZCWY" localSheetId="33" hidden="1">#REF!</definedName>
    <definedName name="BExBAI8X0FKDQJ6YZJQDTTG4ZCWY" localSheetId="31" hidden="1">#REF!</definedName>
    <definedName name="BExBAI8X0FKDQJ6YZJQDTTG4ZCWY" localSheetId="32" hidden="1">#REF!</definedName>
    <definedName name="BExBAI8X0FKDQJ6YZJQDTTG4ZCWY" hidden="1">#REF!</definedName>
    <definedName name="BExBAKN7XIBAXCF9PCNVS038PCQO" localSheetId="30" hidden="1">#REF!</definedName>
    <definedName name="BExBAKN7XIBAXCF9PCNVS038PCQO" localSheetId="29" hidden="1">#REF!</definedName>
    <definedName name="BExBAKN7XIBAXCF9PCNVS038PCQO" localSheetId="33" hidden="1">#REF!</definedName>
    <definedName name="BExBAKN7XIBAXCF9PCNVS038PCQO" localSheetId="31" hidden="1">#REF!</definedName>
    <definedName name="BExBAKN7XIBAXCF9PCNVS038PCQO" localSheetId="32" hidden="1">#REF!</definedName>
    <definedName name="BExBAKN7XIBAXCF9PCNVS038PCQO" hidden="1">#REF!</definedName>
    <definedName name="BExBAKXZ7PBW3DDKKA5MWC1ZUC7O" localSheetId="30" hidden="1">#REF!</definedName>
    <definedName name="BExBAKXZ7PBW3DDKKA5MWC1ZUC7O" localSheetId="29" hidden="1">#REF!</definedName>
    <definedName name="BExBAKXZ7PBW3DDKKA5MWC1ZUC7O" localSheetId="33" hidden="1">#REF!</definedName>
    <definedName name="BExBAKXZ7PBW3DDKKA5MWC1ZUC7O" localSheetId="31" hidden="1">#REF!</definedName>
    <definedName name="BExBAKXZ7PBW3DDKKA5MWC1ZUC7O" localSheetId="32" hidden="1">#REF!</definedName>
    <definedName name="BExBAKXZ7PBW3DDKKA5MWC1ZUC7O" hidden="1">#REF!</definedName>
    <definedName name="BExBAO8NLXZXHO6KCIECSFCH3RR0" localSheetId="30" hidden="1">#REF!</definedName>
    <definedName name="BExBAO8NLXZXHO6KCIECSFCH3RR0" localSheetId="29" hidden="1">#REF!</definedName>
    <definedName name="BExBAO8NLXZXHO6KCIECSFCH3RR0" localSheetId="33" hidden="1">#REF!</definedName>
    <definedName name="BExBAO8NLXZXHO6KCIECSFCH3RR0" localSheetId="31" hidden="1">#REF!</definedName>
    <definedName name="BExBAO8NLXZXHO6KCIECSFCH3RR0" localSheetId="32" hidden="1">#REF!</definedName>
    <definedName name="BExBAO8NLXZXHO6KCIECSFCH3RR0" hidden="1">#REF!</definedName>
    <definedName name="BExBAOOT1KBSIEISN1ADL4RMY879" localSheetId="30" hidden="1">#REF!</definedName>
    <definedName name="BExBAOOT1KBSIEISN1ADL4RMY879" localSheetId="29" hidden="1">#REF!</definedName>
    <definedName name="BExBAOOT1KBSIEISN1ADL4RMY879" localSheetId="33" hidden="1">#REF!</definedName>
    <definedName name="BExBAOOT1KBSIEISN1ADL4RMY879" localSheetId="31" hidden="1">#REF!</definedName>
    <definedName name="BExBAOOT1KBSIEISN1ADL4RMY879" localSheetId="32" hidden="1">#REF!</definedName>
    <definedName name="BExBAOOT1KBSIEISN1ADL4RMY879" hidden="1">#REF!</definedName>
    <definedName name="BExBAVKX8Q09370X1GCZWJ4E91YJ" localSheetId="30" hidden="1">#REF!</definedName>
    <definedName name="BExBAVKX8Q09370X1GCZWJ4E91YJ" localSheetId="29" hidden="1">#REF!</definedName>
    <definedName name="BExBAVKX8Q09370X1GCZWJ4E91YJ" localSheetId="33" hidden="1">#REF!</definedName>
    <definedName name="BExBAVKX8Q09370X1GCZWJ4E91YJ" localSheetId="31" hidden="1">#REF!</definedName>
    <definedName name="BExBAVKX8Q09370X1GCZWJ4E91YJ" localSheetId="32" hidden="1">#REF!</definedName>
    <definedName name="BExBAVKX8Q09370X1GCZWJ4E91YJ" hidden="1">#REF!</definedName>
    <definedName name="BExBAX2X2ENJYO4QTR5VAIQ86L7B" localSheetId="30" hidden="1">#REF!</definedName>
    <definedName name="BExBAX2X2ENJYO4QTR5VAIQ86L7B" localSheetId="29" hidden="1">#REF!</definedName>
    <definedName name="BExBAX2X2ENJYO4QTR5VAIQ86L7B" localSheetId="33" hidden="1">#REF!</definedName>
    <definedName name="BExBAX2X2ENJYO4QTR5VAIQ86L7B" localSheetId="31" hidden="1">#REF!</definedName>
    <definedName name="BExBAX2X2ENJYO4QTR5VAIQ86L7B" localSheetId="32" hidden="1">#REF!</definedName>
    <definedName name="BExBAX2X2ENJYO4QTR5VAIQ86L7B" hidden="1">#REF!</definedName>
    <definedName name="BExBAZ13D3F1DVJQ6YJ8JGUYEYJE" localSheetId="30" hidden="1">#REF!</definedName>
    <definedName name="BExBAZ13D3F1DVJQ6YJ8JGUYEYJE" localSheetId="29" hidden="1">#REF!</definedName>
    <definedName name="BExBAZ13D3F1DVJQ6YJ8JGUYEYJE" localSheetId="33" hidden="1">#REF!</definedName>
    <definedName name="BExBAZ13D3F1DVJQ6YJ8JGUYEYJE" localSheetId="31" hidden="1">#REF!</definedName>
    <definedName name="BExBAZ13D3F1DVJQ6YJ8JGUYEYJE" localSheetId="32" hidden="1">#REF!</definedName>
    <definedName name="BExBAZ13D3F1DVJQ6YJ8JGUYEYJE" hidden="1">#REF!</definedName>
    <definedName name="BExBBG9EHWMEQ6D82ENOYFI8CN80" localSheetId="30" hidden="1">#REF!</definedName>
    <definedName name="BExBBG9EHWMEQ6D82ENOYFI8CN80" localSheetId="29" hidden="1">#REF!</definedName>
    <definedName name="BExBBG9EHWMEQ6D82ENOYFI8CN80" localSheetId="33" hidden="1">#REF!</definedName>
    <definedName name="BExBBG9EHWMEQ6D82ENOYFI8CN80" localSheetId="31" hidden="1">#REF!</definedName>
    <definedName name="BExBBG9EHWMEQ6D82ENOYFI8CN80" localSheetId="32" hidden="1">#REF!</definedName>
    <definedName name="BExBBG9EHWMEQ6D82ENOYFI8CN80" hidden="1">#REF!</definedName>
    <definedName name="BExBBNLOV548SYP1O0L6RNS229TQ" localSheetId="30" hidden="1">#REF!</definedName>
    <definedName name="BExBBNLOV548SYP1O0L6RNS229TQ" localSheetId="29" hidden="1">#REF!</definedName>
    <definedName name="BExBBNLOV548SYP1O0L6RNS229TQ" localSheetId="33" hidden="1">#REF!</definedName>
    <definedName name="BExBBNLOV548SYP1O0L6RNS229TQ" localSheetId="31" hidden="1">#REF!</definedName>
    <definedName name="BExBBNLOV548SYP1O0L6RNS229TQ" localSheetId="32" hidden="1">#REF!</definedName>
    <definedName name="BExBBNLOV548SYP1O0L6RNS229TQ" hidden="1">#REF!</definedName>
    <definedName name="BExBBTG649R9I0CT042JLL8LXV18" localSheetId="30" hidden="1">#REF!</definedName>
    <definedName name="BExBBTG649R9I0CT042JLL8LXV18" localSheetId="29" hidden="1">#REF!</definedName>
    <definedName name="BExBBTG649R9I0CT042JLL8LXV18" localSheetId="33" hidden="1">#REF!</definedName>
    <definedName name="BExBBTG649R9I0CT042JLL8LXV18" localSheetId="31" hidden="1">#REF!</definedName>
    <definedName name="BExBBTG649R9I0CT042JLL8LXV18" localSheetId="32" hidden="1">#REF!</definedName>
    <definedName name="BExBBTG649R9I0CT042JLL8LXV18" hidden="1">#REF!</definedName>
    <definedName name="BExBBUCJQRR74Q7GPWDEZXYK2KJL" localSheetId="30" hidden="1">#REF!</definedName>
    <definedName name="BExBBUCJQRR74Q7GPWDEZXYK2KJL" localSheetId="29" hidden="1">#REF!</definedName>
    <definedName name="BExBBUCJQRR74Q7GPWDEZXYK2KJL" localSheetId="33" hidden="1">#REF!</definedName>
    <definedName name="BExBBUCJQRR74Q7GPWDEZXYK2KJL" localSheetId="31" hidden="1">#REF!</definedName>
    <definedName name="BExBBUCJQRR74Q7GPWDEZXYK2KJL" localSheetId="32" hidden="1">#REF!</definedName>
    <definedName name="BExBBUCJQRR74Q7GPWDEZXYK2KJL" hidden="1">#REF!</definedName>
    <definedName name="BExBBV8XVMD9CKZY711T0BN7H3PM" localSheetId="30" hidden="1">#REF!</definedName>
    <definedName name="BExBBV8XVMD9CKZY711T0BN7H3PM" localSheetId="29" hidden="1">#REF!</definedName>
    <definedName name="BExBBV8XVMD9CKZY711T0BN7H3PM" localSheetId="33" hidden="1">#REF!</definedName>
    <definedName name="BExBBV8XVMD9CKZY711T0BN7H3PM" localSheetId="31" hidden="1">#REF!</definedName>
    <definedName name="BExBBV8XVMD9CKZY711T0BN7H3PM" localSheetId="32" hidden="1">#REF!</definedName>
    <definedName name="BExBBV8XVMD9CKZY711T0BN7H3PM" hidden="1">#REF!</definedName>
    <definedName name="BExBC3HJ6HJF1Z28KZG66B3GCEHW" localSheetId="30" hidden="1">#REF!</definedName>
    <definedName name="BExBC3HJ6HJF1Z28KZG66B3GCEHW" localSheetId="29" hidden="1">#REF!</definedName>
    <definedName name="BExBC3HJ6HJF1Z28KZG66B3GCEHW" localSheetId="33" hidden="1">#REF!</definedName>
    <definedName name="BExBC3HJ6HJF1Z28KZG66B3GCEHW" localSheetId="31" hidden="1">#REF!</definedName>
    <definedName name="BExBC3HJ6HJF1Z28KZG66B3GCEHW" localSheetId="32" hidden="1">#REF!</definedName>
    <definedName name="BExBC3HJ6HJF1Z28KZG66B3GCEHW" hidden="1">#REF!</definedName>
    <definedName name="BExBC78HXWXHO3XAB6E8NVTBGLJS" localSheetId="30" hidden="1">#REF!</definedName>
    <definedName name="BExBC78HXWXHO3XAB6E8NVTBGLJS" localSheetId="29" hidden="1">#REF!</definedName>
    <definedName name="BExBC78HXWXHO3XAB6E8NVTBGLJS" localSheetId="33" hidden="1">#REF!</definedName>
    <definedName name="BExBC78HXWXHO3XAB6E8NVTBGLJS" localSheetId="31" hidden="1">#REF!</definedName>
    <definedName name="BExBC78HXWXHO3XAB6E8NVTBGLJS" localSheetId="32" hidden="1">#REF!</definedName>
    <definedName name="BExBC78HXWXHO3XAB6E8NVTBGLJS" hidden="1">#REF!</definedName>
    <definedName name="BExBCKKJTIRKC1RZJRTK65HHLX4W" localSheetId="30" hidden="1">#REF!</definedName>
    <definedName name="BExBCKKJTIRKC1RZJRTK65HHLX4W" localSheetId="29" hidden="1">#REF!</definedName>
    <definedName name="BExBCKKJTIRKC1RZJRTK65HHLX4W" localSheetId="33" hidden="1">#REF!</definedName>
    <definedName name="BExBCKKJTIRKC1RZJRTK65HHLX4W" localSheetId="31" hidden="1">#REF!</definedName>
    <definedName name="BExBCKKJTIRKC1RZJRTK65HHLX4W" localSheetId="32" hidden="1">#REF!</definedName>
    <definedName name="BExBCKKJTIRKC1RZJRTK65HHLX4W" hidden="1">#REF!</definedName>
    <definedName name="BExBCLMEPAN3XXX174TU8SS0627Q" localSheetId="30" hidden="1">#REF!</definedName>
    <definedName name="BExBCLMEPAN3XXX174TU8SS0627Q" localSheetId="29" hidden="1">#REF!</definedName>
    <definedName name="BExBCLMEPAN3XXX174TU8SS0627Q" localSheetId="33" hidden="1">#REF!</definedName>
    <definedName name="BExBCLMEPAN3XXX174TU8SS0627Q" localSheetId="31" hidden="1">#REF!</definedName>
    <definedName name="BExBCLMEPAN3XXX174TU8SS0627Q" localSheetId="32" hidden="1">#REF!</definedName>
    <definedName name="BExBCLMEPAN3XXX174TU8SS0627Q" hidden="1">#REF!</definedName>
    <definedName name="BExBCRBEYR2KZ8FAQFZ2NHY13WIY" localSheetId="30" hidden="1">#REF!</definedName>
    <definedName name="BExBCRBEYR2KZ8FAQFZ2NHY13WIY" localSheetId="29" hidden="1">#REF!</definedName>
    <definedName name="BExBCRBEYR2KZ8FAQFZ2NHY13WIY" localSheetId="33" hidden="1">#REF!</definedName>
    <definedName name="BExBCRBEYR2KZ8FAQFZ2NHY13WIY" localSheetId="31" hidden="1">#REF!</definedName>
    <definedName name="BExBCRBEYR2KZ8FAQFZ2NHY13WIY" localSheetId="32" hidden="1">#REF!</definedName>
    <definedName name="BExBCRBEYR2KZ8FAQFZ2NHY13WIY" hidden="1">#REF!</definedName>
    <definedName name="BExBCSIKE0D8SKG82XKH4LHJUOWT" localSheetId="30" hidden="1">#REF!</definedName>
    <definedName name="BExBCSIKE0D8SKG82XKH4LHJUOWT" localSheetId="29" hidden="1">#REF!</definedName>
    <definedName name="BExBCSIKE0D8SKG82XKH4LHJUOWT" localSheetId="33" hidden="1">#REF!</definedName>
    <definedName name="BExBCSIKE0D8SKG82XKH4LHJUOWT" localSheetId="31" hidden="1">#REF!</definedName>
    <definedName name="BExBCSIKE0D8SKG82XKH4LHJUOWT" localSheetId="32" hidden="1">#REF!</definedName>
    <definedName name="BExBCSIKE0D8SKG82XKH4LHJUOWT" hidden="1">#REF!</definedName>
    <definedName name="BExBD4I559NXSV6J07Q343TKYMVJ" localSheetId="30" hidden="1">#REF!</definedName>
    <definedName name="BExBD4I559NXSV6J07Q343TKYMVJ" localSheetId="29" hidden="1">#REF!</definedName>
    <definedName name="BExBD4I559NXSV6J07Q343TKYMVJ" localSheetId="33" hidden="1">#REF!</definedName>
    <definedName name="BExBD4I559NXSV6J07Q343TKYMVJ" localSheetId="31" hidden="1">#REF!</definedName>
    <definedName name="BExBD4I559NXSV6J07Q343TKYMVJ" localSheetId="32" hidden="1">#REF!</definedName>
    <definedName name="BExBD4I559NXSV6J07Q343TKYMVJ" hidden="1">#REF!</definedName>
    <definedName name="BExBDBZQLTX3OGFYGULQFK5WEZU5" localSheetId="30" hidden="1">#REF!</definedName>
    <definedName name="BExBDBZQLTX3OGFYGULQFK5WEZU5" localSheetId="29" hidden="1">#REF!</definedName>
    <definedName name="BExBDBZQLTX3OGFYGULQFK5WEZU5" localSheetId="33" hidden="1">#REF!</definedName>
    <definedName name="BExBDBZQLTX3OGFYGULQFK5WEZU5" localSheetId="31" hidden="1">#REF!</definedName>
    <definedName name="BExBDBZQLTX3OGFYGULQFK5WEZU5" localSheetId="32" hidden="1">#REF!</definedName>
    <definedName name="BExBDBZQLTX3OGFYGULQFK5WEZU5" hidden="1">#REF!</definedName>
    <definedName name="BExBDJS9TUEU8Z84IV59E5V4T8K6" localSheetId="30" hidden="1">#REF!</definedName>
    <definedName name="BExBDJS9TUEU8Z84IV59E5V4T8K6" localSheetId="29" hidden="1">#REF!</definedName>
    <definedName name="BExBDJS9TUEU8Z84IV59E5V4T8K6" localSheetId="33" hidden="1">#REF!</definedName>
    <definedName name="BExBDJS9TUEU8Z84IV59E5V4T8K6" localSheetId="31" hidden="1">#REF!</definedName>
    <definedName name="BExBDJS9TUEU8Z84IV59E5V4T8K6" localSheetId="32" hidden="1">#REF!</definedName>
    <definedName name="BExBDJS9TUEU8Z84IV59E5V4T8K6" hidden="1">#REF!</definedName>
    <definedName name="BExBDKOMSVH4XMH52CFJ3F028I9R" localSheetId="30" hidden="1">#REF!</definedName>
    <definedName name="BExBDKOMSVH4XMH52CFJ3F028I9R" localSheetId="29" hidden="1">#REF!</definedName>
    <definedName name="BExBDKOMSVH4XMH52CFJ3F028I9R" localSheetId="33" hidden="1">#REF!</definedName>
    <definedName name="BExBDKOMSVH4XMH52CFJ3F028I9R" localSheetId="31" hidden="1">#REF!</definedName>
    <definedName name="BExBDKOMSVH4XMH52CFJ3F028I9R" localSheetId="32" hidden="1">#REF!</definedName>
    <definedName name="BExBDKOMSVH4XMH52CFJ3F028I9R" hidden="1">#REF!</definedName>
    <definedName name="BExBDOQCFRV3XRLT872TCLP5258X" localSheetId="30" hidden="1">#REF!</definedName>
    <definedName name="BExBDOQCFRV3XRLT872TCLP5258X" localSheetId="29" hidden="1">#REF!</definedName>
    <definedName name="BExBDOQCFRV3XRLT872TCLP5258X" localSheetId="33" hidden="1">#REF!</definedName>
    <definedName name="BExBDOQCFRV3XRLT872TCLP5258X" localSheetId="31" hidden="1">#REF!</definedName>
    <definedName name="BExBDOQCFRV3XRLT872TCLP5258X" localSheetId="32" hidden="1">#REF!</definedName>
    <definedName name="BExBDOQCFRV3XRLT872TCLP5258X" hidden="1">#REF!</definedName>
    <definedName name="BExBDSRXVZQ0W5WXQMP5XD00GRRL" localSheetId="30" hidden="1">#REF!</definedName>
    <definedName name="BExBDSRXVZQ0W5WXQMP5XD00GRRL" localSheetId="29" hidden="1">#REF!</definedName>
    <definedName name="BExBDSRXVZQ0W5WXQMP5XD00GRRL" localSheetId="33" hidden="1">#REF!</definedName>
    <definedName name="BExBDSRXVZQ0W5WXQMP5XD00GRRL" localSheetId="31" hidden="1">#REF!</definedName>
    <definedName name="BExBDSRXVZQ0W5WXQMP5XD00GRRL" localSheetId="32" hidden="1">#REF!</definedName>
    <definedName name="BExBDSRXVZQ0W5WXQMP5XD00GRRL" hidden="1">#REF!</definedName>
    <definedName name="BExBDUVGK3E1J4JY9ZYTS7V14BLY" localSheetId="30" hidden="1">#REF!</definedName>
    <definedName name="BExBDUVGK3E1J4JY9ZYTS7V14BLY" localSheetId="29" hidden="1">#REF!</definedName>
    <definedName name="BExBDUVGK3E1J4JY9ZYTS7V14BLY" localSheetId="33" hidden="1">#REF!</definedName>
    <definedName name="BExBDUVGK3E1J4JY9ZYTS7V14BLY" localSheetId="31" hidden="1">#REF!</definedName>
    <definedName name="BExBDUVGK3E1J4JY9ZYTS7V14BLY" localSheetId="32" hidden="1">#REF!</definedName>
    <definedName name="BExBDUVGK3E1J4JY9ZYTS7V14BLY" hidden="1">#REF!</definedName>
    <definedName name="BExBE162OSBKD30I7T1DKKPT3I9I" localSheetId="30" hidden="1">#REF!</definedName>
    <definedName name="BExBE162OSBKD30I7T1DKKPT3I9I" localSheetId="29" hidden="1">#REF!</definedName>
    <definedName name="BExBE162OSBKD30I7T1DKKPT3I9I" localSheetId="33" hidden="1">#REF!</definedName>
    <definedName name="BExBE162OSBKD30I7T1DKKPT3I9I" localSheetId="31" hidden="1">#REF!</definedName>
    <definedName name="BExBE162OSBKD30I7T1DKKPT3I9I" localSheetId="32" hidden="1">#REF!</definedName>
    <definedName name="BExBE162OSBKD30I7T1DKKPT3I9I" hidden="1">#REF!</definedName>
    <definedName name="BExBE39KZNPYRV26TRDA7PGA5TUW" localSheetId="30" hidden="1">#REF!</definedName>
    <definedName name="BExBE39KZNPYRV26TRDA7PGA5TUW" localSheetId="29" hidden="1">#REF!</definedName>
    <definedName name="BExBE39KZNPYRV26TRDA7PGA5TUW" localSheetId="33" hidden="1">#REF!</definedName>
    <definedName name="BExBE39KZNPYRV26TRDA7PGA5TUW" localSheetId="31" hidden="1">#REF!</definedName>
    <definedName name="BExBE39KZNPYRV26TRDA7PGA5TUW" localSheetId="32" hidden="1">#REF!</definedName>
    <definedName name="BExBE39KZNPYRV26TRDA7PGA5TUW" hidden="1">#REF!</definedName>
    <definedName name="BExBEC9ATLQZF86W1M3APSM4HEOH" localSheetId="30" hidden="1">#REF!</definedName>
    <definedName name="BExBEC9ATLQZF86W1M3APSM4HEOH" localSheetId="29" hidden="1">#REF!</definedName>
    <definedName name="BExBEC9ATLQZF86W1M3APSM4HEOH" localSheetId="33" hidden="1">#REF!</definedName>
    <definedName name="BExBEC9ATLQZF86W1M3APSM4HEOH" localSheetId="31" hidden="1">#REF!</definedName>
    <definedName name="BExBEC9ATLQZF86W1M3APSM4HEOH" localSheetId="32" hidden="1">#REF!</definedName>
    <definedName name="BExBEC9ATLQZF86W1M3APSM4HEOH" hidden="1">#REF!</definedName>
    <definedName name="BExBEJR0CSMU6BMWQHOS41B7HJIS" localSheetId="30" hidden="1">#REF!</definedName>
    <definedName name="BExBEJR0CSMU6BMWQHOS41B7HJIS" localSheetId="29" hidden="1">#REF!</definedName>
    <definedName name="BExBEJR0CSMU6BMWQHOS41B7HJIS" localSheetId="33" hidden="1">#REF!</definedName>
    <definedName name="BExBEJR0CSMU6BMWQHOS41B7HJIS" localSheetId="31" hidden="1">#REF!</definedName>
    <definedName name="BExBEJR0CSMU6BMWQHOS41B7HJIS" localSheetId="32" hidden="1">#REF!</definedName>
    <definedName name="BExBEJR0CSMU6BMWQHOS41B7HJIS" hidden="1">#REF!</definedName>
    <definedName name="BExBEYFQJE9YK12A6JBMRFKEC7RN" localSheetId="30" hidden="1">#REF!</definedName>
    <definedName name="BExBEYFQJE9YK12A6JBMRFKEC7RN" localSheetId="29" hidden="1">#REF!</definedName>
    <definedName name="BExBEYFQJE9YK12A6JBMRFKEC7RN" localSheetId="33" hidden="1">#REF!</definedName>
    <definedName name="BExBEYFQJE9YK12A6JBMRFKEC7RN" localSheetId="31" hidden="1">#REF!</definedName>
    <definedName name="BExBEYFQJE9YK12A6JBMRFKEC7RN" localSheetId="32" hidden="1">#REF!</definedName>
    <definedName name="BExBEYFQJE9YK12A6JBMRFKEC7RN" hidden="1">#REF!</definedName>
    <definedName name="BExBG1ED81J2O4A2S5F5Y3BPHMCR" localSheetId="30" hidden="1">#REF!</definedName>
    <definedName name="BExBG1ED81J2O4A2S5F5Y3BPHMCR" localSheetId="29" hidden="1">#REF!</definedName>
    <definedName name="BExBG1ED81J2O4A2S5F5Y3BPHMCR" localSheetId="33" hidden="1">#REF!</definedName>
    <definedName name="BExBG1ED81J2O4A2S5F5Y3BPHMCR" localSheetId="31" hidden="1">#REF!</definedName>
    <definedName name="BExBG1ED81J2O4A2S5F5Y3BPHMCR" localSheetId="32" hidden="1">#REF!</definedName>
    <definedName name="BExBG1ED81J2O4A2S5F5Y3BPHMCR" hidden="1">#REF!</definedName>
    <definedName name="BExCRLIHS7466WFJ3RPIUGGXYESZ" localSheetId="30" hidden="1">#REF!</definedName>
    <definedName name="BExCRLIHS7466WFJ3RPIUGGXYESZ" localSheetId="29" hidden="1">#REF!</definedName>
    <definedName name="BExCRLIHS7466WFJ3RPIUGGXYESZ" localSheetId="33" hidden="1">#REF!</definedName>
    <definedName name="BExCRLIHS7466WFJ3RPIUGGXYESZ" localSheetId="31" hidden="1">#REF!</definedName>
    <definedName name="BExCRLIHS7466WFJ3RPIUGGXYESZ" localSheetId="32" hidden="1">#REF!</definedName>
    <definedName name="BExCRLIHS7466WFJ3RPIUGGXYESZ" hidden="1">#REF!</definedName>
    <definedName name="BExCS1EDDUEAEWHVYXHIP9I1WCJH" localSheetId="30" hidden="1">#REF!</definedName>
    <definedName name="BExCS1EDDUEAEWHVYXHIP9I1WCJH" localSheetId="29" hidden="1">#REF!</definedName>
    <definedName name="BExCS1EDDUEAEWHVYXHIP9I1WCJH" localSheetId="33" hidden="1">#REF!</definedName>
    <definedName name="BExCS1EDDUEAEWHVYXHIP9I1WCJH" localSheetId="31" hidden="1">#REF!</definedName>
    <definedName name="BExCS1EDDUEAEWHVYXHIP9I1WCJH" localSheetId="32" hidden="1">#REF!</definedName>
    <definedName name="BExCS1EDDUEAEWHVYXHIP9I1WCJH" hidden="1">#REF!</definedName>
    <definedName name="BExCS5ANPVR08AQ9DH9T88QETJZ1" localSheetId="30" hidden="1">#REF!</definedName>
    <definedName name="BExCS5ANPVR08AQ9DH9T88QETJZ1" localSheetId="29" hidden="1">#REF!</definedName>
    <definedName name="BExCS5ANPVR08AQ9DH9T88QETJZ1" localSheetId="33" hidden="1">#REF!</definedName>
    <definedName name="BExCS5ANPVR08AQ9DH9T88QETJZ1" localSheetId="31" hidden="1">#REF!</definedName>
    <definedName name="BExCS5ANPVR08AQ9DH9T88QETJZ1" localSheetId="32" hidden="1">#REF!</definedName>
    <definedName name="BExCS5ANPVR08AQ9DH9T88QETJZ1" hidden="1">#REF!</definedName>
    <definedName name="BExCS6SLRCBH006GNRE27HFRHP40" localSheetId="30" hidden="1">#REF!</definedName>
    <definedName name="BExCS6SLRCBH006GNRE27HFRHP40" localSheetId="29" hidden="1">#REF!</definedName>
    <definedName name="BExCS6SLRCBH006GNRE27HFRHP40" localSheetId="33" hidden="1">#REF!</definedName>
    <definedName name="BExCS6SLRCBH006GNRE27HFRHP40" localSheetId="31" hidden="1">#REF!</definedName>
    <definedName name="BExCS6SLRCBH006GNRE27HFRHP40" localSheetId="32" hidden="1">#REF!</definedName>
    <definedName name="BExCS6SLRCBH006GNRE27HFRHP40" hidden="1">#REF!</definedName>
    <definedName name="BExCS7ZPMHFJ4UJDAL8CQOLSZ13B" localSheetId="30" hidden="1">#REF!</definedName>
    <definedName name="BExCS7ZPMHFJ4UJDAL8CQOLSZ13B" localSheetId="29" hidden="1">#REF!</definedName>
    <definedName name="BExCS7ZPMHFJ4UJDAL8CQOLSZ13B" localSheetId="33" hidden="1">#REF!</definedName>
    <definedName name="BExCS7ZPMHFJ4UJDAL8CQOLSZ13B" localSheetId="31" hidden="1">#REF!</definedName>
    <definedName name="BExCS7ZPMHFJ4UJDAL8CQOLSZ13B" localSheetId="32" hidden="1">#REF!</definedName>
    <definedName name="BExCS7ZPMHFJ4UJDAL8CQOLSZ13B" hidden="1">#REF!</definedName>
    <definedName name="BExCS8W4NJUZH9S1CYB6XSDLEPBW" localSheetId="30" hidden="1">#REF!</definedName>
    <definedName name="BExCS8W4NJUZH9S1CYB6XSDLEPBW" localSheetId="29" hidden="1">#REF!</definedName>
    <definedName name="BExCS8W4NJUZH9S1CYB6XSDLEPBW" localSheetId="33" hidden="1">#REF!</definedName>
    <definedName name="BExCS8W4NJUZH9S1CYB6XSDLEPBW" localSheetId="31" hidden="1">#REF!</definedName>
    <definedName name="BExCS8W4NJUZH9S1CYB6XSDLEPBW" localSheetId="32" hidden="1">#REF!</definedName>
    <definedName name="BExCS8W4NJUZH9S1CYB6XSDLEPBW" hidden="1">#REF!</definedName>
    <definedName name="BExCSAE1M6G20R41J0Y24YNN0YC1" localSheetId="30" hidden="1">#REF!</definedName>
    <definedName name="BExCSAE1M6G20R41J0Y24YNN0YC1" localSheetId="29" hidden="1">#REF!</definedName>
    <definedName name="BExCSAE1M6G20R41J0Y24YNN0YC1" localSheetId="33" hidden="1">#REF!</definedName>
    <definedName name="BExCSAE1M6G20R41J0Y24YNN0YC1" localSheetId="31" hidden="1">#REF!</definedName>
    <definedName name="BExCSAE1M6G20R41J0Y24YNN0YC1" localSheetId="32" hidden="1">#REF!</definedName>
    <definedName name="BExCSAE1M6G20R41J0Y24YNN0YC1" hidden="1">#REF!</definedName>
    <definedName name="BExCSAOUZOYKHN7HV511TO8VDJ02" localSheetId="30" hidden="1">#REF!</definedName>
    <definedName name="BExCSAOUZOYKHN7HV511TO8VDJ02" localSheetId="29" hidden="1">#REF!</definedName>
    <definedName name="BExCSAOUZOYKHN7HV511TO8VDJ02" localSheetId="33" hidden="1">#REF!</definedName>
    <definedName name="BExCSAOUZOYKHN7HV511TO8VDJ02" localSheetId="31" hidden="1">#REF!</definedName>
    <definedName name="BExCSAOUZOYKHN7HV511TO8VDJ02" localSheetId="32" hidden="1">#REF!</definedName>
    <definedName name="BExCSAOUZOYKHN7HV511TO8VDJ02" hidden="1">#REF!</definedName>
    <definedName name="BExCSMOFTXSUEC1T46LR1UPYRCX5" localSheetId="30" hidden="1">#REF!</definedName>
    <definedName name="BExCSMOFTXSUEC1T46LR1UPYRCX5" localSheetId="29" hidden="1">#REF!</definedName>
    <definedName name="BExCSMOFTXSUEC1T46LR1UPYRCX5" localSheetId="33" hidden="1">#REF!</definedName>
    <definedName name="BExCSMOFTXSUEC1T46LR1UPYRCX5" localSheetId="31" hidden="1">#REF!</definedName>
    <definedName name="BExCSMOFTXSUEC1T46LR1UPYRCX5" localSheetId="32" hidden="1">#REF!</definedName>
    <definedName name="BExCSMOFTXSUEC1T46LR1UPYRCX5" hidden="1">#REF!</definedName>
    <definedName name="BExCSSDG3TM6TPKS19E9QYJEELZ6" localSheetId="30" hidden="1">#REF!</definedName>
    <definedName name="BExCSSDG3TM6TPKS19E9QYJEELZ6" localSheetId="29" hidden="1">#REF!</definedName>
    <definedName name="BExCSSDG3TM6TPKS19E9QYJEELZ6" localSheetId="33" hidden="1">#REF!</definedName>
    <definedName name="BExCSSDG3TM6TPKS19E9QYJEELZ6" localSheetId="31" hidden="1">#REF!</definedName>
    <definedName name="BExCSSDG3TM6TPKS19E9QYJEELZ6" localSheetId="32" hidden="1">#REF!</definedName>
    <definedName name="BExCSSDG3TM6TPKS19E9QYJEELZ6" hidden="1">#REF!</definedName>
    <definedName name="BExCSYO1S31OBTGELJI5LQGXE7UO" localSheetId="30" hidden="1">#REF!</definedName>
    <definedName name="BExCSYO1S31OBTGELJI5LQGXE7UO" localSheetId="29" hidden="1">#REF!</definedName>
    <definedName name="BExCSYO1S31OBTGELJI5LQGXE7UO" localSheetId="33" hidden="1">#REF!</definedName>
    <definedName name="BExCSYO1S31OBTGELJI5LQGXE7UO" localSheetId="31" hidden="1">#REF!</definedName>
    <definedName name="BExCSYO1S31OBTGELJI5LQGXE7UO" localSheetId="32" hidden="1">#REF!</definedName>
    <definedName name="BExCSYO1S31OBTGELJI5LQGXE7UO" hidden="1">#REF!</definedName>
    <definedName name="BExCSZV7U67UWXL2HKJNM5W1E4OO" localSheetId="30" hidden="1">#REF!</definedName>
    <definedName name="BExCSZV7U67UWXL2HKJNM5W1E4OO" localSheetId="29" hidden="1">#REF!</definedName>
    <definedName name="BExCSZV7U67UWXL2HKJNM5W1E4OO" localSheetId="33" hidden="1">#REF!</definedName>
    <definedName name="BExCSZV7U67UWXL2HKJNM5W1E4OO" localSheetId="31" hidden="1">#REF!</definedName>
    <definedName name="BExCSZV7U67UWXL2HKJNM5W1E4OO" localSheetId="32" hidden="1">#REF!</definedName>
    <definedName name="BExCSZV7U67UWXL2HKJNM5W1E4OO" hidden="1">#REF!</definedName>
    <definedName name="BExCT4NSDT61OCH04Y2QIFIOP75H" localSheetId="30" hidden="1">#REF!</definedName>
    <definedName name="BExCT4NSDT61OCH04Y2QIFIOP75H" localSheetId="29" hidden="1">#REF!</definedName>
    <definedName name="BExCT4NSDT61OCH04Y2QIFIOP75H" localSheetId="33" hidden="1">#REF!</definedName>
    <definedName name="BExCT4NSDT61OCH04Y2QIFIOP75H" localSheetId="31" hidden="1">#REF!</definedName>
    <definedName name="BExCT4NSDT61OCH04Y2QIFIOP75H" localSheetId="32" hidden="1">#REF!</definedName>
    <definedName name="BExCT4NSDT61OCH04Y2QIFIOP75H" hidden="1">#REF!</definedName>
    <definedName name="BExCTJY46OP0AJXS43I44XQ9SYV2" localSheetId="30" hidden="1">#REF!</definedName>
    <definedName name="BExCTJY46OP0AJXS43I44XQ9SYV2" localSheetId="29" hidden="1">#REF!</definedName>
    <definedName name="BExCTJY46OP0AJXS43I44XQ9SYV2" localSheetId="33" hidden="1">#REF!</definedName>
    <definedName name="BExCTJY46OP0AJXS43I44XQ9SYV2" localSheetId="31" hidden="1">#REF!</definedName>
    <definedName name="BExCTJY46OP0AJXS43I44XQ9SYV2" localSheetId="32" hidden="1">#REF!</definedName>
    <definedName name="BExCTJY46OP0AJXS43I44XQ9SYV2" hidden="1">#REF!</definedName>
    <definedName name="BExCTW8G3VCZ55S09HTUGXKB1P2M" localSheetId="30" hidden="1">#REF!</definedName>
    <definedName name="BExCTW8G3VCZ55S09HTUGXKB1P2M" localSheetId="29" hidden="1">#REF!</definedName>
    <definedName name="BExCTW8G3VCZ55S09HTUGXKB1P2M" localSheetId="33" hidden="1">#REF!</definedName>
    <definedName name="BExCTW8G3VCZ55S09HTUGXKB1P2M" localSheetId="31" hidden="1">#REF!</definedName>
    <definedName name="BExCTW8G3VCZ55S09HTUGXKB1P2M" localSheetId="32" hidden="1">#REF!</definedName>
    <definedName name="BExCTW8G3VCZ55S09HTUGXKB1P2M" hidden="1">#REF!</definedName>
    <definedName name="BExCTYS2KX0QANOLT8LGZ9WV3S3T" localSheetId="30" hidden="1">#REF!</definedName>
    <definedName name="BExCTYS2KX0QANOLT8LGZ9WV3S3T" localSheetId="29" hidden="1">#REF!</definedName>
    <definedName name="BExCTYS2KX0QANOLT8LGZ9WV3S3T" localSheetId="33" hidden="1">#REF!</definedName>
    <definedName name="BExCTYS2KX0QANOLT8LGZ9WV3S3T" localSheetId="31" hidden="1">#REF!</definedName>
    <definedName name="BExCTYS2KX0QANOLT8LGZ9WV3S3T" localSheetId="32" hidden="1">#REF!</definedName>
    <definedName name="BExCTYS2KX0QANOLT8LGZ9WV3S3T" hidden="1">#REF!</definedName>
    <definedName name="BExCTZZ9JNES4EDHW97NP0EGQALX" localSheetId="30" hidden="1">#REF!</definedName>
    <definedName name="BExCTZZ9JNES4EDHW97NP0EGQALX" localSheetId="29" hidden="1">#REF!</definedName>
    <definedName name="BExCTZZ9JNES4EDHW97NP0EGQALX" localSheetId="33" hidden="1">#REF!</definedName>
    <definedName name="BExCTZZ9JNES4EDHW97NP0EGQALX" localSheetId="31" hidden="1">#REF!</definedName>
    <definedName name="BExCTZZ9JNES4EDHW97NP0EGQALX" localSheetId="32" hidden="1">#REF!</definedName>
    <definedName name="BExCTZZ9JNES4EDHW97NP0EGQALX" hidden="1">#REF!</definedName>
    <definedName name="BExCU0A1V6NMZQ9ASYJ8QIVQ5UR2" localSheetId="30" hidden="1">#REF!</definedName>
    <definedName name="BExCU0A1V6NMZQ9ASYJ8QIVQ5UR2" localSheetId="29" hidden="1">#REF!</definedName>
    <definedName name="BExCU0A1V6NMZQ9ASYJ8QIVQ5UR2" localSheetId="33" hidden="1">#REF!</definedName>
    <definedName name="BExCU0A1V6NMZQ9ASYJ8QIVQ5UR2" localSheetId="31" hidden="1">#REF!</definedName>
    <definedName name="BExCU0A1V6NMZQ9ASYJ8QIVQ5UR2" localSheetId="32" hidden="1">#REF!</definedName>
    <definedName name="BExCU0A1V6NMZQ9ASYJ8QIVQ5UR2" hidden="1">#REF!</definedName>
    <definedName name="BExCU2834920JBHSPCRC4UF80OLL" localSheetId="30" hidden="1">#REF!</definedName>
    <definedName name="BExCU2834920JBHSPCRC4UF80OLL" localSheetId="29" hidden="1">#REF!</definedName>
    <definedName name="BExCU2834920JBHSPCRC4UF80OLL" localSheetId="33" hidden="1">#REF!</definedName>
    <definedName name="BExCU2834920JBHSPCRC4UF80OLL" localSheetId="31" hidden="1">#REF!</definedName>
    <definedName name="BExCU2834920JBHSPCRC4UF80OLL" localSheetId="32" hidden="1">#REF!</definedName>
    <definedName name="BExCU2834920JBHSPCRC4UF80OLL" hidden="1">#REF!</definedName>
    <definedName name="BExCU8O54I3P3WRYWY1CRP3S78QY" localSheetId="30" hidden="1">#REF!</definedName>
    <definedName name="BExCU8O54I3P3WRYWY1CRP3S78QY" localSheetId="29" hidden="1">#REF!</definedName>
    <definedName name="BExCU8O54I3P3WRYWY1CRP3S78QY" localSheetId="33" hidden="1">#REF!</definedName>
    <definedName name="BExCU8O54I3P3WRYWY1CRP3S78QY" localSheetId="31" hidden="1">#REF!</definedName>
    <definedName name="BExCU8O54I3P3WRYWY1CRP3S78QY" localSheetId="32" hidden="1">#REF!</definedName>
    <definedName name="BExCU8O54I3P3WRYWY1CRP3S78QY" hidden="1">#REF!</definedName>
    <definedName name="BExCUDRJO23YOKT8GPWOVQ4XEHF5" localSheetId="30" hidden="1">#REF!</definedName>
    <definedName name="BExCUDRJO23YOKT8GPWOVQ4XEHF5" localSheetId="29" hidden="1">#REF!</definedName>
    <definedName name="BExCUDRJO23YOKT8GPWOVQ4XEHF5" localSheetId="33" hidden="1">#REF!</definedName>
    <definedName name="BExCUDRJO23YOKT8GPWOVQ4XEHF5" localSheetId="31" hidden="1">#REF!</definedName>
    <definedName name="BExCUDRJO23YOKT8GPWOVQ4XEHF5" localSheetId="32" hidden="1">#REF!</definedName>
    <definedName name="BExCUDRJO23YOKT8GPWOVQ4XEHF5" hidden="1">#REF!</definedName>
    <definedName name="BExCUPAXFR16YMWL30ME3F3BSRDZ" localSheetId="30" hidden="1">#REF!</definedName>
    <definedName name="BExCUPAXFR16YMWL30ME3F3BSRDZ" localSheetId="29" hidden="1">#REF!</definedName>
    <definedName name="BExCUPAXFR16YMWL30ME3F3BSRDZ" localSheetId="33" hidden="1">#REF!</definedName>
    <definedName name="BExCUPAXFR16YMWL30ME3F3BSRDZ" localSheetId="31" hidden="1">#REF!</definedName>
    <definedName name="BExCUPAXFR16YMWL30ME3F3BSRDZ" localSheetId="32" hidden="1">#REF!</definedName>
    <definedName name="BExCUPAXFR16YMWL30ME3F3BSRDZ" hidden="1">#REF!</definedName>
    <definedName name="BExCUR94DHCE47PUUWEMT5QZOYR2" localSheetId="30" hidden="1">#REF!</definedName>
    <definedName name="BExCUR94DHCE47PUUWEMT5QZOYR2" localSheetId="29" hidden="1">#REF!</definedName>
    <definedName name="BExCUR94DHCE47PUUWEMT5QZOYR2" localSheetId="33" hidden="1">#REF!</definedName>
    <definedName name="BExCUR94DHCE47PUUWEMT5QZOYR2" localSheetId="31" hidden="1">#REF!</definedName>
    <definedName name="BExCUR94DHCE47PUUWEMT5QZOYR2" localSheetId="32" hidden="1">#REF!</definedName>
    <definedName name="BExCUR94DHCE47PUUWEMT5QZOYR2" hidden="1">#REF!</definedName>
    <definedName name="BExCV634L7SVHGB0UDDTRRQ2Q72H" localSheetId="30" hidden="1">#REF!</definedName>
    <definedName name="BExCV634L7SVHGB0UDDTRRQ2Q72H" localSheetId="29" hidden="1">#REF!</definedName>
    <definedName name="BExCV634L7SVHGB0UDDTRRQ2Q72H" localSheetId="33" hidden="1">#REF!</definedName>
    <definedName name="BExCV634L7SVHGB0UDDTRRQ2Q72H" localSheetId="31" hidden="1">#REF!</definedName>
    <definedName name="BExCV634L7SVHGB0UDDTRRQ2Q72H" localSheetId="32" hidden="1">#REF!</definedName>
    <definedName name="BExCV634L7SVHGB0UDDTRRQ2Q72H" hidden="1">#REF!</definedName>
    <definedName name="BExCVBXGSXT9FWJRG62PX9S1RK83" localSheetId="30" hidden="1">#REF!</definedName>
    <definedName name="BExCVBXGSXT9FWJRG62PX9S1RK83" localSheetId="29" hidden="1">#REF!</definedName>
    <definedName name="BExCVBXGSXT9FWJRG62PX9S1RK83" localSheetId="33" hidden="1">#REF!</definedName>
    <definedName name="BExCVBXGSXT9FWJRG62PX9S1RK83" localSheetId="31" hidden="1">#REF!</definedName>
    <definedName name="BExCVBXGSXT9FWJRG62PX9S1RK83" localSheetId="32" hidden="1">#REF!</definedName>
    <definedName name="BExCVBXGSXT9FWJRG62PX9S1RK83" hidden="1">#REF!</definedName>
    <definedName name="BExCVHBNLOHNFS0JAV3I1XGPNH9W" localSheetId="30" hidden="1">#REF!</definedName>
    <definedName name="BExCVHBNLOHNFS0JAV3I1XGPNH9W" localSheetId="29" hidden="1">#REF!</definedName>
    <definedName name="BExCVHBNLOHNFS0JAV3I1XGPNH9W" localSheetId="33" hidden="1">#REF!</definedName>
    <definedName name="BExCVHBNLOHNFS0JAV3I1XGPNH9W" localSheetId="31" hidden="1">#REF!</definedName>
    <definedName name="BExCVHBNLOHNFS0JAV3I1XGPNH9W" localSheetId="32" hidden="1">#REF!</definedName>
    <definedName name="BExCVHBNLOHNFS0JAV3I1XGPNH9W" hidden="1">#REF!</definedName>
    <definedName name="BExCVI86R31A2IOZIEBY1FJLVILD" localSheetId="30" hidden="1">#REF!</definedName>
    <definedName name="BExCVI86R31A2IOZIEBY1FJLVILD" localSheetId="29" hidden="1">#REF!</definedName>
    <definedName name="BExCVI86R31A2IOZIEBY1FJLVILD" localSheetId="33" hidden="1">#REF!</definedName>
    <definedName name="BExCVI86R31A2IOZIEBY1FJLVILD" localSheetId="31" hidden="1">#REF!</definedName>
    <definedName name="BExCVI86R31A2IOZIEBY1FJLVILD" localSheetId="32" hidden="1">#REF!</definedName>
    <definedName name="BExCVI86R31A2IOZIEBY1FJLVILD" hidden="1">#REF!</definedName>
    <definedName name="BExCVKGZXE0I9EIXKBZVSGSEY2RR" localSheetId="30" hidden="1">#REF!</definedName>
    <definedName name="BExCVKGZXE0I9EIXKBZVSGSEY2RR" localSheetId="29" hidden="1">#REF!</definedName>
    <definedName name="BExCVKGZXE0I9EIXKBZVSGSEY2RR" localSheetId="33" hidden="1">#REF!</definedName>
    <definedName name="BExCVKGZXE0I9EIXKBZVSGSEY2RR" localSheetId="31" hidden="1">#REF!</definedName>
    <definedName name="BExCVKGZXE0I9EIXKBZVSGSEY2RR" localSheetId="32" hidden="1">#REF!</definedName>
    <definedName name="BExCVKGZXE0I9EIXKBZVSGSEY2RR" hidden="1">#REF!</definedName>
    <definedName name="BExCVQ0K2R1ZX3OCDSGIQK7PIBOB" localSheetId="30" hidden="1">#REF!</definedName>
    <definedName name="BExCVQ0K2R1ZX3OCDSGIQK7PIBOB" localSheetId="29" hidden="1">#REF!</definedName>
    <definedName name="BExCVQ0K2R1ZX3OCDSGIQK7PIBOB" localSheetId="33" hidden="1">#REF!</definedName>
    <definedName name="BExCVQ0K2R1ZX3OCDSGIQK7PIBOB" localSheetId="31" hidden="1">#REF!</definedName>
    <definedName name="BExCVQ0K2R1ZX3OCDSGIQK7PIBOB" localSheetId="32" hidden="1">#REF!</definedName>
    <definedName name="BExCVQ0K2R1ZX3OCDSGIQK7PIBOB" hidden="1">#REF!</definedName>
    <definedName name="BExCVV44WY5807WGMTGKPW0GT256" localSheetId="30" hidden="1">#REF!</definedName>
    <definedName name="BExCVV44WY5807WGMTGKPW0GT256" localSheetId="29" hidden="1">#REF!</definedName>
    <definedName name="BExCVV44WY5807WGMTGKPW0GT256" localSheetId="33" hidden="1">#REF!</definedName>
    <definedName name="BExCVV44WY5807WGMTGKPW0GT256" localSheetId="31" hidden="1">#REF!</definedName>
    <definedName name="BExCVV44WY5807WGMTGKPW0GT256" localSheetId="32" hidden="1">#REF!</definedName>
    <definedName name="BExCVV44WY5807WGMTGKPW0GT256" hidden="1">#REF!</definedName>
    <definedName name="BExCVZ5PN4V6MRBZ04PZJW3GEF8S" localSheetId="30" hidden="1">#REF!</definedName>
    <definedName name="BExCVZ5PN4V6MRBZ04PZJW3GEF8S" localSheetId="29" hidden="1">#REF!</definedName>
    <definedName name="BExCVZ5PN4V6MRBZ04PZJW3GEF8S" localSheetId="33" hidden="1">#REF!</definedName>
    <definedName name="BExCVZ5PN4V6MRBZ04PZJW3GEF8S" localSheetId="31" hidden="1">#REF!</definedName>
    <definedName name="BExCVZ5PN4V6MRBZ04PZJW3GEF8S" localSheetId="32" hidden="1">#REF!</definedName>
    <definedName name="BExCVZ5PN4V6MRBZ04PZJW3GEF8S" hidden="1">#REF!</definedName>
    <definedName name="BExCW13R0GWJYGXZBNCPAHQN4NR2" localSheetId="30" hidden="1">#REF!</definedName>
    <definedName name="BExCW13R0GWJYGXZBNCPAHQN4NR2" localSheetId="29" hidden="1">#REF!</definedName>
    <definedName name="BExCW13R0GWJYGXZBNCPAHQN4NR2" localSheetId="33" hidden="1">#REF!</definedName>
    <definedName name="BExCW13R0GWJYGXZBNCPAHQN4NR2" localSheetId="31" hidden="1">#REF!</definedName>
    <definedName name="BExCW13R0GWJYGXZBNCPAHQN4NR2" localSheetId="32" hidden="1">#REF!</definedName>
    <definedName name="BExCW13R0GWJYGXZBNCPAHQN4NR2" hidden="1">#REF!</definedName>
    <definedName name="BExCW9Y5HWU4RJTNX74O6L24VGCK" localSheetId="30" hidden="1">#REF!</definedName>
    <definedName name="BExCW9Y5HWU4RJTNX74O6L24VGCK" localSheetId="29" hidden="1">#REF!</definedName>
    <definedName name="BExCW9Y5HWU4RJTNX74O6L24VGCK" localSheetId="33" hidden="1">#REF!</definedName>
    <definedName name="BExCW9Y5HWU4RJTNX74O6L24VGCK" localSheetId="31" hidden="1">#REF!</definedName>
    <definedName name="BExCW9Y5HWU4RJTNX74O6L24VGCK" localSheetId="32" hidden="1">#REF!</definedName>
    <definedName name="BExCW9Y5HWU4RJTNX74O6L24VGCK" hidden="1">#REF!</definedName>
    <definedName name="BExCWPDPESGZS07QGBLSBWDNVJLZ" localSheetId="30" hidden="1">#REF!</definedName>
    <definedName name="BExCWPDPESGZS07QGBLSBWDNVJLZ" localSheetId="29" hidden="1">#REF!</definedName>
    <definedName name="BExCWPDPESGZS07QGBLSBWDNVJLZ" localSheetId="33" hidden="1">#REF!</definedName>
    <definedName name="BExCWPDPESGZS07QGBLSBWDNVJLZ" localSheetId="31" hidden="1">#REF!</definedName>
    <definedName name="BExCWPDPESGZS07QGBLSBWDNVJLZ" localSheetId="32" hidden="1">#REF!</definedName>
    <definedName name="BExCWPDPESGZS07QGBLSBWDNVJLZ" hidden="1">#REF!</definedName>
    <definedName name="BExCWRBWLWRU8KYNG4DYH4C6BAK0" localSheetId="30" hidden="1">#REF!</definedName>
    <definedName name="BExCWRBWLWRU8KYNG4DYH4C6BAK0" localSheetId="29" hidden="1">#REF!</definedName>
    <definedName name="BExCWRBWLWRU8KYNG4DYH4C6BAK0" localSheetId="33" hidden="1">#REF!</definedName>
    <definedName name="BExCWRBWLWRU8KYNG4DYH4C6BAK0" localSheetId="31" hidden="1">#REF!</definedName>
    <definedName name="BExCWRBWLWRU8KYNG4DYH4C6BAK0" localSheetId="32" hidden="1">#REF!</definedName>
    <definedName name="BExCWRBWLWRU8KYNG4DYH4C6BAK0" hidden="1">#REF!</definedName>
    <definedName name="BExCWTVKHIVCRHF8GC39KI58YM5K" localSheetId="30" hidden="1">#REF!</definedName>
    <definedName name="BExCWTVKHIVCRHF8GC39KI58YM5K" localSheetId="29" hidden="1">#REF!</definedName>
    <definedName name="BExCWTVKHIVCRHF8GC39KI58YM5K" localSheetId="33" hidden="1">#REF!</definedName>
    <definedName name="BExCWTVKHIVCRHF8GC39KI58YM5K" localSheetId="31" hidden="1">#REF!</definedName>
    <definedName name="BExCWTVKHIVCRHF8GC39KI58YM5K" localSheetId="32" hidden="1">#REF!</definedName>
    <definedName name="BExCWTVKHIVCRHF8GC39KI58YM5K" hidden="1">#REF!</definedName>
    <definedName name="BExCX2KGRZBRVLZNM8SUSIE6A0RL" localSheetId="30" hidden="1">#REF!</definedName>
    <definedName name="BExCX2KGRZBRVLZNM8SUSIE6A0RL" localSheetId="29" hidden="1">#REF!</definedName>
    <definedName name="BExCX2KGRZBRVLZNM8SUSIE6A0RL" localSheetId="33" hidden="1">#REF!</definedName>
    <definedName name="BExCX2KGRZBRVLZNM8SUSIE6A0RL" localSheetId="31" hidden="1">#REF!</definedName>
    <definedName name="BExCX2KGRZBRVLZNM8SUSIE6A0RL" localSheetId="32" hidden="1">#REF!</definedName>
    <definedName name="BExCX2KGRZBRVLZNM8SUSIE6A0RL" hidden="1">#REF!</definedName>
    <definedName name="BExCX3X451T70LZ1VF95L7W4Y4TM" localSheetId="30" hidden="1">#REF!</definedName>
    <definedName name="BExCX3X451T70LZ1VF95L7W4Y4TM" localSheetId="29" hidden="1">#REF!</definedName>
    <definedName name="BExCX3X451T70LZ1VF95L7W4Y4TM" localSheetId="33" hidden="1">#REF!</definedName>
    <definedName name="BExCX3X451T70LZ1VF95L7W4Y4TM" localSheetId="31" hidden="1">#REF!</definedName>
    <definedName name="BExCX3X451T70LZ1VF95L7W4Y4TM" localSheetId="32" hidden="1">#REF!</definedName>
    <definedName name="BExCX3X451T70LZ1VF95L7W4Y4TM" hidden="1">#REF!</definedName>
    <definedName name="BExCX4NZ2N1OUGXM7EV0U7VULJMM" localSheetId="30" hidden="1">#REF!</definedName>
    <definedName name="BExCX4NZ2N1OUGXM7EV0U7VULJMM" localSheetId="29" hidden="1">#REF!</definedName>
    <definedName name="BExCX4NZ2N1OUGXM7EV0U7VULJMM" localSheetId="33" hidden="1">#REF!</definedName>
    <definedName name="BExCX4NZ2N1OUGXM7EV0U7VULJMM" localSheetId="31" hidden="1">#REF!</definedName>
    <definedName name="BExCX4NZ2N1OUGXM7EV0U7VULJMM" localSheetId="32" hidden="1">#REF!</definedName>
    <definedName name="BExCX4NZ2N1OUGXM7EV0U7VULJMM" hidden="1">#REF!</definedName>
    <definedName name="BExCXILMURGYMAH6N5LF5DV6K3GM" localSheetId="30" hidden="1">#REF!</definedName>
    <definedName name="BExCXILMURGYMAH6N5LF5DV6K3GM" localSheetId="29" hidden="1">#REF!</definedName>
    <definedName name="BExCXILMURGYMAH6N5LF5DV6K3GM" localSheetId="33" hidden="1">#REF!</definedName>
    <definedName name="BExCXILMURGYMAH6N5LF5DV6K3GM" localSheetId="31" hidden="1">#REF!</definedName>
    <definedName name="BExCXILMURGYMAH6N5LF5DV6K3GM" localSheetId="32" hidden="1">#REF!</definedName>
    <definedName name="BExCXILMURGYMAH6N5LF5DV6K3GM" hidden="1">#REF!</definedName>
    <definedName name="BExCXQUFBMXQ1650735H48B1AZT3" localSheetId="30" hidden="1">#REF!</definedName>
    <definedName name="BExCXQUFBMXQ1650735H48B1AZT3" localSheetId="29" hidden="1">#REF!</definedName>
    <definedName name="BExCXQUFBMXQ1650735H48B1AZT3" localSheetId="33" hidden="1">#REF!</definedName>
    <definedName name="BExCXQUFBMXQ1650735H48B1AZT3" localSheetId="31" hidden="1">#REF!</definedName>
    <definedName name="BExCXQUFBMXQ1650735H48B1AZT3" localSheetId="32" hidden="1">#REF!</definedName>
    <definedName name="BExCXQUFBMXQ1650735H48B1AZT3" hidden="1">#REF!</definedName>
    <definedName name="BExCY2DQO9VLA77Q7EG3T0XNXX4F" localSheetId="30" hidden="1">#REF!</definedName>
    <definedName name="BExCY2DQO9VLA77Q7EG3T0XNXX4F" localSheetId="29" hidden="1">#REF!</definedName>
    <definedName name="BExCY2DQO9VLA77Q7EG3T0XNXX4F" localSheetId="33" hidden="1">#REF!</definedName>
    <definedName name="BExCY2DQO9VLA77Q7EG3T0XNXX4F" localSheetId="31" hidden="1">#REF!</definedName>
    <definedName name="BExCY2DQO9VLA77Q7EG3T0XNXX4F" localSheetId="32" hidden="1">#REF!</definedName>
    <definedName name="BExCY2DQO9VLA77Q7EG3T0XNXX4F" hidden="1">#REF!</definedName>
    <definedName name="BExCY5DNYXOHKAS2LYB467GNABN2" localSheetId="30" hidden="1">#REF!</definedName>
    <definedName name="BExCY5DNYXOHKAS2LYB467GNABN2" localSheetId="29" hidden="1">#REF!</definedName>
    <definedName name="BExCY5DNYXOHKAS2LYB467GNABN2" localSheetId="33" hidden="1">#REF!</definedName>
    <definedName name="BExCY5DNYXOHKAS2LYB467GNABN2" localSheetId="31" hidden="1">#REF!</definedName>
    <definedName name="BExCY5DNYXOHKAS2LYB467GNABN2" localSheetId="32" hidden="1">#REF!</definedName>
    <definedName name="BExCY5DNYXOHKAS2LYB467GNABN2" hidden="1">#REF!</definedName>
    <definedName name="BExCY6VMJ68MX3C981R5Q0BX5791" localSheetId="30" hidden="1">#REF!</definedName>
    <definedName name="BExCY6VMJ68MX3C981R5Q0BX5791" localSheetId="29" hidden="1">#REF!</definedName>
    <definedName name="BExCY6VMJ68MX3C981R5Q0BX5791" localSheetId="33" hidden="1">#REF!</definedName>
    <definedName name="BExCY6VMJ68MX3C981R5Q0BX5791" localSheetId="31" hidden="1">#REF!</definedName>
    <definedName name="BExCY6VMJ68MX3C981R5Q0BX5791" localSheetId="32" hidden="1">#REF!</definedName>
    <definedName name="BExCY6VMJ68MX3C981R5Q0BX5791" hidden="1">#REF!</definedName>
    <definedName name="BExCYAH2SAZCPW6XCB7V7PMMCAWO" localSheetId="30" hidden="1">#REF!</definedName>
    <definedName name="BExCYAH2SAZCPW6XCB7V7PMMCAWO" localSheetId="29" hidden="1">#REF!</definedName>
    <definedName name="BExCYAH2SAZCPW6XCB7V7PMMCAWO" localSheetId="33" hidden="1">#REF!</definedName>
    <definedName name="BExCYAH2SAZCPW6XCB7V7PMMCAWO" localSheetId="31" hidden="1">#REF!</definedName>
    <definedName name="BExCYAH2SAZCPW6XCB7V7PMMCAWO" localSheetId="32" hidden="1">#REF!</definedName>
    <definedName name="BExCYAH2SAZCPW6XCB7V7PMMCAWO" hidden="1">#REF!</definedName>
    <definedName name="BExCYJBB52X8B3AREHCC1L5QNPX7" localSheetId="30" hidden="1">#REF!</definedName>
    <definedName name="BExCYJBB52X8B3AREHCC1L5QNPX7" localSheetId="29" hidden="1">#REF!</definedName>
    <definedName name="BExCYJBB52X8B3AREHCC1L5QNPX7" localSheetId="33" hidden="1">#REF!</definedName>
    <definedName name="BExCYJBB52X8B3AREHCC1L5QNPX7" localSheetId="31" hidden="1">#REF!</definedName>
    <definedName name="BExCYJBB52X8B3AREHCC1L5QNPX7" localSheetId="32" hidden="1">#REF!</definedName>
    <definedName name="BExCYJBB52X8B3AREHCC1L5QNPX7" hidden="1">#REF!</definedName>
    <definedName name="BExCYPRC5HJE6N2XQTHCT6NXGP8N" localSheetId="30" hidden="1">#REF!</definedName>
    <definedName name="BExCYPRC5HJE6N2XQTHCT6NXGP8N" localSheetId="29" hidden="1">#REF!</definedName>
    <definedName name="BExCYPRC5HJE6N2XQTHCT6NXGP8N" localSheetId="33" hidden="1">#REF!</definedName>
    <definedName name="BExCYPRC5HJE6N2XQTHCT6NXGP8N" localSheetId="31" hidden="1">#REF!</definedName>
    <definedName name="BExCYPRC5HJE6N2XQTHCT6NXGP8N" localSheetId="32" hidden="1">#REF!</definedName>
    <definedName name="BExCYPRC5HJE6N2XQTHCT6NXGP8N" hidden="1">#REF!</definedName>
    <definedName name="BExCYUK0I3UEXZNFDW71G6Z6D8XR" localSheetId="30" hidden="1">#REF!</definedName>
    <definedName name="BExCYUK0I3UEXZNFDW71G6Z6D8XR" localSheetId="29" hidden="1">#REF!</definedName>
    <definedName name="BExCYUK0I3UEXZNFDW71G6Z6D8XR" localSheetId="33" hidden="1">#REF!</definedName>
    <definedName name="BExCYUK0I3UEXZNFDW71G6Z6D8XR" localSheetId="31" hidden="1">#REF!</definedName>
    <definedName name="BExCYUK0I3UEXZNFDW71G6Z6D8XR" localSheetId="32" hidden="1">#REF!</definedName>
    <definedName name="BExCYUK0I3UEXZNFDW71G6Z6D8XR" hidden="1">#REF!</definedName>
    <definedName name="BExCZFZCXMLY5DWESYJ9NGTJYQ8M" localSheetId="30" hidden="1">#REF!</definedName>
    <definedName name="BExCZFZCXMLY5DWESYJ9NGTJYQ8M" localSheetId="29" hidden="1">#REF!</definedName>
    <definedName name="BExCZFZCXMLY5DWESYJ9NGTJYQ8M" localSheetId="33" hidden="1">#REF!</definedName>
    <definedName name="BExCZFZCXMLY5DWESYJ9NGTJYQ8M" localSheetId="31" hidden="1">#REF!</definedName>
    <definedName name="BExCZFZCXMLY5DWESYJ9NGTJYQ8M" localSheetId="32" hidden="1">#REF!</definedName>
    <definedName name="BExCZFZCXMLY5DWESYJ9NGTJYQ8M" hidden="1">#REF!</definedName>
    <definedName name="BExCZJ4P8WS0BDT31WDXI0ROE7D6" localSheetId="30" hidden="1">#REF!</definedName>
    <definedName name="BExCZJ4P8WS0BDT31WDXI0ROE7D6" localSheetId="29" hidden="1">#REF!</definedName>
    <definedName name="BExCZJ4P8WS0BDT31WDXI0ROE7D6" localSheetId="33" hidden="1">#REF!</definedName>
    <definedName name="BExCZJ4P8WS0BDT31WDXI0ROE7D6" localSheetId="31" hidden="1">#REF!</definedName>
    <definedName name="BExCZJ4P8WS0BDT31WDXI0ROE7D6" localSheetId="32" hidden="1">#REF!</definedName>
    <definedName name="BExCZJ4P8WS0BDT31WDXI0ROE7D6" hidden="1">#REF!</definedName>
    <definedName name="BExCZKH6NI0EE02L995IFVBD1J59" localSheetId="30" hidden="1">#REF!</definedName>
    <definedName name="BExCZKH6NI0EE02L995IFVBD1J59" localSheetId="29" hidden="1">#REF!</definedName>
    <definedName name="BExCZKH6NI0EE02L995IFVBD1J59" localSheetId="33" hidden="1">#REF!</definedName>
    <definedName name="BExCZKH6NI0EE02L995IFVBD1J59" localSheetId="31" hidden="1">#REF!</definedName>
    <definedName name="BExCZKH6NI0EE02L995IFVBD1J59" localSheetId="32" hidden="1">#REF!</definedName>
    <definedName name="BExCZKH6NI0EE02L995IFVBD1J59" hidden="1">#REF!</definedName>
    <definedName name="BExCZUD9FEOJBKDJ51Z3JON9LKJ8" localSheetId="30" hidden="1">#REF!</definedName>
    <definedName name="BExCZUD9FEOJBKDJ51Z3JON9LKJ8" localSheetId="29" hidden="1">#REF!</definedName>
    <definedName name="BExCZUD9FEOJBKDJ51Z3JON9LKJ8" localSheetId="33" hidden="1">#REF!</definedName>
    <definedName name="BExCZUD9FEOJBKDJ51Z3JON9LKJ8" localSheetId="31" hidden="1">#REF!</definedName>
    <definedName name="BExCZUD9FEOJBKDJ51Z3JON9LKJ8" localSheetId="32" hidden="1">#REF!</definedName>
    <definedName name="BExCZUD9FEOJBKDJ51Z3JON9LKJ8" hidden="1">#REF!</definedName>
    <definedName name="BExCZZB79BH7JTLUQROML6KGBXUK" localSheetId="30" hidden="1">#REF!</definedName>
    <definedName name="BExCZZB79BH7JTLUQROML6KGBXUK" localSheetId="29" hidden="1">#REF!</definedName>
    <definedName name="BExCZZB79BH7JTLUQROML6KGBXUK" localSheetId="33" hidden="1">#REF!</definedName>
    <definedName name="BExCZZB79BH7JTLUQROML6KGBXUK" localSheetId="31" hidden="1">#REF!</definedName>
    <definedName name="BExCZZB79BH7JTLUQROML6KGBXUK" localSheetId="32" hidden="1">#REF!</definedName>
    <definedName name="BExCZZB79BH7JTLUQROML6KGBXUK" hidden="1">#REF!</definedName>
    <definedName name="BExD0508DAALLU00PHFPBC8SRRKT" localSheetId="30" hidden="1">#REF!</definedName>
    <definedName name="BExD0508DAALLU00PHFPBC8SRRKT" localSheetId="29" hidden="1">#REF!</definedName>
    <definedName name="BExD0508DAALLU00PHFPBC8SRRKT" localSheetId="33" hidden="1">#REF!</definedName>
    <definedName name="BExD0508DAALLU00PHFPBC8SRRKT" localSheetId="31" hidden="1">#REF!</definedName>
    <definedName name="BExD0508DAALLU00PHFPBC8SRRKT" localSheetId="32" hidden="1">#REF!</definedName>
    <definedName name="BExD0508DAALLU00PHFPBC8SRRKT" hidden="1">#REF!</definedName>
    <definedName name="BExD0HALIN0JR4JTPGDEVAEE5EX5" localSheetId="30" hidden="1">#REF!</definedName>
    <definedName name="BExD0HALIN0JR4JTPGDEVAEE5EX5" localSheetId="29" hidden="1">#REF!</definedName>
    <definedName name="BExD0HALIN0JR4JTPGDEVAEE5EX5" localSheetId="33" hidden="1">#REF!</definedName>
    <definedName name="BExD0HALIN0JR4JTPGDEVAEE5EX5" localSheetId="31" hidden="1">#REF!</definedName>
    <definedName name="BExD0HALIN0JR4JTPGDEVAEE5EX5" localSheetId="32" hidden="1">#REF!</definedName>
    <definedName name="BExD0HALIN0JR4JTPGDEVAEE5EX5" hidden="1">#REF!</definedName>
    <definedName name="BExD0LCCDPG16YLY5WQSZF1XI5DA" localSheetId="30" hidden="1">#REF!</definedName>
    <definedName name="BExD0LCCDPG16YLY5WQSZF1XI5DA" localSheetId="29" hidden="1">#REF!</definedName>
    <definedName name="BExD0LCCDPG16YLY5WQSZF1XI5DA" localSheetId="33" hidden="1">#REF!</definedName>
    <definedName name="BExD0LCCDPG16YLY5WQSZF1XI5DA" localSheetId="31" hidden="1">#REF!</definedName>
    <definedName name="BExD0LCCDPG16YLY5WQSZF1XI5DA" localSheetId="32" hidden="1">#REF!</definedName>
    <definedName name="BExD0LCCDPG16YLY5WQSZF1XI5DA" hidden="1">#REF!</definedName>
    <definedName name="BExD0OSBVPAD9XVAMU6X21W7RG1B" localSheetId="30" hidden="1">#REF!</definedName>
    <definedName name="BExD0OSBVPAD9XVAMU6X21W7RG1B" localSheetId="29" hidden="1">#REF!</definedName>
    <definedName name="BExD0OSBVPAD9XVAMU6X21W7RG1B" localSheetId="33" hidden="1">#REF!</definedName>
    <definedName name="BExD0OSBVPAD9XVAMU6X21W7RG1B" localSheetId="31" hidden="1">#REF!</definedName>
    <definedName name="BExD0OSBVPAD9XVAMU6X21W7RG1B" localSheetId="32" hidden="1">#REF!</definedName>
    <definedName name="BExD0OSBVPAD9XVAMU6X21W7RG1B" hidden="1">#REF!</definedName>
    <definedName name="BExD0RMWSB4TRECEHTH6NN4K9DFZ" localSheetId="30" hidden="1">#REF!</definedName>
    <definedName name="BExD0RMWSB4TRECEHTH6NN4K9DFZ" localSheetId="29" hidden="1">#REF!</definedName>
    <definedName name="BExD0RMWSB4TRECEHTH6NN4K9DFZ" localSheetId="33" hidden="1">#REF!</definedName>
    <definedName name="BExD0RMWSB4TRECEHTH6NN4K9DFZ" localSheetId="31" hidden="1">#REF!</definedName>
    <definedName name="BExD0RMWSB4TRECEHTH6NN4K9DFZ" localSheetId="32" hidden="1">#REF!</definedName>
    <definedName name="BExD0RMWSB4TRECEHTH6NN4K9DFZ" hidden="1">#REF!</definedName>
    <definedName name="BExD0U6KG10QGVDI1XSHK0J10A2V" localSheetId="30" hidden="1">#REF!</definedName>
    <definedName name="BExD0U6KG10QGVDI1XSHK0J10A2V" localSheetId="29" hidden="1">#REF!</definedName>
    <definedName name="BExD0U6KG10QGVDI1XSHK0J10A2V" localSheetId="33" hidden="1">#REF!</definedName>
    <definedName name="BExD0U6KG10QGVDI1XSHK0J10A2V" localSheetId="31" hidden="1">#REF!</definedName>
    <definedName name="BExD0U6KG10QGVDI1XSHK0J10A2V" localSheetId="32" hidden="1">#REF!</definedName>
    <definedName name="BExD0U6KG10QGVDI1XSHK0J10A2V" hidden="1">#REF!</definedName>
    <definedName name="BExD0YTVEQXB47915OBKK3GJJ4J2" localSheetId="30" hidden="1">#REF!</definedName>
    <definedName name="BExD0YTVEQXB47915OBKK3GJJ4J2" localSheetId="29" hidden="1">#REF!</definedName>
    <definedName name="BExD0YTVEQXB47915OBKK3GJJ4J2" localSheetId="33" hidden="1">#REF!</definedName>
    <definedName name="BExD0YTVEQXB47915OBKK3GJJ4J2" localSheetId="31" hidden="1">#REF!</definedName>
    <definedName name="BExD0YTVEQXB47915OBKK3GJJ4J2" localSheetId="32" hidden="1">#REF!</definedName>
    <definedName name="BExD0YTVEQXB47915OBKK3GJJ4J2" hidden="1">#REF!</definedName>
    <definedName name="BExD13RUIBGRXDL4QDZ305UKUR12" localSheetId="30" hidden="1">#REF!</definedName>
    <definedName name="BExD13RUIBGRXDL4QDZ305UKUR12" localSheetId="29" hidden="1">#REF!</definedName>
    <definedName name="BExD13RUIBGRXDL4QDZ305UKUR12" localSheetId="33" hidden="1">#REF!</definedName>
    <definedName name="BExD13RUIBGRXDL4QDZ305UKUR12" localSheetId="31" hidden="1">#REF!</definedName>
    <definedName name="BExD13RUIBGRXDL4QDZ305UKUR12" localSheetId="32" hidden="1">#REF!</definedName>
    <definedName name="BExD13RUIBGRXDL4QDZ305UKUR12" hidden="1">#REF!</definedName>
    <definedName name="BExD14DETV5R4OOTMAXD5NAKWRO3" localSheetId="30" hidden="1">#REF!</definedName>
    <definedName name="BExD14DETV5R4OOTMAXD5NAKWRO3" localSheetId="29" hidden="1">#REF!</definedName>
    <definedName name="BExD14DETV5R4OOTMAXD5NAKWRO3" localSheetId="33" hidden="1">#REF!</definedName>
    <definedName name="BExD14DETV5R4OOTMAXD5NAKWRO3" localSheetId="31" hidden="1">#REF!</definedName>
    <definedName name="BExD14DETV5R4OOTMAXD5NAKWRO3" localSheetId="32" hidden="1">#REF!</definedName>
    <definedName name="BExD14DETV5R4OOTMAXD5NAKWRO3" hidden="1">#REF!</definedName>
    <definedName name="BExD1OAU9OXQAZA4D70HP72CU6GB" localSheetId="30" hidden="1">#REF!</definedName>
    <definedName name="BExD1OAU9OXQAZA4D70HP72CU6GB" localSheetId="29" hidden="1">#REF!</definedName>
    <definedName name="BExD1OAU9OXQAZA4D70HP72CU6GB" localSheetId="33" hidden="1">#REF!</definedName>
    <definedName name="BExD1OAU9OXQAZA4D70HP72CU6GB" localSheetId="31" hidden="1">#REF!</definedName>
    <definedName name="BExD1OAU9OXQAZA4D70HP72CU6GB" localSheetId="32" hidden="1">#REF!</definedName>
    <definedName name="BExD1OAU9OXQAZA4D70HP72CU6GB" hidden="1">#REF!</definedName>
    <definedName name="BExD1Y1JV61416YA1XRQHKWPZIE7" localSheetId="30" hidden="1">#REF!</definedName>
    <definedName name="BExD1Y1JV61416YA1XRQHKWPZIE7" localSheetId="29" hidden="1">#REF!</definedName>
    <definedName name="BExD1Y1JV61416YA1XRQHKWPZIE7" localSheetId="33" hidden="1">#REF!</definedName>
    <definedName name="BExD1Y1JV61416YA1XRQHKWPZIE7" localSheetId="31" hidden="1">#REF!</definedName>
    <definedName name="BExD1Y1JV61416YA1XRQHKWPZIE7" localSheetId="32" hidden="1">#REF!</definedName>
    <definedName name="BExD1Y1JV61416YA1XRQHKWPZIE7" hidden="1">#REF!</definedName>
    <definedName name="BExD2CFHIRMBKN5KXE5QP4XXEWFS" localSheetId="30" hidden="1">#REF!</definedName>
    <definedName name="BExD2CFHIRMBKN5KXE5QP4XXEWFS" localSheetId="29" hidden="1">#REF!</definedName>
    <definedName name="BExD2CFHIRMBKN5KXE5QP4XXEWFS" localSheetId="33" hidden="1">#REF!</definedName>
    <definedName name="BExD2CFHIRMBKN5KXE5QP4XXEWFS" localSheetId="31" hidden="1">#REF!</definedName>
    <definedName name="BExD2CFHIRMBKN5KXE5QP4XXEWFS" localSheetId="32" hidden="1">#REF!</definedName>
    <definedName name="BExD2CFHIRMBKN5KXE5QP4XXEWFS" hidden="1">#REF!</definedName>
    <definedName name="BExD2DMHH1HWXQ9W0YYMDP8AAX8Q" localSheetId="30" hidden="1">#REF!</definedName>
    <definedName name="BExD2DMHH1HWXQ9W0YYMDP8AAX8Q" localSheetId="29" hidden="1">#REF!</definedName>
    <definedName name="BExD2DMHH1HWXQ9W0YYMDP8AAX8Q" localSheetId="33" hidden="1">#REF!</definedName>
    <definedName name="BExD2DMHH1HWXQ9W0YYMDP8AAX8Q" localSheetId="31" hidden="1">#REF!</definedName>
    <definedName name="BExD2DMHH1HWXQ9W0YYMDP8AAX8Q" localSheetId="32" hidden="1">#REF!</definedName>
    <definedName name="BExD2DMHH1HWXQ9W0YYMDP8AAX8Q" hidden="1">#REF!</definedName>
    <definedName name="BExD2HTPC7IWBAU6OSQ67MQA8BYZ" localSheetId="30" hidden="1">#REF!</definedName>
    <definedName name="BExD2HTPC7IWBAU6OSQ67MQA8BYZ" localSheetId="29" hidden="1">#REF!</definedName>
    <definedName name="BExD2HTPC7IWBAU6OSQ67MQA8BYZ" localSheetId="33" hidden="1">#REF!</definedName>
    <definedName name="BExD2HTPC7IWBAU6OSQ67MQA8BYZ" localSheetId="31" hidden="1">#REF!</definedName>
    <definedName name="BExD2HTPC7IWBAU6OSQ67MQA8BYZ" localSheetId="32" hidden="1">#REF!</definedName>
    <definedName name="BExD2HTPC7IWBAU6OSQ67MQA8BYZ" hidden="1">#REF!</definedName>
    <definedName name="BExD2KDBXQH04RLYAALKPJHO50Y3" localSheetId="30" hidden="1">#REF!</definedName>
    <definedName name="BExD2KDBXQH04RLYAALKPJHO50Y3" localSheetId="29" hidden="1">#REF!</definedName>
    <definedName name="BExD2KDBXQH04RLYAALKPJHO50Y3" localSheetId="33" hidden="1">#REF!</definedName>
    <definedName name="BExD2KDBXQH04RLYAALKPJHO50Y3" localSheetId="31" hidden="1">#REF!</definedName>
    <definedName name="BExD2KDBXQH04RLYAALKPJHO50Y3" localSheetId="32" hidden="1">#REF!</definedName>
    <definedName name="BExD2KDBXQH04RLYAALKPJHO50Y3" hidden="1">#REF!</definedName>
    <definedName name="BExD2VLUHJZXRQL3XIHCBU9KFHW9" localSheetId="30" hidden="1">#REF!</definedName>
    <definedName name="BExD2VLUHJZXRQL3XIHCBU9KFHW9" localSheetId="29" hidden="1">#REF!</definedName>
    <definedName name="BExD2VLUHJZXRQL3XIHCBU9KFHW9" localSheetId="33" hidden="1">#REF!</definedName>
    <definedName name="BExD2VLUHJZXRQL3XIHCBU9KFHW9" localSheetId="31" hidden="1">#REF!</definedName>
    <definedName name="BExD2VLUHJZXRQL3XIHCBU9KFHW9" localSheetId="32" hidden="1">#REF!</definedName>
    <definedName name="BExD2VLUHJZXRQL3XIHCBU9KFHW9" hidden="1">#REF!</definedName>
    <definedName name="BExD363H2VGFIQUCE6LS4AC5J0ZT" localSheetId="30" hidden="1">#REF!</definedName>
    <definedName name="BExD363H2VGFIQUCE6LS4AC5J0ZT" localSheetId="29" hidden="1">#REF!</definedName>
    <definedName name="BExD363H2VGFIQUCE6LS4AC5J0ZT" localSheetId="33" hidden="1">#REF!</definedName>
    <definedName name="BExD363H2VGFIQUCE6LS4AC5J0ZT" localSheetId="31" hidden="1">#REF!</definedName>
    <definedName name="BExD363H2VGFIQUCE6LS4AC5J0ZT" localSheetId="32" hidden="1">#REF!</definedName>
    <definedName name="BExD363H2VGFIQUCE6LS4AC5J0ZT" hidden="1">#REF!</definedName>
    <definedName name="BExD3A588E939V61P1XEW0FI5Q0S" localSheetId="30" hidden="1">#REF!</definedName>
    <definedName name="BExD3A588E939V61P1XEW0FI5Q0S" localSheetId="29" hidden="1">#REF!</definedName>
    <definedName name="BExD3A588E939V61P1XEW0FI5Q0S" localSheetId="33" hidden="1">#REF!</definedName>
    <definedName name="BExD3A588E939V61P1XEW0FI5Q0S" localSheetId="31" hidden="1">#REF!</definedName>
    <definedName name="BExD3A588E939V61P1XEW0FI5Q0S" localSheetId="32" hidden="1">#REF!</definedName>
    <definedName name="BExD3A588E939V61P1XEW0FI5Q0S" hidden="1">#REF!</definedName>
    <definedName name="BExD3CJJDKVR9M18XI3WDZH80WL6" localSheetId="30" hidden="1">#REF!</definedName>
    <definedName name="BExD3CJJDKVR9M18XI3WDZH80WL6" localSheetId="29" hidden="1">#REF!</definedName>
    <definedName name="BExD3CJJDKVR9M18XI3WDZH80WL6" localSheetId="33" hidden="1">#REF!</definedName>
    <definedName name="BExD3CJJDKVR9M18XI3WDZH80WL6" localSheetId="31" hidden="1">#REF!</definedName>
    <definedName name="BExD3CJJDKVR9M18XI3WDZH80WL6" localSheetId="32" hidden="1">#REF!</definedName>
    <definedName name="BExD3CJJDKVR9M18XI3WDZH80WL6" hidden="1">#REF!</definedName>
    <definedName name="BExD3ESD9WYJIB3TRDPJ1CKXRAVL" localSheetId="30" hidden="1">#REF!</definedName>
    <definedName name="BExD3ESD9WYJIB3TRDPJ1CKXRAVL" localSheetId="29" hidden="1">#REF!</definedName>
    <definedName name="BExD3ESD9WYJIB3TRDPJ1CKXRAVL" localSheetId="33" hidden="1">#REF!</definedName>
    <definedName name="BExD3ESD9WYJIB3TRDPJ1CKXRAVL" localSheetId="31" hidden="1">#REF!</definedName>
    <definedName name="BExD3ESD9WYJIB3TRDPJ1CKXRAVL" localSheetId="32" hidden="1">#REF!</definedName>
    <definedName name="BExD3ESD9WYJIB3TRDPJ1CKXRAVL" hidden="1">#REF!</definedName>
    <definedName name="BExD3F368X5S25MWSUNIV57RDB57" localSheetId="30" hidden="1">#REF!</definedName>
    <definedName name="BExD3F368X5S25MWSUNIV57RDB57" localSheetId="29" hidden="1">#REF!</definedName>
    <definedName name="BExD3F368X5S25MWSUNIV57RDB57" localSheetId="33" hidden="1">#REF!</definedName>
    <definedName name="BExD3F368X5S25MWSUNIV57RDB57" localSheetId="31" hidden="1">#REF!</definedName>
    <definedName name="BExD3F368X5S25MWSUNIV57RDB57" localSheetId="32" hidden="1">#REF!</definedName>
    <definedName name="BExD3F368X5S25MWSUNIV57RDB57" hidden="1">#REF!</definedName>
    <definedName name="BExD3IJ5IT335SOSNV9L85WKAOSI" localSheetId="30" hidden="1">#REF!</definedName>
    <definedName name="BExD3IJ5IT335SOSNV9L85WKAOSI" localSheetId="29" hidden="1">#REF!</definedName>
    <definedName name="BExD3IJ5IT335SOSNV9L85WKAOSI" localSheetId="33" hidden="1">#REF!</definedName>
    <definedName name="BExD3IJ5IT335SOSNV9L85WKAOSI" localSheetId="31" hidden="1">#REF!</definedName>
    <definedName name="BExD3IJ5IT335SOSNV9L85WKAOSI" localSheetId="32" hidden="1">#REF!</definedName>
    <definedName name="BExD3IJ5IT335SOSNV9L85WKAOSI" hidden="1">#REF!</definedName>
    <definedName name="BExD3KBVUY57GMMQTOFEU6S6G1AY" localSheetId="30" hidden="1">#REF!</definedName>
    <definedName name="BExD3KBVUY57GMMQTOFEU6S6G1AY" localSheetId="29" hidden="1">#REF!</definedName>
    <definedName name="BExD3KBVUY57GMMQTOFEU6S6G1AY" localSheetId="33" hidden="1">#REF!</definedName>
    <definedName name="BExD3KBVUY57GMMQTOFEU6S6G1AY" localSheetId="31" hidden="1">#REF!</definedName>
    <definedName name="BExD3KBVUY57GMMQTOFEU6S6G1AY" localSheetId="32" hidden="1">#REF!</definedName>
    <definedName name="BExD3KBVUY57GMMQTOFEU6S6G1AY" hidden="1">#REF!</definedName>
    <definedName name="BExD3NMR7AW2Z6V8SC79VQR37NA6" localSheetId="30" hidden="1">#REF!</definedName>
    <definedName name="BExD3NMR7AW2Z6V8SC79VQR37NA6" localSheetId="29" hidden="1">#REF!</definedName>
    <definedName name="BExD3NMR7AW2Z6V8SC79VQR37NA6" localSheetId="33" hidden="1">#REF!</definedName>
    <definedName name="BExD3NMR7AW2Z6V8SC79VQR37NA6" localSheetId="31" hidden="1">#REF!</definedName>
    <definedName name="BExD3NMR7AW2Z6V8SC79VQR37NA6" localSheetId="32" hidden="1">#REF!</definedName>
    <definedName name="BExD3NMR7AW2Z6V8SC79VQR37NA6" hidden="1">#REF!</definedName>
    <definedName name="BExD3QXA2UQ2W4N7NYLUEOG40BZB" localSheetId="30" hidden="1">#REF!</definedName>
    <definedName name="BExD3QXA2UQ2W4N7NYLUEOG40BZB" localSheetId="29" hidden="1">#REF!</definedName>
    <definedName name="BExD3QXA2UQ2W4N7NYLUEOG40BZB" localSheetId="33" hidden="1">#REF!</definedName>
    <definedName name="BExD3QXA2UQ2W4N7NYLUEOG40BZB" localSheetId="31" hidden="1">#REF!</definedName>
    <definedName name="BExD3QXA2UQ2W4N7NYLUEOG40BZB" localSheetId="32" hidden="1">#REF!</definedName>
    <definedName name="BExD3QXA2UQ2W4N7NYLUEOG40BZB" hidden="1">#REF!</definedName>
    <definedName name="BExD3U2N041TEJ7GCN005UTPHNXY" localSheetId="30" hidden="1">#REF!</definedName>
    <definedName name="BExD3U2N041TEJ7GCN005UTPHNXY" localSheetId="29" hidden="1">#REF!</definedName>
    <definedName name="BExD3U2N041TEJ7GCN005UTPHNXY" localSheetId="33" hidden="1">#REF!</definedName>
    <definedName name="BExD3U2N041TEJ7GCN005UTPHNXY" localSheetId="31" hidden="1">#REF!</definedName>
    <definedName name="BExD3U2N041TEJ7GCN005UTPHNXY" localSheetId="32" hidden="1">#REF!</definedName>
    <definedName name="BExD3U2N041TEJ7GCN005UTPHNXY" hidden="1">#REF!</definedName>
    <definedName name="BExD40O0CFTNJFOFMMM1KH0P7BUI" localSheetId="30" hidden="1">#REF!</definedName>
    <definedName name="BExD40O0CFTNJFOFMMM1KH0P7BUI" localSheetId="29" hidden="1">#REF!</definedName>
    <definedName name="BExD40O0CFTNJFOFMMM1KH0P7BUI" localSheetId="33" hidden="1">#REF!</definedName>
    <definedName name="BExD40O0CFTNJFOFMMM1KH0P7BUI" localSheetId="31" hidden="1">#REF!</definedName>
    <definedName name="BExD40O0CFTNJFOFMMM1KH0P7BUI" localSheetId="32" hidden="1">#REF!</definedName>
    <definedName name="BExD40O0CFTNJFOFMMM1KH0P7BUI" hidden="1">#REF!</definedName>
    <definedName name="BExD48GJ2QR06FEERLYJ905Y31ML" localSheetId="30" hidden="1">#REF!</definedName>
    <definedName name="BExD48GJ2QR06FEERLYJ905Y31ML" localSheetId="29" hidden="1">#REF!</definedName>
    <definedName name="BExD48GJ2QR06FEERLYJ905Y31ML" localSheetId="33" hidden="1">#REF!</definedName>
    <definedName name="BExD48GJ2QR06FEERLYJ905Y31ML" localSheetId="31" hidden="1">#REF!</definedName>
    <definedName name="BExD48GJ2QR06FEERLYJ905Y31ML" localSheetId="32" hidden="1">#REF!</definedName>
    <definedName name="BExD48GJ2QR06FEERLYJ905Y31ML" hidden="1">#REF!</definedName>
    <definedName name="BExD4BR9HJ3MWWZ5KLVZWX9FJAUS" localSheetId="30" hidden="1">#REF!</definedName>
    <definedName name="BExD4BR9HJ3MWWZ5KLVZWX9FJAUS" localSheetId="29" hidden="1">#REF!</definedName>
    <definedName name="BExD4BR9HJ3MWWZ5KLVZWX9FJAUS" localSheetId="33" hidden="1">#REF!</definedName>
    <definedName name="BExD4BR9HJ3MWWZ5KLVZWX9FJAUS" localSheetId="31" hidden="1">#REF!</definedName>
    <definedName name="BExD4BR9HJ3MWWZ5KLVZWX9FJAUS" localSheetId="32" hidden="1">#REF!</definedName>
    <definedName name="BExD4BR9HJ3MWWZ5KLVZWX9FJAUS" hidden="1">#REF!</definedName>
    <definedName name="BExD4F1WTKT3H0N9MF4H1LX7MBSY" localSheetId="30" hidden="1">#REF!</definedName>
    <definedName name="BExD4F1WTKT3H0N9MF4H1LX7MBSY" localSheetId="29" hidden="1">#REF!</definedName>
    <definedName name="BExD4F1WTKT3H0N9MF4H1LX7MBSY" localSheetId="33" hidden="1">#REF!</definedName>
    <definedName name="BExD4F1WTKT3H0N9MF4H1LX7MBSY" localSheetId="31" hidden="1">#REF!</definedName>
    <definedName name="BExD4F1WTKT3H0N9MF4H1LX7MBSY" localSheetId="32" hidden="1">#REF!</definedName>
    <definedName name="BExD4F1WTKT3H0N9MF4H1LX7MBSY" hidden="1">#REF!</definedName>
    <definedName name="BExD4H5GQWXBS6LUL3TSP36DVO38" localSheetId="30" hidden="1">#REF!</definedName>
    <definedName name="BExD4H5GQWXBS6LUL3TSP36DVO38" localSheetId="29" hidden="1">#REF!</definedName>
    <definedName name="BExD4H5GQWXBS6LUL3TSP36DVO38" localSheetId="33" hidden="1">#REF!</definedName>
    <definedName name="BExD4H5GQWXBS6LUL3TSP36DVO38" localSheetId="31" hidden="1">#REF!</definedName>
    <definedName name="BExD4H5GQWXBS6LUL3TSP36DVO38" localSheetId="32" hidden="1">#REF!</definedName>
    <definedName name="BExD4H5GQWXBS6LUL3TSP36DVO38" hidden="1">#REF!</definedName>
    <definedName name="BExD4JJSS3QDBLABCJCHD45SRNPI" localSheetId="30" hidden="1">#REF!</definedName>
    <definedName name="BExD4JJSS3QDBLABCJCHD45SRNPI" localSheetId="29" hidden="1">#REF!</definedName>
    <definedName name="BExD4JJSS3QDBLABCJCHD45SRNPI" localSheetId="33" hidden="1">#REF!</definedName>
    <definedName name="BExD4JJSS3QDBLABCJCHD45SRNPI" localSheetId="31" hidden="1">#REF!</definedName>
    <definedName name="BExD4JJSS3QDBLABCJCHD45SRNPI" localSheetId="32" hidden="1">#REF!</definedName>
    <definedName name="BExD4JJSS3QDBLABCJCHD45SRNPI" hidden="1">#REF!</definedName>
    <definedName name="BExD4R1I0MKF033I5LPUYIMTZ6E8" localSheetId="30" hidden="1">#REF!</definedName>
    <definedName name="BExD4R1I0MKF033I5LPUYIMTZ6E8" localSheetId="29" hidden="1">#REF!</definedName>
    <definedName name="BExD4R1I0MKF033I5LPUYIMTZ6E8" localSheetId="33" hidden="1">#REF!</definedName>
    <definedName name="BExD4R1I0MKF033I5LPUYIMTZ6E8" localSheetId="31" hidden="1">#REF!</definedName>
    <definedName name="BExD4R1I0MKF033I5LPUYIMTZ6E8" localSheetId="32" hidden="1">#REF!</definedName>
    <definedName name="BExD4R1I0MKF033I5LPUYIMTZ6E8" hidden="1">#REF!</definedName>
    <definedName name="BExD4ZVPVOXAHD5JOROYEENH8PLJ" localSheetId="30" hidden="1">#REF!</definedName>
    <definedName name="BExD4ZVPVOXAHD5JOROYEENH8PLJ" localSheetId="29" hidden="1">#REF!</definedName>
    <definedName name="BExD4ZVPVOXAHD5JOROYEENH8PLJ" localSheetId="33" hidden="1">#REF!</definedName>
    <definedName name="BExD4ZVPVOXAHD5JOROYEENH8PLJ" localSheetId="31" hidden="1">#REF!</definedName>
    <definedName name="BExD4ZVPVOXAHD5JOROYEENH8PLJ" localSheetId="32" hidden="1">#REF!</definedName>
    <definedName name="BExD4ZVPVOXAHD5JOROYEENH8PLJ" hidden="1">#REF!</definedName>
    <definedName name="BExD50MT3M6XZLNUP9JL93EG6D9R" localSheetId="30" hidden="1">#REF!</definedName>
    <definedName name="BExD50MT3M6XZLNUP9JL93EG6D9R" localSheetId="29" hidden="1">#REF!</definedName>
    <definedName name="BExD50MT3M6XZLNUP9JL93EG6D9R" localSheetId="33" hidden="1">#REF!</definedName>
    <definedName name="BExD50MT3M6XZLNUP9JL93EG6D9R" localSheetId="31" hidden="1">#REF!</definedName>
    <definedName name="BExD50MT3M6XZLNUP9JL93EG6D9R" localSheetId="32" hidden="1">#REF!</definedName>
    <definedName name="BExD50MT3M6XZLNUP9JL93EG6D9R" hidden="1">#REF!</definedName>
    <definedName name="BExD5EV7KDSVF1CJT38M4IBPFLPY" localSheetId="30" hidden="1">#REF!</definedName>
    <definedName name="BExD5EV7KDSVF1CJT38M4IBPFLPY" localSheetId="29" hidden="1">#REF!</definedName>
    <definedName name="BExD5EV7KDSVF1CJT38M4IBPFLPY" localSheetId="33" hidden="1">#REF!</definedName>
    <definedName name="BExD5EV7KDSVF1CJT38M4IBPFLPY" localSheetId="31" hidden="1">#REF!</definedName>
    <definedName name="BExD5EV7KDSVF1CJT38M4IBPFLPY" localSheetId="32" hidden="1">#REF!</definedName>
    <definedName name="BExD5EV7KDSVF1CJT38M4IBPFLPY" hidden="1">#REF!</definedName>
    <definedName name="BExD5FRK547OESJRYAW574DZEZ7J" localSheetId="30" hidden="1">#REF!</definedName>
    <definedName name="BExD5FRK547OESJRYAW574DZEZ7J" localSheetId="29" hidden="1">#REF!</definedName>
    <definedName name="BExD5FRK547OESJRYAW574DZEZ7J" localSheetId="33" hidden="1">#REF!</definedName>
    <definedName name="BExD5FRK547OESJRYAW574DZEZ7J" localSheetId="31" hidden="1">#REF!</definedName>
    <definedName name="BExD5FRK547OESJRYAW574DZEZ7J" localSheetId="32" hidden="1">#REF!</definedName>
    <definedName name="BExD5FRK547OESJRYAW574DZEZ7J" hidden="1">#REF!</definedName>
    <definedName name="BExD5I5X2YA2YNCTCDSMEL4CWF4N" localSheetId="30" hidden="1">#REF!</definedName>
    <definedName name="BExD5I5X2YA2YNCTCDSMEL4CWF4N" localSheetId="29" hidden="1">#REF!</definedName>
    <definedName name="BExD5I5X2YA2YNCTCDSMEL4CWF4N" localSheetId="33" hidden="1">#REF!</definedName>
    <definedName name="BExD5I5X2YA2YNCTCDSMEL4CWF4N" localSheetId="31" hidden="1">#REF!</definedName>
    <definedName name="BExD5I5X2YA2YNCTCDSMEL4CWF4N" localSheetId="32" hidden="1">#REF!</definedName>
    <definedName name="BExD5I5X2YA2YNCTCDSMEL4CWF4N" hidden="1">#REF!</definedName>
    <definedName name="BExD5QUSRFJWRQ1ZM50WYLCF74DF" localSheetId="30" hidden="1">#REF!</definedName>
    <definedName name="BExD5QUSRFJWRQ1ZM50WYLCF74DF" localSheetId="29" hidden="1">#REF!</definedName>
    <definedName name="BExD5QUSRFJWRQ1ZM50WYLCF74DF" localSheetId="33" hidden="1">#REF!</definedName>
    <definedName name="BExD5QUSRFJWRQ1ZM50WYLCF74DF" localSheetId="31" hidden="1">#REF!</definedName>
    <definedName name="BExD5QUSRFJWRQ1ZM50WYLCF74DF" localSheetId="32" hidden="1">#REF!</definedName>
    <definedName name="BExD5QUSRFJWRQ1ZM50WYLCF74DF" hidden="1">#REF!</definedName>
    <definedName name="BExD5SSUIF6AJQHBHK8PNMFBPRYB" localSheetId="30" hidden="1">#REF!</definedName>
    <definedName name="BExD5SSUIF6AJQHBHK8PNMFBPRYB" localSheetId="29" hidden="1">#REF!</definedName>
    <definedName name="BExD5SSUIF6AJQHBHK8PNMFBPRYB" localSheetId="33" hidden="1">#REF!</definedName>
    <definedName name="BExD5SSUIF6AJQHBHK8PNMFBPRYB" localSheetId="31" hidden="1">#REF!</definedName>
    <definedName name="BExD5SSUIF6AJQHBHK8PNMFBPRYB" localSheetId="32" hidden="1">#REF!</definedName>
    <definedName name="BExD5SSUIF6AJQHBHK8PNMFBPRYB" hidden="1">#REF!</definedName>
    <definedName name="BExD623C9LRX18BE0W2V6SZLQUXX" localSheetId="30" hidden="1">#REF!</definedName>
    <definedName name="BExD623C9LRX18BE0W2V6SZLQUXX" localSheetId="29" hidden="1">#REF!</definedName>
    <definedName name="BExD623C9LRX18BE0W2V6SZLQUXX" localSheetId="33" hidden="1">#REF!</definedName>
    <definedName name="BExD623C9LRX18BE0W2V6SZLQUXX" localSheetId="31" hidden="1">#REF!</definedName>
    <definedName name="BExD623C9LRX18BE0W2V6SZLQUXX" localSheetId="32" hidden="1">#REF!</definedName>
    <definedName name="BExD623C9LRX18BE0W2V6SZLQUXX" hidden="1">#REF!</definedName>
    <definedName name="BExD62UDIWIW2X8DGUZM2MFSGQ90" localSheetId="30" hidden="1">#REF!</definedName>
    <definedName name="BExD62UDIWIW2X8DGUZM2MFSGQ90" localSheetId="29" hidden="1">#REF!</definedName>
    <definedName name="BExD62UDIWIW2X8DGUZM2MFSGQ90" localSheetId="33" hidden="1">#REF!</definedName>
    <definedName name="BExD62UDIWIW2X8DGUZM2MFSGQ90" localSheetId="31" hidden="1">#REF!</definedName>
    <definedName name="BExD62UDIWIW2X8DGUZM2MFSGQ90" localSheetId="32" hidden="1">#REF!</definedName>
    <definedName name="BExD62UDIWIW2X8DGUZM2MFSGQ90" hidden="1">#REF!</definedName>
    <definedName name="BExD6CQA7UMJBXV7AIFAIHUF2ICX" localSheetId="30" hidden="1">#REF!</definedName>
    <definedName name="BExD6CQA7UMJBXV7AIFAIHUF2ICX" localSheetId="29" hidden="1">#REF!</definedName>
    <definedName name="BExD6CQA7UMJBXV7AIFAIHUF2ICX" localSheetId="33" hidden="1">#REF!</definedName>
    <definedName name="BExD6CQA7UMJBXV7AIFAIHUF2ICX" localSheetId="31" hidden="1">#REF!</definedName>
    <definedName name="BExD6CQA7UMJBXV7AIFAIHUF2ICX" localSheetId="32" hidden="1">#REF!</definedName>
    <definedName name="BExD6CQA7UMJBXV7AIFAIHUF2ICX" hidden="1">#REF!</definedName>
    <definedName name="BExD6FKVK8WJWNYPVENR7Q8Q30PK" localSheetId="30" hidden="1">#REF!</definedName>
    <definedName name="BExD6FKVK8WJWNYPVENR7Q8Q30PK" localSheetId="29" hidden="1">#REF!</definedName>
    <definedName name="BExD6FKVK8WJWNYPVENR7Q8Q30PK" localSheetId="33" hidden="1">#REF!</definedName>
    <definedName name="BExD6FKVK8WJWNYPVENR7Q8Q30PK" localSheetId="31" hidden="1">#REF!</definedName>
    <definedName name="BExD6FKVK8WJWNYPVENR7Q8Q30PK" localSheetId="32" hidden="1">#REF!</definedName>
    <definedName name="BExD6FKVK8WJWNYPVENR7Q8Q30PK" hidden="1">#REF!</definedName>
    <definedName name="BExD6GMP0LK8WKVWMIT1NNH8CHLF" localSheetId="30" hidden="1">#REF!</definedName>
    <definedName name="BExD6GMP0LK8WKVWMIT1NNH8CHLF" localSheetId="29" hidden="1">#REF!</definedName>
    <definedName name="BExD6GMP0LK8WKVWMIT1NNH8CHLF" localSheetId="33" hidden="1">#REF!</definedName>
    <definedName name="BExD6GMP0LK8WKVWMIT1NNH8CHLF" localSheetId="31" hidden="1">#REF!</definedName>
    <definedName name="BExD6GMP0LK8WKVWMIT1NNH8CHLF" localSheetId="32" hidden="1">#REF!</definedName>
    <definedName name="BExD6GMP0LK8WKVWMIT1NNH8CHLF" hidden="1">#REF!</definedName>
    <definedName name="BExD6H2TE0WWAUIWVSSCLPZ6B88N" localSheetId="30" hidden="1">#REF!</definedName>
    <definedName name="BExD6H2TE0WWAUIWVSSCLPZ6B88N" localSheetId="29" hidden="1">#REF!</definedName>
    <definedName name="BExD6H2TE0WWAUIWVSSCLPZ6B88N" localSheetId="33" hidden="1">#REF!</definedName>
    <definedName name="BExD6H2TE0WWAUIWVSSCLPZ6B88N" localSheetId="31" hidden="1">#REF!</definedName>
    <definedName name="BExD6H2TE0WWAUIWVSSCLPZ6B88N" localSheetId="32" hidden="1">#REF!</definedName>
    <definedName name="BExD6H2TE0WWAUIWVSSCLPZ6B88N" hidden="1">#REF!</definedName>
    <definedName name="BExD6HTQEAMHQM20ZGNUYB4P6D1E" localSheetId="30" hidden="1">#REF!</definedName>
    <definedName name="BExD6HTQEAMHQM20ZGNUYB4P6D1E" localSheetId="29" hidden="1">#REF!</definedName>
    <definedName name="BExD6HTQEAMHQM20ZGNUYB4P6D1E" localSheetId="33" hidden="1">#REF!</definedName>
    <definedName name="BExD6HTQEAMHQM20ZGNUYB4P6D1E" localSheetId="31" hidden="1">#REF!</definedName>
    <definedName name="BExD6HTQEAMHQM20ZGNUYB4P6D1E" localSheetId="32" hidden="1">#REF!</definedName>
    <definedName name="BExD6HTQEAMHQM20ZGNUYB4P6D1E" hidden="1">#REF!</definedName>
    <definedName name="BExD71LTOE015TV5RSAHM8NT8GVW" localSheetId="30" hidden="1">#REF!</definedName>
    <definedName name="BExD71LTOE015TV5RSAHM8NT8GVW" localSheetId="29" hidden="1">#REF!</definedName>
    <definedName name="BExD71LTOE015TV5RSAHM8NT8GVW" localSheetId="33" hidden="1">#REF!</definedName>
    <definedName name="BExD71LTOE015TV5RSAHM8NT8GVW" localSheetId="31" hidden="1">#REF!</definedName>
    <definedName name="BExD71LTOE015TV5RSAHM8NT8GVW" localSheetId="32" hidden="1">#REF!</definedName>
    <definedName name="BExD71LTOE015TV5RSAHM8NT8GVW" hidden="1">#REF!</definedName>
    <definedName name="BExD73USXVADC7EHGHVTQNCT06ZA" localSheetId="30" hidden="1">#REF!</definedName>
    <definedName name="BExD73USXVADC7EHGHVTQNCT06ZA" localSheetId="29" hidden="1">#REF!</definedName>
    <definedName name="BExD73USXVADC7EHGHVTQNCT06ZA" localSheetId="33" hidden="1">#REF!</definedName>
    <definedName name="BExD73USXVADC7EHGHVTQNCT06ZA" localSheetId="31" hidden="1">#REF!</definedName>
    <definedName name="BExD73USXVADC7EHGHVTQNCT06ZA" localSheetId="32" hidden="1">#REF!</definedName>
    <definedName name="BExD73USXVADC7EHGHVTQNCT06ZA" hidden="1">#REF!</definedName>
    <definedName name="BExD7GAIGULTB3YHM1OS9RBQOTEC" localSheetId="30" hidden="1">#REF!</definedName>
    <definedName name="BExD7GAIGULTB3YHM1OS9RBQOTEC" localSheetId="29" hidden="1">#REF!</definedName>
    <definedName name="BExD7GAIGULTB3YHM1OS9RBQOTEC" localSheetId="33" hidden="1">#REF!</definedName>
    <definedName name="BExD7GAIGULTB3YHM1OS9RBQOTEC" localSheetId="31" hidden="1">#REF!</definedName>
    <definedName name="BExD7GAIGULTB3YHM1OS9RBQOTEC" localSheetId="32" hidden="1">#REF!</definedName>
    <definedName name="BExD7GAIGULTB3YHM1OS9RBQOTEC" hidden="1">#REF!</definedName>
    <definedName name="BExD7IE1DHIS52UFDCTSKPJQNRD5" localSheetId="30" hidden="1">#REF!</definedName>
    <definedName name="BExD7IE1DHIS52UFDCTSKPJQNRD5" localSheetId="29" hidden="1">#REF!</definedName>
    <definedName name="BExD7IE1DHIS52UFDCTSKPJQNRD5" localSheetId="33" hidden="1">#REF!</definedName>
    <definedName name="BExD7IE1DHIS52UFDCTSKPJQNRD5" localSheetId="31" hidden="1">#REF!</definedName>
    <definedName name="BExD7IE1DHIS52UFDCTSKPJQNRD5" localSheetId="32" hidden="1">#REF!</definedName>
    <definedName name="BExD7IE1DHIS52UFDCTSKPJQNRD5" hidden="1">#REF!</definedName>
    <definedName name="BExD7IUBGUWHYC9UNZ1IY5XFYKQN" localSheetId="30" hidden="1">#REF!</definedName>
    <definedName name="BExD7IUBGUWHYC9UNZ1IY5XFYKQN" localSheetId="29" hidden="1">#REF!</definedName>
    <definedName name="BExD7IUBGUWHYC9UNZ1IY5XFYKQN" localSheetId="33" hidden="1">#REF!</definedName>
    <definedName name="BExD7IUBGUWHYC9UNZ1IY5XFYKQN" localSheetId="31" hidden="1">#REF!</definedName>
    <definedName name="BExD7IUBGUWHYC9UNZ1IY5XFYKQN" localSheetId="32" hidden="1">#REF!</definedName>
    <definedName name="BExD7IUBGUWHYC9UNZ1IY5XFYKQN" hidden="1">#REF!</definedName>
    <definedName name="BExD7JQOJ35HGL8U2OCEI2P2JT7I" localSheetId="30" hidden="1">#REF!</definedName>
    <definedName name="BExD7JQOJ35HGL8U2OCEI2P2JT7I" localSheetId="29" hidden="1">#REF!</definedName>
    <definedName name="BExD7JQOJ35HGL8U2OCEI2P2JT7I" localSheetId="33" hidden="1">#REF!</definedName>
    <definedName name="BExD7JQOJ35HGL8U2OCEI2P2JT7I" localSheetId="31" hidden="1">#REF!</definedName>
    <definedName name="BExD7JQOJ35HGL8U2OCEI2P2JT7I" localSheetId="32" hidden="1">#REF!</definedName>
    <definedName name="BExD7JQOJ35HGL8U2OCEI2P2JT7I" hidden="1">#REF!</definedName>
    <definedName name="BExD7KSDKNDNH95NDT3S7GM3MUU2" localSheetId="30" hidden="1">#REF!</definedName>
    <definedName name="BExD7KSDKNDNH95NDT3S7GM3MUU2" localSheetId="29" hidden="1">#REF!</definedName>
    <definedName name="BExD7KSDKNDNH95NDT3S7GM3MUU2" localSheetId="33" hidden="1">#REF!</definedName>
    <definedName name="BExD7KSDKNDNH95NDT3S7GM3MUU2" localSheetId="31" hidden="1">#REF!</definedName>
    <definedName name="BExD7KSDKNDNH95NDT3S7GM3MUU2" localSheetId="32" hidden="1">#REF!</definedName>
    <definedName name="BExD7KSDKNDNH95NDT3S7GM3MUU2" hidden="1">#REF!</definedName>
    <definedName name="BExD8H5O087KQVWIVPUUID5VMGMS" localSheetId="30" hidden="1">#REF!</definedName>
    <definedName name="BExD8H5O087KQVWIVPUUID5VMGMS" localSheetId="29" hidden="1">#REF!</definedName>
    <definedName name="BExD8H5O087KQVWIVPUUID5VMGMS" localSheetId="33" hidden="1">#REF!</definedName>
    <definedName name="BExD8H5O087KQVWIVPUUID5VMGMS" localSheetId="31" hidden="1">#REF!</definedName>
    <definedName name="BExD8H5O087KQVWIVPUUID5VMGMS" localSheetId="32" hidden="1">#REF!</definedName>
    <definedName name="BExD8H5O087KQVWIVPUUID5VMGMS" hidden="1">#REF!</definedName>
    <definedName name="BExD8MEIOQBHWBFD52B3UV9WJ7IY" localSheetId="30" hidden="1">#REF!</definedName>
    <definedName name="BExD8MEIOQBHWBFD52B3UV9WJ7IY" localSheetId="29" hidden="1">#REF!</definedName>
    <definedName name="BExD8MEIOQBHWBFD52B3UV9WJ7IY" localSheetId="33" hidden="1">#REF!</definedName>
    <definedName name="BExD8MEIOQBHWBFD52B3UV9WJ7IY" localSheetId="31" hidden="1">#REF!</definedName>
    <definedName name="BExD8MEIOQBHWBFD52B3UV9WJ7IY" localSheetId="32" hidden="1">#REF!</definedName>
    <definedName name="BExD8MEIOQBHWBFD52B3UV9WJ7IY" hidden="1">#REF!</definedName>
    <definedName name="BExD8OCLZMFN5K3VZYI4Q4ITVKUA" localSheetId="30" hidden="1">#REF!</definedName>
    <definedName name="BExD8OCLZMFN5K3VZYI4Q4ITVKUA" localSheetId="29" hidden="1">#REF!</definedName>
    <definedName name="BExD8OCLZMFN5K3VZYI4Q4ITVKUA" localSheetId="33" hidden="1">#REF!</definedName>
    <definedName name="BExD8OCLZMFN5K3VZYI4Q4ITVKUA" localSheetId="31" hidden="1">#REF!</definedName>
    <definedName name="BExD8OCLZMFN5K3VZYI4Q4ITVKUA" localSheetId="32" hidden="1">#REF!</definedName>
    <definedName name="BExD8OCLZMFN5K3VZYI4Q4ITVKUA" hidden="1">#REF!</definedName>
    <definedName name="BExD93C1R6LC0631ECHVFYH0R0PD" localSheetId="30" hidden="1">#REF!</definedName>
    <definedName name="BExD93C1R6LC0631ECHVFYH0R0PD" localSheetId="29" hidden="1">#REF!</definedName>
    <definedName name="BExD93C1R6LC0631ECHVFYH0R0PD" localSheetId="33" hidden="1">#REF!</definedName>
    <definedName name="BExD93C1R6LC0631ECHVFYH0R0PD" localSheetId="31" hidden="1">#REF!</definedName>
    <definedName name="BExD93C1R6LC0631ECHVFYH0R0PD" localSheetId="32" hidden="1">#REF!</definedName>
    <definedName name="BExD93C1R6LC0631ECHVFYH0R0PD" hidden="1">#REF!</definedName>
    <definedName name="BExD97TXIO0COVNN4OH3DEJ33YLM" localSheetId="30" hidden="1">#REF!</definedName>
    <definedName name="BExD97TXIO0COVNN4OH3DEJ33YLM" localSheetId="29" hidden="1">#REF!</definedName>
    <definedName name="BExD97TXIO0COVNN4OH3DEJ33YLM" localSheetId="33" hidden="1">#REF!</definedName>
    <definedName name="BExD97TXIO0COVNN4OH3DEJ33YLM" localSheetId="31" hidden="1">#REF!</definedName>
    <definedName name="BExD97TXIO0COVNN4OH3DEJ33YLM" localSheetId="32" hidden="1">#REF!</definedName>
    <definedName name="BExD97TXIO0COVNN4OH3DEJ33YLM" hidden="1">#REF!</definedName>
    <definedName name="BExD99RZ1RFIMK6O1ZHSPJ68X9Y5" localSheetId="30" hidden="1">#REF!</definedName>
    <definedName name="BExD99RZ1RFIMK6O1ZHSPJ68X9Y5" localSheetId="29" hidden="1">#REF!</definedName>
    <definedName name="BExD99RZ1RFIMK6O1ZHSPJ68X9Y5" localSheetId="33" hidden="1">#REF!</definedName>
    <definedName name="BExD99RZ1RFIMK6O1ZHSPJ68X9Y5" localSheetId="31" hidden="1">#REF!</definedName>
    <definedName name="BExD99RZ1RFIMK6O1ZHSPJ68X9Y5" localSheetId="32" hidden="1">#REF!</definedName>
    <definedName name="BExD99RZ1RFIMK6O1ZHSPJ68X9Y5" hidden="1">#REF!</definedName>
    <definedName name="BExD9L0ID3VSOU609GKWYTA5BFMA" localSheetId="30" hidden="1">#REF!</definedName>
    <definedName name="BExD9L0ID3VSOU609GKWYTA5BFMA" localSheetId="29" hidden="1">#REF!</definedName>
    <definedName name="BExD9L0ID3VSOU609GKWYTA5BFMA" localSheetId="33" hidden="1">#REF!</definedName>
    <definedName name="BExD9L0ID3VSOU609GKWYTA5BFMA" localSheetId="31" hidden="1">#REF!</definedName>
    <definedName name="BExD9L0ID3VSOU609GKWYTA5BFMA" localSheetId="32" hidden="1">#REF!</definedName>
    <definedName name="BExD9L0ID3VSOU609GKWYTA5BFMA" hidden="1">#REF!</definedName>
    <definedName name="BExD9M7SEMG0JK2FUTTZXWIEBTKB" localSheetId="30" hidden="1">#REF!</definedName>
    <definedName name="BExD9M7SEMG0JK2FUTTZXWIEBTKB" localSheetId="29" hidden="1">#REF!</definedName>
    <definedName name="BExD9M7SEMG0JK2FUTTZXWIEBTKB" localSheetId="33" hidden="1">#REF!</definedName>
    <definedName name="BExD9M7SEMG0JK2FUTTZXWIEBTKB" localSheetId="31" hidden="1">#REF!</definedName>
    <definedName name="BExD9M7SEMG0JK2FUTTZXWIEBTKB" localSheetId="32" hidden="1">#REF!</definedName>
    <definedName name="BExD9M7SEMG0JK2FUTTZXWIEBTKB" hidden="1">#REF!</definedName>
    <definedName name="BExD9MNYBYB1AICQL5165G472IE2" localSheetId="30" hidden="1">#REF!</definedName>
    <definedName name="BExD9MNYBYB1AICQL5165G472IE2" localSheetId="29" hidden="1">#REF!</definedName>
    <definedName name="BExD9MNYBYB1AICQL5165G472IE2" localSheetId="33" hidden="1">#REF!</definedName>
    <definedName name="BExD9MNYBYB1AICQL5165G472IE2" localSheetId="31" hidden="1">#REF!</definedName>
    <definedName name="BExD9MNYBYB1AICQL5165G472IE2" localSheetId="32" hidden="1">#REF!</definedName>
    <definedName name="BExD9MNYBYB1AICQL5165G472IE2" hidden="1">#REF!</definedName>
    <definedName name="BExD9PNSYT7GASEGUVL48MUQ02WO" localSheetId="30" hidden="1">#REF!</definedName>
    <definedName name="BExD9PNSYT7GASEGUVL48MUQ02WO" localSheetId="29" hidden="1">#REF!</definedName>
    <definedName name="BExD9PNSYT7GASEGUVL48MUQ02WO" localSheetId="33" hidden="1">#REF!</definedName>
    <definedName name="BExD9PNSYT7GASEGUVL48MUQ02WO" localSheetId="31" hidden="1">#REF!</definedName>
    <definedName name="BExD9PNSYT7GASEGUVL48MUQ02WO" localSheetId="32" hidden="1">#REF!</definedName>
    <definedName name="BExD9PNSYT7GASEGUVL48MUQ02WO" hidden="1">#REF!</definedName>
    <definedName name="BExD9TK2MIWFH5SKUYU9ZKF4NPHQ" localSheetId="30" hidden="1">#REF!</definedName>
    <definedName name="BExD9TK2MIWFH5SKUYU9ZKF4NPHQ" localSheetId="29" hidden="1">#REF!</definedName>
    <definedName name="BExD9TK2MIWFH5SKUYU9ZKF4NPHQ" localSheetId="33" hidden="1">#REF!</definedName>
    <definedName name="BExD9TK2MIWFH5SKUYU9ZKF4NPHQ" localSheetId="31" hidden="1">#REF!</definedName>
    <definedName name="BExD9TK2MIWFH5SKUYU9ZKF4NPHQ" localSheetId="32" hidden="1">#REF!</definedName>
    <definedName name="BExD9TK2MIWFH5SKUYU9ZKF4NPHQ" hidden="1">#REF!</definedName>
    <definedName name="BExDA6LD9061UULVKUUI4QP8SK13" localSheetId="30" hidden="1">#REF!</definedName>
    <definedName name="BExDA6LD9061UULVKUUI4QP8SK13" localSheetId="29" hidden="1">#REF!</definedName>
    <definedName name="BExDA6LD9061UULVKUUI4QP8SK13" localSheetId="33" hidden="1">#REF!</definedName>
    <definedName name="BExDA6LD9061UULVKUUI4QP8SK13" localSheetId="31" hidden="1">#REF!</definedName>
    <definedName name="BExDA6LD9061UULVKUUI4QP8SK13" localSheetId="32" hidden="1">#REF!</definedName>
    <definedName name="BExDA6LD9061UULVKUUI4QP8SK13" hidden="1">#REF!</definedName>
    <definedName name="BExDAGMVMNLQ6QXASB9R6D8DIT12" localSheetId="30" hidden="1">#REF!</definedName>
    <definedName name="BExDAGMVMNLQ6QXASB9R6D8DIT12" localSheetId="29" hidden="1">#REF!</definedName>
    <definedName name="BExDAGMVMNLQ6QXASB9R6D8DIT12" localSheetId="33" hidden="1">#REF!</definedName>
    <definedName name="BExDAGMVMNLQ6QXASB9R6D8DIT12" localSheetId="31" hidden="1">#REF!</definedName>
    <definedName name="BExDAGMVMNLQ6QXASB9R6D8DIT12" localSheetId="32" hidden="1">#REF!</definedName>
    <definedName name="BExDAGMVMNLQ6QXASB9R6D8DIT12" hidden="1">#REF!</definedName>
    <definedName name="BExDAPMJODJN0D32QY2KYSS9CUXV" localSheetId="30" hidden="1">#REF!</definedName>
    <definedName name="BExDAPMJODJN0D32QY2KYSS9CUXV" localSheetId="29" hidden="1">#REF!</definedName>
    <definedName name="BExDAPMJODJN0D32QY2KYSS9CUXV" localSheetId="33" hidden="1">#REF!</definedName>
    <definedName name="BExDAPMJODJN0D32QY2KYSS9CUXV" localSheetId="31" hidden="1">#REF!</definedName>
    <definedName name="BExDAPMJODJN0D32QY2KYSS9CUXV" localSheetId="32" hidden="1">#REF!</definedName>
    <definedName name="BExDAPMJODJN0D32QY2KYSS9CUXV" hidden="1">#REF!</definedName>
    <definedName name="BExDAYBHU9ADLXI8VRC7F608RVGM" localSheetId="30" hidden="1">#REF!</definedName>
    <definedName name="BExDAYBHU9ADLXI8VRC7F608RVGM" localSheetId="29" hidden="1">#REF!</definedName>
    <definedName name="BExDAYBHU9ADLXI8VRC7F608RVGM" localSheetId="33" hidden="1">#REF!</definedName>
    <definedName name="BExDAYBHU9ADLXI8VRC7F608RVGM" localSheetId="31" hidden="1">#REF!</definedName>
    <definedName name="BExDAYBHU9ADLXI8VRC7F608RVGM" localSheetId="32" hidden="1">#REF!</definedName>
    <definedName name="BExDAYBHU9ADLXI8VRC7F608RVGM" hidden="1">#REF!</definedName>
    <definedName name="BExDBDR1XR0FV0CYUCB2OJ7CJCZU" localSheetId="30" hidden="1">#REF!</definedName>
    <definedName name="BExDBDR1XR0FV0CYUCB2OJ7CJCZU" localSheetId="29" hidden="1">#REF!</definedName>
    <definedName name="BExDBDR1XR0FV0CYUCB2OJ7CJCZU" localSheetId="33" hidden="1">#REF!</definedName>
    <definedName name="BExDBDR1XR0FV0CYUCB2OJ7CJCZU" localSheetId="31" hidden="1">#REF!</definedName>
    <definedName name="BExDBDR1XR0FV0CYUCB2OJ7CJCZU" localSheetId="32" hidden="1">#REF!</definedName>
    <definedName name="BExDBDR1XR0FV0CYUCB2OJ7CJCZU" hidden="1">#REF!</definedName>
    <definedName name="BExDBGG6HQ8LK4Q1ODY04TQDSLGQ" localSheetId="30" hidden="1">#REF!</definedName>
    <definedName name="BExDBGG6HQ8LK4Q1ODY04TQDSLGQ" localSheetId="29" hidden="1">#REF!</definedName>
    <definedName name="BExDBGG6HQ8LK4Q1ODY04TQDSLGQ" localSheetId="33" hidden="1">#REF!</definedName>
    <definedName name="BExDBGG6HQ8LK4Q1ODY04TQDSLGQ" localSheetId="31" hidden="1">#REF!</definedName>
    <definedName name="BExDBGG6HQ8LK4Q1ODY04TQDSLGQ" localSheetId="32" hidden="1">#REF!</definedName>
    <definedName name="BExDBGG6HQ8LK4Q1ODY04TQDSLGQ" hidden="1">#REF!</definedName>
    <definedName name="BExDC7F818VN0S18ID7XRCRVYPJ4" localSheetId="30" hidden="1">#REF!</definedName>
    <definedName name="BExDC7F818VN0S18ID7XRCRVYPJ4" localSheetId="29" hidden="1">#REF!</definedName>
    <definedName name="BExDC7F818VN0S18ID7XRCRVYPJ4" localSheetId="33" hidden="1">#REF!</definedName>
    <definedName name="BExDC7F818VN0S18ID7XRCRVYPJ4" localSheetId="31" hidden="1">#REF!</definedName>
    <definedName name="BExDC7F818VN0S18ID7XRCRVYPJ4" localSheetId="32" hidden="1">#REF!</definedName>
    <definedName name="BExDC7F818VN0S18ID7XRCRVYPJ4" hidden="1">#REF!</definedName>
    <definedName name="BExDCL7K96PC9VZYB70ZW3QPVIJE" localSheetId="30" hidden="1">#REF!</definedName>
    <definedName name="BExDCL7K96PC9VZYB70ZW3QPVIJE" localSheetId="29" hidden="1">#REF!</definedName>
    <definedName name="BExDCL7K96PC9VZYB70ZW3QPVIJE" localSheetId="33" hidden="1">#REF!</definedName>
    <definedName name="BExDCL7K96PC9VZYB70ZW3QPVIJE" localSheetId="31" hidden="1">#REF!</definedName>
    <definedName name="BExDCL7K96PC9VZYB70ZW3QPVIJE" localSheetId="32" hidden="1">#REF!</definedName>
    <definedName name="BExDCL7K96PC9VZYB70ZW3QPVIJE" hidden="1">#REF!</definedName>
    <definedName name="BExDCP3UZ3C2O4C1F7KMU0Z9U32N" localSheetId="30" hidden="1">#REF!</definedName>
    <definedName name="BExDCP3UZ3C2O4C1F7KMU0Z9U32N" localSheetId="29" hidden="1">#REF!</definedName>
    <definedName name="BExDCP3UZ3C2O4C1F7KMU0Z9U32N" localSheetId="33" hidden="1">#REF!</definedName>
    <definedName name="BExDCP3UZ3C2O4C1F7KMU0Z9U32N" localSheetId="31" hidden="1">#REF!</definedName>
    <definedName name="BExDCP3UZ3C2O4C1F7KMU0Z9U32N" localSheetId="32" hidden="1">#REF!</definedName>
    <definedName name="BExDCP3UZ3C2O4C1F7KMU0Z9U32N" hidden="1">#REF!</definedName>
    <definedName name="BExEO6IV8NOKLY41IKJ2ITPJXBM7" localSheetId="30" hidden="1">#REF!</definedName>
    <definedName name="BExEO6IV8NOKLY41IKJ2ITPJXBM7" localSheetId="29" hidden="1">#REF!</definedName>
    <definedName name="BExEO6IV8NOKLY41IKJ2ITPJXBM7" localSheetId="33" hidden="1">#REF!</definedName>
    <definedName name="BExEO6IV8NOKLY41IKJ2ITPJXBM7" localSheetId="31" hidden="1">#REF!</definedName>
    <definedName name="BExEO6IV8NOKLY41IKJ2ITPJXBM7" localSheetId="32" hidden="1">#REF!</definedName>
    <definedName name="BExEO6IV8NOKLY41IKJ2ITPJXBM7" hidden="1">#REF!</definedName>
    <definedName name="BExEOBX3WECDMYCV9RLN49APTXMM" localSheetId="30" hidden="1">#REF!</definedName>
    <definedName name="BExEOBX3WECDMYCV9RLN49APTXMM" localSheetId="29" hidden="1">#REF!</definedName>
    <definedName name="BExEOBX3WECDMYCV9RLN49APTXMM" localSheetId="33" hidden="1">#REF!</definedName>
    <definedName name="BExEOBX3WECDMYCV9RLN49APTXMM" localSheetId="31" hidden="1">#REF!</definedName>
    <definedName name="BExEOBX3WECDMYCV9RLN49APTXMM" localSheetId="32" hidden="1">#REF!</definedName>
    <definedName name="BExEOBX3WECDMYCV9RLN49APTXMM" hidden="1">#REF!</definedName>
    <definedName name="BExEP4E4F36662JDI0TOD85OP7X9" localSheetId="30" hidden="1">#REF!</definedName>
    <definedName name="BExEP4E4F36662JDI0TOD85OP7X9" localSheetId="29" hidden="1">#REF!</definedName>
    <definedName name="BExEP4E4F36662JDI0TOD85OP7X9" localSheetId="33" hidden="1">#REF!</definedName>
    <definedName name="BExEP4E4F36662JDI0TOD85OP7X9" localSheetId="31" hidden="1">#REF!</definedName>
    <definedName name="BExEP4E4F36662JDI0TOD85OP7X9" localSheetId="32" hidden="1">#REF!</definedName>
    <definedName name="BExEP4E4F36662JDI0TOD85OP7X9" hidden="1">#REF!</definedName>
    <definedName name="BExEPN9VIYI0FVL0HLZQXJFO6TT0" localSheetId="30" hidden="1">#REF!</definedName>
    <definedName name="BExEPN9VIYI0FVL0HLZQXJFO6TT0" localSheetId="29" hidden="1">#REF!</definedName>
    <definedName name="BExEPN9VIYI0FVL0HLZQXJFO6TT0" localSheetId="33" hidden="1">#REF!</definedName>
    <definedName name="BExEPN9VIYI0FVL0HLZQXJFO6TT0" localSheetId="31" hidden="1">#REF!</definedName>
    <definedName name="BExEPN9VIYI0FVL0HLZQXJFO6TT0" localSheetId="32" hidden="1">#REF!</definedName>
    <definedName name="BExEPN9VIYI0FVL0HLZQXJFO6TT0" hidden="1">#REF!</definedName>
    <definedName name="BExEPVYQWCBL4KFRNYJF8528BRO8" localSheetId="30" hidden="1">#REF!</definedName>
    <definedName name="BExEPVYQWCBL4KFRNYJF8528BRO8" localSheetId="29" hidden="1">#REF!</definedName>
    <definedName name="BExEPVYQWCBL4KFRNYJF8528BRO8" localSheetId="33" hidden="1">#REF!</definedName>
    <definedName name="BExEPVYQWCBL4KFRNYJF8528BRO8" localSheetId="31" hidden="1">#REF!</definedName>
    <definedName name="BExEPVYQWCBL4KFRNYJF8528BRO8" localSheetId="32" hidden="1">#REF!</definedName>
    <definedName name="BExEPVYQWCBL4KFRNYJF8528BRO8" hidden="1">#REF!</definedName>
    <definedName name="BExEPYT6VDSMR8MU2341Q5GM2Y9V" localSheetId="30" hidden="1">#REF!</definedName>
    <definedName name="BExEPYT6VDSMR8MU2341Q5GM2Y9V" localSheetId="29" hidden="1">#REF!</definedName>
    <definedName name="BExEPYT6VDSMR8MU2341Q5GM2Y9V" localSheetId="33" hidden="1">#REF!</definedName>
    <definedName name="BExEPYT6VDSMR8MU2341Q5GM2Y9V" localSheetId="31" hidden="1">#REF!</definedName>
    <definedName name="BExEPYT6VDSMR8MU2341Q5GM2Y9V" localSheetId="32" hidden="1">#REF!</definedName>
    <definedName name="BExEPYT6VDSMR8MU2341Q5GM2Y9V" hidden="1">#REF!</definedName>
    <definedName name="BExEQ2ENYLMY8K1796XBB31CJHNN" localSheetId="30" hidden="1">#REF!</definedName>
    <definedName name="BExEQ2ENYLMY8K1796XBB31CJHNN" localSheetId="29" hidden="1">#REF!</definedName>
    <definedName name="BExEQ2ENYLMY8K1796XBB31CJHNN" localSheetId="33" hidden="1">#REF!</definedName>
    <definedName name="BExEQ2ENYLMY8K1796XBB31CJHNN" localSheetId="31" hidden="1">#REF!</definedName>
    <definedName name="BExEQ2ENYLMY8K1796XBB31CJHNN" localSheetId="32" hidden="1">#REF!</definedName>
    <definedName name="BExEQ2ENYLMY8K1796XBB31CJHNN" hidden="1">#REF!</definedName>
    <definedName name="BExEQ2PFE4N40LEPGDPS90WDL6BN" localSheetId="30" hidden="1">#REF!</definedName>
    <definedName name="BExEQ2PFE4N40LEPGDPS90WDL6BN" localSheetId="29" hidden="1">#REF!</definedName>
    <definedName name="BExEQ2PFE4N40LEPGDPS90WDL6BN" localSheetId="33" hidden="1">#REF!</definedName>
    <definedName name="BExEQ2PFE4N40LEPGDPS90WDL6BN" localSheetId="31" hidden="1">#REF!</definedName>
    <definedName name="BExEQ2PFE4N40LEPGDPS90WDL6BN" localSheetId="32" hidden="1">#REF!</definedName>
    <definedName name="BExEQ2PFE4N40LEPGDPS90WDL6BN" hidden="1">#REF!</definedName>
    <definedName name="BExEQ2PFURT24NQYGYVE8NKX1EGA" localSheetId="30" hidden="1">#REF!</definedName>
    <definedName name="BExEQ2PFURT24NQYGYVE8NKX1EGA" localSheetId="29" hidden="1">#REF!</definedName>
    <definedName name="BExEQ2PFURT24NQYGYVE8NKX1EGA" localSheetId="33" hidden="1">#REF!</definedName>
    <definedName name="BExEQ2PFURT24NQYGYVE8NKX1EGA" localSheetId="31" hidden="1">#REF!</definedName>
    <definedName name="BExEQ2PFURT24NQYGYVE8NKX1EGA" localSheetId="32" hidden="1">#REF!</definedName>
    <definedName name="BExEQ2PFURT24NQYGYVE8NKX1EGA" hidden="1">#REF!</definedName>
    <definedName name="BExEQB8ZWXO6IIGOEPWTLOJGE2NR" localSheetId="30" hidden="1">#REF!</definedName>
    <definedName name="BExEQB8ZWXO6IIGOEPWTLOJGE2NR" localSheetId="29" hidden="1">#REF!</definedName>
    <definedName name="BExEQB8ZWXO6IIGOEPWTLOJGE2NR" localSheetId="33" hidden="1">#REF!</definedName>
    <definedName name="BExEQB8ZWXO6IIGOEPWTLOJGE2NR" localSheetId="31" hidden="1">#REF!</definedName>
    <definedName name="BExEQB8ZWXO6IIGOEPWTLOJGE2NR" localSheetId="32" hidden="1">#REF!</definedName>
    <definedName name="BExEQB8ZWXO6IIGOEPWTLOJGE2NR" hidden="1">#REF!</definedName>
    <definedName name="BExEQBZX0EL6LIKPY01197ACK65H" localSheetId="30" hidden="1">#REF!</definedName>
    <definedName name="BExEQBZX0EL6LIKPY01197ACK65H" localSheetId="29" hidden="1">#REF!</definedName>
    <definedName name="BExEQBZX0EL6LIKPY01197ACK65H" localSheetId="33" hidden="1">#REF!</definedName>
    <definedName name="BExEQBZX0EL6LIKPY01197ACK65H" localSheetId="31" hidden="1">#REF!</definedName>
    <definedName name="BExEQBZX0EL6LIKPY01197ACK65H" localSheetId="32" hidden="1">#REF!</definedName>
    <definedName name="BExEQBZX0EL6LIKPY01197ACK65H" hidden="1">#REF!</definedName>
    <definedName name="BExEQDXZALJLD4OBF74IKZBR13SR" localSheetId="30" hidden="1">#REF!</definedName>
    <definedName name="BExEQDXZALJLD4OBF74IKZBR13SR" localSheetId="29" hidden="1">#REF!</definedName>
    <definedName name="BExEQDXZALJLD4OBF74IKZBR13SR" localSheetId="33" hidden="1">#REF!</definedName>
    <definedName name="BExEQDXZALJLD4OBF74IKZBR13SR" localSheetId="31" hidden="1">#REF!</definedName>
    <definedName name="BExEQDXZALJLD4OBF74IKZBR13SR" localSheetId="32" hidden="1">#REF!</definedName>
    <definedName name="BExEQDXZALJLD4OBF74IKZBR13SR" hidden="1">#REF!</definedName>
    <definedName name="BExEQFLE2RPWGMWQAI4JMKUEFRPT" localSheetId="30" hidden="1">#REF!</definedName>
    <definedName name="BExEQFLE2RPWGMWQAI4JMKUEFRPT" localSheetId="29" hidden="1">#REF!</definedName>
    <definedName name="BExEQFLE2RPWGMWQAI4JMKUEFRPT" localSheetId="33" hidden="1">#REF!</definedName>
    <definedName name="BExEQFLE2RPWGMWQAI4JMKUEFRPT" localSheetId="31" hidden="1">#REF!</definedName>
    <definedName name="BExEQFLE2RPWGMWQAI4JMKUEFRPT" localSheetId="32" hidden="1">#REF!</definedName>
    <definedName name="BExEQFLE2RPWGMWQAI4JMKUEFRPT" hidden="1">#REF!</definedName>
    <definedName name="BExEQIL9KZROMZV706XTG3FPSRTO" localSheetId="30" hidden="1">#REF!</definedName>
    <definedName name="BExEQIL9KZROMZV706XTG3FPSRTO" localSheetId="29" hidden="1">#REF!</definedName>
    <definedName name="BExEQIL9KZROMZV706XTG3FPSRTO" localSheetId="33" hidden="1">#REF!</definedName>
    <definedName name="BExEQIL9KZROMZV706XTG3FPSRTO" localSheetId="31" hidden="1">#REF!</definedName>
    <definedName name="BExEQIL9KZROMZV706XTG3FPSRTO" localSheetId="32" hidden="1">#REF!</definedName>
    <definedName name="BExEQIL9KZROMZV706XTG3FPSRTO" hidden="1">#REF!</definedName>
    <definedName name="BExEQTZAP8R69U31W4LKGTKKGKQE" localSheetId="30" hidden="1">#REF!</definedName>
    <definedName name="BExEQTZAP8R69U31W4LKGTKKGKQE" localSheetId="29" hidden="1">#REF!</definedName>
    <definedName name="BExEQTZAP8R69U31W4LKGTKKGKQE" localSheetId="33" hidden="1">#REF!</definedName>
    <definedName name="BExEQTZAP8R69U31W4LKGTKKGKQE" localSheetId="31" hidden="1">#REF!</definedName>
    <definedName name="BExEQTZAP8R69U31W4LKGTKKGKQE" localSheetId="32" hidden="1">#REF!</definedName>
    <definedName name="BExEQTZAP8R69U31W4LKGTKKGKQE" hidden="1">#REF!</definedName>
    <definedName name="BExER2O72H1F9WV6S1J04C15PXX7" localSheetId="30" hidden="1">#REF!</definedName>
    <definedName name="BExER2O72H1F9WV6S1J04C15PXX7" localSheetId="29" hidden="1">#REF!</definedName>
    <definedName name="BExER2O72H1F9WV6S1J04C15PXX7" localSheetId="33" hidden="1">#REF!</definedName>
    <definedName name="BExER2O72H1F9WV6S1J04C15PXX7" localSheetId="31" hidden="1">#REF!</definedName>
    <definedName name="BExER2O72H1F9WV6S1J04C15PXX7" localSheetId="32" hidden="1">#REF!</definedName>
    <definedName name="BExER2O72H1F9WV6S1J04C15PXX7" hidden="1">#REF!</definedName>
    <definedName name="BExERRUIKIOATPZ9U4HQ0V52RJAU" localSheetId="30" hidden="1">#REF!</definedName>
    <definedName name="BExERRUIKIOATPZ9U4HQ0V52RJAU" localSheetId="29" hidden="1">#REF!</definedName>
    <definedName name="BExERRUIKIOATPZ9U4HQ0V52RJAU" localSheetId="33" hidden="1">#REF!</definedName>
    <definedName name="BExERRUIKIOATPZ9U4HQ0V52RJAU" localSheetId="31" hidden="1">#REF!</definedName>
    <definedName name="BExERRUIKIOATPZ9U4HQ0V52RJAU" localSheetId="32" hidden="1">#REF!</definedName>
    <definedName name="BExERRUIKIOATPZ9U4HQ0V52RJAU" hidden="1">#REF!</definedName>
    <definedName name="BExERSANFNM1O7T65PC5MJ301YET" localSheetId="30" hidden="1">#REF!</definedName>
    <definedName name="BExERSANFNM1O7T65PC5MJ301YET" localSheetId="29" hidden="1">#REF!</definedName>
    <definedName name="BExERSANFNM1O7T65PC5MJ301YET" localSheetId="33" hidden="1">#REF!</definedName>
    <definedName name="BExERSANFNM1O7T65PC5MJ301YET" localSheetId="31" hidden="1">#REF!</definedName>
    <definedName name="BExERSANFNM1O7T65PC5MJ301YET" localSheetId="32" hidden="1">#REF!</definedName>
    <definedName name="BExERSANFNM1O7T65PC5MJ301YET" hidden="1">#REF!</definedName>
    <definedName name="BExERWCEBKQRYWRQLYJ4UCMMKTHG" localSheetId="30" hidden="1">#REF!</definedName>
    <definedName name="BExERWCEBKQRYWRQLYJ4UCMMKTHG" localSheetId="29" hidden="1">#REF!</definedName>
    <definedName name="BExERWCEBKQRYWRQLYJ4UCMMKTHG" localSheetId="33" hidden="1">#REF!</definedName>
    <definedName name="BExERWCEBKQRYWRQLYJ4UCMMKTHG" localSheetId="31" hidden="1">#REF!</definedName>
    <definedName name="BExERWCEBKQRYWRQLYJ4UCMMKTHG" localSheetId="32" hidden="1">#REF!</definedName>
    <definedName name="BExERWCEBKQRYWRQLYJ4UCMMKTHG" hidden="1">#REF!</definedName>
    <definedName name="BExES44RHHDL3V7FLV6M20834WF1" localSheetId="30" hidden="1">#REF!</definedName>
    <definedName name="BExES44RHHDL3V7FLV6M20834WF1" localSheetId="29" hidden="1">#REF!</definedName>
    <definedName name="BExES44RHHDL3V7FLV6M20834WF1" localSheetId="33" hidden="1">#REF!</definedName>
    <definedName name="BExES44RHHDL3V7FLV6M20834WF1" localSheetId="31" hidden="1">#REF!</definedName>
    <definedName name="BExES44RHHDL3V7FLV6M20834WF1" localSheetId="32" hidden="1">#REF!</definedName>
    <definedName name="BExES44RHHDL3V7FLV6M20834WF1" hidden="1">#REF!</definedName>
    <definedName name="BExES4A7VE2X3RYYTVRLKZD4I7WU" localSheetId="30" hidden="1">#REF!</definedName>
    <definedName name="BExES4A7VE2X3RYYTVRLKZD4I7WU" localSheetId="29" hidden="1">#REF!</definedName>
    <definedName name="BExES4A7VE2X3RYYTVRLKZD4I7WU" localSheetId="33" hidden="1">#REF!</definedName>
    <definedName name="BExES4A7VE2X3RYYTVRLKZD4I7WU" localSheetId="31" hidden="1">#REF!</definedName>
    <definedName name="BExES4A7VE2X3RYYTVRLKZD4I7WU" localSheetId="32" hidden="1">#REF!</definedName>
    <definedName name="BExES4A7VE2X3RYYTVRLKZD4I7WU" hidden="1">#REF!</definedName>
    <definedName name="BExES6ZC8R7PHJ21OVJFLIR7DY30" localSheetId="30" hidden="1">#REF!</definedName>
    <definedName name="BExES6ZC8R7PHJ21OVJFLIR7DY30" localSheetId="29" hidden="1">#REF!</definedName>
    <definedName name="BExES6ZC8R7PHJ21OVJFLIR7DY30" localSheetId="33" hidden="1">#REF!</definedName>
    <definedName name="BExES6ZC8R7PHJ21OVJFLIR7DY30" localSheetId="31" hidden="1">#REF!</definedName>
    <definedName name="BExES6ZC8R7PHJ21OVJFLIR7DY30" localSheetId="32" hidden="1">#REF!</definedName>
    <definedName name="BExES6ZC8R7PHJ21OVJFLIR7DY30" hidden="1">#REF!</definedName>
    <definedName name="BExESMKD95A649M0WRSG6CXXP326" localSheetId="30" hidden="1">#REF!</definedName>
    <definedName name="BExESMKD95A649M0WRSG6CXXP326" localSheetId="29" hidden="1">#REF!</definedName>
    <definedName name="BExESMKD95A649M0WRSG6CXXP326" localSheetId="33" hidden="1">#REF!</definedName>
    <definedName name="BExESMKD95A649M0WRSG6CXXP326" localSheetId="31" hidden="1">#REF!</definedName>
    <definedName name="BExESMKD95A649M0WRSG6CXXP326" localSheetId="32" hidden="1">#REF!</definedName>
    <definedName name="BExESMKD95A649M0WRSG6CXXP326" hidden="1">#REF!</definedName>
    <definedName name="BExESR27ZXJG5VMY4PR9D940VS7T" localSheetId="30" hidden="1">#REF!</definedName>
    <definedName name="BExESR27ZXJG5VMY4PR9D940VS7T" localSheetId="29" hidden="1">#REF!</definedName>
    <definedName name="BExESR27ZXJG5VMY4PR9D940VS7T" localSheetId="33" hidden="1">#REF!</definedName>
    <definedName name="BExESR27ZXJG5VMY4PR9D940VS7T" localSheetId="31" hidden="1">#REF!</definedName>
    <definedName name="BExESR27ZXJG5VMY4PR9D940VS7T" localSheetId="32" hidden="1">#REF!</definedName>
    <definedName name="BExESR27ZXJG5VMY4PR9D940VS7T" hidden="1">#REF!</definedName>
    <definedName name="BExESZ03KXL8DQ2591HLR56ZML94" localSheetId="30" hidden="1">#REF!</definedName>
    <definedName name="BExESZ03KXL8DQ2591HLR56ZML94" localSheetId="29" hidden="1">#REF!</definedName>
    <definedName name="BExESZ03KXL8DQ2591HLR56ZML94" localSheetId="33" hidden="1">#REF!</definedName>
    <definedName name="BExESZ03KXL8DQ2591HLR56ZML94" localSheetId="31" hidden="1">#REF!</definedName>
    <definedName name="BExESZ03KXL8DQ2591HLR56ZML94" localSheetId="32" hidden="1">#REF!</definedName>
    <definedName name="BExESZ03KXL8DQ2591HLR56ZML94" hidden="1">#REF!</definedName>
    <definedName name="BExESZAW5N443NRTKIP59OEI1CR6" localSheetId="30" hidden="1">#REF!</definedName>
    <definedName name="BExESZAW5N443NRTKIP59OEI1CR6" localSheetId="29" hidden="1">#REF!</definedName>
    <definedName name="BExESZAW5N443NRTKIP59OEI1CR6" localSheetId="33" hidden="1">#REF!</definedName>
    <definedName name="BExESZAW5N443NRTKIP59OEI1CR6" localSheetId="31" hidden="1">#REF!</definedName>
    <definedName name="BExESZAW5N443NRTKIP59OEI1CR6" localSheetId="32" hidden="1">#REF!</definedName>
    <definedName name="BExESZAW5N443NRTKIP59OEI1CR6" hidden="1">#REF!</definedName>
    <definedName name="BExET3HXQ60A4O2OLKX8QNXRI6LQ" localSheetId="30" hidden="1">#REF!</definedName>
    <definedName name="BExET3HXQ60A4O2OLKX8QNXRI6LQ" localSheetId="29" hidden="1">#REF!</definedName>
    <definedName name="BExET3HXQ60A4O2OLKX8QNXRI6LQ" localSheetId="33" hidden="1">#REF!</definedName>
    <definedName name="BExET3HXQ60A4O2OLKX8QNXRI6LQ" localSheetId="31" hidden="1">#REF!</definedName>
    <definedName name="BExET3HXQ60A4O2OLKX8QNXRI6LQ" localSheetId="32" hidden="1">#REF!</definedName>
    <definedName name="BExET3HXQ60A4O2OLKX8QNXRI6LQ" hidden="1">#REF!</definedName>
    <definedName name="BExETA3B1FCIOA80H94K90FWXQKE" localSheetId="30" hidden="1">#REF!</definedName>
    <definedName name="BExETA3B1FCIOA80H94K90FWXQKE" localSheetId="29" hidden="1">#REF!</definedName>
    <definedName name="BExETA3B1FCIOA80H94K90FWXQKE" localSheetId="33" hidden="1">#REF!</definedName>
    <definedName name="BExETA3B1FCIOA80H94K90FWXQKE" localSheetId="31" hidden="1">#REF!</definedName>
    <definedName name="BExETA3B1FCIOA80H94K90FWXQKE" localSheetId="32" hidden="1">#REF!</definedName>
    <definedName name="BExETA3B1FCIOA80H94K90FWXQKE" hidden="1">#REF!</definedName>
    <definedName name="BExETAZOYT4CJIT8RRKC9F2HJG1D" localSheetId="30" hidden="1">#REF!</definedName>
    <definedName name="BExETAZOYT4CJIT8RRKC9F2HJG1D" localSheetId="29" hidden="1">#REF!</definedName>
    <definedName name="BExETAZOYT4CJIT8RRKC9F2HJG1D" localSheetId="33" hidden="1">#REF!</definedName>
    <definedName name="BExETAZOYT4CJIT8RRKC9F2HJG1D" localSheetId="31" hidden="1">#REF!</definedName>
    <definedName name="BExETAZOYT4CJIT8RRKC9F2HJG1D" localSheetId="32" hidden="1">#REF!</definedName>
    <definedName name="BExETAZOYT4CJIT8RRKC9F2HJG1D" hidden="1">#REF!</definedName>
    <definedName name="BExETF6QD5A9GEINE1KZRRC2LXWM" localSheetId="30" hidden="1">#REF!</definedName>
    <definedName name="BExETF6QD5A9GEINE1KZRRC2LXWM" localSheetId="29" hidden="1">#REF!</definedName>
    <definedName name="BExETF6QD5A9GEINE1KZRRC2LXWM" localSheetId="33" hidden="1">#REF!</definedName>
    <definedName name="BExETF6QD5A9GEINE1KZRRC2LXWM" localSheetId="31" hidden="1">#REF!</definedName>
    <definedName name="BExETF6QD5A9GEINE1KZRRC2LXWM" localSheetId="32" hidden="1">#REF!</definedName>
    <definedName name="BExETF6QD5A9GEINE1KZRRC2LXWM" hidden="1">#REF!</definedName>
    <definedName name="BExETQ9XRXLUACN82805SPSPNKHI" localSheetId="30" hidden="1">#REF!</definedName>
    <definedName name="BExETQ9XRXLUACN82805SPSPNKHI" localSheetId="29" hidden="1">#REF!</definedName>
    <definedName name="BExETQ9XRXLUACN82805SPSPNKHI" localSheetId="33" hidden="1">#REF!</definedName>
    <definedName name="BExETQ9XRXLUACN82805SPSPNKHI" localSheetId="31" hidden="1">#REF!</definedName>
    <definedName name="BExETQ9XRXLUACN82805SPSPNKHI" localSheetId="32" hidden="1">#REF!</definedName>
    <definedName name="BExETQ9XRXLUACN82805SPSPNKHI" hidden="1">#REF!</definedName>
    <definedName name="BExETR0YRMOR63E6DHLEHV9QVVON" localSheetId="30" hidden="1">#REF!</definedName>
    <definedName name="BExETR0YRMOR63E6DHLEHV9QVVON" localSheetId="29" hidden="1">#REF!</definedName>
    <definedName name="BExETR0YRMOR63E6DHLEHV9QVVON" localSheetId="33" hidden="1">#REF!</definedName>
    <definedName name="BExETR0YRMOR63E6DHLEHV9QVVON" localSheetId="31" hidden="1">#REF!</definedName>
    <definedName name="BExETR0YRMOR63E6DHLEHV9QVVON" localSheetId="32" hidden="1">#REF!</definedName>
    <definedName name="BExETR0YRMOR63E6DHLEHV9QVVON" hidden="1">#REF!</definedName>
    <definedName name="BExETVTGY38YXYYF7N73OYN6FYY3" localSheetId="30" hidden="1">#REF!</definedName>
    <definedName name="BExETVTGY38YXYYF7N73OYN6FYY3" localSheetId="29" hidden="1">#REF!</definedName>
    <definedName name="BExETVTGY38YXYYF7N73OYN6FYY3" localSheetId="33" hidden="1">#REF!</definedName>
    <definedName name="BExETVTGY38YXYYF7N73OYN6FYY3" localSheetId="31" hidden="1">#REF!</definedName>
    <definedName name="BExETVTGY38YXYYF7N73OYN6FYY3" localSheetId="32" hidden="1">#REF!</definedName>
    <definedName name="BExETVTGY38YXYYF7N73OYN6FYY3" hidden="1">#REF!</definedName>
    <definedName name="BExEUNE4T242Y59C6MS28MXEUGCP" localSheetId="30" hidden="1">#REF!</definedName>
    <definedName name="BExEUNE4T242Y59C6MS28MXEUGCP" localSheetId="29" hidden="1">#REF!</definedName>
    <definedName name="BExEUNE4T242Y59C6MS28MXEUGCP" localSheetId="33" hidden="1">#REF!</definedName>
    <definedName name="BExEUNE4T242Y59C6MS28MXEUGCP" localSheetId="31" hidden="1">#REF!</definedName>
    <definedName name="BExEUNE4T242Y59C6MS28MXEUGCP" localSheetId="32" hidden="1">#REF!</definedName>
    <definedName name="BExEUNE4T242Y59C6MS28MXEUGCP" hidden="1">#REF!</definedName>
    <definedName name="BExEV2TP7NA3ZR6RJGH5ER370OUM" localSheetId="30" hidden="1">#REF!</definedName>
    <definedName name="BExEV2TP7NA3ZR6RJGH5ER370OUM" localSheetId="29" hidden="1">#REF!</definedName>
    <definedName name="BExEV2TP7NA3ZR6RJGH5ER370OUM" localSheetId="33" hidden="1">#REF!</definedName>
    <definedName name="BExEV2TP7NA3ZR6RJGH5ER370OUM" localSheetId="31" hidden="1">#REF!</definedName>
    <definedName name="BExEV2TP7NA3ZR6RJGH5ER370OUM" localSheetId="32" hidden="1">#REF!</definedName>
    <definedName name="BExEV2TP7NA3ZR6RJGH5ER370OUM" hidden="1">#REF!</definedName>
    <definedName name="BExEV69USLNYO2QRJRC0J92XUF00" localSheetId="30" hidden="1">#REF!</definedName>
    <definedName name="BExEV69USLNYO2QRJRC0J92XUF00" localSheetId="29" hidden="1">#REF!</definedName>
    <definedName name="BExEV69USLNYO2QRJRC0J92XUF00" localSheetId="33" hidden="1">#REF!</definedName>
    <definedName name="BExEV69USLNYO2QRJRC0J92XUF00" localSheetId="31" hidden="1">#REF!</definedName>
    <definedName name="BExEV69USLNYO2QRJRC0J92XUF00" localSheetId="32" hidden="1">#REF!</definedName>
    <definedName name="BExEV69USLNYO2QRJRC0J92XUF00" hidden="1">#REF!</definedName>
    <definedName name="BExEV6KNTQOCFD7GV726XQEVQ7R6" localSheetId="30" hidden="1">#REF!</definedName>
    <definedName name="BExEV6KNTQOCFD7GV726XQEVQ7R6" localSheetId="29" hidden="1">#REF!</definedName>
    <definedName name="BExEV6KNTQOCFD7GV726XQEVQ7R6" localSheetId="33" hidden="1">#REF!</definedName>
    <definedName name="BExEV6KNTQOCFD7GV726XQEVQ7R6" localSheetId="31" hidden="1">#REF!</definedName>
    <definedName name="BExEV6KNTQOCFD7GV726XQEVQ7R6" localSheetId="32" hidden="1">#REF!</definedName>
    <definedName name="BExEV6KNTQOCFD7GV726XQEVQ7R6" hidden="1">#REF!</definedName>
    <definedName name="BExEV6VGM4POO9QT9KH3QA3VYCWM" localSheetId="30" hidden="1">#REF!</definedName>
    <definedName name="BExEV6VGM4POO9QT9KH3QA3VYCWM" localSheetId="29" hidden="1">#REF!</definedName>
    <definedName name="BExEV6VGM4POO9QT9KH3QA3VYCWM" localSheetId="33" hidden="1">#REF!</definedName>
    <definedName name="BExEV6VGM4POO9QT9KH3QA3VYCWM" localSheetId="31" hidden="1">#REF!</definedName>
    <definedName name="BExEV6VGM4POO9QT9KH3QA3VYCWM" localSheetId="32" hidden="1">#REF!</definedName>
    <definedName name="BExEV6VGM4POO9QT9KH3QA3VYCWM" hidden="1">#REF!</definedName>
    <definedName name="BExEVET98G3FU6QBF9LHYWSAMV0O" localSheetId="30" hidden="1">#REF!</definedName>
    <definedName name="BExEVET98G3FU6QBF9LHYWSAMV0O" localSheetId="29" hidden="1">#REF!</definedName>
    <definedName name="BExEVET98G3FU6QBF9LHYWSAMV0O" localSheetId="33" hidden="1">#REF!</definedName>
    <definedName name="BExEVET98G3FU6QBF9LHYWSAMV0O" localSheetId="31" hidden="1">#REF!</definedName>
    <definedName name="BExEVET98G3FU6QBF9LHYWSAMV0O" localSheetId="32" hidden="1">#REF!</definedName>
    <definedName name="BExEVET98G3FU6QBF9LHYWSAMV0O" hidden="1">#REF!</definedName>
    <definedName name="BExEVKNRVXJT76P8N9CKN234NFVT" localSheetId="30" hidden="1">#REF!</definedName>
    <definedName name="BExEVKNRVXJT76P8N9CKN234NFVT" localSheetId="29" hidden="1">#REF!</definedName>
    <definedName name="BExEVKNRVXJT76P8N9CKN234NFVT" localSheetId="33" hidden="1">#REF!</definedName>
    <definedName name="BExEVKNRVXJT76P8N9CKN234NFVT" localSheetId="31" hidden="1">#REF!</definedName>
    <definedName name="BExEVKNRVXJT76P8N9CKN234NFVT" localSheetId="32" hidden="1">#REF!</definedName>
    <definedName name="BExEVKNRVXJT76P8N9CKN234NFVT" hidden="1">#REF!</definedName>
    <definedName name="BExEVNCUT0PDUYNJH7G6BSEWZOT2" localSheetId="30" hidden="1">#REF!</definedName>
    <definedName name="BExEVNCUT0PDUYNJH7G6BSEWZOT2" localSheetId="29" hidden="1">#REF!</definedName>
    <definedName name="BExEVNCUT0PDUYNJH7G6BSEWZOT2" localSheetId="33" hidden="1">#REF!</definedName>
    <definedName name="BExEVNCUT0PDUYNJH7G6BSEWZOT2" localSheetId="31" hidden="1">#REF!</definedName>
    <definedName name="BExEVNCUT0PDUYNJH7G6BSEWZOT2" localSheetId="32" hidden="1">#REF!</definedName>
    <definedName name="BExEVNCUT0PDUYNJH7G6BSEWZOT2" hidden="1">#REF!</definedName>
    <definedName name="BExEVPGF4V5J0WQRZKUM8F9TTKZJ" localSheetId="30" hidden="1">#REF!</definedName>
    <definedName name="BExEVPGF4V5J0WQRZKUM8F9TTKZJ" localSheetId="29" hidden="1">#REF!</definedName>
    <definedName name="BExEVPGF4V5J0WQRZKUM8F9TTKZJ" localSheetId="33" hidden="1">#REF!</definedName>
    <definedName name="BExEVPGF4V5J0WQRZKUM8F9TTKZJ" localSheetId="31" hidden="1">#REF!</definedName>
    <definedName name="BExEVPGF4V5J0WQRZKUM8F9TTKZJ" localSheetId="32" hidden="1">#REF!</definedName>
    <definedName name="BExEVPGF4V5J0WQRZKUM8F9TTKZJ" hidden="1">#REF!</definedName>
    <definedName name="BExEVUP4LK4P20PVNIC38HN5Z792" localSheetId="30" hidden="1">#REF!</definedName>
    <definedName name="BExEVUP4LK4P20PVNIC38HN5Z792" localSheetId="29" hidden="1">#REF!</definedName>
    <definedName name="BExEVUP4LK4P20PVNIC38HN5Z792" localSheetId="33" hidden="1">#REF!</definedName>
    <definedName name="BExEVUP4LK4P20PVNIC38HN5Z792" localSheetId="31" hidden="1">#REF!</definedName>
    <definedName name="BExEVUP4LK4P20PVNIC38HN5Z792" localSheetId="32" hidden="1">#REF!</definedName>
    <definedName name="BExEVUP4LK4P20PVNIC38HN5Z792" hidden="1">#REF!</definedName>
    <definedName name="BExEVVLIEVWYRF2UUC1H0H5QU1CP" localSheetId="30" hidden="1">#REF!</definedName>
    <definedName name="BExEVVLIEVWYRF2UUC1H0H5QU1CP" localSheetId="29" hidden="1">#REF!</definedName>
    <definedName name="BExEVVLIEVWYRF2UUC1H0H5QU1CP" localSheetId="33" hidden="1">#REF!</definedName>
    <definedName name="BExEVVLIEVWYRF2UUC1H0H5QU1CP" localSheetId="31" hidden="1">#REF!</definedName>
    <definedName name="BExEVVLIEVWYRF2UUC1H0H5QU1CP" localSheetId="32" hidden="1">#REF!</definedName>
    <definedName name="BExEVVLIEVWYRF2UUC1H0H5QU1CP" hidden="1">#REF!</definedName>
    <definedName name="BExEVWCKO8T84GW9Z3X47915XKSH" localSheetId="30" hidden="1">#REF!</definedName>
    <definedName name="BExEVWCKO8T84GW9Z3X47915XKSH" localSheetId="29" hidden="1">#REF!</definedName>
    <definedName name="BExEVWCKO8T84GW9Z3X47915XKSH" localSheetId="33" hidden="1">#REF!</definedName>
    <definedName name="BExEVWCKO8T84GW9Z3X47915XKSH" localSheetId="31" hidden="1">#REF!</definedName>
    <definedName name="BExEVWCKO8T84GW9Z3X47915XKSH" localSheetId="32" hidden="1">#REF!</definedName>
    <definedName name="BExEVWCKO8T84GW9Z3X47915XKSH" hidden="1">#REF!</definedName>
    <definedName name="BExEVZSJWMZ5L2ZE7AZC57CXKW6T" localSheetId="30" hidden="1">#REF!</definedName>
    <definedName name="BExEVZSJWMZ5L2ZE7AZC57CXKW6T" localSheetId="29" hidden="1">#REF!</definedName>
    <definedName name="BExEVZSJWMZ5L2ZE7AZC57CXKW6T" localSheetId="33" hidden="1">#REF!</definedName>
    <definedName name="BExEVZSJWMZ5L2ZE7AZC57CXKW6T" localSheetId="31" hidden="1">#REF!</definedName>
    <definedName name="BExEVZSJWMZ5L2ZE7AZC57CXKW6T" localSheetId="32" hidden="1">#REF!</definedName>
    <definedName name="BExEVZSJWMZ5L2ZE7AZC57CXKW6T" hidden="1">#REF!</definedName>
    <definedName name="BExEW0JL1GFFCXMDGW54CI7Y8FZN" localSheetId="30" hidden="1">#REF!</definedName>
    <definedName name="BExEW0JL1GFFCXMDGW54CI7Y8FZN" localSheetId="29" hidden="1">#REF!</definedName>
    <definedName name="BExEW0JL1GFFCXMDGW54CI7Y8FZN" localSheetId="33" hidden="1">#REF!</definedName>
    <definedName name="BExEW0JL1GFFCXMDGW54CI7Y8FZN" localSheetId="31" hidden="1">#REF!</definedName>
    <definedName name="BExEW0JL1GFFCXMDGW54CI7Y8FZN" localSheetId="32" hidden="1">#REF!</definedName>
    <definedName name="BExEW0JL1GFFCXMDGW54CI7Y8FZN" hidden="1">#REF!</definedName>
    <definedName name="BExEW68M9WL8214QH9C7VCK7BN08" localSheetId="30" hidden="1">#REF!</definedName>
    <definedName name="BExEW68M9WL8214QH9C7VCK7BN08" localSheetId="29" hidden="1">#REF!</definedName>
    <definedName name="BExEW68M9WL8214QH9C7VCK7BN08" localSheetId="33" hidden="1">#REF!</definedName>
    <definedName name="BExEW68M9WL8214QH9C7VCK7BN08" localSheetId="31" hidden="1">#REF!</definedName>
    <definedName name="BExEW68M9WL8214QH9C7VCK7BN08" localSheetId="32" hidden="1">#REF!</definedName>
    <definedName name="BExEW68M9WL8214QH9C7VCK7BN08" hidden="1">#REF!</definedName>
    <definedName name="BExEW8HFKH6F47KIHYBDRUEFZ2ZZ" localSheetId="30" hidden="1">#REF!</definedName>
    <definedName name="BExEW8HFKH6F47KIHYBDRUEFZ2ZZ" localSheetId="29" hidden="1">#REF!</definedName>
    <definedName name="BExEW8HFKH6F47KIHYBDRUEFZ2ZZ" localSheetId="33" hidden="1">#REF!</definedName>
    <definedName name="BExEW8HFKH6F47KIHYBDRUEFZ2ZZ" localSheetId="31" hidden="1">#REF!</definedName>
    <definedName name="BExEW8HFKH6F47KIHYBDRUEFZ2ZZ" localSheetId="32" hidden="1">#REF!</definedName>
    <definedName name="BExEW8HFKH6F47KIHYBDRUEFZ2ZZ" hidden="1">#REF!</definedName>
    <definedName name="BExEWLO75K95C6IRKHXSP7VP81T4" localSheetId="30" hidden="1">#REF!</definedName>
    <definedName name="BExEWLO75K95C6IRKHXSP7VP81T4" localSheetId="29" hidden="1">#REF!</definedName>
    <definedName name="BExEWLO75K95C6IRKHXSP7VP81T4" localSheetId="33" hidden="1">#REF!</definedName>
    <definedName name="BExEWLO75K95C6IRKHXSP7VP81T4" localSheetId="31" hidden="1">#REF!</definedName>
    <definedName name="BExEWLO75K95C6IRKHXSP7VP81T4" localSheetId="32" hidden="1">#REF!</definedName>
    <definedName name="BExEWLO75K95C6IRKHXSP7VP81T4" hidden="1">#REF!</definedName>
    <definedName name="BExEWNBGQS1U2LW3W84T4LSJ9K00" localSheetId="30" hidden="1">#REF!</definedName>
    <definedName name="BExEWNBGQS1U2LW3W84T4LSJ9K00" localSheetId="29" hidden="1">#REF!</definedName>
    <definedName name="BExEWNBGQS1U2LW3W84T4LSJ9K00" localSheetId="33" hidden="1">#REF!</definedName>
    <definedName name="BExEWNBGQS1U2LW3W84T4LSJ9K00" localSheetId="31" hidden="1">#REF!</definedName>
    <definedName name="BExEWNBGQS1U2LW3W84T4LSJ9K00" localSheetId="32" hidden="1">#REF!</definedName>
    <definedName name="BExEWNBGQS1U2LW3W84T4LSJ9K00" hidden="1">#REF!</definedName>
    <definedName name="BExEWO7STL7HNZSTY8VQBPTX1WK6" localSheetId="30" hidden="1">#REF!</definedName>
    <definedName name="BExEWO7STL7HNZSTY8VQBPTX1WK6" localSheetId="29" hidden="1">#REF!</definedName>
    <definedName name="BExEWO7STL7HNZSTY8VQBPTX1WK6" localSheetId="33" hidden="1">#REF!</definedName>
    <definedName name="BExEWO7STL7HNZSTY8VQBPTX1WK6" localSheetId="31" hidden="1">#REF!</definedName>
    <definedName name="BExEWO7STL7HNZSTY8VQBPTX1WK6" localSheetId="32" hidden="1">#REF!</definedName>
    <definedName name="BExEWO7STL7HNZSTY8VQBPTX1WK6" hidden="1">#REF!</definedName>
    <definedName name="BExEWQ0M1N3KMKTDJ73H10QSG4W1" localSheetId="30" hidden="1">#REF!</definedName>
    <definedName name="BExEWQ0M1N3KMKTDJ73H10QSG4W1" localSheetId="29" hidden="1">#REF!</definedName>
    <definedName name="BExEWQ0M1N3KMKTDJ73H10QSG4W1" localSheetId="33" hidden="1">#REF!</definedName>
    <definedName name="BExEWQ0M1N3KMKTDJ73H10QSG4W1" localSheetId="31" hidden="1">#REF!</definedName>
    <definedName name="BExEWQ0M1N3KMKTDJ73H10QSG4W1" localSheetId="32" hidden="1">#REF!</definedName>
    <definedName name="BExEWQ0M1N3KMKTDJ73H10QSG4W1" hidden="1">#REF!</definedName>
    <definedName name="BExEX6NGV6RLCH99OW05FYU8I35W" localSheetId="30" hidden="1">#REF!</definedName>
    <definedName name="BExEX6NGV6RLCH99OW05FYU8I35W" localSheetId="29" hidden="1">#REF!</definedName>
    <definedName name="BExEX6NGV6RLCH99OW05FYU8I35W" localSheetId="33" hidden="1">#REF!</definedName>
    <definedName name="BExEX6NGV6RLCH99OW05FYU8I35W" localSheetId="31" hidden="1">#REF!</definedName>
    <definedName name="BExEX6NGV6RLCH99OW05FYU8I35W" localSheetId="32" hidden="1">#REF!</definedName>
    <definedName name="BExEX6NGV6RLCH99OW05FYU8I35W" hidden="1">#REF!</definedName>
    <definedName name="BExEX7P6P4LY7SWS8PLKTAVVVZGN" localSheetId="30" hidden="1">#REF!</definedName>
    <definedName name="BExEX7P6P4LY7SWS8PLKTAVVVZGN" localSheetId="29" hidden="1">#REF!</definedName>
    <definedName name="BExEX7P6P4LY7SWS8PLKTAVVVZGN" localSheetId="33" hidden="1">#REF!</definedName>
    <definedName name="BExEX7P6P4LY7SWS8PLKTAVVVZGN" localSheetId="31" hidden="1">#REF!</definedName>
    <definedName name="BExEX7P6P4LY7SWS8PLKTAVVVZGN" localSheetId="32" hidden="1">#REF!</definedName>
    <definedName name="BExEX7P6P4LY7SWS8PLKTAVVVZGN" hidden="1">#REF!</definedName>
    <definedName name="BExEX85F3OSW8NSCYGYPS9372Z1Q" localSheetId="30" hidden="1">#REF!</definedName>
    <definedName name="BExEX85F3OSW8NSCYGYPS9372Z1Q" localSheetId="29" hidden="1">#REF!</definedName>
    <definedName name="BExEX85F3OSW8NSCYGYPS9372Z1Q" localSheetId="33" hidden="1">#REF!</definedName>
    <definedName name="BExEX85F3OSW8NSCYGYPS9372Z1Q" localSheetId="31" hidden="1">#REF!</definedName>
    <definedName name="BExEX85F3OSW8NSCYGYPS9372Z1Q" localSheetId="32" hidden="1">#REF!</definedName>
    <definedName name="BExEX85F3OSW8NSCYGYPS9372Z1Q" hidden="1">#REF!</definedName>
    <definedName name="BExEX9HWY2G6928ZVVVQF77QCM2C" localSheetId="30" hidden="1">#REF!</definedName>
    <definedName name="BExEX9HWY2G6928ZVVVQF77QCM2C" localSheetId="29" hidden="1">#REF!</definedName>
    <definedName name="BExEX9HWY2G6928ZVVVQF77QCM2C" localSheetId="33" hidden="1">#REF!</definedName>
    <definedName name="BExEX9HWY2G6928ZVVVQF77QCM2C" localSheetId="31" hidden="1">#REF!</definedName>
    <definedName name="BExEX9HWY2G6928ZVVVQF77QCM2C" localSheetId="32" hidden="1">#REF!</definedName>
    <definedName name="BExEX9HWY2G6928ZVVVQF77QCM2C" hidden="1">#REF!</definedName>
    <definedName name="BExEXBQWAYKMVBRJRHB8PFCSYFVN" localSheetId="30" hidden="1">#REF!</definedName>
    <definedName name="BExEXBQWAYKMVBRJRHB8PFCSYFVN" localSheetId="29" hidden="1">#REF!</definedName>
    <definedName name="BExEXBQWAYKMVBRJRHB8PFCSYFVN" localSheetId="33" hidden="1">#REF!</definedName>
    <definedName name="BExEXBQWAYKMVBRJRHB8PFCSYFVN" localSheetId="31" hidden="1">#REF!</definedName>
    <definedName name="BExEXBQWAYKMVBRJRHB8PFCSYFVN" localSheetId="32" hidden="1">#REF!</definedName>
    <definedName name="BExEXBQWAYKMVBRJRHB8PFCSYFVN" hidden="1">#REF!</definedName>
    <definedName name="BExEXRBZ0DI9E2UFLLKYWGN66B61" localSheetId="30" hidden="1">#REF!</definedName>
    <definedName name="BExEXRBZ0DI9E2UFLLKYWGN66B61" localSheetId="29" hidden="1">#REF!</definedName>
    <definedName name="BExEXRBZ0DI9E2UFLLKYWGN66B61" localSheetId="33" hidden="1">#REF!</definedName>
    <definedName name="BExEXRBZ0DI9E2UFLLKYWGN66B61" localSheetId="31" hidden="1">#REF!</definedName>
    <definedName name="BExEXRBZ0DI9E2UFLLKYWGN66B61" localSheetId="32" hidden="1">#REF!</definedName>
    <definedName name="BExEXRBZ0DI9E2UFLLKYWGN66B61" hidden="1">#REF!</definedName>
    <definedName name="BExEYHJYDY5Q4WCLPM96RS3826AA" localSheetId="30" hidden="1">#REF!</definedName>
    <definedName name="BExEYHJYDY5Q4WCLPM96RS3826AA" localSheetId="29" hidden="1">#REF!</definedName>
    <definedName name="BExEYHJYDY5Q4WCLPM96RS3826AA" localSheetId="33" hidden="1">#REF!</definedName>
    <definedName name="BExEYHJYDY5Q4WCLPM96RS3826AA" localSheetId="31" hidden="1">#REF!</definedName>
    <definedName name="BExEYHJYDY5Q4WCLPM96RS3826AA" localSheetId="32" hidden="1">#REF!</definedName>
    <definedName name="BExEYHJYDY5Q4WCLPM96RS3826AA" hidden="1">#REF!</definedName>
    <definedName name="BExEYLG9FL9V1JPPNZ3FUDNSEJ4V" localSheetId="30" hidden="1">#REF!</definedName>
    <definedName name="BExEYLG9FL9V1JPPNZ3FUDNSEJ4V" localSheetId="29" hidden="1">#REF!</definedName>
    <definedName name="BExEYLG9FL9V1JPPNZ3FUDNSEJ4V" localSheetId="33" hidden="1">#REF!</definedName>
    <definedName name="BExEYLG9FL9V1JPPNZ3FUDNSEJ4V" localSheetId="31" hidden="1">#REF!</definedName>
    <definedName name="BExEYLG9FL9V1JPPNZ3FUDNSEJ4V" localSheetId="32" hidden="1">#REF!</definedName>
    <definedName name="BExEYLG9FL9V1JPPNZ3FUDNSEJ4V" hidden="1">#REF!</definedName>
    <definedName name="BExEYOW8C1B3OUUCIGEC7L8OOW1Z" localSheetId="30" hidden="1">#REF!</definedName>
    <definedName name="BExEYOW8C1B3OUUCIGEC7L8OOW1Z" localSheetId="29" hidden="1">#REF!</definedName>
    <definedName name="BExEYOW8C1B3OUUCIGEC7L8OOW1Z" localSheetId="33" hidden="1">#REF!</definedName>
    <definedName name="BExEYOW8C1B3OUUCIGEC7L8OOW1Z" localSheetId="31" hidden="1">#REF!</definedName>
    <definedName name="BExEYOW8C1B3OUUCIGEC7L8OOW1Z" localSheetId="32" hidden="1">#REF!</definedName>
    <definedName name="BExEYOW8C1B3OUUCIGEC7L8OOW1Z" hidden="1">#REF!</definedName>
    <definedName name="BExEYUQJXZT6N5HJH8ACJF6SRWEE" localSheetId="30" hidden="1">#REF!</definedName>
    <definedName name="BExEYUQJXZT6N5HJH8ACJF6SRWEE" localSheetId="29" hidden="1">#REF!</definedName>
    <definedName name="BExEYUQJXZT6N5HJH8ACJF6SRWEE" localSheetId="33" hidden="1">#REF!</definedName>
    <definedName name="BExEYUQJXZT6N5HJH8ACJF6SRWEE" localSheetId="31" hidden="1">#REF!</definedName>
    <definedName name="BExEYUQJXZT6N5HJH8ACJF6SRWEE" localSheetId="32" hidden="1">#REF!</definedName>
    <definedName name="BExEYUQJXZT6N5HJH8ACJF6SRWEE" hidden="1">#REF!</definedName>
    <definedName name="BExEYV1DOY789VU2S8FCQ7L6169W" localSheetId="30" hidden="1">#REF!</definedName>
    <definedName name="BExEYV1DOY789VU2S8FCQ7L6169W" localSheetId="29" hidden="1">#REF!</definedName>
    <definedName name="BExEYV1DOY789VU2S8FCQ7L6169W" localSheetId="33" hidden="1">#REF!</definedName>
    <definedName name="BExEYV1DOY789VU2S8FCQ7L6169W" localSheetId="31" hidden="1">#REF!</definedName>
    <definedName name="BExEYV1DOY789VU2S8FCQ7L6169W" localSheetId="32" hidden="1">#REF!</definedName>
    <definedName name="BExEYV1DOY789VU2S8FCQ7L6169W" hidden="1">#REF!</definedName>
    <definedName name="BExEZ1S6VZCG01ZPLBSS9Z1SBOJ2" localSheetId="30" hidden="1">#REF!</definedName>
    <definedName name="BExEZ1S6VZCG01ZPLBSS9Z1SBOJ2" localSheetId="29" hidden="1">#REF!</definedName>
    <definedName name="BExEZ1S6VZCG01ZPLBSS9Z1SBOJ2" localSheetId="33" hidden="1">#REF!</definedName>
    <definedName name="BExEZ1S6VZCG01ZPLBSS9Z1SBOJ2" localSheetId="31" hidden="1">#REF!</definedName>
    <definedName name="BExEZ1S6VZCG01ZPLBSS9Z1SBOJ2" localSheetId="32" hidden="1">#REF!</definedName>
    <definedName name="BExEZ1S6VZCG01ZPLBSS9Z1SBOJ2" hidden="1">#REF!</definedName>
    <definedName name="BExEZGBFNJR8DLPN0V11AU22L6WY" localSheetId="30" hidden="1">#REF!</definedName>
    <definedName name="BExEZGBFNJR8DLPN0V11AU22L6WY" localSheetId="29" hidden="1">#REF!</definedName>
    <definedName name="BExEZGBFNJR8DLPN0V11AU22L6WY" localSheetId="33" hidden="1">#REF!</definedName>
    <definedName name="BExEZGBFNJR8DLPN0V11AU22L6WY" localSheetId="31" hidden="1">#REF!</definedName>
    <definedName name="BExEZGBFNJR8DLPN0V11AU22L6WY" localSheetId="32" hidden="1">#REF!</definedName>
    <definedName name="BExEZGBFNJR8DLPN0V11AU22L6WY" hidden="1">#REF!</definedName>
    <definedName name="BExF02Y3V3QEPO2XLDSK47APK9XJ" localSheetId="30" hidden="1">#REF!</definedName>
    <definedName name="BExF02Y3V3QEPO2XLDSK47APK9XJ" localSheetId="29" hidden="1">#REF!</definedName>
    <definedName name="BExF02Y3V3QEPO2XLDSK47APK9XJ" localSheetId="33" hidden="1">#REF!</definedName>
    <definedName name="BExF02Y3V3QEPO2XLDSK47APK9XJ" localSheetId="31" hidden="1">#REF!</definedName>
    <definedName name="BExF02Y3V3QEPO2XLDSK47APK9XJ" localSheetId="32" hidden="1">#REF!</definedName>
    <definedName name="BExF02Y3V3QEPO2XLDSK47APK9XJ" hidden="1">#REF!</definedName>
    <definedName name="BExF04W6R24ZRVMOSE872HC5LX6N" localSheetId="30" hidden="1">#REF!</definedName>
    <definedName name="BExF04W6R24ZRVMOSE872HC5LX6N" localSheetId="29" hidden="1">#REF!</definedName>
    <definedName name="BExF04W6R24ZRVMOSE872HC5LX6N" localSheetId="33" hidden="1">#REF!</definedName>
    <definedName name="BExF04W6R24ZRVMOSE872HC5LX6N" localSheetId="31" hidden="1">#REF!</definedName>
    <definedName name="BExF04W6R24ZRVMOSE872HC5LX6N" localSheetId="32" hidden="1">#REF!</definedName>
    <definedName name="BExF04W6R24ZRVMOSE872HC5LX6N" hidden="1">#REF!</definedName>
    <definedName name="BExF09OS91RT7N7IW8JLMZ121ZP3" localSheetId="30" hidden="1">#REF!</definedName>
    <definedName name="BExF09OS91RT7N7IW8JLMZ121ZP3" localSheetId="29" hidden="1">#REF!</definedName>
    <definedName name="BExF09OS91RT7N7IW8JLMZ121ZP3" localSheetId="33" hidden="1">#REF!</definedName>
    <definedName name="BExF09OS91RT7N7IW8JLMZ121ZP3" localSheetId="31" hidden="1">#REF!</definedName>
    <definedName name="BExF09OS91RT7N7IW8JLMZ121ZP3" localSheetId="32" hidden="1">#REF!</definedName>
    <definedName name="BExF09OS91RT7N7IW8JLMZ121ZP3" hidden="1">#REF!</definedName>
    <definedName name="BExF0LOEHV42P2DV7QL8O7HOQ3N9" localSheetId="30" hidden="1">#REF!</definedName>
    <definedName name="BExF0LOEHV42P2DV7QL8O7HOQ3N9" localSheetId="29" hidden="1">#REF!</definedName>
    <definedName name="BExF0LOEHV42P2DV7QL8O7HOQ3N9" localSheetId="33" hidden="1">#REF!</definedName>
    <definedName name="BExF0LOEHV42P2DV7QL8O7HOQ3N9" localSheetId="31" hidden="1">#REF!</definedName>
    <definedName name="BExF0LOEHV42P2DV7QL8O7HOQ3N9" localSheetId="32" hidden="1">#REF!</definedName>
    <definedName name="BExF0LOEHV42P2DV7QL8O7HOQ3N9" hidden="1">#REF!</definedName>
    <definedName name="BExF0TMDI8H4ES0LHXE3I6IJC550" localSheetId="30" hidden="1">#REF!</definedName>
    <definedName name="BExF0TMDI8H4ES0LHXE3I6IJC550" localSheetId="29" hidden="1">#REF!</definedName>
    <definedName name="BExF0TMDI8H4ES0LHXE3I6IJC550" localSheetId="33" hidden="1">#REF!</definedName>
    <definedName name="BExF0TMDI8H4ES0LHXE3I6IJC550" localSheetId="31" hidden="1">#REF!</definedName>
    <definedName name="BExF0TMDI8H4ES0LHXE3I6IJC550" localSheetId="32" hidden="1">#REF!</definedName>
    <definedName name="BExF0TMDI8H4ES0LHXE3I6IJC550" hidden="1">#REF!</definedName>
    <definedName name="BExF0WRM9VO25RLSO03ZOCE8H7K5" localSheetId="30" hidden="1">#REF!</definedName>
    <definedName name="BExF0WRM9VO25RLSO03ZOCE8H7K5" localSheetId="29" hidden="1">#REF!</definedName>
    <definedName name="BExF0WRM9VO25RLSO03ZOCE8H7K5" localSheetId="33" hidden="1">#REF!</definedName>
    <definedName name="BExF0WRM9VO25RLSO03ZOCE8H7K5" localSheetId="31" hidden="1">#REF!</definedName>
    <definedName name="BExF0WRM9VO25RLSO03ZOCE8H7K5" localSheetId="32" hidden="1">#REF!</definedName>
    <definedName name="BExF0WRM9VO25RLSO03ZOCE8H7K5" hidden="1">#REF!</definedName>
    <definedName name="BExF0ZRI7W4RSLIDLHTSM0AWXO3S" localSheetId="30" hidden="1">#REF!</definedName>
    <definedName name="BExF0ZRI7W4RSLIDLHTSM0AWXO3S" localSheetId="29" hidden="1">#REF!</definedName>
    <definedName name="BExF0ZRI7W4RSLIDLHTSM0AWXO3S" localSheetId="33" hidden="1">#REF!</definedName>
    <definedName name="BExF0ZRI7W4RSLIDLHTSM0AWXO3S" localSheetId="31" hidden="1">#REF!</definedName>
    <definedName name="BExF0ZRI7W4RSLIDLHTSM0AWXO3S" localSheetId="32" hidden="1">#REF!</definedName>
    <definedName name="BExF0ZRI7W4RSLIDLHTSM0AWXO3S" hidden="1">#REF!</definedName>
    <definedName name="BExF19CT3MMZZ2T5EWMDNG3UOJ01" localSheetId="30" hidden="1">#REF!</definedName>
    <definedName name="BExF19CT3MMZZ2T5EWMDNG3UOJ01" localSheetId="29" hidden="1">#REF!</definedName>
    <definedName name="BExF19CT3MMZZ2T5EWMDNG3UOJ01" localSheetId="33" hidden="1">#REF!</definedName>
    <definedName name="BExF19CT3MMZZ2T5EWMDNG3UOJ01" localSheetId="31" hidden="1">#REF!</definedName>
    <definedName name="BExF19CT3MMZZ2T5EWMDNG3UOJ01" localSheetId="32" hidden="1">#REF!</definedName>
    <definedName name="BExF19CT3MMZZ2T5EWMDNG3UOJ01" hidden="1">#REF!</definedName>
    <definedName name="BExF1EW9YKJLCX3F0SG2KQZQQ4NJ" localSheetId="30" hidden="1">#REF!</definedName>
    <definedName name="BExF1EW9YKJLCX3F0SG2KQZQQ4NJ" localSheetId="29" hidden="1">#REF!</definedName>
    <definedName name="BExF1EW9YKJLCX3F0SG2KQZQQ4NJ" localSheetId="33" hidden="1">#REF!</definedName>
    <definedName name="BExF1EW9YKJLCX3F0SG2KQZQQ4NJ" localSheetId="31" hidden="1">#REF!</definedName>
    <definedName name="BExF1EW9YKJLCX3F0SG2KQZQQ4NJ" localSheetId="32" hidden="1">#REF!</definedName>
    <definedName name="BExF1EW9YKJLCX3F0SG2KQZQQ4NJ" hidden="1">#REF!</definedName>
    <definedName name="BExF1M38U6NX17YJA8YU359B5Z4M" localSheetId="30" hidden="1">#REF!</definedName>
    <definedName name="BExF1M38U6NX17YJA8YU359B5Z4M" localSheetId="29" hidden="1">#REF!</definedName>
    <definedName name="BExF1M38U6NX17YJA8YU359B5Z4M" localSheetId="33" hidden="1">#REF!</definedName>
    <definedName name="BExF1M38U6NX17YJA8YU359B5Z4M" localSheetId="31" hidden="1">#REF!</definedName>
    <definedName name="BExF1M38U6NX17YJA8YU359B5Z4M" localSheetId="32" hidden="1">#REF!</definedName>
    <definedName name="BExF1M38U6NX17YJA8YU359B5Z4M" hidden="1">#REF!</definedName>
    <definedName name="BExF1MU4W3NPEY0OHRDWP5IANCBB" localSheetId="30" hidden="1">#REF!</definedName>
    <definedName name="BExF1MU4W3NPEY0OHRDWP5IANCBB" localSheetId="29" hidden="1">#REF!</definedName>
    <definedName name="BExF1MU4W3NPEY0OHRDWP5IANCBB" localSheetId="33" hidden="1">#REF!</definedName>
    <definedName name="BExF1MU4W3NPEY0OHRDWP5IANCBB" localSheetId="31" hidden="1">#REF!</definedName>
    <definedName name="BExF1MU4W3NPEY0OHRDWP5IANCBB" localSheetId="32" hidden="1">#REF!</definedName>
    <definedName name="BExF1MU4W3NPEY0OHRDWP5IANCBB" hidden="1">#REF!</definedName>
    <definedName name="BExF1MZN8MWMOKOARHJ1QAF9HPGT" localSheetId="30" hidden="1">#REF!</definedName>
    <definedName name="BExF1MZN8MWMOKOARHJ1QAF9HPGT" localSheetId="29" hidden="1">#REF!</definedName>
    <definedName name="BExF1MZN8MWMOKOARHJ1QAF9HPGT" localSheetId="33" hidden="1">#REF!</definedName>
    <definedName name="BExF1MZN8MWMOKOARHJ1QAF9HPGT" localSheetId="31" hidden="1">#REF!</definedName>
    <definedName name="BExF1MZN8MWMOKOARHJ1QAF9HPGT" localSheetId="32" hidden="1">#REF!</definedName>
    <definedName name="BExF1MZN8MWMOKOARHJ1QAF9HPGT" hidden="1">#REF!</definedName>
    <definedName name="BExF1US4ZIQYSU5LBFYNRA9N0K2O" localSheetId="30" hidden="1">#REF!</definedName>
    <definedName name="BExF1US4ZIQYSU5LBFYNRA9N0K2O" localSheetId="29" hidden="1">#REF!</definedName>
    <definedName name="BExF1US4ZIQYSU5LBFYNRA9N0K2O" localSheetId="33" hidden="1">#REF!</definedName>
    <definedName name="BExF1US4ZIQYSU5LBFYNRA9N0K2O" localSheetId="31" hidden="1">#REF!</definedName>
    <definedName name="BExF1US4ZIQYSU5LBFYNRA9N0K2O" localSheetId="32" hidden="1">#REF!</definedName>
    <definedName name="BExF1US4ZIQYSU5LBFYNRA9N0K2O" hidden="1">#REF!</definedName>
    <definedName name="BExF27TEEGZ5UTP7MZ087S3A7FHO" localSheetId="30" hidden="1">#REF!</definedName>
    <definedName name="BExF27TEEGZ5UTP7MZ087S3A7FHO" localSheetId="29" hidden="1">#REF!</definedName>
    <definedName name="BExF27TEEGZ5UTP7MZ087S3A7FHO" localSheetId="33" hidden="1">#REF!</definedName>
    <definedName name="BExF27TEEGZ5UTP7MZ087S3A7FHO" localSheetId="31" hidden="1">#REF!</definedName>
    <definedName name="BExF27TEEGZ5UTP7MZ087S3A7FHO" localSheetId="32" hidden="1">#REF!</definedName>
    <definedName name="BExF27TEEGZ5UTP7MZ087S3A7FHO" hidden="1">#REF!</definedName>
    <definedName name="BExF2CWZN6E87RGTBMD4YQI2QT7R" localSheetId="30" hidden="1">#REF!</definedName>
    <definedName name="BExF2CWZN6E87RGTBMD4YQI2QT7R" localSheetId="29" hidden="1">#REF!</definedName>
    <definedName name="BExF2CWZN6E87RGTBMD4YQI2QT7R" localSheetId="33" hidden="1">#REF!</definedName>
    <definedName name="BExF2CWZN6E87RGTBMD4YQI2QT7R" localSheetId="31" hidden="1">#REF!</definedName>
    <definedName name="BExF2CWZN6E87RGTBMD4YQI2QT7R" localSheetId="32" hidden="1">#REF!</definedName>
    <definedName name="BExF2CWZN6E87RGTBMD4YQI2QT7R" hidden="1">#REF!</definedName>
    <definedName name="BExF2DYO1WQ7GMXSTAQRDBW1NSFG" localSheetId="30" hidden="1">#REF!</definedName>
    <definedName name="BExF2DYO1WQ7GMXSTAQRDBW1NSFG" localSheetId="29" hidden="1">#REF!</definedName>
    <definedName name="BExF2DYO1WQ7GMXSTAQRDBW1NSFG" localSheetId="33" hidden="1">#REF!</definedName>
    <definedName name="BExF2DYO1WQ7GMXSTAQRDBW1NSFG" localSheetId="31" hidden="1">#REF!</definedName>
    <definedName name="BExF2DYO1WQ7GMXSTAQRDBW1NSFG" localSheetId="32" hidden="1">#REF!</definedName>
    <definedName name="BExF2DYO1WQ7GMXSTAQRDBW1NSFG" hidden="1">#REF!</definedName>
    <definedName name="BExF2H3WO7UEOAKD0M3O7AWRZBIM" localSheetId="30" hidden="1">#REF!</definedName>
    <definedName name="BExF2H3WO7UEOAKD0M3O7AWRZBIM" localSheetId="29" hidden="1">#REF!</definedName>
    <definedName name="BExF2H3WO7UEOAKD0M3O7AWRZBIM" localSheetId="33" hidden="1">#REF!</definedName>
    <definedName name="BExF2H3WO7UEOAKD0M3O7AWRZBIM" localSheetId="31" hidden="1">#REF!</definedName>
    <definedName name="BExF2H3WO7UEOAKD0M3O7AWRZBIM" localSheetId="32" hidden="1">#REF!</definedName>
    <definedName name="BExF2H3WO7UEOAKD0M3O7AWRZBIM" hidden="1">#REF!</definedName>
    <definedName name="BExF2MSWNUY9Z6BZJQZ538PPTION" localSheetId="30" hidden="1">#REF!</definedName>
    <definedName name="BExF2MSWNUY9Z6BZJQZ538PPTION" localSheetId="29" hidden="1">#REF!</definedName>
    <definedName name="BExF2MSWNUY9Z6BZJQZ538PPTION" localSheetId="33" hidden="1">#REF!</definedName>
    <definedName name="BExF2MSWNUY9Z6BZJQZ538PPTION" localSheetId="31" hidden="1">#REF!</definedName>
    <definedName name="BExF2MSWNUY9Z6BZJQZ538PPTION" localSheetId="32" hidden="1">#REF!</definedName>
    <definedName name="BExF2MSWNUY9Z6BZJQZ538PPTION" hidden="1">#REF!</definedName>
    <definedName name="BExF2NJY5H9ZCGPB7G4NUZ486MOY" localSheetId="30" hidden="1">#REF!</definedName>
    <definedName name="BExF2NJY5H9ZCGPB7G4NUZ486MOY" localSheetId="29" hidden="1">#REF!</definedName>
    <definedName name="BExF2NJY5H9ZCGPB7G4NUZ486MOY" localSheetId="33" hidden="1">#REF!</definedName>
    <definedName name="BExF2NJY5H9ZCGPB7G4NUZ486MOY" localSheetId="31" hidden="1">#REF!</definedName>
    <definedName name="BExF2NJY5H9ZCGPB7G4NUZ486MOY" localSheetId="32" hidden="1">#REF!</definedName>
    <definedName name="BExF2NJY5H9ZCGPB7G4NUZ486MOY" hidden="1">#REF!</definedName>
    <definedName name="BExF2QZYWHTYGUTTXR15CKCV3LS7" localSheetId="30" hidden="1">#REF!</definedName>
    <definedName name="BExF2QZYWHTYGUTTXR15CKCV3LS7" localSheetId="29" hidden="1">#REF!</definedName>
    <definedName name="BExF2QZYWHTYGUTTXR15CKCV3LS7" localSheetId="33" hidden="1">#REF!</definedName>
    <definedName name="BExF2QZYWHTYGUTTXR15CKCV3LS7" localSheetId="31" hidden="1">#REF!</definedName>
    <definedName name="BExF2QZYWHTYGUTTXR15CKCV3LS7" localSheetId="32" hidden="1">#REF!</definedName>
    <definedName name="BExF2QZYWHTYGUTTXR15CKCV3LS7" hidden="1">#REF!</definedName>
    <definedName name="BExF2T8Y6TSJ74RMSZOA9CEH4OZ6" localSheetId="30" hidden="1">#REF!</definedName>
    <definedName name="BExF2T8Y6TSJ74RMSZOA9CEH4OZ6" localSheetId="29" hidden="1">#REF!</definedName>
    <definedName name="BExF2T8Y6TSJ74RMSZOA9CEH4OZ6" localSheetId="33" hidden="1">#REF!</definedName>
    <definedName name="BExF2T8Y6TSJ74RMSZOA9CEH4OZ6" localSheetId="31" hidden="1">#REF!</definedName>
    <definedName name="BExF2T8Y6TSJ74RMSZOA9CEH4OZ6" localSheetId="32" hidden="1">#REF!</definedName>
    <definedName name="BExF2T8Y6TSJ74RMSZOA9CEH4OZ6" hidden="1">#REF!</definedName>
    <definedName name="BExF31N3YM4F37EOOY8M8VI1KXN8" localSheetId="30" hidden="1">#REF!</definedName>
    <definedName name="BExF31N3YM4F37EOOY8M8VI1KXN8" localSheetId="29" hidden="1">#REF!</definedName>
    <definedName name="BExF31N3YM4F37EOOY8M8VI1KXN8" localSheetId="33" hidden="1">#REF!</definedName>
    <definedName name="BExF31N3YM4F37EOOY8M8VI1KXN8" localSheetId="31" hidden="1">#REF!</definedName>
    <definedName name="BExF31N3YM4F37EOOY8M8VI1KXN8" localSheetId="32" hidden="1">#REF!</definedName>
    <definedName name="BExF31N3YM4F37EOOY8M8VI1KXN8" hidden="1">#REF!</definedName>
    <definedName name="BExF34HIGQN3AYL0Y14UYBAABEIR" localSheetId="30" hidden="1">#REF!</definedName>
    <definedName name="BExF34HIGQN3AYL0Y14UYBAABEIR" localSheetId="29" hidden="1">#REF!</definedName>
    <definedName name="BExF34HIGQN3AYL0Y14UYBAABEIR" localSheetId="33" hidden="1">#REF!</definedName>
    <definedName name="BExF34HIGQN3AYL0Y14UYBAABEIR" localSheetId="31" hidden="1">#REF!</definedName>
    <definedName name="BExF34HIGQN3AYL0Y14UYBAABEIR" localSheetId="32" hidden="1">#REF!</definedName>
    <definedName name="BExF34HIGQN3AYL0Y14UYBAABEIR" hidden="1">#REF!</definedName>
    <definedName name="BExF37C1YKBT79Z9SOJAG5MXQGTU" localSheetId="30" hidden="1">#REF!</definedName>
    <definedName name="BExF37C1YKBT79Z9SOJAG5MXQGTU" localSheetId="29" hidden="1">#REF!</definedName>
    <definedName name="BExF37C1YKBT79Z9SOJAG5MXQGTU" localSheetId="33" hidden="1">#REF!</definedName>
    <definedName name="BExF37C1YKBT79Z9SOJAG5MXQGTU" localSheetId="31" hidden="1">#REF!</definedName>
    <definedName name="BExF37C1YKBT79Z9SOJAG5MXQGTU" localSheetId="32" hidden="1">#REF!</definedName>
    <definedName name="BExF37C1YKBT79Z9SOJAG5MXQGTU" hidden="1">#REF!</definedName>
    <definedName name="BExF3A6HPA6DGYALZNHHJPMCUYZR" localSheetId="30" hidden="1">#REF!</definedName>
    <definedName name="BExF3A6HPA6DGYALZNHHJPMCUYZR" localSheetId="29" hidden="1">#REF!</definedName>
    <definedName name="BExF3A6HPA6DGYALZNHHJPMCUYZR" localSheetId="33" hidden="1">#REF!</definedName>
    <definedName name="BExF3A6HPA6DGYALZNHHJPMCUYZR" localSheetId="31" hidden="1">#REF!</definedName>
    <definedName name="BExF3A6HPA6DGYALZNHHJPMCUYZR" localSheetId="32" hidden="1">#REF!</definedName>
    <definedName name="BExF3A6HPA6DGYALZNHHJPMCUYZR" hidden="1">#REF!</definedName>
    <definedName name="BExF3I9T44X7DV9HHV51DVDDPPZG" localSheetId="30" hidden="1">#REF!</definedName>
    <definedName name="BExF3I9T44X7DV9HHV51DVDDPPZG" localSheetId="29" hidden="1">#REF!</definedName>
    <definedName name="BExF3I9T44X7DV9HHV51DVDDPPZG" localSheetId="33" hidden="1">#REF!</definedName>
    <definedName name="BExF3I9T44X7DV9HHV51DVDDPPZG" localSheetId="31" hidden="1">#REF!</definedName>
    <definedName name="BExF3I9T44X7DV9HHV51DVDDPPZG" localSheetId="32" hidden="1">#REF!</definedName>
    <definedName name="BExF3I9T44X7DV9HHV51DVDDPPZG" hidden="1">#REF!</definedName>
    <definedName name="BExF3JMFX5DILOIFUDIO1HZUK875" localSheetId="30" hidden="1">#REF!</definedName>
    <definedName name="BExF3JMFX5DILOIFUDIO1HZUK875" localSheetId="29" hidden="1">#REF!</definedName>
    <definedName name="BExF3JMFX5DILOIFUDIO1HZUK875" localSheetId="33" hidden="1">#REF!</definedName>
    <definedName name="BExF3JMFX5DILOIFUDIO1HZUK875" localSheetId="31" hidden="1">#REF!</definedName>
    <definedName name="BExF3JMFX5DILOIFUDIO1HZUK875" localSheetId="32" hidden="1">#REF!</definedName>
    <definedName name="BExF3JMFX5DILOIFUDIO1HZUK875" hidden="1">#REF!</definedName>
    <definedName name="BExF3NTC4BGZEM6B87TCFX277QCS" localSheetId="30" hidden="1">#REF!</definedName>
    <definedName name="BExF3NTC4BGZEM6B87TCFX277QCS" localSheetId="29" hidden="1">#REF!</definedName>
    <definedName name="BExF3NTC4BGZEM6B87TCFX277QCS" localSheetId="33" hidden="1">#REF!</definedName>
    <definedName name="BExF3NTC4BGZEM6B87TCFX277QCS" localSheetId="31" hidden="1">#REF!</definedName>
    <definedName name="BExF3NTC4BGZEM6B87TCFX277QCS" localSheetId="32" hidden="1">#REF!</definedName>
    <definedName name="BExF3NTC4BGZEM6B87TCFX277QCS" hidden="1">#REF!</definedName>
    <definedName name="BExF3Q7NI90WT31QHYSJDIG0LLLJ" localSheetId="30" hidden="1">#REF!</definedName>
    <definedName name="BExF3Q7NI90WT31QHYSJDIG0LLLJ" localSheetId="29" hidden="1">#REF!</definedName>
    <definedName name="BExF3Q7NI90WT31QHYSJDIG0LLLJ" localSheetId="33" hidden="1">#REF!</definedName>
    <definedName name="BExF3Q7NI90WT31QHYSJDIG0LLLJ" localSheetId="31" hidden="1">#REF!</definedName>
    <definedName name="BExF3Q7NI90WT31QHYSJDIG0LLLJ" localSheetId="32" hidden="1">#REF!</definedName>
    <definedName name="BExF3Q7NI90WT31QHYSJDIG0LLLJ" hidden="1">#REF!</definedName>
    <definedName name="BExF3QD55TIY1MSBSRK9TUJKBEWO" localSheetId="30" hidden="1">#REF!</definedName>
    <definedName name="BExF3QD55TIY1MSBSRK9TUJKBEWO" localSheetId="29" hidden="1">#REF!</definedName>
    <definedName name="BExF3QD55TIY1MSBSRK9TUJKBEWO" localSheetId="33" hidden="1">#REF!</definedName>
    <definedName name="BExF3QD55TIY1MSBSRK9TUJKBEWO" localSheetId="31" hidden="1">#REF!</definedName>
    <definedName name="BExF3QD55TIY1MSBSRK9TUJKBEWO" localSheetId="32" hidden="1">#REF!</definedName>
    <definedName name="BExF3QD55TIY1MSBSRK9TUJKBEWO" hidden="1">#REF!</definedName>
    <definedName name="BExF3QT8J6RIF1L3R700MBSKIOKW" localSheetId="30" hidden="1">#REF!</definedName>
    <definedName name="BExF3QT8J6RIF1L3R700MBSKIOKW" localSheetId="29" hidden="1">#REF!</definedName>
    <definedName name="BExF3QT8J6RIF1L3R700MBSKIOKW" localSheetId="33" hidden="1">#REF!</definedName>
    <definedName name="BExF3QT8J6RIF1L3R700MBSKIOKW" localSheetId="31" hidden="1">#REF!</definedName>
    <definedName name="BExF3QT8J6RIF1L3R700MBSKIOKW" localSheetId="32" hidden="1">#REF!</definedName>
    <definedName name="BExF3QT8J6RIF1L3R700MBSKIOKW" hidden="1">#REF!</definedName>
    <definedName name="BExF3QYP3X9ZCMTXSL7M1MSH3UXY" localSheetId="30" hidden="1">#REF!</definedName>
    <definedName name="BExF3QYP3X9ZCMTXSL7M1MSH3UXY" localSheetId="29" hidden="1">#REF!</definedName>
    <definedName name="BExF3QYP3X9ZCMTXSL7M1MSH3UXY" localSheetId="33" hidden="1">#REF!</definedName>
    <definedName name="BExF3QYP3X9ZCMTXSL7M1MSH3UXY" localSheetId="31" hidden="1">#REF!</definedName>
    <definedName name="BExF3QYP3X9ZCMTXSL7M1MSH3UXY" localSheetId="32" hidden="1">#REF!</definedName>
    <definedName name="BExF3QYP3X9ZCMTXSL7M1MSH3UXY" hidden="1">#REF!</definedName>
    <definedName name="BExF42SSBVPMLK2UB3B7FPEIY9TU" localSheetId="30" hidden="1">#REF!</definedName>
    <definedName name="BExF42SSBVPMLK2UB3B7FPEIY9TU" localSheetId="29" hidden="1">#REF!</definedName>
    <definedName name="BExF42SSBVPMLK2UB3B7FPEIY9TU" localSheetId="33" hidden="1">#REF!</definedName>
    <definedName name="BExF42SSBVPMLK2UB3B7FPEIY9TU" localSheetId="31" hidden="1">#REF!</definedName>
    <definedName name="BExF42SSBVPMLK2UB3B7FPEIY9TU" localSheetId="32" hidden="1">#REF!</definedName>
    <definedName name="BExF42SSBVPMLK2UB3B7FPEIY9TU" hidden="1">#REF!</definedName>
    <definedName name="BExF4HXSWB50BKYPWA0HTT8W56H6" localSheetId="30" hidden="1">#REF!</definedName>
    <definedName name="BExF4HXSWB50BKYPWA0HTT8W56H6" localSheetId="29" hidden="1">#REF!</definedName>
    <definedName name="BExF4HXSWB50BKYPWA0HTT8W56H6" localSheetId="33" hidden="1">#REF!</definedName>
    <definedName name="BExF4HXSWB50BKYPWA0HTT8W56H6" localSheetId="31" hidden="1">#REF!</definedName>
    <definedName name="BExF4HXSWB50BKYPWA0HTT8W56H6" localSheetId="32" hidden="1">#REF!</definedName>
    <definedName name="BExF4HXSWB50BKYPWA0HTT8W56H6" hidden="1">#REF!</definedName>
    <definedName name="BExF4KHF04IWW4LQ95FHQPFE4Y9K" localSheetId="30" hidden="1">#REF!</definedName>
    <definedName name="BExF4KHF04IWW4LQ95FHQPFE4Y9K" localSheetId="29" hidden="1">#REF!</definedName>
    <definedName name="BExF4KHF04IWW4LQ95FHQPFE4Y9K" localSheetId="33" hidden="1">#REF!</definedName>
    <definedName name="BExF4KHF04IWW4LQ95FHQPFE4Y9K" localSheetId="31" hidden="1">#REF!</definedName>
    <definedName name="BExF4KHF04IWW4LQ95FHQPFE4Y9K" localSheetId="32" hidden="1">#REF!</definedName>
    <definedName name="BExF4KHF04IWW4LQ95FHQPFE4Y9K" hidden="1">#REF!</definedName>
    <definedName name="BExF4MVQM5Y0QRDLDFSKWWTF709C" localSheetId="30" hidden="1">#REF!</definedName>
    <definedName name="BExF4MVQM5Y0QRDLDFSKWWTF709C" localSheetId="29" hidden="1">#REF!</definedName>
    <definedName name="BExF4MVQM5Y0QRDLDFSKWWTF709C" localSheetId="33" hidden="1">#REF!</definedName>
    <definedName name="BExF4MVQM5Y0QRDLDFSKWWTF709C" localSheetId="31" hidden="1">#REF!</definedName>
    <definedName name="BExF4MVQM5Y0QRDLDFSKWWTF709C" localSheetId="32" hidden="1">#REF!</definedName>
    <definedName name="BExF4MVQM5Y0QRDLDFSKWWTF709C" hidden="1">#REF!</definedName>
    <definedName name="BExF4PVMZYV36E8HOYY06J81AMBI" localSheetId="30" hidden="1">#REF!</definedName>
    <definedName name="BExF4PVMZYV36E8HOYY06J81AMBI" localSheetId="29" hidden="1">#REF!</definedName>
    <definedName name="BExF4PVMZYV36E8HOYY06J81AMBI" localSheetId="33" hidden="1">#REF!</definedName>
    <definedName name="BExF4PVMZYV36E8HOYY06J81AMBI" localSheetId="31" hidden="1">#REF!</definedName>
    <definedName name="BExF4PVMZYV36E8HOYY06J81AMBI" localSheetId="32" hidden="1">#REF!</definedName>
    <definedName name="BExF4PVMZYV36E8HOYY06J81AMBI" hidden="1">#REF!</definedName>
    <definedName name="BExF4SF9NEX1FZE9N8EXT89PM54D" localSheetId="30" hidden="1">#REF!</definedName>
    <definedName name="BExF4SF9NEX1FZE9N8EXT89PM54D" localSheetId="29" hidden="1">#REF!</definedName>
    <definedName name="BExF4SF9NEX1FZE9N8EXT89PM54D" localSheetId="33" hidden="1">#REF!</definedName>
    <definedName name="BExF4SF9NEX1FZE9N8EXT89PM54D" localSheetId="31" hidden="1">#REF!</definedName>
    <definedName name="BExF4SF9NEX1FZE9N8EXT89PM54D" localSheetId="32" hidden="1">#REF!</definedName>
    <definedName name="BExF4SF9NEX1FZE9N8EXT89PM54D" hidden="1">#REF!</definedName>
    <definedName name="BExF52GTGP8MHGII4KJ8TJGR8W8U" localSheetId="30" hidden="1">#REF!</definedName>
    <definedName name="BExF52GTGP8MHGII4KJ8TJGR8W8U" localSheetId="29" hidden="1">#REF!</definedName>
    <definedName name="BExF52GTGP8MHGII4KJ8TJGR8W8U" localSheetId="33" hidden="1">#REF!</definedName>
    <definedName name="BExF52GTGP8MHGII4KJ8TJGR8W8U" localSheetId="31" hidden="1">#REF!</definedName>
    <definedName name="BExF52GTGP8MHGII4KJ8TJGR8W8U" localSheetId="32" hidden="1">#REF!</definedName>
    <definedName name="BExF52GTGP8MHGII4KJ8TJGR8W8U" hidden="1">#REF!</definedName>
    <definedName name="BExF57K7L3UC1I2FSAWURR4SN0UN" localSheetId="30" hidden="1">#REF!</definedName>
    <definedName name="BExF57K7L3UC1I2FSAWURR4SN0UN" localSheetId="29" hidden="1">#REF!</definedName>
    <definedName name="BExF57K7L3UC1I2FSAWURR4SN0UN" localSheetId="33" hidden="1">#REF!</definedName>
    <definedName name="BExF57K7L3UC1I2FSAWURR4SN0UN" localSheetId="31" hidden="1">#REF!</definedName>
    <definedName name="BExF57K7L3UC1I2FSAWURR4SN0UN" localSheetId="32" hidden="1">#REF!</definedName>
    <definedName name="BExF57K7L3UC1I2FSAWURR4SN0UN" hidden="1">#REF!</definedName>
    <definedName name="BExF5HR2GFV7O8LKG9SJ4BY78LYA" localSheetId="30" hidden="1">#REF!</definedName>
    <definedName name="BExF5HR2GFV7O8LKG9SJ4BY78LYA" localSheetId="29" hidden="1">#REF!</definedName>
    <definedName name="BExF5HR2GFV7O8LKG9SJ4BY78LYA" localSheetId="33" hidden="1">#REF!</definedName>
    <definedName name="BExF5HR2GFV7O8LKG9SJ4BY78LYA" localSheetId="31" hidden="1">#REF!</definedName>
    <definedName name="BExF5HR2GFV7O8LKG9SJ4BY78LYA" localSheetId="32" hidden="1">#REF!</definedName>
    <definedName name="BExF5HR2GFV7O8LKG9SJ4BY78LYA" hidden="1">#REF!</definedName>
    <definedName name="BExF5ZFO2A29GHWR5ES64Z9OS16J" localSheetId="30" hidden="1">#REF!</definedName>
    <definedName name="BExF5ZFO2A29GHWR5ES64Z9OS16J" localSheetId="29" hidden="1">#REF!</definedName>
    <definedName name="BExF5ZFO2A29GHWR5ES64Z9OS16J" localSheetId="33" hidden="1">#REF!</definedName>
    <definedName name="BExF5ZFO2A29GHWR5ES64Z9OS16J" localSheetId="31" hidden="1">#REF!</definedName>
    <definedName name="BExF5ZFO2A29GHWR5ES64Z9OS16J" localSheetId="32" hidden="1">#REF!</definedName>
    <definedName name="BExF5ZFO2A29GHWR5ES64Z9OS16J" hidden="1">#REF!</definedName>
    <definedName name="BExF63S045JO7H2ZJCBTBVH3SUIF" localSheetId="30" hidden="1">#REF!</definedName>
    <definedName name="BExF63S045JO7H2ZJCBTBVH3SUIF" localSheetId="29" hidden="1">#REF!</definedName>
    <definedName name="BExF63S045JO7H2ZJCBTBVH3SUIF" localSheetId="33" hidden="1">#REF!</definedName>
    <definedName name="BExF63S045JO7H2ZJCBTBVH3SUIF" localSheetId="31" hidden="1">#REF!</definedName>
    <definedName name="BExF63S045JO7H2ZJCBTBVH3SUIF" localSheetId="32" hidden="1">#REF!</definedName>
    <definedName name="BExF63S045JO7H2ZJCBTBVH3SUIF" hidden="1">#REF!</definedName>
    <definedName name="BExF642TEGTXCI9A61ZOONJCB0U1" localSheetId="30" hidden="1">#REF!</definedName>
    <definedName name="BExF642TEGTXCI9A61ZOONJCB0U1" localSheetId="29" hidden="1">#REF!</definedName>
    <definedName name="BExF642TEGTXCI9A61ZOONJCB0U1" localSheetId="33" hidden="1">#REF!</definedName>
    <definedName name="BExF642TEGTXCI9A61ZOONJCB0U1" localSheetId="31" hidden="1">#REF!</definedName>
    <definedName name="BExF642TEGTXCI9A61ZOONJCB0U1" localSheetId="32" hidden="1">#REF!</definedName>
    <definedName name="BExF642TEGTXCI9A61ZOONJCB0U1" hidden="1">#REF!</definedName>
    <definedName name="BExF67O951CF8UJF3KBDNR0E83C1" localSheetId="30" hidden="1">#REF!</definedName>
    <definedName name="BExF67O951CF8UJF3KBDNR0E83C1" localSheetId="29" hidden="1">#REF!</definedName>
    <definedName name="BExF67O951CF8UJF3KBDNR0E83C1" localSheetId="33" hidden="1">#REF!</definedName>
    <definedName name="BExF67O951CF8UJF3KBDNR0E83C1" localSheetId="31" hidden="1">#REF!</definedName>
    <definedName name="BExF67O951CF8UJF3KBDNR0E83C1" localSheetId="32" hidden="1">#REF!</definedName>
    <definedName name="BExF67O951CF8UJF3KBDNR0E83C1" hidden="1">#REF!</definedName>
    <definedName name="BExF6EV7I35NVMIJGYTB6E24YVPA" localSheetId="30" hidden="1">#REF!</definedName>
    <definedName name="BExF6EV7I35NVMIJGYTB6E24YVPA" localSheetId="29" hidden="1">#REF!</definedName>
    <definedName name="BExF6EV7I35NVMIJGYTB6E24YVPA" localSheetId="33" hidden="1">#REF!</definedName>
    <definedName name="BExF6EV7I35NVMIJGYTB6E24YVPA" localSheetId="31" hidden="1">#REF!</definedName>
    <definedName name="BExF6EV7I35NVMIJGYTB6E24YVPA" localSheetId="32" hidden="1">#REF!</definedName>
    <definedName name="BExF6EV7I35NVMIJGYTB6E24YVPA" hidden="1">#REF!</definedName>
    <definedName name="BExF6FGUF393KTMBT40S5BYAFG00" localSheetId="30" hidden="1">#REF!</definedName>
    <definedName name="BExF6FGUF393KTMBT40S5BYAFG00" localSheetId="29" hidden="1">#REF!</definedName>
    <definedName name="BExF6FGUF393KTMBT40S5BYAFG00" localSheetId="33" hidden="1">#REF!</definedName>
    <definedName name="BExF6FGUF393KTMBT40S5BYAFG00" localSheetId="31" hidden="1">#REF!</definedName>
    <definedName name="BExF6FGUF393KTMBT40S5BYAFG00" localSheetId="32" hidden="1">#REF!</definedName>
    <definedName name="BExF6FGUF393KTMBT40S5BYAFG00" hidden="1">#REF!</definedName>
    <definedName name="BExF6GNYXWY8A0SY4PW1B6KJMMTM" localSheetId="30" hidden="1">#REF!</definedName>
    <definedName name="BExF6GNYXWY8A0SY4PW1B6KJMMTM" localSheetId="29" hidden="1">#REF!</definedName>
    <definedName name="BExF6GNYXWY8A0SY4PW1B6KJMMTM" localSheetId="33" hidden="1">#REF!</definedName>
    <definedName name="BExF6GNYXWY8A0SY4PW1B6KJMMTM" localSheetId="31" hidden="1">#REF!</definedName>
    <definedName name="BExF6GNYXWY8A0SY4PW1B6KJMMTM" localSheetId="32" hidden="1">#REF!</definedName>
    <definedName name="BExF6GNYXWY8A0SY4PW1B6KJMMTM" hidden="1">#REF!</definedName>
    <definedName name="BExF6IB8K74Z0AFT05GPOKKZW7C9" localSheetId="30" hidden="1">#REF!</definedName>
    <definedName name="BExF6IB8K74Z0AFT05GPOKKZW7C9" localSheetId="29" hidden="1">#REF!</definedName>
    <definedName name="BExF6IB8K74Z0AFT05GPOKKZW7C9" localSheetId="33" hidden="1">#REF!</definedName>
    <definedName name="BExF6IB8K74Z0AFT05GPOKKZW7C9" localSheetId="31" hidden="1">#REF!</definedName>
    <definedName name="BExF6IB8K74Z0AFT05GPOKKZW7C9" localSheetId="32" hidden="1">#REF!</definedName>
    <definedName name="BExF6IB8K74Z0AFT05GPOKKZW7C9" hidden="1">#REF!</definedName>
    <definedName name="BExF6NUXJI11W2IAZNAM1QWC0459" localSheetId="30" hidden="1">#REF!</definedName>
    <definedName name="BExF6NUXJI11W2IAZNAM1QWC0459" localSheetId="29" hidden="1">#REF!</definedName>
    <definedName name="BExF6NUXJI11W2IAZNAM1QWC0459" localSheetId="33" hidden="1">#REF!</definedName>
    <definedName name="BExF6NUXJI11W2IAZNAM1QWC0459" localSheetId="31" hidden="1">#REF!</definedName>
    <definedName name="BExF6NUXJI11W2IAZNAM1QWC0459" localSheetId="32" hidden="1">#REF!</definedName>
    <definedName name="BExF6NUXJI11W2IAZNAM1QWC0459" hidden="1">#REF!</definedName>
    <definedName name="BExF6RR76KNVIXGJOVFO8GDILKGZ" localSheetId="30" hidden="1">#REF!</definedName>
    <definedName name="BExF6RR76KNVIXGJOVFO8GDILKGZ" localSheetId="29" hidden="1">#REF!</definedName>
    <definedName name="BExF6RR76KNVIXGJOVFO8GDILKGZ" localSheetId="33" hidden="1">#REF!</definedName>
    <definedName name="BExF6RR76KNVIXGJOVFO8GDILKGZ" localSheetId="31" hidden="1">#REF!</definedName>
    <definedName name="BExF6RR76KNVIXGJOVFO8GDILKGZ" localSheetId="32" hidden="1">#REF!</definedName>
    <definedName name="BExF6RR76KNVIXGJOVFO8GDILKGZ" hidden="1">#REF!</definedName>
    <definedName name="BExF6ZE8D5CMPJPRWT6S4HM56LPF" localSheetId="30" hidden="1">#REF!</definedName>
    <definedName name="BExF6ZE8D5CMPJPRWT6S4HM56LPF" localSheetId="29" hidden="1">#REF!</definedName>
    <definedName name="BExF6ZE8D5CMPJPRWT6S4HM56LPF" localSheetId="33" hidden="1">#REF!</definedName>
    <definedName name="BExF6ZE8D5CMPJPRWT6S4HM56LPF" localSheetId="31" hidden="1">#REF!</definedName>
    <definedName name="BExF6ZE8D5CMPJPRWT6S4HM56LPF" localSheetId="32" hidden="1">#REF!</definedName>
    <definedName name="BExF6ZE8D5CMPJPRWT6S4HM56LPF" hidden="1">#REF!</definedName>
    <definedName name="BExF76FV8SF7AJK7B35AL7VTZF6D" localSheetId="30" hidden="1">#REF!</definedName>
    <definedName name="BExF76FV8SF7AJK7B35AL7VTZF6D" localSheetId="29" hidden="1">#REF!</definedName>
    <definedName name="BExF76FV8SF7AJK7B35AL7VTZF6D" localSheetId="33" hidden="1">#REF!</definedName>
    <definedName name="BExF76FV8SF7AJK7B35AL7VTZF6D" localSheetId="31" hidden="1">#REF!</definedName>
    <definedName name="BExF76FV8SF7AJK7B35AL7VTZF6D" localSheetId="32" hidden="1">#REF!</definedName>
    <definedName name="BExF76FV8SF7AJK7B35AL7VTZF6D" hidden="1">#REF!</definedName>
    <definedName name="BExF7EOIMC1OYL1N7835KGOI0FIZ" localSheetId="30" hidden="1">#REF!</definedName>
    <definedName name="BExF7EOIMC1OYL1N7835KGOI0FIZ" localSheetId="29" hidden="1">#REF!</definedName>
    <definedName name="BExF7EOIMC1OYL1N7835KGOI0FIZ" localSheetId="33" hidden="1">#REF!</definedName>
    <definedName name="BExF7EOIMC1OYL1N7835KGOI0FIZ" localSheetId="31" hidden="1">#REF!</definedName>
    <definedName name="BExF7EOIMC1OYL1N7835KGOI0FIZ" localSheetId="32" hidden="1">#REF!</definedName>
    <definedName name="BExF7EOIMC1OYL1N7835KGOI0FIZ" hidden="1">#REF!</definedName>
    <definedName name="BExF7K88K7ASGV6RAOAGH52G04VR" localSheetId="30" hidden="1">#REF!</definedName>
    <definedName name="BExF7K88K7ASGV6RAOAGH52G04VR" localSheetId="29" hidden="1">#REF!</definedName>
    <definedName name="BExF7K88K7ASGV6RAOAGH52G04VR" localSheetId="33" hidden="1">#REF!</definedName>
    <definedName name="BExF7K88K7ASGV6RAOAGH52G04VR" localSheetId="31" hidden="1">#REF!</definedName>
    <definedName name="BExF7K88K7ASGV6RAOAGH52G04VR" localSheetId="32" hidden="1">#REF!</definedName>
    <definedName name="BExF7K88K7ASGV6RAOAGH52G04VR" hidden="1">#REF!</definedName>
    <definedName name="BExF7OVDRP3LHNAF2CX4V84CKKIR" localSheetId="30" hidden="1">#REF!</definedName>
    <definedName name="BExF7OVDRP3LHNAF2CX4V84CKKIR" localSheetId="29" hidden="1">#REF!</definedName>
    <definedName name="BExF7OVDRP3LHNAF2CX4V84CKKIR" localSheetId="33" hidden="1">#REF!</definedName>
    <definedName name="BExF7OVDRP3LHNAF2CX4V84CKKIR" localSheetId="31" hidden="1">#REF!</definedName>
    <definedName name="BExF7OVDRP3LHNAF2CX4V84CKKIR" localSheetId="32" hidden="1">#REF!</definedName>
    <definedName name="BExF7OVDRP3LHNAF2CX4V84CKKIR" hidden="1">#REF!</definedName>
    <definedName name="BExF7QO41X2A2SL8UXDNP99GY7U9" localSheetId="30" hidden="1">#REF!</definedName>
    <definedName name="BExF7QO41X2A2SL8UXDNP99GY7U9" localSheetId="29" hidden="1">#REF!</definedName>
    <definedName name="BExF7QO41X2A2SL8UXDNP99GY7U9" localSheetId="33" hidden="1">#REF!</definedName>
    <definedName name="BExF7QO41X2A2SL8UXDNP99GY7U9" localSheetId="31" hidden="1">#REF!</definedName>
    <definedName name="BExF7QO41X2A2SL8UXDNP99GY7U9" localSheetId="32" hidden="1">#REF!</definedName>
    <definedName name="BExF7QO41X2A2SL8UXDNP99GY7U9" hidden="1">#REF!</definedName>
    <definedName name="BExF7U9M1S4GN9XQL5NN4JT7B04H" localSheetId="30" hidden="1">#REF!</definedName>
    <definedName name="BExF7U9M1S4GN9XQL5NN4JT7B04H" localSheetId="29" hidden="1">#REF!</definedName>
    <definedName name="BExF7U9M1S4GN9XQL5NN4JT7B04H" localSheetId="33" hidden="1">#REF!</definedName>
    <definedName name="BExF7U9M1S4GN9XQL5NN4JT7B04H" localSheetId="31" hidden="1">#REF!</definedName>
    <definedName name="BExF7U9M1S4GN9XQL5NN4JT7B04H" localSheetId="32" hidden="1">#REF!</definedName>
    <definedName name="BExF7U9M1S4GN9XQL5NN4JT7B04H" hidden="1">#REF!</definedName>
    <definedName name="BExF81GI8B8WBHXFTET68A9358BR" localSheetId="30" hidden="1">#REF!</definedName>
    <definedName name="BExF81GI8B8WBHXFTET68A9358BR" localSheetId="29" hidden="1">#REF!</definedName>
    <definedName name="BExF81GI8B8WBHXFTET68A9358BR" localSheetId="33" hidden="1">#REF!</definedName>
    <definedName name="BExF81GI8B8WBHXFTET68A9358BR" localSheetId="31" hidden="1">#REF!</definedName>
    <definedName name="BExF81GI8B8WBHXFTET68A9358BR" localSheetId="32" hidden="1">#REF!</definedName>
    <definedName name="BExF81GI8B8WBHXFTET68A9358BR" hidden="1">#REF!</definedName>
    <definedName name="BExF8G5870OUDK5826WHX5LVKCQY" localSheetId="30" hidden="1">#REF!</definedName>
    <definedName name="BExF8G5870OUDK5826WHX5LVKCQY" localSheetId="29" hidden="1">#REF!</definedName>
    <definedName name="BExF8G5870OUDK5826WHX5LVKCQY" localSheetId="33" hidden="1">#REF!</definedName>
    <definedName name="BExF8G5870OUDK5826WHX5LVKCQY" localSheetId="31" hidden="1">#REF!</definedName>
    <definedName name="BExF8G5870OUDK5826WHX5LVKCQY" localSheetId="32" hidden="1">#REF!</definedName>
    <definedName name="BExF8G5870OUDK5826WHX5LVKCQY" hidden="1">#REF!</definedName>
    <definedName name="BExF8QC379CMIQCY8CI23G3NJH1W" localSheetId="30" hidden="1">#REF!</definedName>
    <definedName name="BExF8QC379CMIQCY8CI23G3NJH1W" localSheetId="29" hidden="1">#REF!</definedName>
    <definedName name="BExF8QC379CMIQCY8CI23G3NJH1W" localSheetId="33" hidden="1">#REF!</definedName>
    <definedName name="BExF8QC379CMIQCY8CI23G3NJH1W" localSheetId="31" hidden="1">#REF!</definedName>
    <definedName name="BExF8QC379CMIQCY8CI23G3NJH1W" localSheetId="32" hidden="1">#REF!</definedName>
    <definedName name="BExF8QC379CMIQCY8CI23G3NJH1W" hidden="1">#REF!</definedName>
    <definedName name="BExGKXTTIVAZ061D4QG2GP4RTCPN" localSheetId="30" hidden="1">#REF!</definedName>
    <definedName name="BExGKXTTIVAZ061D4QG2GP4RTCPN" localSheetId="29" hidden="1">#REF!</definedName>
    <definedName name="BExGKXTTIVAZ061D4QG2GP4RTCPN" localSheetId="33" hidden="1">#REF!</definedName>
    <definedName name="BExGKXTTIVAZ061D4QG2GP4RTCPN" localSheetId="31" hidden="1">#REF!</definedName>
    <definedName name="BExGKXTTIVAZ061D4QG2GP4RTCPN" localSheetId="32" hidden="1">#REF!</definedName>
    <definedName name="BExGKXTTIVAZ061D4QG2GP4RTCPN" hidden="1">#REF!</definedName>
    <definedName name="BExGL97US0Y3KXXASUTVR26XLT70" localSheetId="30" hidden="1">#REF!</definedName>
    <definedName name="BExGL97US0Y3KXXASUTVR26XLT70" localSheetId="29" hidden="1">#REF!</definedName>
    <definedName name="BExGL97US0Y3KXXASUTVR26XLT70" localSheetId="33" hidden="1">#REF!</definedName>
    <definedName name="BExGL97US0Y3KXXASUTVR26XLT70" localSheetId="31" hidden="1">#REF!</definedName>
    <definedName name="BExGL97US0Y3KXXASUTVR26XLT70" localSheetId="32" hidden="1">#REF!</definedName>
    <definedName name="BExGL97US0Y3KXXASUTVR26XLT70" hidden="1">#REF!</definedName>
    <definedName name="BExGLC7R4C33RO0PID97ZPPVCW4M" localSheetId="30" hidden="1">#REF!</definedName>
    <definedName name="BExGLC7R4C33RO0PID97ZPPVCW4M" localSheetId="29" hidden="1">#REF!</definedName>
    <definedName name="BExGLC7R4C33RO0PID97ZPPVCW4M" localSheetId="33" hidden="1">#REF!</definedName>
    <definedName name="BExGLC7R4C33RO0PID97ZPPVCW4M" localSheetId="31" hidden="1">#REF!</definedName>
    <definedName name="BExGLC7R4C33RO0PID97ZPPVCW4M" localSheetId="32" hidden="1">#REF!</definedName>
    <definedName name="BExGLC7R4C33RO0PID97ZPPVCW4M" hidden="1">#REF!</definedName>
    <definedName name="BExGLFIF7HCFSHNQHKEV6RY0WCO3" localSheetId="30" hidden="1">#REF!</definedName>
    <definedName name="BExGLFIF7HCFSHNQHKEV6RY0WCO3" localSheetId="29" hidden="1">#REF!</definedName>
    <definedName name="BExGLFIF7HCFSHNQHKEV6RY0WCO3" localSheetId="33" hidden="1">#REF!</definedName>
    <definedName name="BExGLFIF7HCFSHNQHKEV6RY0WCO3" localSheetId="31" hidden="1">#REF!</definedName>
    <definedName name="BExGLFIF7HCFSHNQHKEV6RY0WCO3" localSheetId="32" hidden="1">#REF!</definedName>
    <definedName name="BExGLFIF7HCFSHNQHKEV6RY0WCO3" hidden="1">#REF!</definedName>
    <definedName name="BExGLTARRL0J772UD2TXEYAVPY6E" localSheetId="30" hidden="1">#REF!</definedName>
    <definedName name="BExGLTARRL0J772UD2TXEYAVPY6E" localSheetId="29" hidden="1">#REF!</definedName>
    <definedName name="BExGLTARRL0J772UD2TXEYAVPY6E" localSheetId="33" hidden="1">#REF!</definedName>
    <definedName name="BExGLTARRL0J772UD2TXEYAVPY6E" localSheetId="31" hidden="1">#REF!</definedName>
    <definedName name="BExGLTARRL0J772UD2TXEYAVPY6E" localSheetId="32" hidden="1">#REF!</definedName>
    <definedName name="BExGLTARRL0J772UD2TXEYAVPY6E" hidden="1">#REF!</definedName>
    <definedName name="BExGLVP1IU8K5A8J1340XFMYPR88" localSheetId="30" hidden="1">#REF!</definedName>
    <definedName name="BExGLVP1IU8K5A8J1340XFMYPR88" localSheetId="29" hidden="1">#REF!</definedName>
    <definedName name="BExGLVP1IU8K5A8J1340XFMYPR88" localSheetId="33" hidden="1">#REF!</definedName>
    <definedName name="BExGLVP1IU8K5A8J1340XFMYPR88" localSheetId="31" hidden="1">#REF!</definedName>
    <definedName name="BExGLVP1IU8K5A8J1340XFMYPR88" localSheetId="32" hidden="1">#REF!</definedName>
    <definedName name="BExGLVP1IU8K5A8J1340XFMYPR88" hidden="1">#REF!</definedName>
    <definedName name="BExGLYE6RZTAAWHJBG2QFJPTDS2Q" localSheetId="30" hidden="1">#REF!</definedName>
    <definedName name="BExGLYE6RZTAAWHJBG2QFJPTDS2Q" localSheetId="29" hidden="1">#REF!</definedName>
    <definedName name="BExGLYE6RZTAAWHJBG2QFJPTDS2Q" localSheetId="33" hidden="1">#REF!</definedName>
    <definedName name="BExGLYE6RZTAAWHJBG2QFJPTDS2Q" localSheetId="31" hidden="1">#REF!</definedName>
    <definedName name="BExGLYE6RZTAAWHJBG2QFJPTDS2Q" localSheetId="32" hidden="1">#REF!</definedName>
    <definedName name="BExGLYE6RZTAAWHJBG2QFJPTDS2Q" hidden="1">#REF!</definedName>
    <definedName name="BExGM4DZ65OAQP7MA4LN6QMYZOFF" localSheetId="30" hidden="1">#REF!</definedName>
    <definedName name="BExGM4DZ65OAQP7MA4LN6QMYZOFF" localSheetId="29" hidden="1">#REF!</definedName>
    <definedName name="BExGM4DZ65OAQP7MA4LN6QMYZOFF" localSheetId="33" hidden="1">#REF!</definedName>
    <definedName name="BExGM4DZ65OAQP7MA4LN6QMYZOFF" localSheetId="31" hidden="1">#REF!</definedName>
    <definedName name="BExGM4DZ65OAQP7MA4LN6QMYZOFF" localSheetId="32" hidden="1">#REF!</definedName>
    <definedName name="BExGM4DZ65OAQP7MA4LN6QMYZOFF" hidden="1">#REF!</definedName>
    <definedName name="BExGMBA50UH0QF3EM3XWWFPB2ZQM" localSheetId="30" hidden="1">#REF!</definedName>
    <definedName name="BExGMBA50UH0QF3EM3XWWFPB2ZQM" localSheetId="29" hidden="1">#REF!</definedName>
    <definedName name="BExGMBA50UH0QF3EM3XWWFPB2ZQM" localSheetId="33" hidden="1">#REF!</definedName>
    <definedName name="BExGMBA50UH0QF3EM3XWWFPB2ZQM" localSheetId="31" hidden="1">#REF!</definedName>
    <definedName name="BExGMBA50UH0QF3EM3XWWFPB2ZQM" localSheetId="32" hidden="1">#REF!</definedName>
    <definedName name="BExGMBA50UH0QF3EM3XWWFPB2ZQM" hidden="1">#REF!</definedName>
    <definedName name="BExGMC6HF6F9EAO371R54WJILSDH" localSheetId="30" hidden="1">#REF!</definedName>
    <definedName name="BExGMC6HF6F9EAO371R54WJILSDH" localSheetId="29" hidden="1">#REF!</definedName>
    <definedName name="BExGMC6HF6F9EAO371R54WJILSDH" localSheetId="33" hidden="1">#REF!</definedName>
    <definedName name="BExGMC6HF6F9EAO371R54WJILSDH" localSheetId="31" hidden="1">#REF!</definedName>
    <definedName name="BExGMC6HF6F9EAO371R54WJILSDH" localSheetId="32" hidden="1">#REF!</definedName>
    <definedName name="BExGMC6HF6F9EAO371R54WJILSDH" hidden="1">#REF!</definedName>
    <definedName name="BExGMCS2J3P3LPO2VQ0Z8C22DN7Q" localSheetId="30" hidden="1">#REF!</definedName>
    <definedName name="BExGMCS2J3P3LPO2VQ0Z8C22DN7Q" localSheetId="29" hidden="1">#REF!</definedName>
    <definedName name="BExGMCS2J3P3LPO2VQ0Z8C22DN7Q" localSheetId="33" hidden="1">#REF!</definedName>
    <definedName name="BExGMCS2J3P3LPO2VQ0Z8C22DN7Q" localSheetId="31" hidden="1">#REF!</definedName>
    <definedName name="BExGMCS2J3P3LPO2VQ0Z8C22DN7Q" localSheetId="32" hidden="1">#REF!</definedName>
    <definedName name="BExGMCS2J3P3LPO2VQ0Z8C22DN7Q" hidden="1">#REF!</definedName>
    <definedName name="BExGMCXCWEC9XNUOEMZ61TMI6CUO" localSheetId="30" hidden="1">#REF!</definedName>
    <definedName name="BExGMCXCWEC9XNUOEMZ61TMI6CUO" localSheetId="29" hidden="1">#REF!</definedName>
    <definedName name="BExGMCXCWEC9XNUOEMZ61TMI6CUO" localSheetId="33" hidden="1">#REF!</definedName>
    <definedName name="BExGMCXCWEC9XNUOEMZ61TMI6CUO" localSheetId="31" hidden="1">#REF!</definedName>
    <definedName name="BExGMCXCWEC9XNUOEMZ61TMI6CUO" localSheetId="32" hidden="1">#REF!</definedName>
    <definedName name="BExGMCXCWEC9XNUOEMZ61TMI6CUO" hidden="1">#REF!</definedName>
    <definedName name="BExGMJDGIH0MEPC2TUSFUCY2ROTB" localSheetId="30" hidden="1">#REF!</definedName>
    <definedName name="BExGMJDGIH0MEPC2TUSFUCY2ROTB" localSheetId="29" hidden="1">#REF!</definedName>
    <definedName name="BExGMJDGIH0MEPC2TUSFUCY2ROTB" localSheetId="33" hidden="1">#REF!</definedName>
    <definedName name="BExGMJDGIH0MEPC2TUSFUCY2ROTB" localSheetId="31" hidden="1">#REF!</definedName>
    <definedName name="BExGMJDGIH0MEPC2TUSFUCY2ROTB" localSheetId="32" hidden="1">#REF!</definedName>
    <definedName name="BExGMJDGIH0MEPC2TUSFUCY2ROTB" hidden="1">#REF!</definedName>
    <definedName name="BExGMKPW2HPKN0M0XKF3AZ8YP0D6" localSheetId="30" hidden="1">#REF!</definedName>
    <definedName name="BExGMKPW2HPKN0M0XKF3AZ8YP0D6" localSheetId="29" hidden="1">#REF!</definedName>
    <definedName name="BExGMKPW2HPKN0M0XKF3AZ8YP0D6" localSheetId="33" hidden="1">#REF!</definedName>
    <definedName name="BExGMKPW2HPKN0M0XKF3AZ8YP0D6" localSheetId="31" hidden="1">#REF!</definedName>
    <definedName name="BExGMKPW2HPKN0M0XKF3AZ8YP0D6" localSheetId="32" hidden="1">#REF!</definedName>
    <definedName name="BExGMKPW2HPKN0M0XKF3AZ8YP0D6" hidden="1">#REF!</definedName>
    <definedName name="BExGMP2F175LGL6QVSJGP6GKYHHA" localSheetId="30" hidden="1">#REF!</definedName>
    <definedName name="BExGMP2F175LGL6QVSJGP6GKYHHA" localSheetId="29" hidden="1">#REF!</definedName>
    <definedName name="BExGMP2F175LGL6QVSJGP6GKYHHA" localSheetId="33" hidden="1">#REF!</definedName>
    <definedName name="BExGMP2F175LGL6QVSJGP6GKYHHA" localSheetId="31" hidden="1">#REF!</definedName>
    <definedName name="BExGMP2F175LGL6QVSJGP6GKYHHA" localSheetId="32" hidden="1">#REF!</definedName>
    <definedName name="BExGMP2F175LGL6QVSJGP6GKYHHA" hidden="1">#REF!</definedName>
    <definedName name="BExGMPIIP8GKML2VVA8OEFL43NCS" localSheetId="30" hidden="1">#REF!</definedName>
    <definedName name="BExGMPIIP8GKML2VVA8OEFL43NCS" localSheetId="29" hidden="1">#REF!</definedName>
    <definedName name="BExGMPIIP8GKML2VVA8OEFL43NCS" localSheetId="33" hidden="1">#REF!</definedName>
    <definedName name="BExGMPIIP8GKML2VVA8OEFL43NCS" localSheetId="31" hidden="1">#REF!</definedName>
    <definedName name="BExGMPIIP8GKML2VVA8OEFL43NCS" localSheetId="32" hidden="1">#REF!</definedName>
    <definedName name="BExGMPIIP8GKML2VVA8OEFL43NCS" hidden="1">#REF!</definedName>
    <definedName name="BExGMZ3SRIXLXMWBVOXXV3M4U4YL" localSheetId="30" hidden="1">#REF!</definedName>
    <definedName name="BExGMZ3SRIXLXMWBVOXXV3M4U4YL" localSheetId="29" hidden="1">#REF!</definedName>
    <definedName name="BExGMZ3SRIXLXMWBVOXXV3M4U4YL" localSheetId="33" hidden="1">#REF!</definedName>
    <definedName name="BExGMZ3SRIXLXMWBVOXXV3M4U4YL" localSheetId="31" hidden="1">#REF!</definedName>
    <definedName name="BExGMZ3SRIXLXMWBVOXXV3M4U4YL" localSheetId="32" hidden="1">#REF!</definedName>
    <definedName name="BExGMZ3SRIXLXMWBVOXXV3M4U4YL" hidden="1">#REF!</definedName>
    <definedName name="BExGMZ3UBN48IXU1ZEFYECEMZ1IM" localSheetId="30" hidden="1">#REF!</definedName>
    <definedName name="BExGMZ3UBN48IXU1ZEFYECEMZ1IM" localSheetId="29" hidden="1">#REF!</definedName>
    <definedName name="BExGMZ3UBN48IXU1ZEFYECEMZ1IM" localSheetId="33" hidden="1">#REF!</definedName>
    <definedName name="BExGMZ3UBN48IXU1ZEFYECEMZ1IM" localSheetId="31" hidden="1">#REF!</definedName>
    <definedName name="BExGMZ3UBN48IXU1ZEFYECEMZ1IM" localSheetId="32" hidden="1">#REF!</definedName>
    <definedName name="BExGMZ3UBN48IXU1ZEFYECEMZ1IM" hidden="1">#REF!</definedName>
    <definedName name="BExGN4I0QATXNZCLZJM1KH1OIJQH" localSheetId="30" hidden="1">#REF!</definedName>
    <definedName name="BExGN4I0QATXNZCLZJM1KH1OIJQH" localSheetId="29" hidden="1">#REF!</definedName>
    <definedName name="BExGN4I0QATXNZCLZJM1KH1OIJQH" localSheetId="33" hidden="1">#REF!</definedName>
    <definedName name="BExGN4I0QATXNZCLZJM1KH1OIJQH" localSheetId="31" hidden="1">#REF!</definedName>
    <definedName name="BExGN4I0QATXNZCLZJM1KH1OIJQH" localSheetId="32" hidden="1">#REF!</definedName>
    <definedName name="BExGN4I0QATXNZCLZJM1KH1OIJQH" hidden="1">#REF!</definedName>
    <definedName name="BExGN9FZ2RWCMSY1YOBJKZMNIM9R" localSheetId="30" hidden="1">#REF!</definedName>
    <definedName name="BExGN9FZ2RWCMSY1YOBJKZMNIM9R" localSheetId="29" hidden="1">#REF!</definedName>
    <definedName name="BExGN9FZ2RWCMSY1YOBJKZMNIM9R" localSheetId="33" hidden="1">#REF!</definedName>
    <definedName name="BExGN9FZ2RWCMSY1YOBJKZMNIM9R" localSheetId="31" hidden="1">#REF!</definedName>
    <definedName name="BExGN9FZ2RWCMSY1YOBJKZMNIM9R" localSheetId="32" hidden="1">#REF!</definedName>
    <definedName name="BExGN9FZ2RWCMSY1YOBJKZMNIM9R" hidden="1">#REF!</definedName>
    <definedName name="BExGNDSIMTHOCXXG6QOGR6DA8SGG" localSheetId="30" hidden="1">#REF!</definedName>
    <definedName name="BExGNDSIMTHOCXXG6QOGR6DA8SGG" localSheetId="29" hidden="1">#REF!</definedName>
    <definedName name="BExGNDSIMTHOCXXG6QOGR6DA8SGG" localSheetId="33" hidden="1">#REF!</definedName>
    <definedName name="BExGNDSIMTHOCXXG6QOGR6DA8SGG" localSheetId="31" hidden="1">#REF!</definedName>
    <definedName name="BExGNDSIMTHOCXXG6QOGR6DA8SGG" localSheetId="32" hidden="1">#REF!</definedName>
    <definedName name="BExGNDSIMTHOCXXG6QOGR6DA8SGG" hidden="1">#REF!</definedName>
    <definedName name="BExGNN2YQ9BDAZXT2GLCSAPXKIM7" localSheetId="30" hidden="1">#REF!</definedName>
    <definedName name="BExGNN2YQ9BDAZXT2GLCSAPXKIM7" localSheetId="29" hidden="1">#REF!</definedName>
    <definedName name="BExGNN2YQ9BDAZXT2GLCSAPXKIM7" localSheetId="33" hidden="1">#REF!</definedName>
    <definedName name="BExGNN2YQ9BDAZXT2GLCSAPXKIM7" localSheetId="31" hidden="1">#REF!</definedName>
    <definedName name="BExGNN2YQ9BDAZXT2GLCSAPXKIM7" localSheetId="32" hidden="1">#REF!</definedName>
    <definedName name="BExGNN2YQ9BDAZXT2GLCSAPXKIM7" hidden="1">#REF!</definedName>
    <definedName name="BExGNSS0CKRPKHO25R3TDBEL2NHX" localSheetId="30" hidden="1">#REF!</definedName>
    <definedName name="BExGNSS0CKRPKHO25R3TDBEL2NHX" localSheetId="29" hidden="1">#REF!</definedName>
    <definedName name="BExGNSS0CKRPKHO25R3TDBEL2NHX" localSheetId="33" hidden="1">#REF!</definedName>
    <definedName name="BExGNSS0CKRPKHO25R3TDBEL2NHX" localSheetId="31" hidden="1">#REF!</definedName>
    <definedName name="BExGNSS0CKRPKHO25R3TDBEL2NHX" localSheetId="32" hidden="1">#REF!</definedName>
    <definedName name="BExGNSS0CKRPKHO25R3TDBEL2NHX" hidden="1">#REF!</definedName>
    <definedName name="BExGNYH0MO8NOVS85L15G0RWX4GW" localSheetId="30" hidden="1">#REF!</definedName>
    <definedName name="BExGNYH0MO8NOVS85L15G0RWX4GW" localSheetId="29" hidden="1">#REF!</definedName>
    <definedName name="BExGNYH0MO8NOVS85L15G0RWX4GW" localSheetId="33" hidden="1">#REF!</definedName>
    <definedName name="BExGNYH0MO8NOVS85L15G0RWX4GW" localSheetId="31" hidden="1">#REF!</definedName>
    <definedName name="BExGNYH0MO8NOVS85L15G0RWX4GW" localSheetId="32" hidden="1">#REF!</definedName>
    <definedName name="BExGNYH0MO8NOVS85L15G0RWX4GW" hidden="1">#REF!</definedName>
    <definedName name="BExGNZO44DEG8CGIDYSEGDUQ531R" localSheetId="30" hidden="1">#REF!</definedName>
    <definedName name="BExGNZO44DEG8CGIDYSEGDUQ531R" localSheetId="29" hidden="1">#REF!</definedName>
    <definedName name="BExGNZO44DEG8CGIDYSEGDUQ531R" localSheetId="33" hidden="1">#REF!</definedName>
    <definedName name="BExGNZO44DEG8CGIDYSEGDUQ531R" localSheetId="31" hidden="1">#REF!</definedName>
    <definedName name="BExGNZO44DEG8CGIDYSEGDUQ531R" localSheetId="32" hidden="1">#REF!</definedName>
    <definedName name="BExGNZO44DEG8CGIDYSEGDUQ531R" hidden="1">#REF!</definedName>
    <definedName name="BExGO2O0V6UYDY26AX8OSN72F77N" localSheetId="30" hidden="1">#REF!</definedName>
    <definedName name="BExGO2O0V6UYDY26AX8OSN72F77N" localSheetId="29" hidden="1">#REF!</definedName>
    <definedName name="BExGO2O0V6UYDY26AX8OSN72F77N" localSheetId="33" hidden="1">#REF!</definedName>
    <definedName name="BExGO2O0V6UYDY26AX8OSN72F77N" localSheetId="31" hidden="1">#REF!</definedName>
    <definedName name="BExGO2O0V6UYDY26AX8OSN72F77N" localSheetId="32" hidden="1">#REF!</definedName>
    <definedName name="BExGO2O0V6UYDY26AX8OSN72F77N" hidden="1">#REF!</definedName>
    <definedName name="BExGO2YUBOVLYHY1QSIHRE1KLAFV" localSheetId="30" hidden="1">#REF!</definedName>
    <definedName name="BExGO2YUBOVLYHY1QSIHRE1KLAFV" localSheetId="29" hidden="1">#REF!</definedName>
    <definedName name="BExGO2YUBOVLYHY1QSIHRE1KLAFV" localSheetId="33" hidden="1">#REF!</definedName>
    <definedName name="BExGO2YUBOVLYHY1QSIHRE1KLAFV" localSheetId="31" hidden="1">#REF!</definedName>
    <definedName name="BExGO2YUBOVLYHY1QSIHRE1KLAFV" localSheetId="32" hidden="1">#REF!</definedName>
    <definedName name="BExGO2YUBOVLYHY1QSIHRE1KLAFV" hidden="1">#REF!</definedName>
    <definedName name="BExGO70E2O70LF46V8T26YFPL4V8" localSheetId="30" hidden="1">#REF!</definedName>
    <definedName name="BExGO70E2O70LF46V8T26YFPL4V8" localSheetId="29" hidden="1">#REF!</definedName>
    <definedName name="BExGO70E2O70LF46V8T26YFPL4V8" localSheetId="33" hidden="1">#REF!</definedName>
    <definedName name="BExGO70E2O70LF46V8T26YFPL4V8" localSheetId="31" hidden="1">#REF!</definedName>
    <definedName name="BExGO70E2O70LF46V8T26YFPL4V8" localSheetId="32" hidden="1">#REF!</definedName>
    <definedName name="BExGO70E2O70LF46V8T26YFPL4V8" hidden="1">#REF!</definedName>
    <definedName name="BExGOB25QJMQCQE76MRW9X58OIOO" localSheetId="30" hidden="1">#REF!</definedName>
    <definedName name="BExGOB25QJMQCQE76MRW9X58OIOO" localSheetId="29" hidden="1">#REF!</definedName>
    <definedName name="BExGOB25QJMQCQE76MRW9X58OIOO" localSheetId="33" hidden="1">#REF!</definedName>
    <definedName name="BExGOB25QJMQCQE76MRW9X58OIOO" localSheetId="31" hidden="1">#REF!</definedName>
    <definedName name="BExGOB25QJMQCQE76MRW9X58OIOO" localSheetId="32" hidden="1">#REF!</definedName>
    <definedName name="BExGOB25QJMQCQE76MRW9X58OIOO" hidden="1">#REF!</definedName>
    <definedName name="BExGODAZKJ9EXMQZNQR5YDBSS525" localSheetId="30" hidden="1">#REF!</definedName>
    <definedName name="BExGODAZKJ9EXMQZNQR5YDBSS525" localSheetId="29" hidden="1">#REF!</definedName>
    <definedName name="BExGODAZKJ9EXMQZNQR5YDBSS525" localSheetId="33" hidden="1">#REF!</definedName>
    <definedName name="BExGODAZKJ9EXMQZNQR5YDBSS525" localSheetId="31" hidden="1">#REF!</definedName>
    <definedName name="BExGODAZKJ9EXMQZNQR5YDBSS525" localSheetId="32" hidden="1">#REF!</definedName>
    <definedName name="BExGODAZKJ9EXMQZNQR5YDBSS525" hidden="1">#REF!</definedName>
    <definedName name="BExGODR8ZSMUC11I56QHSZ686XV5" localSheetId="30" hidden="1">#REF!</definedName>
    <definedName name="BExGODR8ZSMUC11I56QHSZ686XV5" localSheetId="29" hidden="1">#REF!</definedName>
    <definedName name="BExGODR8ZSMUC11I56QHSZ686XV5" localSheetId="33" hidden="1">#REF!</definedName>
    <definedName name="BExGODR8ZSMUC11I56QHSZ686XV5" localSheetId="31" hidden="1">#REF!</definedName>
    <definedName name="BExGODR8ZSMUC11I56QHSZ686XV5" localSheetId="32" hidden="1">#REF!</definedName>
    <definedName name="BExGODR8ZSMUC11I56QHSZ686XV5" hidden="1">#REF!</definedName>
    <definedName name="BExGOXDW437G9CM3WF95V0SHJ4V1" localSheetId="30" hidden="1">#REF!</definedName>
    <definedName name="BExGOXDW437G9CM3WF95V0SHJ4V1" localSheetId="29" hidden="1">#REF!</definedName>
    <definedName name="BExGOXDW437G9CM3WF95V0SHJ4V1" localSheetId="33" hidden="1">#REF!</definedName>
    <definedName name="BExGOXDW437G9CM3WF95V0SHJ4V1" localSheetId="31" hidden="1">#REF!</definedName>
    <definedName name="BExGOXDW437G9CM3WF95V0SHJ4V1" localSheetId="32" hidden="1">#REF!</definedName>
    <definedName name="BExGOXDW437G9CM3WF95V0SHJ4V1" hidden="1">#REF!</definedName>
    <definedName name="BExGOXJDHUDPDT8I8IVGVW9J0R5Q" localSheetId="30" hidden="1">#REF!</definedName>
    <definedName name="BExGOXJDHUDPDT8I8IVGVW9J0R5Q" localSheetId="29" hidden="1">#REF!</definedName>
    <definedName name="BExGOXJDHUDPDT8I8IVGVW9J0R5Q" localSheetId="33" hidden="1">#REF!</definedName>
    <definedName name="BExGOXJDHUDPDT8I8IVGVW9J0R5Q" localSheetId="31" hidden="1">#REF!</definedName>
    <definedName name="BExGOXJDHUDPDT8I8IVGVW9J0R5Q" localSheetId="32" hidden="1">#REF!</definedName>
    <definedName name="BExGOXJDHUDPDT8I8IVGVW9J0R5Q" hidden="1">#REF!</definedName>
    <definedName name="BExGPHGT5KDOCMV2EFS4OVKTWBRD" localSheetId="30" hidden="1">#REF!</definedName>
    <definedName name="BExGPHGT5KDOCMV2EFS4OVKTWBRD" localSheetId="29" hidden="1">#REF!</definedName>
    <definedName name="BExGPHGT5KDOCMV2EFS4OVKTWBRD" localSheetId="33" hidden="1">#REF!</definedName>
    <definedName name="BExGPHGT5KDOCMV2EFS4OVKTWBRD" localSheetId="31" hidden="1">#REF!</definedName>
    <definedName name="BExGPHGT5KDOCMV2EFS4OVKTWBRD" localSheetId="32" hidden="1">#REF!</definedName>
    <definedName name="BExGPHGT5KDOCMV2EFS4OVKTWBRD" hidden="1">#REF!</definedName>
    <definedName name="BExGPID72Y4Y619LWASUQZKZHJNC" localSheetId="30" hidden="1">#REF!</definedName>
    <definedName name="BExGPID72Y4Y619LWASUQZKZHJNC" localSheetId="29" hidden="1">#REF!</definedName>
    <definedName name="BExGPID72Y4Y619LWASUQZKZHJNC" localSheetId="33" hidden="1">#REF!</definedName>
    <definedName name="BExGPID72Y4Y619LWASUQZKZHJNC" localSheetId="31" hidden="1">#REF!</definedName>
    <definedName name="BExGPID72Y4Y619LWASUQZKZHJNC" localSheetId="32" hidden="1">#REF!</definedName>
    <definedName name="BExGPID72Y4Y619LWASUQZKZHJNC" hidden="1">#REF!</definedName>
    <definedName name="BExGPPENQIANVGLVQJ77DK5JPRTB" localSheetId="30" hidden="1">#REF!</definedName>
    <definedName name="BExGPPENQIANVGLVQJ77DK5JPRTB" localSheetId="29" hidden="1">#REF!</definedName>
    <definedName name="BExGPPENQIANVGLVQJ77DK5JPRTB" localSheetId="33" hidden="1">#REF!</definedName>
    <definedName name="BExGPPENQIANVGLVQJ77DK5JPRTB" localSheetId="31" hidden="1">#REF!</definedName>
    <definedName name="BExGPPENQIANVGLVQJ77DK5JPRTB" localSheetId="32" hidden="1">#REF!</definedName>
    <definedName name="BExGPPENQIANVGLVQJ77DK5JPRTB" hidden="1">#REF!</definedName>
    <definedName name="BExGPXNA4F4XATEMBFXO0VXDYREU" localSheetId="30" hidden="1">#REF!</definedName>
    <definedName name="BExGPXNA4F4XATEMBFXO0VXDYREU" localSheetId="29" hidden="1">#REF!</definedName>
    <definedName name="BExGPXNA4F4XATEMBFXO0VXDYREU" localSheetId="33" hidden="1">#REF!</definedName>
    <definedName name="BExGPXNA4F4XATEMBFXO0VXDYREU" localSheetId="31" hidden="1">#REF!</definedName>
    <definedName name="BExGPXNA4F4XATEMBFXO0VXDYREU" localSheetId="32" hidden="1">#REF!</definedName>
    <definedName name="BExGPXNA4F4XATEMBFXO0VXDYREU" hidden="1">#REF!</definedName>
    <definedName name="BExGQ1ZU4967P72AHF4V1D0FOL5C" localSheetId="30" hidden="1">#REF!</definedName>
    <definedName name="BExGQ1ZU4967P72AHF4V1D0FOL5C" localSheetId="29" hidden="1">#REF!</definedName>
    <definedName name="BExGQ1ZU4967P72AHF4V1D0FOL5C" localSheetId="33" hidden="1">#REF!</definedName>
    <definedName name="BExGQ1ZU4967P72AHF4V1D0FOL5C" localSheetId="31" hidden="1">#REF!</definedName>
    <definedName name="BExGQ1ZU4967P72AHF4V1D0FOL5C" localSheetId="32" hidden="1">#REF!</definedName>
    <definedName name="BExGQ1ZU4967P72AHF4V1D0FOL5C" hidden="1">#REF!</definedName>
    <definedName name="BExGQ36ZOMR9GV8T05M605MMOY3Y" localSheetId="30" hidden="1">#REF!</definedName>
    <definedName name="BExGQ36ZOMR9GV8T05M605MMOY3Y" localSheetId="29" hidden="1">#REF!</definedName>
    <definedName name="BExGQ36ZOMR9GV8T05M605MMOY3Y" localSheetId="33" hidden="1">#REF!</definedName>
    <definedName name="BExGQ36ZOMR9GV8T05M605MMOY3Y" localSheetId="31" hidden="1">#REF!</definedName>
    <definedName name="BExGQ36ZOMR9GV8T05M605MMOY3Y" localSheetId="32" hidden="1">#REF!</definedName>
    <definedName name="BExGQ36ZOMR9GV8T05M605MMOY3Y" hidden="1">#REF!</definedName>
    <definedName name="BExGQ61DTJ0SBFMDFBAK3XZ9O0ZO" localSheetId="30" hidden="1">#REF!</definedName>
    <definedName name="BExGQ61DTJ0SBFMDFBAK3XZ9O0ZO" localSheetId="29" hidden="1">#REF!</definedName>
    <definedName name="BExGQ61DTJ0SBFMDFBAK3XZ9O0ZO" localSheetId="33" hidden="1">#REF!</definedName>
    <definedName name="BExGQ61DTJ0SBFMDFBAK3XZ9O0ZO" localSheetId="31" hidden="1">#REF!</definedName>
    <definedName name="BExGQ61DTJ0SBFMDFBAK3XZ9O0ZO" localSheetId="32" hidden="1">#REF!</definedName>
    <definedName name="BExGQ61DTJ0SBFMDFBAK3XZ9O0ZO" hidden="1">#REF!</definedName>
    <definedName name="BExGQ6SG9XEOD0VMBAR22YPZWSTA" localSheetId="30" hidden="1">#REF!</definedName>
    <definedName name="BExGQ6SG9XEOD0VMBAR22YPZWSTA" localSheetId="29" hidden="1">#REF!</definedName>
    <definedName name="BExGQ6SG9XEOD0VMBAR22YPZWSTA" localSheetId="33" hidden="1">#REF!</definedName>
    <definedName name="BExGQ6SG9XEOD0VMBAR22YPZWSTA" localSheetId="31" hidden="1">#REF!</definedName>
    <definedName name="BExGQ6SG9XEOD0VMBAR22YPZWSTA" localSheetId="32" hidden="1">#REF!</definedName>
    <definedName name="BExGQ6SG9XEOD0VMBAR22YPZWSTA" hidden="1">#REF!</definedName>
    <definedName name="BExGQGJ1A7LNZUS8QSMOG8UNGLMK" localSheetId="30" hidden="1">#REF!</definedName>
    <definedName name="BExGQGJ1A7LNZUS8QSMOG8UNGLMK" localSheetId="29" hidden="1">#REF!</definedName>
    <definedName name="BExGQGJ1A7LNZUS8QSMOG8UNGLMK" localSheetId="33" hidden="1">#REF!</definedName>
    <definedName name="BExGQGJ1A7LNZUS8QSMOG8UNGLMK" localSheetId="31" hidden="1">#REF!</definedName>
    <definedName name="BExGQGJ1A7LNZUS8QSMOG8UNGLMK" localSheetId="32" hidden="1">#REF!</definedName>
    <definedName name="BExGQGJ1A7LNZUS8QSMOG8UNGLMK" hidden="1">#REF!</definedName>
    <definedName name="BExGQPO7ENFEQC0NC6MC9OZR2LHY" localSheetId="30" hidden="1">#REF!</definedName>
    <definedName name="BExGQPO7ENFEQC0NC6MC9OZR2LHY" localSheetId="29" hidden="1">#REF!</definedName>
    <definedName name="BExGQPO7ENFEQC0NC6MC9OZR2LHY" localSheetId="33" hidden="1">#REF!</definedName>
    <definedName name="BExGQPO7ENFEQC0NC6MC9OZR2LHY" localSheetId="31" hidden="1">#REF!</definedName>
    <definedName name="BExGQPO7ENFEQC0NC6MC9OZR2LHY" localSheetId="32" hidden="1">#REF!</definedName>
    <definedName name="BExGQPO7ENFEQC0NC6MC9OZR2LHY" hidden="1">#REF!</definedName>
    <definedName name="BExGQX0H4EZMXBJTKJJE4ICJWN5O" localSheetId="30" hidden="1">#REF!</definedName>
    <definedName name="BExGQX0H4EZMXBJTKJJE4ICJWN5O" localSheetId="29" hidden="1">#REF!</definedName>
    <definedName name="BExGQX0H4EZMXBJTKJJE4ICJWN5O" localSheetId="33" hidden="1">#REF!</definedName>
    <definedName name="BExGQX0H4EZMXBJTKJJE4ICJWN5O" localSheetId="31" hidden="1">#REF!</definedName>
    <definedName name="BExGQX0H4EZMXBJTKJJE4ICJWN5O" localSheetId="32" hidden="1">#REF!</definedName>
    <definedName name="BExGQX0H4EZMXBJTKJJE4ICJWN5O" hidden="1">#REF!</definedName>
    <definedName name="BExGQZK94SIUD8Y9SZ30MOE72AJA" localSheetId="30" hidden="1">#REF!</definedName>
    <definedName name="BExGQZK94SIUD8Y9SZ30MOE72AJA" localSheetId="29" hidden="1">#REF!</definedName>
    <definedName name="BExGQZK94SIUD8Y9SZ30MOE72AJA" localSheetId="33" hidden="1">#REF!</definedName>
    <definedName name="BExGQZK94SIUD8Y9SZ30MOE72AJA" localSheetId="31" hidden="1">#REF!</definedName>
    <definedName name="BExGQZK94SIUD8Y9SZ30MOE72AJA" localSheetId="32" hidden="1">#REF!</definedName>
    <definedName name="BExGQZK94SIUD8Y9SZ30MOE72AJA" hidden="1">#REF!</definedName>
    <definedName name="BExGR4CW3WRIID17GGX4MI9ZDHFE" localSheetId="30" hidden="1">#REF!</definedName>
    <definedName name="BExGR4CW3WRIID17GGX4MI9ZDHFE" localSheetId="29" hidden="1">#REF!</definedName>
    <definedName name="BExGR4CW3WRIID17GGX4MI9ZDHFE" localSheetId="33" hidden="1">#REF!</definedName>
    <definedName name="BExGR4CW3WRIID17GGX4MI9ZDHFE" localSheetId="31" hidden="1">#REF!</definedName>
    <definedName name="BExGR4CW3WRIID17GGX4MI9ZDHFE" localSheetId="32" hidden="1">#REF!</definedName>
    <definedName name="BExGR4CW3WRIID17GGX4MI9ZDHFE" hidden="1">#REF!</definedName>
    <definedName name="BExGR65GJX27MU2OL6NI5PB8XVB4" localSheetId="30" hidden="1">#REF!</definedName>
    <definedName name="BExGR65GJX27MU2OL6NI5PB8XVB4" localSheetId="29" hidden="1">#REF!</definedName>
    <definedName name="BExGR65GJX27MU2OL6NI5PB8XVB4" localSheetId="33" hidden="1">#REF!</definedName>
    <definedName name="BExGR65GJX27MU2OL6NI5PB8XVB4" localSheetId="31" hidden="1">#REF!</definedName>
    <definedName name="BExGR65GJX27MU2OL6NI5PB8XVB4" localSheetId="32" hidden="1">#REF!</definedName>
    <definedName name="BExGR65GJX27MU2OL6NI5PB8XVB4" hidden="1">#REF!</definedName>
    <definedName name="BExGR6LQ97HETGS3CT96L4IK0JSH" localSheetId="30" hidden="1">#REF!</definedName>
    <definedName name="BExGR6LQ97HETGS3CT96L4IK0JSH" localSheetId="29" hidden="1">#REF!</definedName>
    <definedName name="BExGR6LQ97HETGS3CT96L4IK0JSH" localSheetId="33" hidden="1">#REF!</definedName>
    <definedName name="BExGR6LQ97HETGS3CT96L4IK0JSH" localSheetId="31" hidden="1">#REF!</definedName>
    <definedName name="BExGR6LQ97HETGS3CT96L4IK0JSH" localSheetId="32" hidden="1">#REF!</definedName>
    <definedName name="BExGR6LQ97HETGS3CT96L4IK0JSH" hidden="1">#REF!</definedName>
    <definedName name="BExGR9ATP2LVT7B9OCPSLJ11H9SX" localSheetId="30" hidden="1">#REF!</definedName>
    <definedName name="BExGR9ATP2LVT7B9OCPSLJ11H9SX" localSheetId="29" hidden="1">#REF!</definedName>
    <definedName name="BExGR9ATP2LVT7B9OCPSLJ11H9SX" localSheetId="33" hidden="1">#REF!</definedName>
    <definedName name="BExGR9ATP2LVT7B9OCPSLJ11H9SX" localSheetId="31" hidden="1">#REF!</definedName>
    <definedName name="BExGR9ATP2LVT7B9OCPSLJ11H9SX" localSheetId="32" hidden="1">#REF!</definedName>
    <definedName name="BExGR9ATP2LVT7B9OCPSLJ11H9SX" hidden="1">#REF!</definedName>
    <definedName name="BExGRUKVVKDL8483WI70VN2QZDGD" localSheetId="30" hidden="1">#REF!</definedName>
    <definedName name="BExGRUKVVKDL8483WI70VN2QZDGD" localSheetId="29" hidden="1">#REF!</definedName>
    <definedName name="BExGRUKVVKDL8483WI70VN2QZDGD" localSheetId="33" hidden="1">#REF!</definedName>
    <definedName name="BExGRUKVVKDL8483WI70VN2QZDGD" localSheetId="31" hidden="1">#REF!</definedName>
    <definedName name="BExGRUKVVKDL8483WI70VN2QZDGD" localSheetId="32" hidden="1">#REF!</definedName>
    <definedName name="BExGRUKVVKDL8483WI70VN2QZDGD" hidden="1">#REF!</definedName>
    <definedName name="BExGS2IWR5DUNJ1U9PAKIV8CMBNI" localSheetId="30" hidden="1">#REF!</definedName>
    <definedName name="BExGS2IWR5DUNJ1U9PAKIV8CMBNI" localSheetId="29" hidden="1">#REF!</definedName>
    <definedName name="BExGS2IWR5DUNJ1U9PAKIV8CMBNI" localSheetId="33" hidden="1">#REF!</definedName>
    <definedName name="BExGS2IWR5DUNJ1U9PAKIV8CMBNI" localSheetId="31" hidden="1">#REF!</definedName>
    <definedName name="BExGS2IWR5DUNJ1U9PAKIV8CMBNI" localSheetId="32" hidden="1">#REF!</definedName>
    <definedName name="BExGS2IWR5DUNJ1U9PAKIV8CMBNI" hidden="1">#REF!</definedName>
    <definedName name="BExGS69P9FFTEOPDS0MWFKF45G47" localSheetId="30" hidden="1">#REF!</definedName>
    <definedName name="BExGS69P9FFTEOPDS0MWFKF45G47" localSheetId="29" hidden="1">#REF!</definedName>
    <definedName name="BExGS69P9FFTEOPDS0MWFKF45G47" localSheetId="33" hidden="1">#REF!</definedName>
    <definedName name="BExGS69P9FFTEOPDS0MWFKF45G47" localSheetId="31" hidden="1">#REF!</definedName>
    <definedName name="BExGS69P9FFTEOPDS0MWFKF45G47" localSheetId="32" hidden="1">#REF!</definedName>
    <definedName name="BExGS69P9FFTEOPDS0MWFKF45G47" hidden="1">#REF!</definedName>
    <definedName name="BExGS6F1JFHM5MUJ1RFO50WP6D05" localSheetId="30" hidden="1">#REF!</definedName>
    <definedName name="BExGS6F1JFHM5MUJ1RFO50WP6D05" localSheetId="29" hidden="1">#REF!</definedName>
    <definedName name="BExGS6F1JFHM5MUJ1RFO50WP6D05" localSheetId="33" hidden="1">#REF!</definedName>
    <definedName name="BExGS6F1JFHM5MUJ1RFO50WP6D05" localSheetId="31" hidden="1">#REF!</definedName>
    <definedName name="BExGS6F1JFHM5MUJ1RFO50WP6D05" localSheetId="32" hidden="1">#REF!</definedName>
    <definedName name="BExGS6F1JFHM5MUJ1RFO50WP6D05" hidden="1">#REF!</definedName>
    <definedName name="BExGSA5YB5ZGE4NHDVCZ55TQAJTL" localSheetId="30" hidden="1">#REF!</definedName>
    <definedName name="BExGSA5YB5ZGE4NHDVCZ55TQAJTL" localSheetId="29" hidden="1">#REF!</definedName>
    <definedName name="BExGSA5YB5ZGE4NHDVCZ55TQAJTL" localSheetId="33" hidden="1">#REF!</definedName>
    <definedName name="BExGSA5YB5ZGE4NHDVCZ55TQAJTL" localSheetId="31" hidden="1">#REF!</definedName>
    <definedName name="BExGSA5YB5ZGE4NHDVCZ55TQAJTL" localSheetId="32" hidden="1">#REF!</definedName>
    <definedName name="BExGSA5YB5ZGE4NHDVCZ55TQAJTL" hidden="1">#REF!</definedName>
    <definedName name="BExGSCEUCQQVDEEKWJ677QTGUVTE" localSheetId="30" hidden="1">#REF!</definedName>
    <definedName name="BExGSCEUCQQVDEEKWJ677QTGUVTE" localSheetId="29" hidden="1">#REF!</definedName>
    <definedName name="BExGSCEUCQQVDEEKWJ677QTGUVTE" localSheetId="33" hidden="1">#REF!</definedName>
    <definedName name="BExGSCEUCQQVDEEKWJ677QTGUVTE" localSheetId="31" hidden="1">#REF!</definedName>
    <definedName name="BExGSCEUCQQVDEEKWJ677QTGUVTE" localSheetId="32" hidden="1">#REF!</definedName>
    <definedName name="BExGSCEUCQQVDEEKWJ677QTGUVTE" hidden="1">#REF!</definedName>
    <definedName name="BExGSQY65LH1PCKKM5WHDW83F35O" localSheetId="30" hidden="1">#REF!</definedName>
    <definedName name="BExGSQY65LH1PCKKM5WHDW83F35O" localSheetId="29" hidden="1">#REF!</definedName>
    <definedName name="BExGSQY65LH1PCKKM5WHDW83F35O" localSheetId="33" hidden="1">#REF!</definedName>
    <definedName name="BExGSQY65LH1PCKKM5WHDW83F35O" localSheetId="31" hidden="1">#REF!</definedName>
    <definedName name="BExGSQY65LH1PCKKM5WHDW83F35O" localSheetId="32" hidden="1">#REF!</definedName>
    <definedName name="BExGSQY65LH1PCKKM5WHDW83F35O" hidden="1">#REF!</definedName>
    <definedName name="BExGSYW1GKISF0PMUAK3XJK9PEW9" localSheetId="30" hidden="1">#REF!</definedName>
    <definedName name="BExGSYW1GKISF0PMUAK3XJK9PEW9" localSheetId="29" hidden="1">#REF!</definedName>
    <definedName name="BExGSYW1GKISF0PMUAK3XJK9PEW9" localSheetId="33" hidden="1">#REF!</definedName>
    <definedName name="BExGSYW1GKISF0PMUAK3XJK9PEW9" localSheetId="31" hidden="1">#REF!</definedName>
    <definedName name="BExGSYW1GKISF0PMUAK3XJK9PEW9" localSheetId="32" hidden="1">#REF!</definedName>
    <definedName name="BExGSYW1GKISF0PMUAK3XJK9PEW9" hidden="1">#REF!</definedName>
    <definedName name="BExGT0DZJB6LSF6L693UUB9EY1VQ" localSheetId="30" hidden="1">#REF!</definedName>
    <definedName name="BExGT0DZJB6LSF6L693UUB9EY1VQ" localSheetId="29" hidden="1">#REF!</definedName>
    <definedName name="BExGT0DZJB6LSF6L693UUB9EY1VQ" localSheetId="33" hidden="1">#REF!</definedName>
    <definedName name="BExGT0DZJB6LSF6L693UUB9EY1VQ" localSheetId="31" hidden="1">#REF!</definedName>
    <definedName name="BExGT0DZJB6LSF6L693UUB9EY1VQ" localSheetId="32" hidden="1">#REF!</definedName>
    <definedName name="BExGT0DZJB6LSF6L693UUB9EY1VQ" hidden="1">#REF!</definedName>
    <definedName name="BExGTGVFIF8HOQXR54SK065A8M4K" localSheetId="30" hidden="1">#REF!</definedName>
    <definedName name="BExGTGVFIF8HOQXR54SK065A8M4K" localSheetId="29" hidden="1">#REF!</definedName>
    <definedName name="BExGTGVFIF8HOQXR54SK065A8M4K" localSheetId="33" hidden="1">#REF!</definedName>
    <definedName name="BExGTGVFIF8HOQXR54SK065A8M4K" localSheetId="31" hidden="1">#REF!</definedName>
    <definedName name="BExGTGVFIF8HOQXR54SK065A8M4K" localSheetId="32" hidden="1">#REF!</definedName>
    <definedName name="BExGTGVFIF8HOQXR54SK065A8M4K" hidden="1">#REF!</definedName>
    <definedName name="BExGTIYX3OWPIINOGY1E4QQYSKHP" localSheetId="30" hidden="1">#REF!</definedName>
    <definedName name="BExGTIYX3OWPIINOGY1E4QQYSKHP" localSheetId="29" hidden="1">#REF!</definedName>
    <definedName name="BExGTIYX3OWPIINOGY1E4QQYSKHP" localSheetId="33" hidden="1">#REF!</definedName>
    <definedName name="BExGTIYX3OWPIINOGY1E4QQYSKHP" localSheetId="31" hidden="1">#REF!</definedName>
    <definedName name="BExGTIYX3OWPIINOGY1E4QQYSKHP" localSheetId="32" hidden="1">#REF!</definedName>
    <definedName name="BExGTIYX3OWPIINOGY1E4QQYSKHP" hidden="1">#REF!</definedName>
    <definedName name="BExGTKGUN0KUU3C0RL2LK98D8MEK" localSheetId="30" hidden="1">#REF!</definedName>
    <definedName name="BExGTKGUN0KUU3C0RL2LK98D8MEK" localSheetId="29" hidden="1">#REF!</definedName>
    <definedName name="BExGTKGUN0KUU3C0RL2LK98D8MEK" localSheetId="33" hidden="1">#REF!</definedName>
    <definedName name="BExGTKGUN0KUU3C0RL2LK98D8MEK" localSheetId="31" hidden="1">#REF!</definedName>
    <definedName name="BExGTKGUN0KUU3C0RL2LK98D8MEK" localSheetId="32" hidden="1">#REF!</definedName>
    <definedName name="BExGTKGUN0KUU3C0RL2LK98D8MEK" hidden="1">#REF!</definedName>
    <definedName name="BExGTZ046J7VMUG4YPKFN2K8TWB7" localSheetId="30" hidden="1">#REF!</definedName>
    <definedName name="BExGTZ046J7VMUG4YPKFN2K8TWB7" localSheetId="29" hidden="1">#REF!</definedName>
    <definedName name="BExGTZ046J7VMUG4YPKFN2K8TWB7" localSheetId="33" hidden="1">#REF!</definedName>
    <definedName name="BExGTZ046J7VMUG4YPKFN2K8TWB7" localSheetId="31" hidden="1">#REF!</definedName>
    <definedName name="BExGTZ046J7VMUG4YPKFN2K8TWB7" localSheetId="32" hidden="1">#REF!</definedName>
    <definedName name="BExGTZ046J7VMUG4YPKFN2K8TWB7" hidden="1">#REF!</definedName>
    <definedName name="BExGU2G9OPRZRIU9YGF6NX9FUW0J" localSheetId="30" hidden="1">#REF!</definedName>
    <definedName name="BExGU2G9OPRZRIU9YGF6NX9FUW0J" localSheetId="29" hidden="1">#REF!</definedName>
    <definedName name="BExGU2G9OPRZRIU9YGF6NX9FUW0J" localSheetId="33" hidden="1">#REF!</definedName>
    <definedName name="BExGU2G9OPRZRIU9YGF6NX9FUW0J" localSheetId="31" hidden="1">#REF!</definedName>
    <definedName name="BExGU2G9OPRZRIU9YGF6NX9FUW0J" localSheetId="32" hidden="1">#REF!</definedName>
    <definedName name="BExGU2G9OPRZRIU9YGF6NX9FUW0J" hidden="1">#REF!</definedName>
    <definedName name="BExGU6HTKLRZO8UOI3DTAM5RFDBA" localSheetId="30" hidden="1">#REF!</definedName>
    <definedName name="BExGU6HTKLRZO8UOI3DTAM5RFDBA" localSheetId="29" hidden="1">#REF!</definedName>
    <definedName name="BExGU6HTKLRZO8UOI3DTAM5RFDBA" localSheetId="33" hidden="1">#REF!</definedName>
    <definedName name="BExGU6HTKLRZO8UOI3DTAM5RFDBA" localSheetId="31" hidden="1">#REF!</definedName>
    <definedName name="BExGU6HTKLRZO8UOI3DTAM5RFDBA" localSheetId="32" hidden="1">#REF!</definedName>
    <definedName name="BExGU6HTKLRZO8UOI3DTAM5RFDBA" hidden="1">#REF!</definedName>
    <definedName name="BExGUDDZXFFQHAF4UZF8ZB1HO7H6" localSheetId="30" hidden="1">#REF!</definedName>
    <definedName name="BExGUDDZXFFQHAF4UZF8ZB1HO7H6" localSheetId="29" hidden="1">#REF!</definedName>
    <definedName name="BExGUDDZXFFQHAF4UZF8ZB1HO7H6" localSheetId="33" hidden="1">#REF!</definedName>
    <definedName name="BExGUDDZXFFQHAF4UZF8ZB1HO7H6" localSheetId="31" hidden="1">#REF!</definedName>
    <definedName name="BExGUDDZXFFQHAF4UZF8ZB1HO7H6" localSheetId="32" hidden="1">#REF!</definedName>
    <definedName name="BExGUDDZXFFQHAF4UZF8ZB1HO7H6" hidden="1">#REF!</definedName>
    <definedName name="BExGUIBXBRHGM97ZX6GBA4ZDQ79C" localSheetId="30" hidden="1">#REF!</definedName>
    <definedName name="BExGUIBXBRHGM97ZX6GBA4ZDQ79C" localSheetId="29" hidden="1">#REF!</definedName>
    <definedName name="BExGUIBXBRHGM97ZX6GBA4ZDQ79C" localSheetId="33" hidden="1">#REF!</definedName>
    <definedName name="BExGUIBXBRHGM97ZX6GBA4ZDQ79C" localSheetId="31" hidden="1">#REF!</definedName>
    <definedName name="BExGUIBXBRHGM97ZX6GBA4ZDQ79C" localSheetId="32" hidden="1">#REF!</definedName>
    <definedName name="BExGUIBXBRHGM97ZX6GBA4ZDQ79C" hidden="1">#REF!</definedName>
    <definedName name="BExGUM8D91UNPCOO4TKP9FGX85TF" localSheetId="30" hidden="1">#REF!</definedName>
    <definedName name="BExGUM8D91UNPCOO4TKP9FGX85TF" localSheetId="29" hidden="1">#REF!</definedName>
    <definedName name="BExGUM8D91UNPCOO4TKP9FGX85TF" localSheetId="33" hidden="1">#REF!</definedName>
    <definedName name="BExGUM8D91UNPCOO4TKP9FGX85TF" localSheetId="31" hidden="1">#REF!</definedName>
    <definedName name="BExGUM8D91UNPCOO4TKP9FGX85TF" localSheetId="32" hidden="1">#REF!</definedName>
    <definedName name="BExGUM8D91UNPCOO4TKP9FGX85TF" hidden="1">#REF!</definedName>
    <definedName name="BExGUQ9YVGH12DPAM04N6UHVY1SJ" localSheetId="30" hidden="1">#REF!</definedName>
    <definedName name="BExGUQ9YVGH12DPAM04N6UHVY1SJ" localSheetId="29" hidden="1">#REF!</definedName>
    <definedName name="BExGUQ9YVGH12DPAM04N6UHVY1SJ" localSheetId="33" hidden="1">#REF!</definedName>
    <definedName name="BExGUQ9YVGH12DPAM04N6UHVY1SJ" localSheetId="31" hidden="1">#REF!</definedName>
    <definedName name="BExGUQ9YVGH12DPAM04N6UHVY1SJ" localSheetId="32" hidden="1">#REF!</definedName>
    <definedName name="BExGUQ9YVGH12DPAM04N6UHVY1SJ" hidden="1">#REF!</definedName>
    <definedName name="BExGUQF9N9FKI7S0H30WUAEB5LPD" localSheetId="30" hidden="1">#REF!</definedName>
    <definedName name="BExGUQF9N9FKI7S0H30WUAEB5LPD" localSheetId="29" hidden="1">#REF!</definedName>
    <definedName name="BExGUQF9N9FKI7S0H30WUAEB5LPD" localSheetId="33" hidden="1">#REF!</definedName>
    <definedName name="BExGUQF9N9FKI7S0H30WUAEB5LPD" localSheetId="31" hidden="1">#REF!</definedName>
    <definedName name="BExGUQF9N9FKI7S0H30WUAEB5LPD" localSheetId="32" hidden="1">#REF!</definedName>
    <definedName name="BExGUQF9N9FKI7S0H30WUAEB5LPD" hidden="1">#REF!</definedName>
    <definedName name="BExGUR6BA03XPBK60SQUW197GJ5X" localSheetId="30" hidden="1">#REF!</definedName>
    <definedName name="BExGUR6BA03XPBK60SQUW197GJ5X" localSheetId="29" hidden="1">#REF!</definedName>
    <definedName name="BExGUR6BA03XPBK60SQUW197GJ5X" localSheetId="33" hidden="1">#REF!</definedName>
    <definedName name="BExGUR6BA03XPBK60SQUW197GJ5X" localSheetId="31" hidden="1">#REF!</definedName>
    <definedName name="BExGUR6BA03XPBK60SQUW197GJ5X" localSheetId="32" hidden="1">#REF!</definedName>
    <definedName name="BExGUR6BA03XPBK60SQUW197GJ5X" hidden="1">#REF!</definedName>
    <definedName name="BExGUVIP60TA4B7X2PFGMBFUSKGX" localSheetId="30" hidden="1">#REF!</definedName>
    <definedName name="BExGUVIP60TA4B7X2PFGMBFUSKGX" localSheetId="29" hidden="1">#REF!</definedName>
    <definedName name="BExGUVIP60TA4B7X2PFGMBFUSKGX" localSheetId="33" hidden="1">#REF!</definedName>
    <definedName name="BExGUVIP60TA4B7X2PFGMBFUSKGX" localSheetId="31" hidden="1">#REF!</definedName>
    <definedName name="BExGUVIP60TA4B7X2PFGMBFUSKGX" localSheetId="32" hidden="1">#REF!</definedName>
    <definedName name="BExGUVIP60TA4B7X2PFGMBFUSKGX" hidden="1">#REF!</definedName>
    <definedName name="BExGUZKF06F209XL1IZWVJEQ82EE" localSheetId="30" hidden="1">#REF!</definedName>
    <definedName name="BExGUZKF06F209XL1IZWVJEQ82EE" localSheetId="29" hidden="1">#REF!</definedName>
    <definedName name="BExGUZKF06F209XL1IZWVJEQ82EE" localSheetId="33" hidden="1">#REF!</definedName>
    <definedName name="BExGUZKF06F209XL1IZWVJEQ82EE" localSheetId="31" hidden="1">#REF!</definedName>
    <definedName name="BExGUZKF06F209XL1IZWVJEQ82EE" localSheetId="32" hidden="1">#REF!</definedName>
    <definedName name="BExGUZKF06F209XL1IZWVJEQ82EE" hidden="1">#REF!</definedName>
    <definedName name="BExGV2EVT380QHD4AP2RL9MR8L5L" localSheetId="30" hidden="1">#REF!</definedName>
    <definedName name="BExGV2EVT380QHD4AP2RL9MR8L5L" localSheetId="29" hidden="1">#REF!</definedName>
    <definedName name="BExGV2EVT380QHD4AP2RL9MR8L5L" localSheetId="33" hidden="1">#REF!</definedName>
    <definedName name="BExGV2EVT380QHD4AP2RL9MR8L5L" localSheetId="31" hidden="1">#REF!</definedName>
    <definedName name="BExGV2EVT380QHD4AP2RL9MR8L5L" localSheetId="32" hidden="1">#REF!</definedName>
    <definedName name="BExGV2EVT380QHD4AP2RL9MR8L5L" hidden="1">#REF!</definedName>
    <definedName name="BExGVFWDT04R7HRK23LVP6CWDFQ6" localSheetId="30" hidden="1">#REF!</definedName>
    <definedName name="BExGVFWDT04R7HRK23LVP6CWDFQ6" localSheetId="29" hidden="1">#REF!</definedName>
    <definedName name="BExGVFWDT04R7HRK23LVP6CWDFQ6" localSheetId="33" hidden="1">#REF!</definedName>
    <definedName name="BExGVFWDT04R7HRK23LVP6CWDFQ6" localSheetId="31" hidden="1">#REF!</definedName>
    <definedName name="BExGVFWDT04R7HRK23LVP6CWDFQ6" localSheetId="32" hidden="1">#REF!</definedName>
    <definedName name="BExGVFWDT04R7HRK23LVP6CWDFQ6" hidden="1">#REF!</definedName>
    <definedName name="BExGVV6OOLDQ3TXZK51TTF3YX0WN" localSheetId="30" hidden="1">#REF!</definedName>
    <definedName name="BExGVV6OOLDQ3TXZK51TTF3YX0WN" localSheetId="29" hidden="1">#REF!</definedName>
    <definedName name="BExGVV6OOLDQ3TXZK51TTF3YX0WN" localSheetId="33" hidden="1">#REF!</definedName>
    <definedName name="BExGVV6OOLDQ3TXZK51TTF3YX0WN" localSheetId="31" hidden="1">#REF!</definedName>
    <definedName name="BExGVV6OOLDQ3TXZK51TTF3YX0WN" localSheetId="32" hidden="1">#REF!</definedName>
    <definedName name="BExGVV6OOLDQ3TXZK51TTF3YX0WN" hidden="1">#REF!</definedName>
    <definedName name="BExGW0KVS7U0C87XFZ78QW991IEV" localSheetId="30" hidden="1">#REF!</definedName>
    <definedName name="BExGW0KVS7U0C87XFZ78QW991IEV" localSheetId="29" hidden="1">#REF!</definedName>
    <definedName name="BExGW0KVS7U0C87XFZ78QW991IEV" localSheetId="33" hidden="1">#REF!</definedName>
    <definedName name="BExGW0KVS7U0C87XFZ78QW991IEV" localSheetId="31" hidden="1">#REF!</definedName>
    <definedName name="BExGW0KVS7U0C87XFZ78QW991IEV" localSheetId="32" hidden="1">#REF!</definedName>
    <definedName name="BExGW0KVS7U0C87XFZ78QW991IEV" hidden="1">#REF!</definedName>
    <definedName name="BExGW2Z7AMPG6H9EXA9ML6EZVGGA" localSheetId="30" hidden="1">#REF!</definedName>
    <definedName name="BExGW2Z7AMPG6H9EXA9ML6EZVGGA" localSheetId="29" hidden="1">#REF!</definedName>
    <definedName name="BExGW2Z7AMPG6H9EXA9ML6EZVGGA" localSheetId="33" hidden="1">#REF!</definedName>
    <definedName name="BExGW2Z7AMPG6H9EXA9ML6EZVGGA" localSheetId="31" hidden="1">#REF!</definedName>
    <definedName name="BExGW2Z7AMPG6H9EXA9ML6EZVGGA" localSheetId="32" hidden="1">#REF!</definedName>
    <definedName name="BExGW2Z7AMPG6H9EXA9ML6EZVGGA" hidden="1">#REF!</definedName>
    <definedName name="BExGWABG5VT5XO1A196RK61AXA8C" localSheetId="30" hidden="1">#REF!</definedName>
    <definedName name="BExGWABG5VT5XO1A196RK61AXA8C" localSheetId="29" hidden="1">#REF!</definedName>
    <definedName name="BExGWABG5VT5XO1A196RK61AXA8C" localSheetId="33" hidden="1">#REF!</definedName>
    <definedName name="BExGWABG5VT5XO1A196RK61AXA8C" localSheetId="31" hidden="1">#REF!</definedName>
    <definedName name="BExGWABG5VT5XO1A196RK61AXA8C" localSheetId="32" hidden="1">#REF!</definedName>
    <definedName name="BExGWABG5VT5XO1A196RK61AXA8C" hidden="1">#REF!</definedName>
    <definedName name="BExGWEO0JDG84NYLEAV5NSOAGMJZ" localSheetId="30" hidden="1">#REF!</definedName>
    <definedName name="BExGWEO0JDG84NYLEAV5NSOAGMJZ" localSheetId="29" hidden="1">#REF!</definedName>
    <definedName name="BExGWEO0JDG84NYLEAV5NSOAGMJZ" localSheetId="33" hidden="1">#REF!</definedName>
    <definedName name="BExGWEO0JDG84NYLEAV5NSOAGMJZ" localSheetId="31" hidden="1">#REF!</definedName>
    <definedName name="BExGWEO0JDG84NYLEAV5NSOAGMJZ" localSheetId="32" hidden="1">#REF!</definedName>
    <definedName name="BExGWEO0JDG84NYLEAV5NSOAGMJZ" hidden="1">#REF!</definedName>
    <definedName name="BExGWLEOC70Z8QAJTPT2PDHTNM4L" localSheetId="30" hidden="1">#REF!</definedName>
    <definedName name="BExGWLEOC70Z8QAJTPT2PDHTNM4L" localSheetId="29" hidden="1">#REF!</definedName>
    <definedName name="BExGWLEOC70Z8QAJTPT2PDHTNM4L" localSheetId="33" hidden="1">#REF!</definedName>
    <definedName name="BExGWLEOC70Z8QAJTPT2PDHTNM4L" localSheetId="31" hidden="1">#REF!</definedName>
    <definedName name="BExGWLEOC70Z8QAJTPT2PDHTNM4L" localSheetId="32" hidden="1">#REF!</definedName>
    <definedName name="BExGWLEOC70Z8QAJTPT2PDHTNM4L" hidden="1">#REF!</definedName>
    <definedName name="BExGWNCXLCRTLBVMTXYJ5PHQI6SS" localSheetId="30" hidden="1">#REF!</definedName>
    <definedName name="BExGWNCXLCRTLBVMTXYJ5PHQI6SS" localSheetId="29" hidden="1">#REF!</definedName>
    <definedName name="BExGWNCXLCRTLBVMTXYJ5PHQI6SS" localSheetId="33" hidden="1">#REF!</definedName>
    <definedName name="BExGWNCXLCRTLBVMTXYJ5PHQI6SS" localSheetId="31" hidden="1">#REF!</definedName>
    <definedName name="BExGWNCXLCRTLBVMTXYJ5PHQI6SS" localSheetId="32" hidden="1">#REF!</definedName>
    <definedName name="BExGWNCXLCRTLBVMTXYJ5PHQI6SS" hidden="1">#REF!</definedName>
    <definedName name="BExGX6U988MCFIGDA1282F92U9AA" localSheetId="30" hidden="1">#REF!</definedName>
    <definedName name="BExGX6U988MCFIGDA1282F92U9AA" localSheetId="29" hidden="1">#REF!</definedName>
    <definedName name="BExGX6U988MCFIGDA1282F92U9AA" localSheetId="33" hidden="1">#REF!</definedName>
    <definedName name="BExGX6U988MCFIGDA1282F92U9AA" localSheetId="31" hidden="1">#REF!</definedName>
    <definedName name="BExGX6U988MCFIGDA1282F92U9AA" localSheetId="32" hidden="1">#REF!</definedName>
    <definedName name="BExGX6U988MCFIGDA1282F92U9AA" hidden="1">#REF!</definedName>
    <definedName name="BExGX7FTB1CKAT5HUW6H531FIY6I" localSheetId="30" hidden="1">#REF!</definedName>
    <definedName name="BExGX7FTB1CKAT5HUW6H531FIY6I" localSheetId="29" hidden="1">#REF!</definedName>
    <definedName name="BExGX7FTB1CKAT5HUW6H531FIY6I" localSheetId="33" hidden="1">#REF!</definedName>
    <definedName name="BExGX7FTB1CKAT5HUW6H531FIY6I" localSheetId="31" hidden="1">#REF!</definedName>
    <definedName name="BExGX7FTB1CKAT5HUW6H531FIY6I" localSheetId="32" hidden="1">#REF!</definedName>
    <definedName name="BExGX7FTB1CKAT5HUW6H531FIY6I" hidden="1">#REF!</definedName>
    <definedName name="BExGX9DVACJQIZ4GH6YAD2A7F70O" localSheetId="30" hidden="1">#REF!</definedName>
    <definedName name="BExGX9DVACJQIZ4GH6YAD2A7F70O" localSheetId="29" hidden="1">#REF!</definedName>
    <definedName name="BExGX9DVACJQIZ4GH6YAD2A7F70O" localSheetId="33" hidden="1">#REF!</definedName>
    <definedName name="BExGX9DVACJQIZ4GH6YAD2A7F70O" localSheetId="31" hidden="1">#REF!</definedName>
    <definedName name="BExGX9DVACJQIZ4GH6YAD2A7F70O" localSheetId="32" hidden="1">#REF!</definedName>
    <definedName name="BExGX9DVACJQIZ4GH6YAD2A7F70O" hidden="1">#REF!</definedName>
    <definedName name="BExGXDVP2S2Y8Z8Q43I78RCIK3DD" localSheetId="30" hidden="1">#REF!</definedName>
    <definedName name="BExGXDVP2S2Y8Z8Q43I78RCIK3DD" localSheetId="29" hidden="1">#REF!</definedName>
    <definedName name="BExGXDVP2S2Y8Z8Q43I78RCIK3DD" localSheetId="33" hidden="1">#REF!</definedName>
    <definedName name="BExGXDVP2S2Y8Z8Q43I78RCIK3DD" localSheetId="31" hidden="1">#REF!</definedName>
    <definedName name="BExGXDVP2S2Y8Z8Q43I78RCIK3DD" localSheetId="32" hidden="1">#REF!</definedName>
    <definedName name="BExGXDVP2S2Y8Z8Q43I78RCIK3DD" hidden="1">#REF!</definedName>
    <definedName name="BExGXJ9W5JU7TT9S0BKL5Y6VVB39" localSheetId="30" hidden="1">#REF!</definedName>
    <definedName name="BExGXJ9W5JU7TT9S0BKL5Y6VVB39" localSheetId="29" hidden="1">#REF!</definedName>
    <definedName name="BExGXJ9W5JU7TT9S0BKL5Y6VVB39" localSheetId="33" hidden="1">#REF!</definedName>
    <definedName name="BExGXJ9W5JU7TT9S0BKL5Y6VVB39" localSheetId="31" hidden="1">#REF!</definedName>
    <definedName name="BExGXJ9W5JU7TT9S0BKL5Y6VVB39" localSheetId="32" hidden="1">#REF!</definedName>
    <definedName name="BExGXJ9W5JU7TT9S0BKL5Y6VVB39" hidden="1">#REF!</definedName>
    <definedName name="BExGXWB73RJ4BASBQTQ8EY0EC1EB" localSheetId="30" hidden="1">#REF!</definedName>
    <definedName name="BExGXWB73RJ4BASBQTQ8EY0EC1EB" localSheetId="29" hidden="1">#REF!</definedName>
    <definedName name="BExGXWB73RJ4BASBQTQ8EY0EC1EB" localSheetId="33" hidden="1">#REF!</definedName>
    <definedName name="BExGXWB73RJ4BASBQTQ8EY0EC1EB" localSheetId="31" hidden="1">#REF!</definedName>
    <definedName name="BExGXWB73RJ4BASBQTQ8EY0EC1EB" localSheetId="32" hidden="1">#REF!</definedName>
    <definedName name="BExGXWB73RJ4BASBQTQ8EY0EC1EB" hidden="1">#REF!</definedName>
    <definedName name="BExGXZ0ABB43C7SMRKZHWOSU9EQX" localSheetId="30" hidden="1">#REF!</definedName>
    <definedName name="BExGXZ0ABB43C7SMRKZHWOSU9EQX" localSheetId="29" hidden="1">#REF!</definedName>
    <definedName name="BExGXZ0ABB43C7SMRKZHWOSU9EQX" localSheetId="33" hidden="1">#REF!</definedName>
    <definedName name="BExGXZ0ABB43C7SMRKZHWOSU9EQX" localSheetId="31" hidden="1">#REF!</definedName>
    <definedName name="BExGXZ0ABB43C7SMRKZHWOSU9EQX" localSheetId="32" hidden="1">#REF!</definedName>
    <definedName name="BExGXZ0ABB43C7SMRKZHWOSU9EQX" hidden="1">#REF!</definedName>
    <definedName name="BExGY6SU3SYVCJ3AG2ITY59SAZ5A" localSheetId="30" hidden="1">#REF!</definedName>
    <definedName name="BExGY6SU3SYVCJ3AG2ITY59SAZ5A" localSheetId="29" hidden="1">#REF!</definedName>
    <definedName name="BExGY6SU3SYVCJ3AG2ITY59SAZ5A" localSheetId="33" hidden="1">#REF!</definedName>
    <definedName name="BExGY6SU3SYVCJ3AG2ITY59SAZ5A" localSheetId="31" hidden="1">#REF!</definedName>
    <definedName name="BExGY6SU3SYVCJ3AG2ITY59SAZ5A" localSheetId="32" hidden="1">#REF!</definedName>
    <definedName name="BExGY6SU3SYVCJ3AG2ITY59SAZ5A" hidden="1">#REF!</definedName>
    <definedName name="BExGY6YA4P5KMY2VHT0DYK3YTFAX" localSheetId="30" hidden="1">#REF!</definedName>
    <definedName name="BExGY6YA4P5KMY2VHT0DYK3YTFAX" localSheetId="29" hidden="1">#REF!</definedName>
    <definedName name="BExGY6YA4P5KMY2VHT0DYK3YTFAX" localSheetId="33" hidden="1">#REF!</definedName>
    <definedName name="BExGY6YA4P5KMY2VHT0DYK3YTFAX" localSheetId="31" hidden="1">#REF!</definedName>
    <definedName name="BExGY6YA4P5KMY2VHT0DYK3YTFAX" localSheetId="32" hidden="1">#REF!</definedName>
    <definedName name="BExGY6YA4P5KMY2VHT0DYK3YTFAX" hidden="1">#REF!</definedName>
    <definedName name="BExGY8G88PVVRYHPHRPJZFSX6HSC" localSheetId="30" hidden="1">#REF!</definedName>
    <definedName name="BExGY8G88PVVRYHPHRPJZFSX6HSC" localSheetId="29" hidden="1">#REF!</definedName>
    <definedName name="BExGY8G88PVVRYHPHRPJZFSX6HSC" localSheetId="33" hidden="1">#REF!</definedName>
    <definedName name="BExGY8G88PVVRYHPHRPJZFSX6HSC" localSheetId="31" hidden="1">#REF!</definedName>
    <definedName name="BExGY8G88PVVRYHPHRPJZFSX6HSC" localSheetId="32" hidden="1">#REF!</definedName>
    <definedName name="BExGY8G88PVVRYHPHRPJZFSX6HSC" hidden="1">#REF!</definedName>
    <definedName name="BExGYC718HTZ80PNKYPVIYGRJVF6" localSheetId="30" hidden="1">#REF!</definedName>
    <definedName name="BExGYC718HTZ80PNKYPVIYGRJVF6" localSheetId="29" hidden="1">#REF!</definedName>
    <definedName name="BExGYC718HTZ80PNKYPVIYGRJVF6" localSheetId="33" hidden="1">#REF!</definedName>
    <definedName name="BExGYC718HTZ80PNKYPVIYGRJVF6" localSheetId="31" hidden="1">#REF!</definedName>
    <definedName name="BExGYC718HTZ80PNKYPVIYGRJVF6" localSheetId="32" hidden="1">#REF!</definedName>
    <definedName name="BExGYC718HTZ80PNKYPVIYGRJVF6" hidden="1">#REF!</definedName>
    <definedName name="BExGYCNATXZY2FID93B17YWIPPRD" localSheetId="30" hidden="1">#REF!</definedName>
    <definedName name="BExGYCNATXZY2FID93B17YWIPPRD" localSheetId="29" hidden="1">#REF!</definedName>
    <definedName name="BExGYCNATXZY2FID93B17YWIPPRD" localSheetId="33" hidden="1">#REF!</definedName>
    <definedName name="BExGYCNATXZY2FID93B17YWIPPRD" localSheetId="31" hidden="1">#REF!</definedName>
    <definedName name="BExGYCNATXZY2FID93B17YWIPPRD" localSheetId="32" hidden="1">#REF!</definedName>
    <definedName name="BExGYCNATXZY2FID93B17YWIPPRD" hidden="1">#REF!</definedName>
    <definedName name="BExGYGJJJ3BBCQAOA51WHP01HN73" localSheetId="30" hidden="1">#REF!</definedName>
    <definedName name="BExGYGJJJ3BBCQAOA51WHP01HN73" localSheetId="29" hidden="1">#REF!</definedName>
    <definedName name="BExGYGJJJ3BBCQAOA51WHP01HN73" localSheetId="33" hidden="1">#REF!</definedName>
    <definedName name="BExGYGJJJ3BBCQAOA51WHP01HN73" localSheetId="31" hidden="1">#REF!</definedName>
    <definedName name="BExGYGJJJ3BBCQAOA51WHP01HN73" localSheetId="32" hidden="1">#REF!</definedName>
    <definedName name="BExGYGJJJ3BBCQAOA51WHP01HN73" hidden="1">#REF!</definedName>
    <definedName name="BExGYOS6TV2C72PLRFU8RP1I58GY" localSheetId="30" hidden="1">#REF!</definedName>
    <definedName name="BExGYOS6TV2C72PLRFU8RP1I58GY" localSheetId="29" hidden="1">#REF!</definedName>
    <definedName name="BExGYOS6TV2C72PLRFU8RP1I58GY" localSheetId="33" hidden="1">#REF!</definedName>
    <definedName name="BExGYOS6TV2C72PLRFU8RP1I58GY" localSheetId="31" hidden="1">#REF!</definedName>
    <definedName name="BExGYOS6TV2C72PLRFU8RP1I58GY" localSheetId="32" hidden="1">#REF!</definedName>
    <definedName name="BExGYOS6TV2C72PLRFU8RP1I58GY" hidden="1">#REF!</definedName>
    <definedName name="BExGYTKT706OWM36JJH8VICOSKQX" localSheetId="30" hidden="1">#REF!</definedName>
    <definedName name="BExGYTKT706OWM36JJH8VICOSKQX" localSheetId="29" hidden="1">#REF!</definedName>
    <definedName name="BExGYTKT706OWM36JJH8VICOSKQX" localSheetId="33" hidden="1">#REF!</definedName>
    <definedName name="BExGYTKT706OWM36JJH8VICOSKQX" localSheetId="31" hidden="1">#REF!</definedName>
    <definedName name="BExGYTKT706OWM36JJH8VICOSKQX" localSheetId="32" hidden="1">#REF!</definedName>
    <definedName name="BExGYTKT706OWM36JJH8VICOSKQX" hidden="1">#REF!</definedName>
    <definedName name="BExGYTKV0ANTNX97TUS3RPYXZC37" localSheetId="30" hidden="1">#REF!</definedName>
    <definedName name="BExGYTKV0ANTNX97TUS3RPYXZC37" localSheetId="29" hidden="1">#REF!</definedName>
    <definedName name="BExGYTKV0ANTNX97TUS3RPYXZC37" localSheetId="33" hidden="1">#REF!</definedName>
    <definedName name="BExGYTKV0ANTNX97TUS3RPYXZC37" localSheetId="31" hidden="1">#REF!</definedName>
    <definedName name="BExGYTKV0ANTNX97TUS3RPYXZC37" localSheetId="32" hidden="1">#REF!</definedName>
    <definedName name="BExGYTKV0ANTNX97TUS3RPYXZC37" hidden="1">#REF!</definedName>
    <definedName name="BExGYYDHK9JWKOU9D6MWOBSF8CMJ" localSheetId="30" hidden="1">#REF!</definedName>
    <definedName name="BExGYYDHK9JWKOU9D6MWOBSF8CMJ" localSheetId="29" hidden="1">#REF!</definedName>
    <definedName name="BExGYYDHK9JWKOU9D6MWOBSF8CMJ" localSheetId="33" hidden="1">#REF!</definedName>
    <definedName name="BExGYYDHK9JWKOU9D6MWOBSF8CMJ" localSheetId="31" hidden="1">#REF!</definedName>
    <definedName name="BExGYYDHK9JWKOU9D6MWOBSF8CMJ" localSheetId="32" hidden="1">#REF!</definedName>
    <definedName name="BExGYYDHK9JWKOU9D6MWOBSF8CMJ" hidden="1">#REF!</definedName>
    <definedName name="BExGZJ78ZWZCVHZ3BKEKFJZ6MAEO" localSheetId="30" hidden="1">#REF!</definedName>
    <definedName name="BExGZJ78ZWZCVHZ3BKEKFJZ6MAEO" localSheetId="29" hidden="1">#REF!</definedName>
    <definedName name="BExGZJ78ZWZCVHZ3BKEKFJZ6MAEO" localSheetId="33" hidden="1">#REF!</definedName>
    <definedName name="BExGZJ78ZWZCVHZ3BKEKFJZ6MAEO" localSheetId="31" hidden="1">#REF!</definedName>
    <definedName name="BExGZJ78ZWZCVHZ3BKEKFJZ6MAEO" localSheetId="32" hidden="1">#REF!</definedName>
    <definedName name="BExGZJ78ZWZCVHZ3BKEKFJZ6MAEO" hidden="1">#REF!</definedName>
    <definedName name="BExGZK3LNF89H6LFT8YSD6KN0526" localSheetId="30" hidden="1">#REF!</definedName>
    <definedName name="BExGZK3LNF89H6LFT8YSD6KN0526" localSheetId="29" hidden="1">#REF!</definedName>
    <definedName name="BExGZK3LNF89H6LFT8YSD6KN0526" localSheetId="33" hidden="1">#REF!</definedName>
    <definedName name="BExGZK3LNF89H6LFT8YSD6KN0526" localSheetId="31" hidden="1">#REF!</definedName>
    <definedName name="BExGZK3LNF89H6LFT8YSD6KN0526" localSheetId="32" hidden="1">#REF!</definedName>
    <definedName name="BExGZK3LNF89H6LFT8YSD6KN0526" hidden="1">#REF!</definedName>
    <definedName name="BExGZOLH2QV73J3M9IWDDPA62TP4" localSheetId="30" hidden="1">#REF!</definedName>
    <definedName name="BExGZOLH2QV73J3M9IWDDPA62TP4" localSheetId="29" hidden="1">#REF!</definedName>
    <definedName name="BExGZOLH2QV73J3M9IWDDPA62TP4" localSheetId="33" hidden="1">#REF!</definedName>
    <definedName name="BExGZOLH2QV73J3M9IWDDPA62TP4" localSheetId="31" hidden="1">#REF!</definedName>
    <definedName name="BExGZOLH2QV73J3M9IWDDPA62TP4" localSheetId="32" hidden="1">#REF!</definedName>
    <definedName name="BExGZOLH2QV73J3M9IWDDPA62TP4" hidden="1">#REF!</definedName>
    <definedName name="BExGZP1PWGFKVVVN4YDIS22DZPCR" localSheetId="30" hidden="1">#REF!</definedName>
    <definedName name="BExGZP1PWGFKVVVN4YDIS22DZPCR" localSheetId="29" hidden="1">#REF!</definedName>
    <definedName name="BExGZP1PWGFKVVVN4YDIS22DZPCR" localSheetId="33" hidden="1">#REF!</definedName>
    <definedName name="BExGZP1PWGFKVVVN4YDIS22DZPCR" localSheetId="31" hidden="1">#REF!</definedName>
    <definedName name="BExGZP1PWGFKVVVN4YDIS22DZPCR" localSheetId="32" hidden="1">#REF!</definedName>
    <definedName name="BExGZP1PWGFKVVVN4YDIS22DZPCR" hidden="1">#REF!</definedName>
    <definedName name="BExGZWU4QBIYH29X1277AXUP4WW1" localSheetId="30" hidden="1">#REF!</definedName>
    <definedName name="BExGZWU4QBIYH29X1277AXUP4WW1" localSheetId="29" hidden="1">#REF!</definedName>
    <definedName name="BExGZWU4QBIYH29X1277AXUP4WW1" localSheetId="33" hidden="1">#REF!</definedName>
    <definedName name="BExGZWU4QBIYH29X1277AXUP4WW1" localSheetId="31" hidden="1">#REF!</definedName>
    <definedName name="BExGZWU4QBIYH29X1277AXUP4WW1" localSheetId="32" hidden="1">#REF!</definedName>
    <definedName name="BExGZWU4QBIYH29X1277AXUP4WW1" hidden="1">#REF!</definedName>
    <definedName name="BExH00L21GZX5YJJGVMOAWBERLP5" localSheetId="30" hidden="1">#REF!</definedName>
    <definedName name="BExH00L21GZX5YJJGVMOAWBERLP5" localSheetId="29" hidden="1">#REF!</definedName>
    <definedName name="BExH00L21GZX5YJJGVMOAWBERLP5" localSheetId="33" hidden="1">#REF!</definedName>
    <definedName name="BExH00L21GZX5YJJGVMOAWBERLP5" localSheetId="31" hidden="1">#REF!</definedName>
    <definedName name="BExH00L21GZX5YJJGVMOAWBERLP5" localSheetId="32" hidden="1">#REF!</definedName>
    <definedName name="BExH00L21GZX5YJJGVMOAWBERLP5" hidden="1">#REF!</definedName>
    <definedName name="BExH02ZD6VAY1KQLAQYBBI6WWIZB" localSheetId="30" hidden="1">#REF!</definedName>
    <definedName name="BExH02ZD6VAY1KQLAQYBBI6WWIZB" localSheetId="29" hidden="1">#REF!</definedName>
    <definedName name="BExH02ZD6VAY1KQLAQYBBI6WWIZB" localSheetId="33" hidden="1">#REF!</definedName>
    <definedName name="BExH02ZD6VAY1KQLAQYBBI6WWIZB" localSheetId="31" hidden="1">#REF!</definedName>
    <definedName name="BExH02ZD6VAY1KQLAQYBBI6WWIZB" localSheetId="32" hidden="1">#REF!</definedName>
    <definedName name="BExH02ZD6VAY1KQLAQYBBI6WWIZB" hidden="1">#REF!</definedName>
    <definedName name="BExH04XFA0RUJ8FT2BABUSAHVTJ0" localSheetId="30" hidden="1">#REF!</definedName>
    <definedName name="BExH04XFA0RUJ8FT2BABUSAHVTJ0" localSheetId="29" hidden="1">#REF!</definedName>
    <definedName name="BExH04XFA0RUJ8FT2BABUSAHVTJ0" localSheetId="33" hidden="1">#REF!</definedName>
    <definedName name="BExH04XFA0RUJ8FT2BABUSAHVTJ0" localSheetId="31" hidden="1">#REF!</definedName>
    <definedName name="BExH04XFA0RUJ8FT2BABUSAHVTJ0" localSheetId="32" hidden="1">#REF!</definedName>
    <definedName name="BExH04XFA0RUJ8FT2BABUSAHVTJ0" hidden="1">#REF!</definedName>
    <definedName name="BExH08Z6LQCGGSGSAILMHX4X7JMD" localSheetId="30" hidden="1">#REF!</definedName>
    <definedName name="BExH08Z6LQCGGSGSAILMHX4X7JMD" localSheetId="29" hidden="1">#REF!</definedName>
    <definedName name="BExH08Z6LQCGGSGSAILMHX4X7JMD" localSheetId="33" hidden="1">#REF!</definedName>
    <definedName name="BExH08Z6LQCGGSGSAILMHX4X7JMD" localSheetId="31" hidden="1">#REF!</definedName>
    <definedName name="BExH08Z6LQCGGSGSAILMHX4X7JMD" localSheetId="32" hidden="1">#REF!</definedName>
    <definedName name="BExH08Z6LQCGGSGSAILMHX4X7JMD" hidden="1">#REF!</definedName>
    <definedName name="BExH0KT9Z8HEVRRQRGQ8YHXRLIJA" localSheetId="30" hidden="1">#REF!</definedName>
    <definedName name="BExH0KT9Z8HEVRRQRGQ8YHXRLIJA" localSheetId="29" hidden="1">#REF!</definedName>
    <definedName name="BExH0KT9Z8HEVRRQRGQ8YHXRLIJA" localSheetId="33" hidden="1">#REF!</definedName>
    <definedName name="BExH0KT9Z8HEVRRQRGQ8YHXRLIJA" localSheetId="31" hidden="1">#REF!</definedName>
    <definedName name="BExH0KT9Z8HEVRRQRGQ8YHXRLIJA" localSheetId="32" hidden="1">#REF!</definedName>
    <definedName name="BExH0KT9Z8HEVRRQRGQ8YHXRLIJA" hidden="1">#REF!</definedName>
    <definedName name="BExH0M0FDN12YBOCKL3XL2Z7T7Y8" localSheetId="30" hidden="1">#REF!</definedName>
    <definedName name="BExH0M0FDN12YBOCKL3XL2Z7T7Y8" localSheetId="29" hidden="1">#REF!</definedName>
    <definedName name="BExH0M0FDN12YBOCKL3XL2Z7T7Y8" localSheetId="33" hidden="1">#REF!</definedName>
    <definedName name="BExH0M0FDN12YBOCKL3XL2Z7T7Y8" localSheetId="31" hidden="1">#REF!</definedName>
    <definedName name="BExH0M0FDN12YBOCKL3XL2Z7T7Y8" localSheetId="32" hidden="1">#REF!</definedName>
    <definedName name="BExH0M0FDN12YBOCKL3XL2Z7T7Y8" hidden="1">#REF!</definedName>
    <definedName name="BExH0O9G06YPZ5TN9RYT326I1CP2" localSheetId="30" hidden="1">#REF!</definedName>
    <definedName name="BExH0O9G06YPZ5TN9RYT326I1CP2" localSheetId="29" hidden="1">#REF!</definedName>
    <definedName name="BExH0O9G06YPZ5TN9RYT326I1CP2" localSheetId="33" hidden="1">#REF!</definedName>
    <definedName name="BExH0O9G06YPZ5TN9RYT326I1CP2" localSheetId="31" hidden="1">#REF!</definedName>
    <definedName name="BExH0O9G06YPZ5TN9RYT326I1CP2" localSheetId="32" hidden="1">#REF!</definedName>
    <definedName name="BExH0O9G06YPZ5TN9RYT326I1CP2" hidden="1">#REF!</definedName>
    <definedName name="BExH0WNJAKTJRCKMTX8O4KNMIIJM" localSheetId="30" hidden="1">#REF!</definedName>
    <definedName name="BExH0WNJAKTJRCKMTX8O4KNMIIJM" localSheetId="29" hidden="1">#REF!</definedName>
    <definedName name="BExH0WNJAKTJRCKMTX8O4KNMIIJM" localSheetId="33" hidden="1">#REF!</definedName>
    <definedName name="BExH0WNJAKTJRCKMTX8O4KNMIIJM" localSheetId="31" hidden="1">#REF!</definedName>
    <definedName name="BExH0WNJAKTJRCKMTX8O4KNMIIJM" localSheetId="32" hidden="1">#REF!</definedName>
    <definedName name="BExH0WNJAKTJRCKMTX8O4KNMIIJM" hidden="1">#REF!</definedName>
    <definedName name="BExH12Y4WX542WI3ZEM15AK4UM9J" localSheetId="30" hidden="1">#REF!</definedName>
    <definedName name="BExH12Y4WX542WI3ZEM15AK4UM9J" localSheetId="29" hidden="1">#REF!</definedName>
    <definedName name="BExH12Y4WX542WI3ZEM15AK4UM9J" localSheetId="33" hidden="1">#REF!</definedName>
    <definedName name="BExH12Y4WX542WI3ZEM15AK4UM9J" localSheetId="31" hidden="1">#REF!</definedName>
    <definedName name="BExH12Y4WX542WI3ZEM15AK4UM9J" localSheetId="32" hidden="1">#REF!</definedName>
    <definedName name="BExH12Y4WX542WI3ZEM15AK4UM9J" hidden="1">#REF!</definedName>
    <definedName name="BExH1FDTQXR9QQ31WDB7OPXU7MPT" localSheetId="30" hidden="1">#REF!</definedName>
    <definedName name="BExH1FDTQXR9QQ31WDB7OPXU7MPT" localSheetId="29" hidden="1">#REF!</definedName>
    <definedName name="BExH1FDTQXR9QQ31WDB7OPXU7MPT" localSheetId="33" hidden="1">#REF!</definedName>
    <definedName name="BExH1FDTQXR9QQ31WDB7OPXU7MPT" localSheetId="31" hidden="1">#REF!</definedName>
    <definedName name="BExH1FDTQXR9QQ31WDB7OPXU7MPT" localSheetId="32" hidden="1">#REF!</definedName>
    <definedName name="BExH1FDTQXR9QQ31WDB7OPXU7MPT" hidden="1">#REF!</definedName>
    <definedName name="BExH1FOMEUIJNIDJAUY0ZQFBJSY9" localSheetId="30" hidden="1">#REF!</definedName>
    <definedName name="BExH1FOMEUIJNIDJAUY0ZQFBJSY9" localSheetId="29" hidden="1">#REF!</definedName>
    <definedName name="BExH1FOMEUIJNIDJAUY0ZQFBJSY9" localSheetId="33" hidden="1">#REF!</definedName>
    <definedName name="BExH1FOMEUIJNIDJAUY0ZQFBJSY9" localSheetId="31" hidden="1">#REF!</definedName>
    <definedName name="BExH1FOMEUIJNIDJAUY0ZQFBJSY9" localSheetId="32" hidden="1">#REF!</definedName>
    <definedName name="BExH1FOMEUIJNIDJAUY0ZQFBJSY9" hidden="1">#REF!</definedName>
    <definedName name="BExH1JFFHEBFX9BWJMNIA3N66R3Z" localSheetId="30" hidden="1">#REF!</definedName>
    <definedName name="BExH1JFFHEBFX9BWJMNIA3N66R3Z" localSheetId="29" hidden="1">#REF!</definedName>
    <definedName name="BExH1JFFHEBFX9BWJMNIA3N66R3Z" localSheetId="33" hidden="1">#REF!</definedName>
    <definedName name="BExH1JFFHEBFX9BWJMNIA3N66R3Z" localSheetId="31" hidden="1">#REF!</definedName>
    <definedName name="BExH1JFFHEBFX9BWJMNIA3N66R3Z" localSheetId="32" hidden="1">#REF!</definedName>
    <definedName name="BExH1JFFHEBFX9BWJMNIA3N66R3Z" hidden="1">#REF!</definedName>
    <definedName name="BExH1RDFDK7REVVLWO75JUATVXLN" localSheetId="30" hidden="1">#REF!</definedName>
    <definedName name="BExH1RDFDK7REVVLWO75JUATVXLN" localSheetId="29" hidden="1">#REF!</definedName>
    <definedName name="BExH1RDFDK7REVVLWO75JUATVXLN" localSheetId="33" hidden="1">#REF!</definedName>
    <definedName name="BExH1RDFDK7REVVLWO75JUATVXLN" localSheetId="31" hidden="1">#REF!</definedName>
    <definedName name="BExH1RDFDK7REVVLWO75JUATVXLN" localSheetId="32" hidden="1">#REF!</definedName>
    <definedName name="BExH1RDFDK7REVVLWO75JUATVXLN" hidden="1">#REF!</definedName>
    <definedName name="BExH1XYSRLFBM9QU467HLTVIUKBI" localSheetId="30" hidden="1">#REF!</definedName>
    <definedName name="BExH1XYSRLFBM9QU467HLTVIUKBI" localSheetId="29" hidden="1">#REF!</definedName>
    <definedName name="BExH1XYSRLFBM9QU467HLTVIUKBI" localSheetId="33" hidden="1">#REF!</definedName>
    <definedName name="BExH1XYSRLFBM9QU467HLTVIUKBI" localSheetId="31" hidden="1">#REF!</definedName>
    <definedName name="BExH1XYSRLFBM9QU467HLTVIUKBI" localSheetId="32" hidden="1">#REF!</definedName>
    <definedName name="BExH1XYSRLFBM9QU467HLTVIUKBI" hidden="1">#REF!</definedName>
    <definedName name="BExH1Z0GIUSVTF2H1G1I3PDGBNK2" localSheetId="30" hidden="1">#REF!</definedName>
    <definedName name="BExH1Z0GIUSVTF2H1G1I3PDGBNK2" localSheetId="29" hidden="1">#REF!</definedName>
    <definedName name="BExH1Z0GIUSVTF2H1G1I3PDGBNK2" localSheetId="33" hidden="1">#REF!</definedName>
    <definedName name="BExH1Z0GIUSVTF2H1G1I3PDGBNK2" localSheetId="31" hidden="1">#REF!</definedName>
    <definedName name="BExH1Z0GIUSVTF2H1G1I3PDGBNK2" localSheetId="32" hidden="1">#REF!</definedName>
    <definedName name="BExH1Z0GIUSVTF2H1G1I3PDGBNK2" hidden="1">#REF!</definedName>
    <definedName name="BExH225UTM6S9FW4MUDZS7F1PQSH" localSheetId="30" hidden="1">#REF!</definedName>
    <definedName name="BExH225UTM6S9FW4MUDZS7F1PQSH" localSheetId="29" hidden="1">#REF!</definedName>
    <definedName name="BExH225UTM6S9FW4MUDZS7F1PQSH" localSheetId="33" hidden="1">#REF!</definedName>
    <definedName name="BExH225UTM6S9FW4MUDZS7F1PQSH" localSheetId="31" hidden="1">#REF!</definedName>
    <definedName name="BExH225UTM6S9FW4MUDZS7F1PQSH" localSheetId="32" hidden="1">#REF!</definedName>
    <definedName name="BExH225UTM6S9FW4MUDZS7F1PQSH" hidden="1">#REF!</definedName>
    <definedName name="BExH23271RF7AYZ542KHQTH68GQ7" localSheetId="30" hidden="1">#REF!</definedName>
    <definedName name="BExH23271RF7AYZ542KHQTH68GQ7" localSheetId="29" hidden="1">#REF!</definedName>
    <definedName name="BExH23271RF7AYZ542KHQTH68GQ7" localSheetId="33" hidden="1">#REF!</definedName>
    <definedName name="BExH23271RF7AYZ542KHQTH68GQ7" localSheetId="31" hidden="1">#REF!</definedName>
    <definedName name="BExH23271RF7AYZ542KHQTH68GQ7" localSheetId="32" hidden="1">#REF!</definedName>
    <definedName name="BExH23271RF7AYZ542KHQTH68GQ7" hidden="1">#REF!</definedName>
    <definedName name="BExH2GJQR4JALNB314RY0LDI49VH" localSheetId="30" hidden="1">#REF!</definedName>
    <definedName name="BExH2GJQR4JALNB314RY0LDI49VH" localSheetId="29" hidden="1">#REF!</definedName>
    <definedName name="BExH2GJQR4JALNB314RY0LDI49VH" localSheetId="33" hidden="1">#REF!</definedName>
    <definedName name="BExH2GJQR4JALNB314RY0LDI49VH" localSheetId="31" hidden="1">#REF!</definedName>
    <definedName name="BExH2GJQR4JALNB314RY0LDI49VH" localSheetId="32" hidden="1">#REF!</definedName>
    <definedName name="BExH2GJQR4JALNB314RY0LDI49VH" hidden="1">#REF!</definedName>
    <definedName name="BExH2JZR49T7644JFVE7B3N7RZM9" localSheetId="30" hidden="1">#REF!</definedName>
    <definedName name="BExH2JZR49T7644JFVE7B3N7RZM9" localSheetId="29" hidden="1">#REF!</definedName>
    <definedName name="BExH2JZR49T7644JFVE7B3N7RZM9" localSheetId="33" hidden="1">#REF!</definedName>
    <definedName name="BExH2JZR49T7644JFVE7B3N7RZM9" localSheetId="31" hidden="1">#REF!</definedName>
    <definedName name="BExH2JZR49T7644JFVE7B3N7RZM9" localSheetId="32" hidden="1">#REF!</definedName>
    <definedName name="BExH2JZR49T7644JFVE7B3N7RZM9" hidden="1">#REF!</definedName>
    <definedName name="BExH2UHF0QTJG107MULYB16WBJM9" localSheetId="30" hidden="1">#REF!</definedName>
    <definedName name="BExH2UHF0QTJG107MULYB16WBJM9" localSheetId="29" hidden="1">#REF!</definedName>
    <definedName name="BExH2UHF0QTJG107MULYB16WBJM9" localSheetId="33" hidden="1">#REF!</definedName>
    <definedName name="BExH2UHF0QTJG107MULYB16WBJM9" localSheetId="31" hidden="1">#REF!</definedName>
    <definedName name="BExH2UHF0QTJG107MULYB16WBJM9" localSheetId="32" hidden="1">#REF!</definedName>
    <definedName name="BExH2UHF0QTJG107MULYB16WBJM9" hidden="1">#REF!</definedName>
    <definedName name="BExH2WKXV8X5S2GSBBTWGI0NLNAH" localSheetId="30" hidden="1">#REF!</definedName>
    <definedName name="BExH2WKXV8X5S2GSBBTWGI0NLNAH" localSheetId="29" hidden="1">#REF!</definedName>
    <definedName name="BExH2WKXV8X5S2GSBBTWGI0NLNAH" localSheetId="33" hidden="1">#REF!</definedName>
    <definedName name="BExH2WKXV8X5S2GSBBTWGI0NLNAH" localSheetId="31" hidden="1">#REF!</definedName>
    <definedName name="BExH2WKXV8X5S2GSBBTWGI0NLNAH" localSheetId="32" hidden="1">#REF!</definedName>
    <definedName name="BExH2WKXV8X5S2GSBBTWGI0NLNAH" hidden="1">#REF!</definedName>
    <definedName name="BExH2XS1UFYFGU0S0EBXX90W2WE8" localSheetId="30" hidden="1">#REF!</definedName>
    <definedName name="BExH2XS1UFYFGU0S0EBXX90W2WE8" localSheetId="29" hidden="1">#REF!</definedName>
    <definedName name="BExH2XS1UFYFGU0S0EBXX90W2WE8" localSheetId="33" hidden="1">#REF!</definedName>
    <definedName name="BExH2XS1UFYFGU0S0EBXX90W2WE8" localSheetId="31" hidden="1">#REF!</definedName>
    <definedName name="BExH2XS1UFYFGU0S0EBXX90W2WE8" localSheetId="32" hidden="1">#REF!</definedName>
    <definedName name="BExH2XS1UFYFGU0S0EBXX90W2WE8" hidden="1">#REF!</definedName>
    <definedName name="BExH2XS2TND9SB0GC295R4FP6K5Y" localSheetId="30" hidden="1">#REF!</definedName>
    <definedName name="BExH2XS2TND9SB0GC295R4FP6K5Y" localSheetId="29" hidden="1">#REF!</definedName>
    <definedName name="BExH2XS2TND9SB0GC295R4FP6K5Y" localSheetId="33" hidden="1">#REF!</definedName>
    <definedName name="BExH2XS2TND9SB0GC295R4FP6K5Y" localSheetId="31" hidden="1">#REF!</definedName>
    <definedName name="BExH2XS2TND9SB0GC295R4FP6K5Y" localSheetId="32" hidden="1">#REF!</definedName>
    <definedName name="BExH2XS2TND9SB0GC295R4FP6K5Y" hidden="1">#REF!</definedName>
    <definedName name="BExH2ZA0SZ4SSITL50NA8LZ3OEX6" localSheetId="30" hidden="1">#REF!</definedName>
    <definedName name="BExH2ZA0SZ4SSITL50NA8LZ3OEX6" localSheetId="29" hidden="1">#REF!</definedName>
    <definedName name="BExH2ZA0SZ4SSITL50NA8LZ3OEX6" localSheetId="33" hidden="1">#REF!</definedName>
    <definedName name="BExH2ZA0SZ4SSITL50NA8LZ3OEX6" localSheetId="31" hidden="1">#REF!</definedName>
    <definedName name="BExH2ZA0SZ4SSITL50NA8LZ3OEX6" localSheetId="32" hidden="1">#REF!</definedName>
    <definedName name="BExH2ZA0SZ4SSITL50NA8LZ3OEX6" hidden="1">#REF!</definedName>
    <definedName name="BExH31Z3JNVJPESWKXHILGXZHP2M" localSheetId="30" hidden="1">#REF!</definedName>
    <definedName name="BExH31Z3JNVJPESWKXHILGXZHP2M" localSheetId="29" hidden="1">#REF!</definedName>
    <definedName name="BExH31Z3JNVJPESWKXHILGXZHP2M" localSheetId="33" hidden="1">#REF!</definedName>
    <definedName name="BExH31Z3JNVJPESWKXHILGXZHP2M" localSheetId="31" hidden="1">#REF!</definedName>
    <definedName name="BExH31Z3JNVJPESWKXHILGXZHP2M" localSheetId="32" hidden="1">#REF!</definedName>
    <definedName name="BExH31Z3JNVJPESWKXHILGXZHP2M" hidden="1">#REF!</definedName>
    <definedName name="BExH3E9HZ3QJCDZW7WI7YACFQCHE" localSheetId="30" hidden="1">#REF!</definedName>
    <definedName name="BExH3E9HZ3QJCDZW7WI7YACFQCHE" localSheetId="29" hidden="1">#REF!</definedName>
    <definedName name="BExH3E9HZ3QJCDZW7WI7YACFQCHE" localSheetId="33" hidden="1">#REF!</definedName>
    <definedName name="BExH3E9HZ3QJCDZW7WI7YACFQCHE" localSheetId="31" hidden="1">#REF!</definedName>
    <definedName name="BExH3E9HZ3QJCDZW7WI7YACFQCHE" localSheetId="32" hidden="1">#REF!</definedName>
    <definedName name="BExH3E9HZ3QJCDZW7WI7YACFQCHE" hidden="1">#REF!</definedName>
    <definedName name="BExH3IRB6764RQ5HBYRLH6XCT29X" localSheetId="30" hidden="1">#REF!</definedName>
    <definedName name="BExH3IRB6764RQ5HBYRLH6XCT29X" localSheetId="29" hidden="1">#REF!</definedName>
    <definedName name="BExH3IRB6764RQ5HBYRLH6XCT29X" localSheetId="33" hidden="1">#REF!</definedName>
    <definedName name="BExH3IRB6764RQ5HBYRLH6XCT29X" localSheetId="31" hidden="1">#REF!</definedName>
    <definedName name="BExH3IRB6764RQ5HBYRLH6XCT29X" localSheetId="32" hidden="1">#REF!</definedName>
    <definedName name="BExH3IRB6764RQ5HBYRLH6XCT29X" hidden="1">#REF!</definedName>
    <definedName name="BExH3MCTCOE3UFY39U59R99AQ6A1" localSheetId="30" hidden="1">#REF!</definedName>
    <definedName name="BExH3MCTCOE3UFY39U59R99AQ6A1" localSheetId="29" hidden="1">#REF!</definedName>
    <definedName name="BExH3MCTCOE3UFY39U59R99AQ6A1" localSheetId="33" hidden="1">#REF!</definedName>
    <definedName name="BExH3MCTCOE3UFY39U59R99AQ6A1" localSheetId="31" hidden="1">#REF!</definedName>
    <definedName name="BExH3MCTCOE3UFY39U59R99AQ6A1" localSheetId="32" hidden="1">#REF!</definedName>
    <definedName name="BExH3MCTCOE3UFY39U59R99AQ6A1" hidden="1">#REF!</definedName>
    <definedName name="BExH3SNEBJRU2WQTON1GPM9H8BF2" localSheetId="30" hidden="1">#REF!</definedName>
    <definedName name="BExH3SNEBJRU2WQTON1GPM9H8BF2" localSheetId="29" hidden="1">#REF!</definedName>
    <definedName name="BExH3SNEBJRU2WQTON1GPM9H8BF2" localSheetId="33" hidden="1">#REF!</definedName>
    <definedName name="BExH3SNEBJRU2WQTON1GPM9H8BF2" localSheetId="31" hidden="1">#REF!</definedName>
    <definedName name="BExH3SNEBJRU2WQTON1GPM9H8BF2" localSheetId="32" hidden="1">#REF!</definedName>
    <definedName name="BExH3SNEBJRU2WQTON1GPM9H8BF2" hidden="1">#REF!</definedName>
    <definedName name="BExIG2U8V6RSB47SXLCQG3Q68YRO" localSheetId="30" hidden="1">#REF!</definedName>
    <definedName name="BExIG2U8V6RSB47SXLCQG3Q68YRO" localSheetId="29" hidden="1">#REF!</definedName>
    <definedName name="BExIG2U8V6RSB47SXLCQG3Q68YRO" localSheetId="33" hidden="1">#REF!</definedName>
    <definedName name="BExIG2U8V6RSB47SXLCQG3Q68YRO" localSheetId="31" hidden="1">#REF!</definedName>
    <definedName name="BExIG2U8V6RSB47SXLCQG3Q68YRO" localSheetId="32" hidden="1">#REF!</definedName>
    <definedName name="BExIG2U8V6RSB47SXLCQG3Q68YRO" hidden="1">#REF!</definedName>
    <definedName name="BExIGJBO8R13LV7CZ7C1YCP974NN" localSheetId="30" hidden="1">#REF!</definedName>
    <definedName name="BExIGJBO8R13LV7CZ7C1YCP974NN" localSheetId="29" hidden="1">#REF!</definedName>
    <definedName name="BExIGJBO8R13LV7CZ7C1YCP974NN" localSheetId="33" hidden="1">#REF!</definedName>
    <definedName name="BExIGJBO8R13LV7CZ7C1YCP974NN" localSheetId="31" hidden="1">#REF!</definedName>
    <definedName name="BExIGJBO8R13LV7CZ7C1YCP974NN" localSheetId="32" hidden="1">#REF!</definedName>
    <definedName name="BExIGJBO8R13LV7CZ7C1YCP974NN" hidden="1">#REF!</definedName>
    <definedName name="BExIGWT86FPOEYTI8GXCGU5Y3KGK" localSheetId="30" hidden="1">#REF!</definedName>
    <definedName name="BExIGWT86FPOEYTI8GXCGU5Y3KGK" localSheetId="29" hidden="1">#REF!</definedName>
    <definedName name="BExIGWT86FPOEYTI8GXCGU5Y3KGK" localSheetId="33" hidden="1">#REF!</definedName>
    <definedName name="BExIGWT86FPOEYTI8GXCGU5Y3KGK" localSheetId="31" hidden="1">#REF!</definedName>
    <definedName name="BExIGWT86FPOEYTI8GXCGU5Y3KGK" localSheetId="32" hidden="1">#REF!</definedName>
    <definedName name="BExIGWT86FPOEYTI8GXCGU5Y3KGK" hidden="1">#REF!</definedName>
    <definedName name="BExIH93M3QOY6BPJT4DZFTCQK8AL" localSheetId="30" hidden="1">#REF!</definedName>
    <definedName name="BExIH93M3QOY6BPJT4DZFTCQK8AL" localSheetId="29" hidden="1">#REF!</definedName>
    <definedName name="BExIH93M3QOY6BPJT4DZFTCQK8AL" localSheetId="33" hidden="1">#REF!</definedName>
    <definedName name="BExIH93M3QOY6BPJT4DZFTCQK8AL" localSheetId="31" hidden="1">#REF!</definedName>
    <definedName name="BExIH93M3QOY6BPJT4DZFTCQK8AL" localSheetId="32" hidden="1">#REF!</definedName>
    <definedName name="BExIH93M3QOY6BPJT4DZFTCQK8AL" hidden="1">#REF!</definedName>
    <definedName name="BExIHBHXA7E7VUTBVHXXXCH3A5CL" localSheetId="30" hidden="1">#REF!</definedName>
    <definedName name="BExIHBHXA7E7VUTBVHXXXCH3A5CL" localSheetId="29" hidden="1">#REF!</definedName>
    <definedName name="BExIHBHXA7E7VUTBVHXXXCH3A5CL" localSheetId="33" hidden="1">#REF!</definedName>
    <definedName name="BExIHBHXA7E7VUTBVHXXXCH3A5CL" localSheetId="31" hidden="1">#REF!</definedName>
    <definedName name="BExIHBHXA7E7VUTBVHXXXCH3A5CL" localSheetId="32" hidden="1">#REF!</definedName>
    <definedName name="BExIHBHXA7E7VUTBVHXXXCH3A5CL" hidden="1">#REF!</definedName>
    <definedName name="BExIHPQCQTGEW8QOJVIQ4VX0P6DX" localSheetId="30" hidden="1">#REF!</definedName>
    <definedName name="BExIHPQCQTGEW8QOJVIQ4VX0P6DX" localSheetId="29" hidden="1">#REF!</definedName>
    <definedName name="BExIHPQCQTGEW8QOJVIQ4VX0P6DX" localSheetId="33" hidden="1">#REF!</definedName>
    <definedName name="BExIHPQCQTGEW8QOJVIQ4VX0P6DX" localSheetId="31" hidden="1">#REF!</definedName>
    <definedName name="BExIHPQCQTGEW8QOJVIQ4VX0P6DX" localSheetId="32" hidden="1">#REF!</definedName>
    <definedName name="BExIHPQCQTGEW8QOJVIQ4VX0P6DX" hidden="1">#REF!</definedName>
    <definedName name="BExII1KN91Q7DLW0UB7W2TJ5ACT9" localSheetId="30" hidden="1">#REF!</definedName>
    <definedName name="BExII1KN91Q7DLW0UB7W2TJ5ACT9" localSheetId="29" hidden="1">#REF!</definedName>
    <definedName name="BExII1KN91Q7DLW0UB7W2TJ5ACT9" localSheetId="33" hidden="1">#REF!</definedName>
    <definedName name="BExII1KN91Q7DLW0UB7W2TJ5ACT9" localSheetId="31" hidden="1">#REF!</definedName>
    <definedName name="BExII1KN91Q7DLW0UB7W2TJ5ACT9" localSheetId="32" hidden="1">#REF!</definedName>
    <definedName name="BExII1KN91Q7DLW0UB7W2TJ5ACT9" hidden="1">#REF!</definedName>
    <definedName name="BExII50LI8I0CDOOZEMIVHVA2V95" localSheetId="30" hidden="1">#REF!</definedName>
    <definedName name="BExII50LI8I0CDOOZEMIVHVA2V95" localSheetId="29" hidden="1">#REF!</definedName>
    <definedName name="BExII50LI8I0CDOOZEMIVHVA2V95" localSheetId="33" hidden="1">#REF!</definedName>
    <definedName name="BExII50LI8I0CDOOZEMIVHVA2V95" localSheetId="31" hidden="1">#REF!</definedName>
    <definedName name="BExII50LI8I0CDOOZEMIVHVA2V95" localSheetId="32" hidden="1">#REF!</definedName>
    <definedName name="BExII50LI8I0CDOOZEMIVHVA2V95" hidden="1">#REF!</definedName>
    <definedName name="BExIIXMY38TQD12CVV4S57L3I809" localSheetId="30" hidden="1">#REF!</definedName>
    <definedName name="BExIIXMY38TQD12CVV4S57L3I809" localSheetId="29" hidden="1">#REF!</definedName>
    <definedName name="BExIIXMY38TQD12CVV4S57L3I809" localSheetId="33" hidden="1">#REF!</definedName>
    <definedName name="BExIIXMY38TQD12CVV4S57L3I809" localSheetId="31" hidden="1">#REF!</definedName>
    <definedName name="BExIIXMY38TQD12CVV4S57L3I809" localSheetId="32" hidden="1">#REF!</definedName>
    <definedName name="BExIIXMY38TQD12CVV4S57L3I809" hidden="1">#REF!</definedName>
    <definedName name="BExIIY37NEVU2LGS1JE4VR9AN6W4" localSheetId="30" hidden="1">#REF!</definedName>
    <definedName name="BExIIY37NEVU2LGS1JE4VR9AN6W4" localSheetId="29" hidden="1">#REF!</definedName>
    <definedName name="BExIIY37NEVU2LGS1JE4VR9AN6W4" localSheetId="33" hidden="1">#REF!</definedName>
    <definedName name="BExIIY37NEVU2LGS1JE4VR9AN6W4" localSheetId="31" hidden="1">#REF!</definedName>
    <definedName name="BExIIY37NEVU2LGS1JE4VR9AN6W4" localSheetId="32" hidden="1">#REF!</definedName>
    <definedName name="BExIIY37NEVU2LGS1JE4VR9AN6W4" hidden="1">#REF!</definedName>
    <definedName name="BExIIYJAGXR8TPZ1KCYM7EGJ79UW" localSheetId="30" hidden="1">#REF!</definedName>
    <definedName name="BExIIYJAGXR8TPZ1KCYM7EGJ79UW" localSheetId="29" hidden="1">#REF!</definedName>
    <definedName name="BExIIYJAGXR8TPZ1KCYM7EGJ79UW" localSheetId="33" hidden="1">#REF!</definedName>
    <definedName name="BExIIYJAGXR8TPZ1KCYM7EGJ79UW" localSheetId="31" hidden="1">#REF!</definedName>
    <definedName name="BExIIYJAGXR8TPZ1KCYM7EGJ79UW" localSheetId="32" hidden="1">#REF!</definedName>
    <definedName name="BExIIYJAGXR8TPZ1KCYM7EGJ79UW" hidden="1">#REF!</definedName>
    <definedName name="BExIJ3160YCWGAVEU0208ZGXXG3P" localSheetId="30" hidden="1">#REF!</definedName>
    <definedName name="BExIJ3160YCWGAVEU0208ZGXXG3P" localSheetId="29" hidden="1">#REF!</definedName>
    <definedName name="BExIJ3160YCWGAVEU0208ZGXXG3P" localSheetId="33" hidden="1">#REF!</definedName>
    <definedName name="BExIJ3160YCWGAVEU0208ZGXXG3P" localSheetId="31" hidden="1">#REF!</definedName>
    <definedName name="BExIJ3160YCWGAVEU0208ZGXXG3P" localSheetId="32" hidden="1">#REF!</definedName>
    <definedName name="BExIJ3160YCWGAVEU0208ZGXXG3P" hidden="1">#REF!</definedName>
    <definedName name="BExIJFGZJ5ED9D6KAY4PGQYLELAX" localSheetId="30" hidden="1">#REF!</definedName>
    <definedName name="BExIJFGZJ5ED9D6KAY4PGQYLELAX" localSheetId="29" hidden="1">#REF!</definedName>
    <definedName name="BExIJFGZJ5ED9D6KAY4PGQYLELAX" localSheetId="33" hidden="1">#REF!</definedName>
    <definedName name="BExIJFGZJ5ED9D6KAY4PGQYLELAX" localSheetId="31" hidden="1">#REF!</definedName>
    <definedName name="BExIJFGZJ5ED9D6KAY4PGQYLELAX" localSheetId="32" hidden="1">#REF!</definedName>
    <definedName name="BExIJFGZJ5ED9D6KAY4PGQYLELAX" hidden="1">#REF!</definedName>
    <definedName name="BExIJORGZNWFMV0SNQIL2542PSWM" localSheetId="30" hidden="1">#REF!</definedName>
    <definedName name="BExIJORGZNWFMV0SNQIL2542PSWM" localSheetId="29" hidden="1">#REF!</definedName>
    <definedName name="BExIJORGZNWFMV0SNQIL2542PSWM" localSheetId="33" hidden="1">#REF!</definedName>
    <definedName name="BExIJORGZNWFMV0SNQIL2542PSWM" localSheetId="31" hidden="1">#REF!</definedName>
    <definedName name="BExIJORGZNWFMV0SNQIL2542PSWM" localSheetId="32" hidden="1">#REF!</definedName>
    <definedName name="BExIJORGZNWFMV0SNQIL2542PSWM" hidden="1">#REF!</definedName>
    <definedName name="BExIJQK80ZEKSTV62E59AYJYUNLI" localSheetId="30" hidden="1">#REF!</definedName>
    <definedName name="BExIJQK80ZEKSTV62E59AYJYUNLI" localSheetId="29" hidden="1">#REF!</definedName>
    <definedName name="BExIJQK80ZEKSTV62E59AYJYUNLI" localSheetId="33" hidden="1">#REF!</definedName>
    <definedName name="BExIJQK80ZEKSTV62E59AYJYUNLI" localSheetId="31" hidden="1">#REF!</definedName>
    <definedName name="BExIJQK80ZEKSTV62E59AYJYUNLI" localSheetId="32" hidden="1">#REF!</definedName>
    <definedName name="BExIJQK80ZEKSTV62E59AYJYUNLI" hidden="1">#REF!</definedName>
    <definedName name="BExIJRLX3M0YQLU1D5Y9V7HM5QNM" localSheetId="30" hidden="1">#REF!</definedName>
    <definedName name="BExIJRLX3M0YQLU1D5Y9V7HM5QNM" localSheetId="29" hidden="1">#REF!</definedName>
    <definedName name="BExIJRLX3M0YQLU1D5Y9V7HM5QNM" localSheetId="33" hidden="1">#REF!</definedName>
    <definedName name="BExIJRLX3M0YQLU1D5Y9V7HM5QNM" localSheetId="31" hidden="1">#REF!</definedName>
    <definedName name="BExIJRLX3M0YQLU1D5Y9V7HM5QNM" localSheetId="32" hidden="1">#REF!</definedName>
    <definedName name="BExIJRLX3M0YQLU1D5Y9V7HM5QNM" hidden="1">#REF!</definedName>
    <definedName name="BExIJV22J0QA7286KNPMHO1ZUCB3" localSheetId="30" hidden="1">#REF!</definedName>
    <definedName name="BExIJV22J0QA7286KNPMHO1ZUCB3" localSheetId="29" hidden="1">#REF!</definedName>
    <definedName name="BExIJV22J0QA7286KNPMHO1ZUCB3" localSheetId="33" hidden="1">#REF!</definedName>
    <definedName name="BExIJV22J0QA7286KNPMHO1ZUCB3" localSheetId="31" hidden="1">#REF!</definedName>
    <definedName name="BExIJV22J0QA7286KNPMHO1ZUCB3" localSheetId="32" hidden="1">#REF!</definedName>
    <definedName name="BExIJV22J0QA7286KNPMHO1ZUCB3" hidden="1">#REF!</definedName>
    <definedName name="BExIJVI6OC7B6ZE9V4PAOYZXKNER" localSheetId="30" hidden="1">#REF!</definedName>
    <definedName name="BExIJVI6OC7B6ZE9V4PAOYZXKNER" localSheetId="29" hidden="1">#REF!</definedName>
    <definedName name="BExIJVI6OC7B6ZE9V4PAOYZXKNER" localSheetId="33" hidden="1">#REF!</definedName>
    <definedName name="BExIJVI6OC7B6ZE9V4PAOYZXKNER" localSheetId="31" hidden="1">#REF!</definedName>
    <definedName name="BExIJVI6OC7B6ZE9V4PAOYZXKNER" localSheetId="32" hidden="1">#REF!</definedName>
    <definedName name="BExIJVI6OC7B6ZE9V4PAOYZXKNER" hidden="1">#REF!</definedName>
    <definedName name="BExIJWK0NGTGQ4X7D5VIVXD14JHI" localSheetId="30" hidden="1">#REF!</definedName>
    <definedName name="BExIJWK0NGTGQ4X7D5VIVXD14JHI" localSheetId="29" hidden="1">#REF!</definedName>
    <definedName name="BExIJWK0NGTGQ4X7D5VIVXD14JHI" localSheetId="33" hidden="1">#REF!</definedName>
    <definedName name="BExIJWK0NGTGQ4X7D5VIVXD14JHI" localSheetId="31" hidden="1">#REF!</definedName>
    <definedName name="BExIJWK0NGTGQ4X7D5VIVXD14JHI" localSheetId="32" hidden="1">#REF!</definedName>
    <definedName name="BExIJWK0NGTGQ4X7D5VIVXD14JHI" hidden="1">#REF!</definedName>
    <definedName name="BExIJWPCIYINEJUTXU74VK7WG031" localSheetId="30" hidden="1">#REF!</definedName>
    <definedName name="BExIJWPCIYINEJUTXU74VK7WG031" localSheetId="29" hidden="1">#REF!</definedName>
    <definedName name="BExIJWPCIYINEJUTXU74VK7WG031" localSheetId="33" hidden="1">#REF!</definedName>
    <definedName name="BExIJWPCIYINEJUTXU74VK7WG031" localSheetId="31" hidden="1">#REF!</definedName>
    <definedName name="BExIJWPCIYINEJUTXU74VK7WG031" localSheetId="32" hidden="1">#REF!</definedName>
    <definedName name="BExIJWPCIYINEJUTXU74VK7WG031" hidden="1">#REF!</definedName>
    <definedName name="BExIKHTXPZR5A8OHB6HDP6QWDHAD" localSheetId="30" hidden="1">#REF!</definedName>
    <definedName name="BExIKHTXPZR5A8OHB6HDP6QWDHAD" localSheetId="29" hidden="1">#REF!</definedName>
    <definedName name="BExIKHTXPZR5A8OHB6HDP6QWDHAD" localSheetId="33" hidden="1">#REF!</definedName>
    <definedName name="BExIKHTXPZR5A8OHB6HDP6QWDHAD" localSheetId="31" hidden="1">#REF!</definedName>
    <definedName name="BExIKHTXPZR5A8OHB6HDP6QWDHAD" localSheetId="32" hidden="1">#REF!</definedName>
    <definedName name="BExIKHTXPZR5A8OHB6HDP6QWDHAD" hidden="1">#REF!</definedName>
    <definedName name="BExIKMMJOETSAXJYY1SIKM58LMA2" localSheetId="30" hidden="1">#REF!</definedName>
    <definedName name="BExIKMMJOETSAXJYY1SIKM58LMA2" localSheetId="29" hidden="1">#REF!</definedName>
    <definedName name="BExIKMMJOETSAXJYY1SIKM58LMA2" localSheetId="33" hidden="1">#REF!</definedName>
    <definedName name="BExIKMMJOETSAXJYY1SIKM58LMA2" localSheetId="31" hidden="1">#REF!</definedName>
    <definedName name="BExIKMMJOETSAXJYY1SIKM58LMA2" localSheetId="32" hidden="1">#REF!</definedName>
    <definedName name="BExIKMMJOETSAXJYY1SIKM58LMA2" hidden="1">#REF!</definedName>
    <definedName name="BExIKRF6AQ6VOO9KCIWSM6FY8M7D" localSheetId="30" hidden="1">#REF!</definedName>
    <definedName name="BExIKRF6AQ6VOO9KCIWSM6FY8M7D" localSheetId="29" hidden="1">#REF!</definedName>
    <definedName name="BExIKRF6AQ6VOO9KCIWSM6FY8M7D" localSheetId="33" hidden="1">#REF!</definedName>
    <definedName name="BExIKRF6AQ6VOO9KCIWSM6FY8M7D" localSheetId="31" hidden="1">#REF!</definedName>
    <definedName name="BExIKRF6AQ6VOO9KCIWSM6FY8M7D" localSheetId="32" hidden="1">#REF!</definedName>
    <definedName name="BExIKRF6AQ6VOO9KCIWSM6FY8M7D" hidden="1">#REF!</definedName>
    <definedName name="BExIKTYZESFT3LC0ASFMFKSE0D1X" localSheetId="30" hidden="1">#REF!</definedName>
    <definedName name="BExIKTYZESFT3LC0ASFMFKSE0D1X" localSheetId="29" hidden="1">#REF!</definedName>
    <definedName name="BExIKTYZESFT3LC0ASFMFKSE0D1X" localSheetId="33" hidden="1">#REF!</definedName>
    <definedName name="BExIKTYZESFT3LC0ASFMFKSE0D1X" localSheetId="31" hidden="1">#REF!</definedName>
    <definedName name="BExIKTYZESFT3LC0ASFMFKSE0D1X" localSheetId="32" hidden="1">#REF!</definedName>
    <definedName name="BExIKTYZESFT3LC0ASFMFKSE0D1X" hidden="1">#REF!</definedName>
    <definedName name="BExIKXVA6M8K0PTRYAGXS666L335" localSheetId="30" hidden="1">#REF!</definedName>
    <definedName name="BExIKXVA6M8K0PTRYAGXS666L335" localSheetId="29" hidden="1">#REF!</definedName>
    <definedName name="BExIKXVA6M8K0PTRYAGXS666L335" localSheetId="33" hidden="1">#REF!</definedName>
    <definedName name="BExIKXVA6M8K0PTRYAGXS666L335" localSheetId="31" hidden="1">#REF!</definedName>
    <definedName name="BExIKXVA6M8K0PTRYAGXS666L335" localSheetId="32" hidden="1">#REF!</definedName>
    <definedName name="BExIKXVA6M8K0PTRYAGXS666L335" hidden="1">#REF!</definedName>
    <definedName name="BExIL0PMZ2SXK9R6MLP43KBU1J2P" localSheetId="30" hidden="1">#REF!</definedName>
    <definedName name="BExIL0PMZ2SXK9R6MLP43KBU1J2P" localSheetId="29" hidden="1">#REF!</definedName>
    <definedName name="BExIL0PMZ2SXK9R6MLP43KBU1J2P" localSheetId="33" hidden="1">#REF!</definedName>
    <definedName name="BExIL0PMZ2SXK9R6MLP43KBU1J2P" localSheetId="31" hidden="1">#REF!</definedName>
    <definedName name="BExIL0PMZ2SXK9R6MLP43KBU1J2P" localSheetId="32" hidden="1">#REF!</definedName>
    <definedName name="BExIL0PMZ2SXK9R6MLP43KBU1J2P" hidden="1">#REF!</definedName>
    <definedName name="BExILAAXRTRAD18K74M6MGUEEPUM" localSheetId="30" hidden="1">#REF!</definedName>
    <definedName name="BExILAAXRTRAD18K74M6MGUEEPUM" localSheetId="29" hidden="1">#REF!</definedName>
    <definedName name="BExILAAXRTRAD18K74M6MGUEEPUM" localSheetId="33" hidden="1">#REF!</definedName>
    <definedName name="BExILAAXRTRAD18K74M6MGUEEPUM" localSheetId="31" hidden="1">#REF!</definedName>
    <definedName name="BExILAAXRTRAD18K74M6MGUEEPUM" localSheetId="32" hidden="1">#REF!</definedName>
    <definedName name="BExILAAXRTRAD18K74M6MGUEEPUM" hidden="1">#REF!</definedName>
    <definedName name="BExILG5F338C0FFLMVOKMKF8X5ZP" localSheetId="30" hidden="1">#REF!</definedName>
    <definedName name="BExILG5F338C0FFLMVOKMKF8X5ZP" localSheetId="29" hidden="1">#REF!</definedName>
    <definedName name="BExILG5F338C0FFLMVOKMKF8X5ZP" localSheetId="33" hidden="1">#REF!</definedName>
    <definedName name="BExILG5F338C0FFLMVOKMKF8X5ZP" localSheetId="31" hidden="1">#REF!</definedName>
    <definedName name="BExILG5F338C0FFLMVOKMKF8X5ZP" localSheetId="32" hidden="1">#REF!</definedName>
    <definedName name="BExILG5F338C0FFLMVOKMKF8X5ZP" hidden="1">#REF!</definedName>
    <definedName name="BExILGQTQM0HOD0BJI90YO7GOIN3" localSheetId="30" hidden="1">#REF!</definedName>
    <definedName name="BExILGQTQM0HOD0BJI90YO7GOIN3" localSheetId="29" hidden="1">#REF!</definedName>
    <definedName name="BExILGQTQM0HOD0BJI90YO7GOIN3" localSheetId="33" hidden="1">#REF!</definedName>
    <definedName name="BExILGQTQM0HOD0BJI90YO7GOIN3" localSheetId="31" hidden="1">#REF!</definedName>
    <definedName name="BExILGQTQM0HOD0BJI90YO7GOIN3" localSheetId="32" hidden="1">#REF!</definedName>
    <definedName name="BExILGQTQM0HOD0BJI90YO7GOIN3" hidden="1">#REF!</definedName>
    <definedName name="BExILIJLXYP8FBC8O5CXK5F4DFPH" localSheetId="30" hidden="1">#REF!</definedName>
    <definedName name="BExILIJLXYP8FBC8O5CXK5F4DFPH" localSheetId="29" hidden="1">#REF!</definedName>
    <definedName name="BExILIJLXYP8FBC8O5CXK5F4DFPH" localSheetId="33" hidden="1">#REF!</definedName>
    <definedName name="BExILIJLXYP8FBC8O5CXK5F4DFPH" localSheetId="31" hidden="1">#REF!</definedName>
    <definedName name="BExILIJLXYP8FBC8O5CXK5F4DFPH" localSheetId="32" hidden="1">#REF!</definedName>
    <definedName name="BExILIJLXYP8FBC8O5CXK5F4DFPH" hidden="1">#REF!</definedName>
    <definedName name="BExIM9DBUB7ZGF4B20FVUO9QGOX2" localSheetId="30" hidden="1">#REF!</definedName>
    <definedName name="BExIM9DBUB7ZGF4B20FVUO9QGOX2" localSheetId="29" hidden="1">#REF!</definedName>
    <definedName name="BExIM9DBUB7ZGF4B20FVUO9QGOX2" localSheetId="33" hidden="1">#REF!</definedName>
    <definedName name="BExIM9DBUB7ZGF4B20FVUO9QGOX2" localSheetId="31" hidden="1">#REF!</definedName>
    <definedName name="BExIM9DBUB7ZGF4B20FVUO9QGOX2" localSheetId="32" hidden="1">#REF!</definedName>
    <definedName name="BExIM9DBUB7ZGF4B20FVUO9QGOX2" hidden="1">#REF!</definedName>
    <definedName name="BExIMGK9Z94TFPWWZFMD10HV0IF6" localSheetId="30" hidden="1">#REF!</definedName>
    <definedName name="BExIMGK9Z94TFPWWZFMD10HV0IF6" localSheetId="29" hidden="1">#REF!</definedName>
    <definedName name="BExIMGK9Z94TFPWWZFMD10HV0IF6" localSheetId="33" hidden="1">#REF!</definedName>
    <definedName name="BExIMGK9Z94TFPWWZFMD10HV0IF6" localSheetId="31" hidden="1">#REF!</definedName>
    <definedName name="BExIMGK9Z94TFPWWZFMD10HV0IF6" localSheetId="32" hidden="1">#REF!</definedName>
    <definedName name="BExIMGK9Z94TFPWWZFMD10HV0IF6" hidden="1">#REF!</definedName>
    <definedName name="BExIMJPGW42V47ERP99KMPUHQQAY" localSheetId="30" hidden="1">#REF!</definedName>
    <definedName name="BExIMJPGW42V47ERP99KMPUHQQAY" localSheetId="29" hidden="1">#REF!</definedName>
    <definedName name="BExIMJPGW42V47ERP99KMPUHQQAY" localSheetId="33" hidden="1">#REF!</definedName>
    <definedName name="BExIMJPGW42V47ERP99KMPUHQQAY" localSheetId="31" hidden="1">#REF!</definedName>
    <definedName name="BExIMJPGW42V47ERP99KMPUHQQAY" localSheetId="32" hidden="1">#REF!</definedName>
    <definedName name="BExIMJPGW42V47ERP99KMPUHQQAY" hidden="1">#REF!</definedName>
    <definedName name="BExIMPEGKG18TELVC33T4OQTNBWC" localSheetId="30" hidden="1">#REF!</definedName>
    <definedName name="BExIMPEGKG18TELVC33T4OQTNBWC" localSheetId="29" hidden="1">#REF!</definedName>
    <definedName name="BExIMPEGKG18TELVC33T4OQTNBWC" localSheetId="33" hidden="1">#REF!</definedName>
    <definedName name="BExIMPEGKG18TELVC33T4OQTNBWC" localSheetId="31" hidden="1">#REF!</definedName>
    <definedName name="BExIMPEGKG18TELVC33T4OQTNBWC" localSheetId="32" hidden="1">#REF!</definedName>
    <definedName name="BExIMPEGKG18TELVC33T4OQTNBWC" hidden="1">#REF!</definedName>
    <definedName name="BExIN4OR435DL1US13JQPOQK8GD5" localSheetId="30" hidden="1">#REF!</definedName>
    <definedName name="BExIN4OR435DL1US13JQPOQK8GD5" localSheetId="29" hidden="1">#REF!</definedName>
    <definedName name="BExIN4OR435DL1US13JQPOQK8GD5" localSheetId="33" hidden="1">#REF!</definedName>
    <definedName name="BExIN4OR435DL1US13JQPOQK8GD5" localSheetId="31" hidden="1">#REF!</definedName>
    <definedName name="BExIN4OR435DL1US13JQPOQK8GD5" localSheetId="32" hidden="1">#REF!</definedName>
    <definedName name="BExIN4OR435DL1US13JQPOQK8GD5" hidden="1">#REF!</definedName>
    <definedName name="BExINI6A7H3KSFRFA6UBBDPKW37F" localSheetId="30" hidden="1">#REF!</definedName>
    <definedName name="BExINI6A7H3KSFRFA6UBBDPKW37F" localSheetId="29" hidden="1">#REF!</definedName>
    <definedName name="BExINI6A7H3KSFRFA6UBBDPKW37F" localSheetId="33" hidden="1">#REF!</definedName>
    <definedName name="BExINI6A7H3KSFRFA6UBBDPKW37F" localSheetId="31" hidden="1">#REF!</definedName>
    <definedName name="BExINI6A7H3KSFRFA6UBBDPKW37F" localSheetId="32" hidden="1">#REF!</definedName>
    <definedName name="BExINI6A7H3KSFRFA6UBBDPKW37F" hidden="1">#REF!</definedName>
    <definedName name="BExINIMK8XC3JOBT2EXYFHHH52H0" localSheetId="30" hidden="1">#REF!</definedName>
    <definedName name="BExINIMK8XC3JOBT2EXYFHHH52H0" localSheetId="29" hidden="1">#REF!</definedName>
    <definedName name="BExINIMK8XC3JOBT2EXYFHHH52H0" localSheetId="33" hidden="1">#REF!</definedName>
    <definedName name="BExINIMK8XC3JOBT2EXYFHHH52H0" localSheetId="31" hidden="1">#REF!</definedName>
    <definedName name="BExINIMK8XC3JOBT2EXYFHHH52H0" localSheetId="32" hidden="1">#REF!</definedName>
    <definedName name="BExINIMK8XC3JOBT2EXYFHHH52H0" hidden="1">#REF!</definedName>
    <definedName name="BExINLX401ZKEGWU168DS4JUM2J6" localSheetId="30" hidden="1">#REF!</definedName>
    <definedName name="BExINLX401ZKEGWU168DS4JUM2J6" localSheetId="29" hidden="1">#REF!</definedName>
    <definedName name="BExINLX401ZKEGWU168DS4JUM2J6" localSheetId="33" hidden="1">#REF!</definedName>
    <definedName name="BExINLX401ZKEGWU168DS4JUM2J6" localSheetId="31" hidden="1">#REF!</definedName>
    <definedName name="BExINLX401ZKEGWU168DS4JUM2J6" localSheetId="32" hidden="1">#REF!</definedName>
    <definedName name="BExINLX401ZKEGWU168DS4JUM2J6" hidden="1">#REF!</definedName>
    <definedName name="BExINMYYJO1FTV1CZF6O5XCFAMQX" localSheetId="30" hidden="1">#REF!</definedName>
    <definedName name="BExINMYYJO1FTV1CZF6O5XCFAMQX" localSheetId="29" hidden="1">#REF!</definedName>
    <definedName name="BExINMYYJO1FTV1CZF6O5XCFAMQX" localSheetId="33" hidden="1">#REF!</definedName>
    <definedName name="BExINMYYJO1FTV1CZF6O5XCFAMQX" localSheetId="31" hidden="1">#REF!</definedName>
    <definedName name="BExINMYYJO1FTV1CZF6O5XCFAMQX" localSheetId="32" hidden="1">#REF!</definedName>
    <definedName name="BExINMYYJO1FTV1CZF6O5XCFAMQX" hidden="1">#REF!</definedName>
    <definedName name="BExINP2H4KI05FRFV5PKZFE00HKO" localSheetId="30" hidden="1">#REF!</definedName>
    <definedName name="BExINP2H4KI05FRFV5PKZFE00HKO" localSheetId="29" hidden="1">#REF!</definedName>
    <definedName name="BExINP2H4KI05FRFV5PKZFE00HKO" localSheetId="33" hidden="1">#REF!</definedName>
    <definedName name="BExINP2H4KI05FRFV5PKZFE00HKO" localSheetId="31" hidden="1">#REF!</definedName>
    <definedName name="BExINP2H4KI05FRFV5PKZFE00HKO" localSheetId="32" hidden="1">#REF!</definedName>
    <definedName name="BExINP2H4KI05FRFV5PKZFE00HKO" hidden="1">#REF!</definedName>
    <definedName name="BExINZELVWYGU876QUUZCIMXPBQC" localSheetId="30" hidden="1">#REF!</definedName>
    <definedName name="BExINZELVWYGU876QUUZCIMXPBQC" localSheetId="29" hidden="1">#REF!</definedName>
    <definedName name="BExINZELVWYGU876QUUZCIMXPBQC" localSheetId="33" hidden="1">#REF!</definedName>
    <definedName name="BExINZELVWYGU876QUUZCIMXPBQC" localSheetId="31" hidden="1">#REF!</definedName>
    <definedName name="BExINZELVWYGU876QUUZCIMXPBQC" localSheetId="32" hidden="1">#REF!</definedName>
    <definedName name="BExINZELVWYGU876QUUZCIMXPBQC" hidden="1">#REF!</definedName>
    <definedName name="BExIO5ZZKEJOOASPBYB4LXSM43IU" localSheetId="30" hidden="1">#REF!</definedName>
    <definedName name="BExIO5ZZKEJOOASPBYB4LXSM43IU" localSheetId="29" hidden="1">#REF!</definedName>
    <definedName name="BExIO5ZZKEJOOASPBYB4LXSM43IU" localSheetId="33" hidden="1">#REF!</definedName>
    <definedName name="BExIO5ZZKEJOOASPBYB4LXSM43IU" localSheetId="31" hidden="1">#REF!</definedName>
    <definedName name="BExIO5ZZKEJOOASPBYB4LXSM43IU" localSheetId="32" hidden="1">#REF!</definedName>
    <definedName name="BExIO5ZZKEJOOASPBYB4LXSM43IU" hidden="1">#REF!</definedName>
    <definedName name="BExIOCQUQHKUU1KONGSDOLQTQEIC" localSheetId="30" hidden="1">#REF!</definedName>
    <definedName name="BExIOCQUQHKUU1KONGSDOLQTQEIC" localSheetId="29" hidden="1">#REF!</definedName>
    <definedName name="BExIOCQUQHKUU1KONGSDOLQTQEIC" localSheetId="33" hidden="1">#REF!</definedName>
    <definedName name="BExIOCQUQHKUU1KONGSDOLQTQEIC" localSheetId="31" hidden="1">#REF!</definedName>
    <definedName name="BExIOCQUQHKUU1KONGSDOLQTQEIC" localSheetId="32" hidden="1">#REF!</definedName>
    <definedName name="BExIOCQUQHKUU1KONGSDOLQTQEIC" hidden="1">#REF!</definedName>
    <definedName name="BExIOFL8Y5O61VLKTB4H20IJNWS1" localSheetId="30" hidden="1">#REF!</definedName>
    <definedName name="BExIOFL8Y5O61VLKTB4H20IJNWS1" localSheetId="29" hidden="1">#REF!</definedName>
    <definedName name="BExIOFL8Y5O61VLKTB4H20IJNWS1" localSheetId="33" hidden="1">#REF!</definedName>
    <definedName name="BExIOFL8Y5O61VLKTB4H20IJNWS1" localSheetId="31" hidden="1">#REF!</definedName>
    <definedName name="BExIOFL8Y5O61VLKTB4H20IJNWS1" localSheetId="32" hidden="1">#REF!</definedName>
    <definedName name="BExIOFL8Y5O61VLKTB4H20IJNWS1" hidden="1">#REF!</definedName>
    <definedName name="BExIOMBXRW5NS4ZPYX9G5QREZ5J6" localSheetId="30" hidden="1">#REF!</definedName>
    <definedName name="BExIOMBXRW5NS4ZPYX9G5QREZ5J6" localSheetId="29" hidden="1">#REF!</definedName>
    <definedName name="BExIOMBXRW5NS4ZPYX9G5QREZ5J6" localSheetId="33" hidden="1">#REF!</definedName>
    <definedName name="BExIOMBXRW5NS4ZPYX9G5QREZ5J6" localSheetId="31" hidden="1">#REF!</definedName>
    <definedName name="BExIOMBXRW5NS4ZPYX9G5QREZ5J6" localSheetId="32" hidden="1">#REF!</definedName>
    <definedName name="BExIOMBXRW5NS4ZPYX9G5QREZ5J6" hidden="1">#REF!</definedName>
    <definedName name="BExIORA3GK78T7C7SNBJJUONJ0LS" localSheetId="30" hidden="1">#REF!</definedName>
    <definedName name="BExIORA3GK78T7C7SNBJJUONJ0LS" localSheetId="29" hidden="1">#REF!</definedName>
    <definedName name="BExIORA3GK78T7C7SNBJJUONJ0LS" localSheetId="33" hidden="1">#REF!</definedName>
    <definedName name="BExIORA3GK78T7C7SNBJJUONJ0LS" localSheetId="31" hidden="1">#REF!</definedName>
    <definedName name="BExIORA3GK78T7C7SNBJJUONJ0LS" localSheetId="32" hidden="1">#REF!</definedName>
    <definedName name="BExIORA3GK78T7C7SNBJJUONJ0LS" hidden="1">#REF!</definedName>
    <definedName name="BExIORFDXP4AVIEBLSTZ8ETSXMNM" localSheetId="30" hidden="1">#REF!</definedName>
    <definedName name="BExIORFDXP4AVIEBLSTZ8ETSXMNM" localSheetId="29" hidden="1">#REF!</definedName>
    <definedName name="BExIORFDXP4AVIEBLSTZ8ETSXMNM" localSheetId="33" hidden="1">#REF!</definedName>
    <definedName name="BExIORFDXP4AVIEBLSTZ8ETSXMNM" localSheetId="31" hidden="1">#REF!</definedName>
    <definedName name="BExIORFDXP4AVIEBLSTZ8ETSXMNM" localSheetId="32" hidden="1">#REF!</definedName>
    <definedName name="BExIORFDXP4AVIEBLSTZ8ETSXMNM" hidden="1">#REF!</definedName>
    <definedName name="BExIOTZ5EFZ2NASVQ05RH15HRSW6" localSheetId="30" hidden="1">#REF!</definedName>
    <definedName name="BExIOTZ5EFZ2NASVQ05RH15HRSW6" localSheetId="29" hidden="1">#REF!</definedName>
    <definedName name="BExIOTZ5EFZ2NASVQ05RH15HRSW6" localSheetId="33" hidden="1">#REF!</definedName>
    <definedName name="BExIOTZ5EFZ2NASVQ05RH15HRSW6" localSheetId="31" hidden="1">#REF!</definedName>
    <definedName name="BExIOTZ5EFZ2NASVQ05RH15HRSW6" localSheetId="32" hidden="1">#REF!</definedName>
    <definedName name="BExIOTZ5EFZ2NASVQ05RH15HRSW6" hidden="1">#REF!</definedName>
    <definedName name="BExIP8YNN6UUE1GZ223SWH7DLGKO" localSheetId="30" hidden="1">#REF!</definedName>
    <definedName name="BExIP8YNN6UUE1GZ223SWH7DLGKO" localSheetId="29" hidden="1">#REF!</definedName>
    <definedName name="BExIP8YNN6UUE1GZ223SWH7DLGKO" localSheetId="33" hidden="1">#REF!</definedName>
    <definedName name="BExIP8YNN6UUE1GZ223SWH7DLGKO" localSheetId="31" hidden="1">#REF!</definedName>
    <definedName name="BExIP8YNN6UUE1GZ223SWH7DLGKO" localSheetId="32" hidden="1">#REF!</definedName>
    <definedName name="BExIP8YNN6UUE1GZ223SWH7DLGKO" hidden="1">#REF!</definedName>
    <definedName name="BExIPAB4AOL592OJCC1CFAXTLF1A" localSheetId="30" hidden="1">#REF!</definedName>
    <definedName name="BExIPAB4AOL592OJCC1CFAXTLF1A" localSheetId="29" hidden="1">#REF!</definedName>
    <definedName name="BExIPAB4AOL592OJCC1CFAXTLF1A" localSheetId="33" hidden="1">#REF!</definedName>
    <definedName name="BExIPAB4AOL592OJCC1CFAXTLF1A" localSheetId="31" hidden="1">#REF!</definedName>
    <definedName name="BExIPAB4AOL592OJCC1CFAXTLF1A" localSheetId="32" hidden="1">#REF!</definedName>
    <definedName name="BExIPAB4AOL592OJCC1CFAXTLF1A" hidden="1">#REF!</definedName>
    <definedName name="BExIPB25DKX4S2ZCKQN7KWSC3JBF" localSheetId="30" hidden="1">#REF!</definedName>
    <definedName name="BExIPB25DKX4S2ZCKQN7KWSC3JBF" localSheetId="29" hidden="1">#REF!</definedName>
    <definedName name="BExIPB25DKX4S2ZCKQN7KWSC3JBF" localSheetId="33" hidden="1">#REF!</definedName>
    <definedName name="BExIPB25DKX4S2ZCKQN7KWSC3JBF" localSheetId="31" hidden="1">#REF!</definedName>
    <definedName name="BExIPB25DKX4S2ZCKQN7KWSC3JBF" localSheetId="32" hidden="1">#REF!</definedName>
    <definedName name="BExIPB25DKX4S2ZCKQN7KWSC3JBF" hidden="1">#REF!</definedName>
    <definedName name="BExIPDLT8JYAMGE5HTN4D1YHZF3V" localSheetId="30" hidden="1">#REF!</definedName>
    <definedName name="BExIPDLT8JYAMGE5HTN4D1YHZF3V" localSheetId="29" hidden="1">#REF!</definedName>
    <definedName name="BExIPDLT8JYAMGE5HTN4D1YHZF3V" localSheetId="33" hidden="1">#REF!</definedName>
    <definedName name="BExIPDLT8JYAMGE5HTN4D1YHZF3V" localSheetId="31" hidden="1">#REF!</definedName>
    <definedName name="BExIPDLT8JYAMGE5HTN4D1YHZF3V" localSheetId="32" hidden="1">#REF!</definedName>
    <definedName name="BExIPDLT8JYAMGE5HTN4D1YHZF3V" hidden="1">#REF!</definedName>
    <definedName name="BExIPG040Q08EWIWL6CAVR3GRI43" localSheetId="30" hidden="1">#REF!</definedName>
    <definedName name="BExIPG040Q08EWIWL6CAVR3GRI43" localSheetId="29" hidden="1">#REF!</definedName>
    <definedName name="BExIPG040Q08EWIWL6CAVR3GRI43" localSheetId="33" hidden="1">#REF!</definedName>
    <definedName name="BExIPG040Q08EWIWL6CAVR3GRI43" localSheetId="31" hidden="1">#REF!</definedName>
    <definedName name="BExIPG040Q08EWIWL6CAVR3GRI43" localSheetId="32" hidden="1">#REF!</definedName>
    <definedName name="BExIPG040Q08EWIWL6CAVR3GRI43" hidden="1">#REF!</definedName>
    <definedName name="BExIPKNFUDPDKOSH5GHDVNA8D66S" localSheetId="30" hidden="1">#REF!</definedName>
    <definedName name="BExIPKNFUDPDKOSH5GHDVNA8D66S" localSheetId="29" hidden="1">#REF!</definedName>
    <definedName name="BExIPKNFUDPDKOSH5GHDVNA8D66S" localSheetId="33" hidden="1">#REF!</definedName>
    <definedName name="BExIPKNFUDPDKOSH5GHDVNA8D66S" localSheetId="31" hidden="1">#REF!</definedName>
    <definedName name="BExIPKNFUDPDKOSH5GHDVNA8D66S" localSheetId="32" hidden="1">#REF!</definedName>
    <definedName name="BExIPKNFUDPDKOSH5GHDVNA8D66S" hidden="1">#REF!</definedName>
    <definedName name="BExIQ1VS9A2FHVD9TUHKG9K8EVVP" localSheetId="30" hidden="1">#REF!</definedName>
    <definedName name="BExIQ1VS9A2FHVD9TUHKG9K8EVVP" localSheetId="29" hidden="1">#REF!</definedName>
    <definedName name="BExIQ1VS9A2FHVD9TUHKG9K8EVVP" localSheetId="33" hidden="1">#REF!</definedName>
    <definedName name="BExIQ1VS9A2FHVD9TUHKG9K8EVVP" localSheetId="31" hidden="1">#REF!</definedName>
    <definedName name="BExIQ1VS9A2FHVD9TUHKG9K8EVVP" localSheetId="32" hidden="1">#REF!</definedName>
    <definedName name="BExIQ1VS9A2FHVD9TUHKG9K8EVVP" hidden="1">#REF!</definedName>
    <definedName name="BExIQ2HC51CHJN7DNGVOZIZY62NJ" localSheetId="30" hidden="1">#REF!</definedName>
    <definedName name="BExIQ2HC51CHJN7DNGVOZIZY62NJ" localSheetId="29" hidden="1">#REF!</definedName>
    <definedName name="BExIQ2HC51CHJN7DNGVOZIZY62NJ" localSheetId="33" hidden="1">#REF!</definedName>
    <definedName name="BExIQ2HC51CHJN7DNGVOZIZY62NJ" localSheetId="31" hidden="1">#REF!</definedName>
    <definedName name="BExIQ2HC51CHJN7DNGVOZIZY62NJ" localSheetId="32" hidden="1">#REF!</definedName>
    <definedName name="BExIQ2HC51CHJN7DNGVOZIZY62NJ" hidden="1">#REF!</definedName>
    <definedName name="BExIQ3J19L30PSQ2CXNT6IHW0I7V" localSheetId="30" hidden="1">#REF!</definedName>
    <definedName name="BExIQ3J19L30PSQ2CXNT6IHW0I7V" localSheetId="29" hidden="1">#REF!</definedName>
    <definedName name="BExIQ3J19L30PSQ2CXNT6IHW0I7V" localSheetId="33" hidden="1">#REF!</definedName>
    <definedName name="BExIQ3J19L30PSQ2CXNT6IHW0I7V" localSheetId="31" hidden="1">#REF!</definedName>
    <definedName name="BExIQ3J19L30PSQ2CXNT6IHW0I7V" localSheetId="32" hidden="1">#REF!</definedName>
    <definedName name="BExIQ3J19L30PSQ2CXNT6IHW0I7V" hidden="1">#REF!</definedName>
    <definedName name="BExIQ3OJ7M04XCY276IO0LJA5XUK" localSheetId="30" hidden="1">#REF!</definedName>
    <definedName name="BExIQ3OJ7M04XCY276IO0LJA5XUK" localSheetId="29" hidden="1">#REF!</definedName>
    <definedName name="BExIQ3OJ7M04XCY276IO0LJA5XUK" localSheetId="33" hidden="1">#REF!</definedName>
    <definedName name="BExIQ3OJ7M04XCY276IO0LJA5XUK" localSheetId="31" hidden="1">#REF!</definedName>
    <definedName name="BExIQ3OJ7M04XCY276IO0LJA5XUK" localSheetId="32" hidden="1">#REF!</definedName>
    <definedName name="BExIQ3OJ7M04XCY276IO0LJA5XUK" hidden="1">#REF!</definedName>
    <definedName name="BExIQ5S19ITB0NDRUN4XV7B905ED" localSheetId="30" hidden="1">#REF!</definedName>
    <definedName name="BExIQ5S19ITB0NDRUN4XV7B905ED" localSheetId="29" hidden="1">#REF!</definedName>
    <definedName name="BExIQ5S19ITB0NDRUN4XV7B905ED" localSheetId="33" hidden="1">#REF!</definedName>
    <definedName name="BExIQ5S19ITB0NDRUN4XV7B905ED" localSheetId="31" hidden="1">#REF!</definedName>
    <definedName name="BExIQ5S19ITB0NDRUN4XV7B905ED" localSheetId="32" hidden="1">#REF!</definedName>
    <definedName name="BExIQ5S19ITB0NDRUN4XV7B905ED" hidden="1">#REF!</definedName>
    <definedName name="BExIQ9TMQT2EIXSVQW7GVSOAW2VJ" localSheetId="30" hidden="1">#REF!</definedName>
    <definedName name="BExIQ9TMQT2EIXSVQW7GVSOAW2VJ" localSheetId="29" hidden="1">#REF!</definedName>
    <definedName name="BExIQ9TMQT2EIXSVQW7GVSOAW2VJ" localSheetId="33" hidden="1">#REF!</definedName>
    <definedName name="BExIQ9TMQT2EIXSVQW7GVSOAW2VJ" localSheetId="31" hidden="1">#REF!</definedName>
    <definedName name="BExIQ9TMQT2EIXSVQW7GVSOAW2VJ" localSheetId="32" hidden="1">#REF!</definedName>
    <definedName name="BExIQ9TMQT2EIXSVQW7GVSOAW2VJ" hidden="1">#REF!</definedName>
    <definedName name="BExIQBMDE1L6J4H27K1FMSHQKDSE" localSheetId="30" hidden="1">#REF!</definedName>
    <definedName name="BExIQBMDE1L6J4H27K1FMSHQKDSE" localSheetId="29" hidden="1">#REF!</definedName>
    <definedName name="BExIQBMDE1L6J4H27K1FMSHQKDSE" localSheetId="33" hidden="1">#REF!</definedName>
    <definedName name="BExIQBMDE1L6J4H27K1FMSHQKDSE" localSheetId="31" hidden="1">#REF!</definedName>
    <definedName name="BExIQBMDE1L6J4H27K1FMSHQKDSE" localSheetId="32" hidden="1">#REF!</definedName>
    <definedName name="BExIQBMDE1L6J4H27K1FMSHQKDSE" hidden="1">#REF!</definedName>
    <definedName name="BExIQE65LVXUOF3UZFO7SDHFJH22" localSheetId="30" hidden="1">#REF!</definedName>
    <definedName name="BExIQE65LVXUOF3UZFO7SDHFJH22" localSheetId="29" hidden="1">#REF!</definedName>
    <definedName name="BExIQE65LVXUOF3UZFO7SDHFJH22" localSheetId="33" hidden="1">#REF!</definedName>
    <definedName name="BExIQE65LVXUOF3UZFO7SDHFJH22" localSheetId="31" hidden="1">#REF!</definedName>
    <definedName name="BExIQE65LVXUOF3UZFO7SDHFJH22" localSheetId="32" hidden="1">#REF!</definedName>
    <definedName name="BExIQE65LVXUOF3UZFO7SDHFJH22" hidden="1">#REF!</definedName>
    <definedName name="BExIQG9OO2KKBOWTMD1OXY36TEGA" localSheetId="30" hidden="1">#REF!</definedName>
    <definedName name="BExIQG9OO2KKBOWTMD1OXY36TEGA" localSheetId="29" hidden="1">#REF!</definedName>
    <definedName name="BExIQG9OO2KKBOWTMD1OXY36TEGA" localSheetId="33" hidden="1">#REF!</definedName>
    <definedName name="BExIQG9OO2KKBOWTMD1OXY36TEGA" localSheetId="31" hidden="1">#REF!</definedName>
    <definedName name="BExIQG9OO2KKBOWTMD1OXY36TEGA" localSheetId="32" hidden="1">#REF!</definedName>
    <definedName name="BExIQG9OO2KKBOWTMD1OXY36TEGA" hidden="1">#REF!</definedName>
    <definedName name="BExIQX1XBB31HZTYEEVOBSE3C5A6" localSheetId="30" hidden="1">#REF!</definedName>
    <definedName name="BExIQX1XBB31HZTYEEVOBSE3C5A6" localSheetId="29" hidden="1">#REF!</definedName>
    <definedName name="BExIQX1XBB31HZTYEEVOBSE3C5A6" localSheetId="33" hidden="1">#REF!</definedName>
    <definedName name="BExIQX1XBB31HZTYEEVOBSE3C5A6" localSheetId="31" hidden="1">#REF!</definedName>
    <definedName name="BExIQX1XBB31HZTYEEVOBSE3C5A6" localSheetId="32" hidden="1">#REF!</definedName>
    <definedName name="BExIQX1XBB31HZTYEEVOBSE3C5A6" hidden="1">#REF!</definedName>
    <definedName name="BExIQYP5T1TPAQYW7QU1Q98BKX7W" localSheetId="30" hidden="1">#REF!</definedName>
    <definedName name="BExIQYP5T1TPAQYW7QU1Q98BKX7W" localSheetId="29" hidden="1">#REF!</definedName>
    <definedName name="BExIQYP5T1TPAQYW7QU1Q98BKX7W" localSheetId="33" hidden="1">#REF!</definedName>
    <definedName name="BExIQYP5T1TPAQYW7QU1Q98BKX7W" localSheetId="31" hidden="1">#REF!</definedName>
    <definedName name="BExIQYP5T1TPAQYW7QU1Q98BKX7W" localSheetId="32" hidden="1">#REF!</definedName>
    <definedName name="BExIQYP5T1TPAQYW7QU1Q98BKX7W" hidden="1">#REF!</definedName>
    <definedName name="BExIR2ALYRP9FW99DK2084J7IIDC" localSheetId="30" hidden="1">#REF!</definedName>
    <definedName name="BExIR2ALYRP9FW99DK2084J7IIDC" localSheetId="29" hidden="1">#REF!</definedName>
    <definedName name="BExIR2ALYRP9FW99DK2084J7IIDC" localSheetId="33" hidden="1">#REF!</definedName>
    <definedName name="BExIR2ALYRP9FW99DK2084J7IIDC" localSheetId="31" hidden="1">#REF!</definedName>
    <definedName name="BExIR2ALYRP9FW99DK2084J7IIDC" localSheetId="32" hidden="1">#REF!</definedName>
    <definedName name="BExIR2ALYRP9FW99DK2084J7IIDC" hidden="1">#REF!</definedName>
    <definedName name="BExIR8FQETPTQYW37DBVDWG3J4JW" localSheetId="30" hidden="1">#REF!</definedName>
    <definedName name="BExIR8FQETPTQYW37DBVDWG3J4JW" localSheetId="29" hidden="1">#REF!</definedName>
    <definedName name="BExIR8FQETPTQYW37DBVDWG3J4JW" localSheetId="33" hidden="1">#REF!</definedName>
    <definedName name="BExIR8FQETPTQYW37DBVDWG3J4JW" localSheetId="31" hidden="1">#REF!</definedName>
    <definedName name="BExIR8FQETPTQYW37DBVDWG3J4JW" localSheetId="32" hidden="1">#REF!</definedName>
    <definedName name="BExIR8FQETPTQYW37DBVDWG3J4JW" hidden="1">#REF!</definedName>
    <definedName name="BExIRADY8CJWPD9UX6WA246MEUP5" localSheetId="30" hidden="1">#REF!</definedName>
    <definedName name="BExIRADY8CJWPD9UX6WA246MEUP5" localSheetId="29" hidden="1">#REF!</definedName>
    <definedName name="BExIRADY8CJWPD9UX6WA246MEUP5" localSheetId="33" hidden="1">#REF!</definedName>
    <definedName name="BExIRADY8CJWPD9UX6WA246MEUP5" localSheetId="31" hidden="1">#REF!</definedName>
    <definedName name="BExIRADY8CJWPD9UX6WA246MEUP5" localSheetId="32" hidden="1">#REF!</definedName>
    <definedName name="BExIRADY8CJWPD9UX6WA246MEUP5" hidden="1">#REF!</definedName>
    <definedName name="BExIRRBGTY01OQOI3U5SW59RFDFI" localSheetId="30" hidden="1">#REF!</definedName>
    <definedName name="BExIRRBGTY01OQOI3U5SW59RFDFI" localSheetId="29" hidden="1">#REF!</definedName>
    <definedName name="BExIRRBGTY01OQOI3U5SW59RFDFI" localSheetId="33" hidden="1">#REF!</definedName>
    <definedName name="BExIRRBGTY01OQOI3U5SW59RFDFI" localSheetId="31" hidden="1">#REF!</definedName>
    <definedName name="BExIRRBGTY01OQOI3U5SW59RFDFI" localSheetId="32" hidden="1">#REF!</definedName>
    <definedName name="BExIRRBGTY01OQOI3U5SW59RFDFI" hidden="1">#REF!</definedName>
    <definedName name="BExIRVO1UWJD5MW8UFF4Y2Z67A00" localSheetId="30" hidden="1">#REF!</definedName>
    <definedName name="BExIRVO1UWJD5MW8UFF4Y2Z67A00" localSheetId="29" hidden="1">#REF!</definedName>
    <definedName name="BExIRVO1UWJD5MW8UFF4Y2Z67A00" localSheetId="33" hidden="1">#REF!</definedName>
    <definedName name="BExIRVO1UWJD5MW8UFF4Y2Z67A00" localSheetId="31" hidden="1">#REF!</definedName>
    <definedName name="BExIRVO1UWJD5MW8UFF4Y2Z67A00" localSheetId="32" hidden="1">#REF!</definedName>
    <definedName name="BExIRVO1UWJD5MW8UFF4Y2Z67A00" hidden="1">#REF!</definedName>
    <definedName name="BExIS4T0DRF57HYO7OGG72KBOFOI" localSheetId="30" hidden="1">#REF!</definedName>
    <definedName name="BExIS4T0DRF57HYO7OGG72KBOFOI" localSheetId="29" hidden="1">#REF!</definedName>
    <definedName name="BExIS4T0DRF57HYO7OGG72KBOFOI" localSheetId="33" hidden="1">#REF!</definedName>
    <definedName name="BExIS4T0DRF57HYO7OGG72KBOFOI" localSheetId="31" hidden="1">#REF!</definedName>
    <definedName name="BExIS4T0DRF57HYO7OGG72KBOFOI" localSheetId="32" hidden="1">#REF!</definedName>
    <definedName name="BExIS4T0DRF57HYO7OGG72KBOFOI" hidden="1">#REF!</definedName>
    <definedName name="BExIS77BJDDK18PGI9DSEYZPIL7P" localSheetId="30" hidden="1">#REF!</definedName>
    <definedName name="BExIS77BJDDK18PGI9DSEYZPIL7P" localSheetId="29" hidden="1">#REF!</definedName>
    <definedName name="BExIS77BJDDK18PGI9DSEYZPIL7P" localSheetId="33" hidden="1">#REF!</definedName>
    <definedName name="BExIS77BJDDK18PGI9DSEYZPIL7P" localSheetId="31" hidden="1">#REF!</definedName>
    <definedName name="BExIS77BJDDK18PGI9DSEYZPIL7P" localSheetId="32" hidden="1">#REF!</definedName>
    <definedName name="BExIS77BJDDK18PGI9DSEYZPIL7P" hidden="1">#REF!</definedName>
    <definedName name="BExIS8USL1T3Z97CZ30HJ98E2GXQ" localSheetId="30" hidden="1">#REF!</definedName>
    <definedName name="BExIS8USL1T3Z97CZ30HJ98E2GXQ" localSheetId="29" hidden="1">#REF!</definedName>
    <definedName name="BExIS8USL1T3Z97CZ30HJ98E2GXQ" localSheetId="33" hidden="1">#REF!</definedName>
    <definedName name="BExIS8USL1T3Z97CZ30HJ98E2GXQ" localSheetId="31" hidden="1">#REF!</definedName>
    <definedName name="BExIS8USL1T3Z97CZ30HJ98E2GXQ" localSheetId="32" hidden="1">#REF!</definedName>
    <definedName name="BExIS8USL1T3Z97CZ30HJ98E2GXQ" hidden="1">#REF!</definedName>
    <definedName name="BExISC5B700MZUBFTQ9K4IKTF7HR" localSheetId="30" hidden="1">#REF!</definedName>
    <definedName name="BExISC5B700MZUBFTQ9K4IKTF7HR" localSheetId="29" hidden="1">#REF!</definedName>
    <definedName name="BExISC5B700MZUBFTQ9K4IKTF7HR" localSheetId="33" hidden="1">#REF!</definedName>
    <definedName name="BExISC5B700MZUBFTQ9K4IKTF7HR" localSheetId="31" hidden="1">#REF!</definedName>
    <definedName name="BExISC5B700MZUBFTQ9K4IKTF7HR" localSheetId="32" hidden="1">#REF!</definedName>
    <definedName name="BExISC5B700MZUBFTQ9K4IKTF7HR" hidden="1">#REF!</definedName>
    <definedName name="BExISDHXS49S1H56ENBPRF1NLD5C" localSheetId="30" hidden="1">#REF!</definedName>
    <definedName name="BExISDHXS49S1H56ENBPRF1NLD5C" localSheetId="29" hidden="1">#REF!</definedName>
    <definedName name="BExISDHXS49S1H56ENBPRF1NLD5C" localSheetId="33" hidden="1">#REF!</definedName>
    <definedName name="BExISDHXS49S1H56ENBPRF1NLD5C" localSheetId="31" hidden="1">#REF!</definedName>
    <definedName name="BExISDHXS49S1H56ENBPRF1NLD5C" localSheetId="32" hidden="1">#REF!</definedName>
    <definedName name="BExISDHXS49S1H56ENBPRF1NLD5C" hidden="1">#REF!</definedName>
    <definedName name="BExISM1JLV54A21A164IURMPGUMU" localSheetId="30" hidden="1">#REF!</definedName>
    <definedName name="BExISM1JLV54A21A164IURMPGUMU" localSheetId="29" hidden="1">#REF!</definedName>
    <definedName name="BExISM1JLV54A21A164IURMPGUMU" localSheetId="33" hidden="1">#REF!</definedName>
    <definedName name="BExISM1JLV54A21A164IURMPGUMU" localSheetId="31" hidden="1">#REF!</definedName>
    <definedName name="BExISM1JLV54A21A164IURMPGUMU" localSheetId="32" hidden="1">#REF!</definedName>
    <definedName name="BExISM1JLV54A21A164IURMPGUMU" hidden="1">#REF!</definedName>
    <definedName name="BExISRFKJYUZ4AKW44IJF7RF9Y90" localSheetId="30" hidden="1">#REF!</definedName>
    <definedName name="BExISRFKJYUZ4AKW44IJF7RF9Y90" localSheetId="29" hidden="1">#REF!</definedName>
    <definedName name="BExISRFKJYUZ4AKW44IJF7RF9Y90" localSheetId="33" hidden="1">#REF!</definedName>
    <definedName name="BExISRFKJYUZ4AKW44IJF7RF9Y90" localSheetId="31" hidden="1">#REF!</definedName>
    <definedName name="BExISRFKJYUZ4AKW44IJF7RF9Y90" localSheetId="32" hidden="1">#REF!</definedName>
    <definedName name="BExISRFKJYUZ4AKW44IJF7RF9Y90" hidden="1">#REF!</definedName>
    <definedName name="BExIT1MK8TBAK3SNP36A8FKDQSOK" localSheetId="30" hidden="1">#REF!</definedName>
    <definedName name="BExIT1MK8TBAK3SNP36A8FKDQSOK" localSheetId="29" hidden="1">#REF!</definedName>
    <definedName name="BExIT1MK8TBAK3SNP36A8FKDQSOK" localSheetId="33" hidden="1">#REF!</definedName>
    <definedName name="BExIT1MK8TBAK3SNP36A8FKDQSOK" localSheetId="31" hidden="1">#REF!</definedName>
    <definedName name="BExIT1MK8TBAK3SNP36A8FKDQSOK" localSheetId="32" hidden="1">#REF!</definedName>
    <definedName name="BExIT1MK8TBAK3SNP36A8FKDQSOK" hidden="1">#REF!</definedName>
    <definedName name="BExITBNYANV2S8KD56GOGCKW393R" localSheetId="30" hidden="1">#REF!</definedName>
    <definedName name="BExITBNYANV2S8KD56GOGCKW393R" localSheetId="29" hidden="1">#REF!</definedName>
    <definedName name="BExITBNYANV2S8KD56GOGCKW393R" localSheetId="33" hidden="1">#REF!</definedName>
    <definedName name="BExITBNYANV2S8KD56GOGCKW393R" localSheetId="31" hidden="1">#REF!</definedName>
    <definedName name="BExITBNYANV2S8KD56GOGCKW393R" localSheetId="32" hidden="1">#REF!</definedName>
    <definedName name="BExITBNYANV2S8KD56GOGCKW393R" hidden="1">#REF!</definedName>
    <definedName name="BExIU2N0MCEKUG2BJ38UWWWQA1J1" localSheetId="30" hidden="1">#REF!</definedName>
    <definedName name="BExIU2N0MCEKUG2BJ38UWWWQA1J1" localSheetId="29" hidden="1">#REF!</definedName>
    <definedName name="BExIU2N0MCEKUG2BJ38UWWWQA1J1" localSheetId="33" hidden="1">#REF!</definedName>
    <definedName name="BExIU2N0MCEKUG2BJ38UWWWQA1J1" localSheetId="31" hidden="1">#REF!</definedName>
    <definedName name="BExIU2N0MCEKUG2BJ38UWWWQA1J1" localSheetId="32" hidden="1">#REF!</definedName>
    <definedName name="BExIU2N0MCEKUG2BJ38UWWWQA1J1" hidden="1">#REF!</definedName>
    <definedName name="BExIUD4OJGH65NFNQ4VMCE3R4J1X" localSheetId="30" hidden="1">#REF!</definedName>
    <definedName name="BExIUD4OJGH65NFNQ4VMCE3R4J1X" localSheetId="29" hidden="1">#REF!</definedName>
    <definedName name="BExIUD4OJGH65NFNQ4VMCE3R4J1X" localSheetId="33" hidden="1">#REF!</definedName>
    <definedName name="BExIUD4OJGH65NFNQ4VMCE3R4J1X" localSheetId="31" hidden="1">#REF!</definedName>
    <definedName name="BExIUD4OJGH65NFNQ4VMCE3R4J1X" localSheetId="32" hidden="1">#REF!</definedName>
    <definedName name="BExIUD4OJGH65NFNQ4VMCE3R4J1X" hidden="1">#REF!</definedName>
    <definedName name="BExIUKRP8YMTIA9VA6GNZTNQR6PL" localSheetId="30" hidden="1">#REF!</definedName>
    <definedName name="BExIUKRP8YMTIA9VA6GNZTNQR6PL" localSheetId="29" hidden="1">#REF!</definedName>
    <definedName name="BExIUKRP8YMTIA9VA6GNZTNQR6PL" localSheetId="33" hidden="1">#REF!</definedName>
    <definedName name="BExIUKRP8YMTIA9VA6GNZTNQR6PL" localSheetId="31" hidden="1">#REF!</definedName>
    <definedName name="BExIUKRP8YMTIA9VA6GNZTNQR6PL" localSheetId="32" hidden="1">#REF!</definedName>
    <definedName name="BExIUKRP8YMTIA9VA6GNZTNQR6PL" hidden="1">#REF!</definedName>
    <definedName name="BExIUTB5OAAXYW0OFMP0PS40SPOB" localSheetId="30" hidden="1">#REF!</definedName>
    <definedName name="BExIUTB5OAAXYW0OFMP0PS40SPOB" localSheetId="29" hidden="1">#REF!</definedName>
    <definedName name="BExIUTB5OAAXYW0OFMP0PS40SPOB" localSheetId="33" hidden="1">#REF!</definedName>
    <definedName name="BExIUTB5OAAXYW0OFMP0PS40SPOB" localSheetId="31" hidden="1">#REF!</definedName>
    <definedName name="BExIUTB5OAAXYW0OFMP0PS40SPOB" localSheetId="32" hidden="1">#REF!</definedName>
    <definedName name="BExIUTB5OAAXYW0OFMP0PS40SPOB" hidden="1">#REF!</definedName>
    <definedName name="BExIUUT2MHIOV6R3WHA0DPM1KBKY" localSheetId="30" hidden="1">#REF!</definedName>
    <definedName name="BExIUUT2MHIOV6R3WHA0DPM1KBKY" localSheetId="29" hidden="1">#REF!</definedName>
    <definedName name="BExIUUT2MHIOV6R3WHA0DPM1KBKY" localSheetId="33" hidden="1">#REF!</definedName>
    <definedName name="BExIUUT2MHIOV6R3WHA0DPM1KBKY" localSheetId="31" hidden="1">#REF!</definedName>
    <definedName name="BExIUUT2MHIOV6R3WHA0DPM1KBKY" localSheetId="32" hidden="1">#REF!</definedName>
    <definedName name="BExIUUT2MHIOV6R3WHA0DPM1KBKY" hidden="1">#REF!</definedName>
    <definedName name="BExIUYPDT1AM6MWGWQS646PIZIWC" localSheetId="30" hidden="1">#REF!</definedName>
    <definedName name="BExIUYPDT1AM6MWGWQS646PIZIWC" localSheetId="29" hidden="1">#REF!</definedName>
    <definedName name="BExIUYPDT1AM6MWGWQS646PIZIWC" localSheetId="33" hidden="1">#REF!</definedName>
    <definedName name="BExIUYPDT1AM6MWGWQS646PIZIWC" localSheetId="31" hidden="1">#REF!</definedName>
    <definedName name="BExIUYPDT1AM6MWGWQS646PIZIWC" localSheetId="32" hidden="1">#REF!</definedName>
    <definedName name="BExIUYPDT1AM6MWGWQS646PIZIWC" hidden="1">#REF!</definedName>
    <definedName name="BExIV0I2O9F8D1UK1SI8AEYR6U0A" localSheetId="30" hidden="1">#REF!</definedName>
    <definedName name="BExIV0I2O9F8D1UK1SI8AEYR6U0A" localSheetId="29" hidden="1">#REF!</definedName>
    <definedName name="BExIV0I2O9F8D1UK1SI8AEYR6U0A" localSheetId="33" hidden="1">#REF!</definedName>
    <definedName name="BExIV0I2O9F8D1UK1SI8AEYR6U0A" localSheetId="31" hidden="1">#REF!</definedName>
    <definedName name="BExIV0I2O9F8D1UK1SI8AEYR6U0A" localSheetId="32" hidden="1">#REF!</definedName>
    <definedName name="BExIV0I2O9F8D1UK1SI8AEYR6U0A" hidden="1">#REF!</definedName>
    <definedName name="BExIV2LM38XPLRTWT0R44TMQ59E5" localSheetId="30" hidden="1">#REF!</definedName>
    <definedName name="BExIV2LM38XPLRTWT0R44TMQ59E5" localSheetId="29" hidden="1">#REF!</definedName>
    <definedName name="BExIV2LM38XPLRTWT0R44TMQ59E5" localSheetId="33" hidden="1">#REF!</definedName>
    <definedName name="BExIV2LM38XPLRTWT0R44TMQ59E5" localSheetId="31" hidden="1">#REF!</definedName>
    <definedName name="BExIV2LM38XPLRTWT0R44TMQ59E5" localSheetId="32" hidden="1">#REF!</definedName>
    <definedName name="BExIV2LM38XPLRTWT0R44TMQ59E5" hidden="1">#REF!</definedName>
    <definedName name="BExIV3HY4S0YRV1F7XEMF2YHAR2I" localSheetId="30" hidden="1">#REF!</definedName>
    <definedName name="BExIV3HY4S0YRV1F7XEMF2YHAR2I" localSheetId="29" hidden="1">#REF!</definedName>
    <definedName name="BExIV3HY4S0YRV1F7XEMF2YHAR2I" localSheetId="33" hidden="1">#REF!</definedName>
    <definedName name="BExIV3HY4S0YRV1F7XEMF2YHAR2I" localSheetId="31" hidden="1">#REF!</definedName>
    <definedName name="BExIV3HY4S0YRV1F7XEMF2YHAR2I" localSheetId="32" hidden="1">#REF!</definedName>
    <definedName name="BExIV3HY4S0YRV1F7XEMF2YHAR2I" hidden="1">#REF!</definedName>
    <definedName name="BExIV6HUZFRIFLXW2SICKGTAH1PV" localSheetId="30" hidden="1">#REF!</definedName>
    <definedName name="BExIV6HUZFRIFLXW2SICKGTAH1PV" localSheetId="29" hidden="1">#REF!</definedName>
    <definedName name="BExIV6HUZFRIFLXW2SICKGTAH1PV" localSheetId="33" hidden="1">#REF!</definedName>
    <definedName name="BExIV6HUZFRIFLXW2SICKGTAH1PV" localSheetId="31" hidden="1">#REF!</definedName>
    <definedName name="BExIV6HUZFRIFLXW2SICKGTAH1PV" localSheetId="32" hidden="1">#REF!</definedName>
    <definedName name="BExIV6HUZFRIFLXW2SICKGTAH1PV" hidden="1">#REF!</definedName>
    <definedName name="BExIV7ZSYJTPX5MMEQ389JZ8L85Q" localSheetId="30" hidden="1">#REF!</definedName>
    <definedName name="BExIV7ZSYJTPX5MMEQ389JZ8L85Q" localSheetId="29" hidden="1">#REF!</definedName>
    <definedName name="BExIV7ZSYJTPX5MMEQ389JZ8L85Q" localSheetId="33" hidden="1">#REF!</definedName>
    <definedName name="BExIV7ZSYJTPX5MMEQ389JZ8L85Q" localSheetId="31" hidden="1">#REF!</definedName>
    <definedName name="BExIV7ZSYJTPX5MMEQ389JZ8L85Q" localSheetId="32" hidden="1">#REF!</definedName>
    <definedName name="BExIV7ZSYJTPX5MMEQ389JZ8L85Q" hidden="1">#REF!</definedName>
    <definedName name="BExIVC6WZMHRBRGIBUVX0CO2RK05" localSheetId="30" hidden="1">#REF!</definedName>
    <definedName name="BExIVC6WZMHRBRGIBUVX0CO2RK05" localSheetId="29" hidden="1">#REF!</definedName>
    <definedName name="BExIVC6WZMHRBRGIBUVX0CO2RK05" localSheetId="33" hidden="1">#REF!</definedName>
    <definedName name="BExIVC6WZMHRBRGIBUVX0CO2RK05" localSheetId="31" hidden="1">#REF!</definedName>
    <definedName name="BExIVC6WZMHRBRGIBUVX0CO2RK05" localSheetId="32" hidden="1">#REF!</definedName>
    <definedName name="BExIVC6WZMHRBRGIBUVX0CO2RK05" hidden="1">#REF!</definedName>
    <definedName name="BExIVCXWL6H5LD9DHDIA4F5U9TQL" localSheetId="30" hidden="1">#REF!</definedName>
    <definedName name="BExIVCXWL6H5LD9DHDIA4F5U9TQL" localSheetId="29" hidden="1">#REF!</definedName>
    <definedName name="BExIVCXWL6H5LD9DHDIA4F5U9TQL" localSheetId="33" hidden="1">#REF!</definedName>
    <definedName name="BExIVCXWL6H5LD9DHDIA4F5U9TQL" localSheetId="31" hidden="1">#REF!</definedName>
    <definedName name="BExIVCXWL6H5LD9DHDIA4F5U9TQL" localSheetId="32" hidden="1">#REF!</definedName>
    <definedName name="BExIVCXWL6H5LD9DHDIA4F5U9TQL" hidden="1">#REF!</definedName>
    <definedName name="BExIVLMTSA5DTKK8VRWRN2QQA013" localSheetId="30" hidden="1">#REF!</definedName>
    <definedName name="BExIVLMTSA5DTKK8VRWRN2QQA013" localSheetId="29" hidden="1">#REF!</definedName>
    <definedName name="BExIVLMTSA5DTKK8VRWRN2QQA013" localSheetId="33" hidden="1">#REF!</definedName>
    <definedName name="BExIVLMTSA5DTKK8VRWRN2QQA013" localSheetId="31" hidden="1">#REF!</definedName>
    <definedName name="BExIVLMTSA5DTKK8VRWRN2QQA013" localSheetId="32" hidden="1">#REF!</definedName>
    <definedName name="BExIVLMTSA5DTKK8VRWRN2QQA013" hidden="1">#REF!</definedName>
    <definedName name="BExIVMOIPSEWSIHIDDLOXESQ28A0" localSheetId="30" hidden="1">#REF!</definedName>
    <definedName name="BExIVMOIPSEWSIHIDDLOXESQ28A0" localSheetId="29" hidden="1">#REF!</definedName>
    <definedName name="BExIVMOIPSEWSIHIDDLOXESQ28A0" localSheetId="33" hidden="1">#REF!</definedName>
    <definedName name="BExIVMOIPSEWSIHIDDLOXESQ28A0" localSheetId="31" hidden="1">#REF!</definedName>
    <definedName name="BExIVMOIPSEWSIHIDDLOXESQ28A0" localSheetId="32" hidden="1">#REF!</definedName>
    <definedName name="BExIVMOIPSEWSIHIDDLOXESQ28A0" hidden="1">#REF!</definedName>
    <definedName name="BExIVNVNJX9BYDLC88NG09YF5XQ6" localSheetId="30" hidden="1">#REF!</definedName>
    <definedName name="BExIVNVNJX9BYDLC88NG09YF5XQ6" localSheetId="29" hidden="1">#REF!</definedName>
    <definedName name="BExIVNVNJX9BYDLC88NG09YF5XQ6" localSheetId="33" hidden="1">#REF!</definedName>
    <definedName name="BExIVNVNJX9BYDLC88NG09YF5XQ6" localSheetId="31" hidden="1">#REF!</definedName>
    <definedName name="BExIVNVNJX9BYDLC88NG09YF5XQ6" localSheetId="32" hidden="1">#REF!</definedName>
    <definedName name="BExIVNVNJX9BYDLC88NG09YF5XQ6" hidden="1">#REF!</definedName>
    <definedName name="BExIVQVKLMGSRYT1LFZH0KUIA4OR" localSheetId="30" hidden="1">#REF!</definedName>
    <definedName name="BExIVQVKLMGSRYT1LFZH0KUIA4OR" localSheetId="29" hidden="1">#REF!</definedName>
    <definedName name="BExIVQVKLMGSRYT1LFZH0KUIA4OR" localSheetId="33" hidden="1">#REF!</definedName>
    <definedName name="BExIVQVKLMGSRYT1LFZH0KUIA4OR" localSheetId="31" hidden="1">#REF!</definedName>
    <definedName name="BExIVQVKLMGSRYT1LFZH0KUIA4OR" localSheetId="32" hidden="1">#REF!</definedName>
    <definedName name="BExIVQVKLMGSRYT1LFZH0KUIA4OR" hidden="1">#REF!</definedName>
    <definedName name="BExIVYTFI35KNR2XSA6N8OJYUTUR" localSheetId="30" hidden="1">#REF!</definedName>
    <definedName name="BExIVYTFI35KNR2XSA6N8OJYUTUR" localSheetId="29" hidden="1">#REF!</definedName>
    <definedName name="BExIVYTFI35KNR2XSA6N8OJYUTUR" localSheetId="33" hidden="1">#REF!</definedName>
    <definedName name="BExIVYTFI35KNR2XSA6N8OJYUTUR" localSheetId="31" hidden="1">#REF!</definedName>
    <definedName name="BExIVYTFI35KNR2XSA6N8OJYUTUR" localSheetId="32" hidden="1">#REF!</definedName>
    <definedName name="BExIVYTFI35KNR2XSA6N8OJYUTUR" hidden="1">#REF!</definedName>
    <definedName name="BExIW4NVE52T1FKCB05BTGPFIOQU" localSheetId="30" hidden="1">#REF!</definedName>
    <definedName name="BExIW4NVE52T1FKCB05BTGPFIOQU" localSheetId="29" hidden="1">#REF!</definedName>
    <definedName name="BExIW4NVE52T1FKCB05BTGPFIOQU" localSheetId="33" hidden="1">#REF!</definedName>
    <definedName name="BExIW4NVE52T1FKCB05BTGPFIOQU" localSheetId="31" hidden="1">#REF!</definedName>
    <definedName name="BExIW4NVE52T1FKCB05BTGPFIOQU" localSheetId="32" hidden="1">#REF!</definedName>
    <definedName name="BExIW4NVE52T1FKCB05BTGPFIOQU" hidden="1">#REF!</definedName>
    <definedName name="BExIWB3SY3WRIVIOF988DNNODBOA" localSheetId="30" hidden="1">#REF!</definedName>
    <definedName name="BExIWB3SY3WRIVIOF988DNNODBOA" localSheetId="29" hidden="1">#REF!</definedName>
    <definedName name="BExIWB3SY3WRIVIOF988DNNODBOA" localSheetId="33" hidden="1">#REF!</definedName>
    <definedName name="BExIWB3SY3WRIVIOF988DNNODBOA" localSheetId="31" hidden="1">#REF!</definedName>
    <definedName name="BExIWB3SY3WRIVIOF988DNNODBOA" localSheetId="32" hidden="1">#REF!</definedName>
    <definedName name="BExIWB3SY3WRIVIOF988DNNODBOA" hidden="1">#REF!</definedName>
    <definedName name="BExIWB99CG0H52LRD6QWPN4L6DV2" localSheetId="30" hidden="1">#REF!</definedName>
    <definedName name="BExIWB99CG0H52LRD6QWPN4L6DV2" localSheetId="29" hidden="1">#REF!</definedName>
    <definedName name="BExIWB99CG0H52LRD6QWPN4L6DV2" localSheetId="33" hidden="1">#REF!</definedName>
    <definedName name="BExIWB99CG0H52LRD6QWPN4L6DV2" localSheetId="31" hidden="1">#REF!</definedName>
    <definedName name="BExIWB99CG0H52LRD6QWPN4L6DV2" localSheetId="32" hidden="1">#REF!</definedName>
    <definedName name="BExIWB99CG0H52LRD6QWPN4L6DV2" hidden="1">#REF!</definedName>
    <definedName name="BExIWG1W7XP9DFYYSZAIOSHM0QLQ" localSheetId="30" hidden="1">#REF!</definedName>
    <definedName name="BExIWG1W7XP9DFYYSZAIOSHM0QLQ" localSheetId="29" hidden="1">#REF!</definedName>
    <definedName name="BExIWG1W7XP9DFYYSZAIOSHM0QLQ" localSheetId="33" hidden="1">#REF!</definedName>
    <definedName name="BExIWG1W7XP9DFYYSZAIOSHM0QLQ" localSheetId="31" hidden="1">#REF!</definedName>
    <definedName name="BExIWG1W7XP9DFYYSZAIOSHM0QLQ" localSheetId="32" hidden="1">#REF!</definedName>
    <definedName name="BExIWG1W7XP9DFYYSZAIOSHM0QLQ" hidden="1">#REF!</definedName>
    <definedName name="BExIWH3KUK94B7833DD4TB0Y6KP9" localSheetId="30" hidden="1">#REF!</definedName>
    <definedName name="BExIWH3KUK94B7833DD4TB0Y6KP9" localSheetId="29" hidden="1">#REF!</definedName>
    <definedName name="BExIWH3KUK94B7833DD4TB0Y6KP9" localSheetId="33" hidden="1">#REF!</definedName>
    <definedName name="BExIWH3KUK94B7833DD4TB0Y6KP9" localSheetId="31" hidden="1">#REF!</definedName>
    <definedName name="BExIWH3KUK94B7833DD4TB0Y6KP9" localSheetId="32" hidden="1">#REF!</definedName>
    <definedName name="BExIWH3KUK94B7833DD4TB0Y6KP9" hidden="1">#REF!</definedName>
    <definedName name="BExIWKE9MGIDWORBI43AWTUNYFAN" localSheetId="30" hidden="1">#REF!</definedName>
    <definedName name="BExIWKE9MGIDWORBI43AWTUNYFAN" localSheetId="29" hidden="1">#REF!</definedName>
    <definedName name="BExIWKE9MGIDWORBI43AWTUNYFAN" localSheetId="33" hidden="1">#REF!</definedName>
    <definedName name="BExIWKE9MGIDWORBI43AWTUNYFAN" localSheetId="31" hidden="1">#REF!</definedName>
    <definedName name="BExIWKE9MGIDWORBI43AWTUNYFAN" localSheetId="32" hidden="1">#REF!</definedName>
    <definedName name="BExIWKE9MGIDWORBI43AWTUNYFAN" hidden="1">#REF!</definedName>
    <definedName name="BExIX34PM5DBTRHRQWP6PL6WIX88" localSheetId="30" hidden="1">#REF!</definedName>
    <definedName name="BExIX34PM5DBTRHRQWP6PL6WIX88" localSheetId="29" hidden="1">#REF!</definedName>
    <definedName name="BExIX34PM5DBTRHRQWP6PL6WIX88" localSheetId="33" hidden="1">#REF!</definedName>
    <definedName name="BExIX34PM5DBTRHRQWP6PL6WIX88" localSheetId="31" hidden="1">#REF!</definedName>
    <definedName name="BExIX34PM5DBTRHRQWP6PL6WIX88" localSheetId="32" hidden="1">#REF!</definedName>
    <definedName name="BExIX34PM5DBTRHRQWP6PL6WIX88" hidden="1">#REF!</definedName>
    <definedName name="BExIX5OAP9KSUE5SIZCW9P39Q4WE" localSheetId="30" hidden="1">#REF!</definedName>
    <definedName name="BExIX5OAP9KSUE5SIZCW9P39Q4WE" localSheetId="29" hidden="1">#REF!</definedName>
    <definedName name="BExIX5OAP9KSUE5SIZCW9P39Q4WE" localSheetId="33" hidden="1">#REF!</definedName>
    <definedName name="BExIX5OAP9KSUE5SIZCW9P39Q4WE" localSheetId="31" hidden="1">#REF!</definedName>
    <definedName name="BExIX5OAP9KSUE5SIZCW9P39Q4WE" localSheetId="32" hidden="1">#REF!</definedName>
    <definedName name="BExIX5OAP9KSUE5SIZCW9P39Q4WE" hidden="1">#REF!</definedName>
    <definedName name="BExIXGRJPVJMUDGSG7IHPXPNO69B" localSheetId="30" hidden="1">#REF!</definedName>
    <definedName name="BExIXGRJPVJMUDGSG7IHPXPNO69B" localSheetId="29" hidden="1">#REF!</definedName>
    <definedName name="BExIXGRJPVJMUDGSG7IHPXPNO69B" localSheetId="33" hidden="1">#REF!</definedName>
    <definedName name="BExIXGRJPVJMUDGSG7IHPXPNO69B" localSheetId="31" hidden="1">#REF!</definedName>
    <definedName name="BExIXGRJPVJMUDGSG7IHPXPNO69B" localSheetId="32" hidden="1">#REF!</definedName>
    <definedName name="BExIXGRJPVJMUDGSG7IHPXPNO69B" hidden="1">#REF!</definedName>
    <definedName name="BExIXM5R87ZL3FHALWZXYCPHGX3E" localSheetId="30" hidden="1">#REF!</definedName>
    <definedName name="BExIXM5R87ZL3FHALWZXYCPHGX3E" localSheetId="29" hidden="1">#REF!</definedName>
    <definedName name="BExIXM5R87ZL3FHALWZXYCPHGX3E" localSheetId="33" hidden="1">#REF!</definedName>
    <definedName name="BExIXM5R87ZL3FHALWZXYCPHGX3E" localSheetId="31" hidden="1">#REF!</definedName>
    <definedName name="BExIXM5R87ZL3FHALWZXYCPHGX3E" localSheetId="32" hidden="1">#REF!</definedName>
    <definedName name="BExIXM5R87ZL3FHALWZXYCPHGX3E" hidden="1">#REF!</definedName>
    <definedName name="BExIXNCY170GHLCNUJLDQTR8R749" localSheetId="30" hidden="1">#REF!</definedName>
    <definedName name="BExIXNCY170GHLCNUJLDQTR8R749" localSheetId="29" hidden="1">#REF!</definedName>
    <definedName name="BExIXNCY170GHLCNUJLDQTR8R749" localSheetId="33" hidden="1">#REF!</definedName>
    <definedName name="BExIXNCY170GHLCNUJLDQTR8R749" localSheetId="31" hidden="1">#REF!</definedName>
    <definedName name="BExIXNCY170GHLCNUJLDQTR8R749" localSheetId="32" hidden="1">#REF!</definedName>
    <definedName name="BExIXNCY170GHLCNUJLDQTR8R749" hidden="1">#REF!</definedName>
    <definedName name="BExIXS036ZCKT2Z8XZKLZ8PFWQGL" localSheetId="30" hidden="1">#REF!</definedName>
    <definedName name="BExIXS036ZCKT2Z8XZKLZ8PFWQGL" localSheetId="29" hidden="1">#REF!</definedName>
    <definedName name="BExIXS036ZCKT2Z8XZKLZ8PFWQGL" localSheetId="33" hidden="1">#REF!</definedName>
    <definedName name="BExIXS036ZCKT2Z8XZKLZ8PFWQGL" localSheetId="31" hidden="1">#REF!</definedName>
    <definedName name="BExIXS036ZCKT2Z8XZKLZ8PFWQGL" localSheetId="32" hidden="1">#REF!</definedName>
    <definedName name="BExIXS036ZCKT2Z8XZKLZ8PFWQGL" hidden="1">#REF!</definedName>
    <definedName name="BExIXY5CF9PFM0P40AZ4U51TMWV0" localSheetId="30" hidden="1">#REF!</definedName>
    <definedName name="BExIXY5CF9PFM0P40AZ4U51TMWV0" localSheetId="29" hidden="1">#REF!</definedName>
    <definedName name="BExIXY5CF9PFM0P40AZ4U51TMWV0" localSheetId="33" hidden="1">#REF!</definedName>
    <definedName name="BExIXY5CF9PFM0P40AZ4U51TMWV0" localSheetId="31" hidden="1">#REF!</definedName>
    <definedName name="BExIXY5CF9PFM0P40AZ4U51TMWV0" localSheetId="32" hidden="1">#REF!</definedName>
    <definedName name="BExIXY5CF9PFM0P40AZ4U51TMWV0" hidden="1">#REF!</definedName>
    <definedName name="BExIYAQHL9XHPJB5XDA2B7KRL3K1" localSheetId="30" hidden="1">#REF!</definedName>
    <definedName name="BExIYAQHL9XHPJB5XDA2B7KRL3K1" localSheetId="29" hidden="1">#REF!</definedName>
    <definedName name="BExIYAQHL9XHPJB5XDA2B7KRL3K1" localSheetId="33" hidden="1">#REF!</definedName>
    <definedName name="BExIYAQHL9XHPJB5XDA2B7KRL3K1" localSheetId="31" hidden="1">#REF!</definedName>
    <definedName name="BExIYAQHL9XHPJB5XDA2B7KRL3K1" localSheetId="32" hidden="1">#REF!</definedName>
    <definedName name="BExIYAQHL9XHPJB5XDA2B7KRL3K1" hidden="1">#REF!</definedName>
    <definedName name="BExIYEXJBK8JDWIRSVV4RJSKZVV1" localSheetId="30" hidden="1">#REF!</definedName>
    <definedName name="BExIYEXJBK8JDWIRSVV4RJSKZVV1" localSheetId="29" hidden="1">#REF!</definedName>
    <definedName name="BExIYEXJBK8JDWIRSVV4RJSKZVV1" localSheetId="33" hidden="1">#REF!</definedName>
    <definedName name="BExIYEXJBK8JDWIRSVV4RJSKZVV1" localSheetId="31" hidden="1">#REF!</definedName>
    <definedName name="BExIYEXJBK8JDWIRSVV4RJSKZVV1" localSheetId="32" hidden="1">#REF!</definedName>
    <definedName name="BExIYEXJBK8JDWIRSVV4RJSKZVV1" hidden="1">#REF!</definedName>
    <definedName name="BExIYI2RH0K4225XO970K2IQ1E79" localSheetId="30" hidden="1">#REF!</definedName>
    <definedName name="BExIYI2RH0K4225XO970K2IQ1E79" localSheetId="29" hidden="1">#REF!</definedName>
    <definedName name="BExIYI2RH0K4225XO970K2IQ1E79" localSheetId="33" hidden="1">#REF!</definedName>
    <definedName name="BExIYI2RH0K4225XO970K2IQ1E79" localSheetId="31" hidden="1">#REF!</definedName>
    <definedName name="BExIYI2RH0K4225XO970K2IQ1E79" localSheetId="32" hidden="1">#REF!</definedName>
    <definedName name="BExIYI2RH0K4225XO970K2IQ1E79" hidden="1">#REF!</definedName>
    <definedName name="BExIYMPZ0KS2KOJFQAUQJ77L7701" localSheetId="30" hidden="1">#REF!</definedName>
    <definedName name="BExIYMPZ0KS2KOJFQAUQJ77L7701" localSheetId="29" hidden="1">#REF!</definedName>
    <definedName name="BExIYMPZ0KS2KOJFQAUQJ77L7701" localSheetId="33" hidden="1">#REF!</definedName>
    <definedName name="BExIYMPZ0KS2KOJFQAUQJ77L7701" localSheetId="31" hidden="1">#REF!</definedName>
    <definedName name="BExIYMPZ0KS2KOJFQAUQJ77L7701" localSheetId="32" hidden="1">#REF!</definedName>
    <definedName name="BExIYMPZ0KS2KOJFQAUQJ77L7701" hidden="1">#REF!</definedName>
    <definedName name="BExIYP9Q6FV9T0R9G3UDKLS4TTYX" localSheetId="30" hidden="1">#REF!</definedName>
    <definedName name="BExIYP9Q6FV9T0R9G3UDKLS4TTYX" localSheetId="29" hidden="1">#REF!</definedName>
    <definedName name="BExIYP9Q6FV9T0R9G3UDKLS4TTYX" localSheetId="33" hidden="1">#REF!</definedName>
    <definedName name="BExIYP9Q6FV9T0R9G3UDKLS4TTYX" localSheetId="31" hidden="1">#REF!</definedName>
    <definedName name="BExIYP9Q6FV9T0R9G3UDKLS4TTYX" localSheetId="32" hidden="1">#REF!</definedName>
    <definedName name="BExIYP9Q6FV9T0R9G3UDKLS4TTYX" hidden="1">#REF!</definedName>
    <definedName name="BExIYZGLDQ1TN7BIIN4RLDP31GIM" localSheetId="30" hidden="1">#REF!</definedName>
    <definedName name="BExIYZGLDQ1TN7BIIN4RLDP31GIM" localSheetId="29" hidden="1">#REF!</definedName>
    <definedName name="BExIYZGLDQ1TN7BIIN4RLDP31GIM" localSheetId="33" hidden="1">#REF!</definedName>
    <definedName name="BExIYZGLDQ1TN7BIIN4RLDP31GIM" localSheetId="31" hidden="1">#REF!</definedName>
    <definedName name="BExIYZGLDQ1TN7BIIN4RLDP31GIM" localSheetId="32" hidden="1">#REF!</definedName>
    <definedName name="BExIYZGLDQ1TN7BIIN4RLDP31GIM" hidden="1">#REF!</definedName>
    <definedName name="BExIZ4K0EZJK6PW3L8SVKTJFSWW9" localSheetId="30" hidden="1">#REF!</definedName>
    <definedName name="BExIZ4K0EZJK6PW3L8SVKTJFSWW9" localSheetId="29" hidden="1">#REF!</definedName>
    <definedName name="BExIZ4K0EZJK6PW3L8SVKTJFSWW9" localSheetId="33" hidden="1">#REF!</definedName>
    <definedName name="BExIZ4K0EZJK6PW3L8SVKTJFSWW9" localSheetId="31" hidden="1">#REF!</definedName>
    <definedName name="BExIZ4K0EZJK6PW3L8SVKTJFSWW9" localSheetId="32" hidden="1">#REF!</definedName>
    <definedName name="BExIZ4K0EZJK6PW3L8SVKTJFSWW9" hidden="1">#REF!</definedName>
    <definedName name="BExIZAECOEZGBAO29QMV14E6XDIV" localSheetId="30" hidden="1">#REF!</definedName>
    <definedName name="BExIZAECOEZGBAO29QMV14E6XDIV" localSheetId="29" hidden="1">#REF!</definedName>
    <definedName name="BExIZAECOEZGBAO29QMV14E6XDIV" localSheetId="33" hidden="1">#REF!</definedName>
    <definedName name="BExIZAECOEZGBAO29QMV14E6XDIV" localSheetId="31" hidden="1">#REF!</definedName>
    <definedName name="BExIZAECOEZGBAO29QMV14E6XDIV" localSheetId="32" hidden="1">#REF!</definedName>
    <definedName name="BExIZAECOEZGBAO29QMV14E6XDIV" hidden="1">#REF!</definedName>
    <definedName name="BExIZKVXYD5O2JBU81F2UFJZLLSI" localSheetId="30" hidden="1">#REF!</definedName>
    <definedName name="BExIZKVXYD5O2JBU81F2UFJZLLSI" localSheetId="29" hidden="1">#REF!</definedName>
    <definedName name="BExIZKVXYD5O2JBU81F2UFJZLLSI" localSheetId="33" hidden="1">#REF!</definedName>
    <definedName name="BExIZKVXYD5O2JBU81F2UFJZLLSI" localSheetId="31" hidden="1">#REF!</definedName>
    <definedName name="BExIZKVXYD5O2JBU81F2UFJZLLSI" localSheetId="32" hidden="1">#REF!</definedName>
    <definedName name="BExIZKVXYD5O2JBU81F2UFJZLLSI" hidden="1">#REF!</definedName>
    <definedName name="BExIZPZDHC8HGER83WHCZAHOX7LK" localSheetId="30" hidden="1">#REF!</definedName>
    <definedName name="BExIZPZDHC8HGER83WHCZAHOX7LK" localSheetId="29" hidden="1">#REF!</definedName>
    <definedName name="BExIZPZDHC8HGER83WHCZAHOX7LK" localSheetId="33" hidden="1">#REF!</definedName>
    <definedName name="BExIZPZDHC8HGER83WHCZAHOX7LK" localSheetId="31" hidden="1">#REF!</definedName>
    <definedName name="BExIZPZDHC8HGER83WHCZAHOX7LK" localSheetId="32" hidden="1">#REF!</definedName>
    <definedName name="BExIZPZDHC8HGER83WHCZAHOX7LK" hidden="1">#REF!</definedName>
    <definedName name="BExIZPZDZH5H7HT82F35BJOLBWUD" localSheetId="30" hidden="1">#REF!</definedName>
    <definedName name="BExIZPZDZH5H7HT82F35BJOLBWUD" localSheetId="29" hidden="1">#REF!</definedName>
    <definedName name="BExIZPZDZH5H7HT82F35BJOLBWUD" localSheetId="33" hidden="1">#REF!</definedName>
    <definedName name="BExIZPZDZH5H7HT82F35BJOLBWUD" localSheetId="31" hidden="1">#REF!</definedName>
    <definedName name="BExIZPZDZH5H7HT82F35BJOLBWUD" localSheetId="32" hidden="1">#REF!</definedName>
    <definedName name="BExIZPZDZH5H7HT82F35BJOLBWUD" hidden="1">#REF!</definedName>
    <definedName name="BExIZY2PUZ0OF9YKK1B13IW0VS6G" localSheetId="30" hidden="1">#REF!</definedName>
    <definedName name="BExIZY2PUZ0OF9YKK1B13IW0VS6G" localSheetId="29" hidden="1">#REF!</definedName>
    <definedName name="BExIZY2PUZ0OF9YKK1B13IW0VS6G" localSheetId="33" hidden="1">#REF!</definedName>
    <definedName name="BExIZY2PUZ0OF9YKK1B13IW0VS6G" localSheetId="31" hidden="1">#REF!</definedName>
    <definedName name="BExIZY2PUZ0OF9YKK1B13IW0VS6G" localSheetId="32" hidden="1">#REF!</definedName>
    <definedName name="BExIZY2PUZ0OF9YKK1B13IW0VS6G" hidden="1">#REF!</definedName>
    <definedName name="BExJ029R3C3AODRNTGBYJVXDZ400" localSheetId="30" hidden="1">#REF!</definedName>
    <definedName name="BExJ029R3C3AODRNTGBYJVXDZ400" localSheetId="29" hidden="1">#REF!</definedName>
    <definedName name="BExJ029R3C3AODRNTGBYJVXDZ400" localSheetId="33" hidden="1">#REF!</definedName>
    <definedName name="BExJ029R3C3AODRNTGBYJVXDZ400" localSheetId="31" hidden="1">#REF!</definedName>
    <definedName name="BExJ029R3C3AODRNTGBYJVXDZ400" localSheetId="32" hidden="1">#REF!</definedName>
    <definedName name="BExJ029R3C3AODRNTGBYJVXDZ400" hidden="1">#REF!</definedName>
    <definedName name="BExJ08KBRR2XMWW3VZMPSQKXHZUH" localSheetId="30" hidden="1">#REF!</definedName>
    <definedName name="BExJ08KBRR2XMWW3VZMPSQKXHZUH" localSheetId="29" hidden="1">#REF!</definedName>
    <definedName name="BExJ08KBRR2XMWW3VZMPSQKXHZUH" localSheetId="33" hidden="1">#REF!</definedName>
    <definedName name="BExJ08KBRR2XMWW3VZMPSQKXHZUH" localSheetId="31" hidden="1">#REF!</definedName>
    <definedName name="BExJ08KBRR2XMWW3VZMPSQKXHZUH" localSheetId="32" hidden="1">#REF!</definedName>
    <definedName name="BExJ08KBRR2XMWW3VZMPSQKXHZUH" hidden="1">#REF!</definedName>
    <definedName name="BExJ0DYJWXGE7DA39PYL3WM05U9O" localSheetId="30" hidden="1">#REF!</definedName>
    <definedName name="BExJ0DYJWXGE7DA39PYL3WM05U9O" localSheetId="29" hidden="1">#REF!</definedName>
    <definedName name="BExJ0DYJWXGE7DA39PYL3WM05U9O" localSheetId="33" hidden="1">#REF!</definedName>
    <definedName name="BExJ0DYJWXGE7DA39PYL3WM05U9O" localSheetId="31" hidden="1">#REF!</definedName>
    <definedName name="BExJ0DYJWXGE7DA39PYL3WM05U9O" localSheetId="32" hidden="1">#REF!</definedName>
    <definedName name="BExJ0DYJWXGE7DA39PYL3WM05U9O" hidden="1">#REF!</definedName>
    <definedName name="BExJ0MY8SY5J5V50H3UKE78ODTVB" localSheetId="30" hidden="1">#REF!</definedName>
    <definedName name="BExJ0MY8SY5J5V50H3UKE78ODTVB" localSheetId="29" hidden="1">#REF!</definedName>
    <definedName name="BExJ0MY8SY5J5V50H3UKE78ODTVB" localSheetId="33" hidden="1">#REF!</definedName>
    <definedName name="BExJ0MY8SY5J5V50H3UKE78ODTVB" localSheetId="31" hidden="1">#REF!</definedName>
    <definedName name="BExJ0MY8SY5J5V50H3UKE78ODTVB" localSheetId="32" hidden="1">#REF!</definedName>
    <definedName name="BExJ0MY8SY5J5V50H3UKE78ODTVB" hidden="1">#REF!</definedName>
    <definedName name="BExJ0YC98G37ML4N8FLP8D95EFRF" localSheetId="30" hidden="1">#REF!</definedName>
    <definedName name="BExJ0YC98G37ML4N8FLP8D95EFRF" localSheetId="29" hidden="1">#REF!</definedName>
    <definedName name="BExJ0YC98G37ML4N8FLP8D95EFRF" localSheetId="33" hidden="1">#REF!</definedName>
    <definedName name="BExJ0YC98G37ML4N8FLP8D95EFRF" localSheetId="31" hidden="1">#REF!</definedName>
    <definedName name="BExJ0YC98G37ML4N8FLP8D95EFRF" localSheetId="32" hidden="1">#REF!</definedName>
    <definedName name="BExJ0YC98G37ML4N8FLP8D95EFRF" hidden="1">#REF!</definedName>
    <definedName name="BExKCDYKAEV45AFXHVHZZ62E5BM3" localSheetId="30" hidden="1">#REF!</definedName>
    <definedName name="BExKCDYKAEV45AFXHVHZZ62E5BM3" localSheetId="29" hidden="1">#REF!</definedName>
    <definedName name="BExKCDYKAEV45AFXHVHZZ62E5BM3" localSheetId="33" hidden="1">#REF!</definedName>
    <definedName name="BExKCDYKAEV45AFXHVHZZ62E5BM3" localSheetId="31" hidden="1">#REF!</definedName>
    <definedName name="BExKCDYKAEV45AFXHVHZZ62E5BM3" localSheetId="32" hidden="1">#REF!</definedName>
    <definedName name="BExKCDYKAEV45AFXHVHZZ62E5BM3" hidden="1">#REF!</definedName>
    <definedName name="BExKDJ62R8TNH7KHSWI62IG5UVNB" localSheetId="30" hidden="1">#REF!</definedName>
    <definedName name="BExKDJ62R8TNH7KHSWI62IG5UVNB" localSheetId="29" hidden="1">#REF!</definedName>
    <definedName name="BExKDJ62R8TNH7KHSWI62IG5UVNB" localSheetId="33" hidden="1">#REF!</definedName>
    <definedName name="BExKDJ62R8TNH7KHSWI62IG5UVNB" localSheetId="31" hidden="1">#REF!</definedName>
    <definedName name="BExKDJ62R8TNH7KHSWI62IG5UVNB" localSheetId="32" hidden="1">#REF!</definedName>
    <definedName name="BExKDJ62R8TNH7KHSWI62IG5UVNB" hidden="1">#REF!</definedName>
    <definedName name="BExKDKO0W4AGQO1V7K6Q4VM750FT" localSheetId="30" hidden="1">#REF!</definedName>
    <definedName name="BExKDKO0W4AGQO1V7K6Q4VM750FT" localSheetId="29" hidden="1">#REF!</definedName>
    <definedName name="BExKDKO0W4AGQO1V7K6Q4VM750FT" localSheetId="33" hidden="1">#REF!</definedName>
    <definedName name="BExKDKO0W4AGQO1V7K6Q4VM750FT" localSheetId="31" hidden="1">#REF!</definedName>
    <definedName name="BExKDKO0W4AGQO1V7K6Q4VM750FT" localSheetId="32" hidden="1">#REF!</definedName>
    <definedName name="BExKDKO0W4AGQO1V7K6Q4VM750FT" hidden="1">#REF!</definedName>
    <definedName name="BExKDLF10G7W77J87QWH3ZGLUCLW" localSheetId="30" hidden="1">#REF!</definedName>
    <definedName name="BExKDLF10G7W77J87QWH3ZGLUCLW" localSheetId="29" hidden="1">#REF!</definedName>
    <definedName name="BExKDLF10G7W77J87QWH3ZGLUCLW" localSheetId="33" hidden="1">#REF!</definedName>
    <definedName name="BExKDLF10G7W77J87QWH3ZGLUCLW" localSheetId="31" hidden="1">#REF!</definedName>
    <definedName name="BExKDLF10G7W77J87QWH3ZGLUCLW" localSheetId="32" hidden="1">#REF!</definedName>
    <definedName name="BExKDLF10G7W77J87QWH3ZGLUCLW" hidden="1">#REF!</definedName>
    <definedName name="BExKEFE0I3MT6ZLC4T1L9465HKTN" localSheetId="30" hidden="1">#REF!</definedName>
    <definedName name="BExKEFE0I3MT6ZLC4T1L9465HKTN" localSheetId="29" hidden="1">#REF!</definedName>
    <definedName name="BExKEFE0I3MT6ZLC4T1L9465HKTN" localSheetId="33" hidden="1">#REF!</definedName>
    <definedName name="BExKEFE0I3MT6ZLC4T1L9465HKTN" localSheetId="31" hidden="1">#REF!</definedName>
    <definedName name="BExKEFE0I3MT6ZLC4T1L9465HKTN" localSheetId="32" hidden="1">#REF!</definedName>
    <definedName name="BExKEFE0I3MT6ZLC4T1L9465HKTN" hidden="1">#REF!</definedName>
    <definedName name="BExKEK6O5BVJP4VY02FY7JNAZ6BT" localSheetId="30" hidden="1">#REF!</definedName>
    <definedName name="BExKEK6O5BVJP4VY02FY7JNAZ6BT" localSheetId="29" hidden="1">#REF!</definedName>
    <definedName name="BExKEK6O5BVJP4VY02FY7JNAZ6BT" localSheetId="33" hidden="1">#REF!</definedName>
    <definedName name="BExKEK6O5BVJP4VY02FY7JNAZ6BT" localSheetId="31" hidden="1">#REF!</definedName>
    <definedName name="BExKEK6O5BVJP4VY02FY7JNAZ6BT" localSheetId="32" hidden="1">#REF!</definedName>
    <definedName name="BExKEK6O5BVJP4VY02FY7JNAZ6BT" hidden="1">#REF!</definedName>
    <definedName name="BExKEKXK6E6QX339ELPXDIRZSJE0" localSheetId="30" hidden="1">#REF!</definedName>
    <definedName name="BExKEKXK6E6QX339ELPXDIRZSJE0" localSheetId="29" hidden="1">#REF!</definedName>
    <definedName name="BExKEKXK6E6QX339ELPXDIRZSJE0" localSheetId="33" hidden="1">#REF!</definedName>
    <definedName name="BExKEKXK6E6QX339ELPXDIRZSJE0" localSheetId="31" hidden="1">#REF!</definedName>
    <definedName name="BExKEKXK6E6QX339ELPXDIRZSJE0" localSheetId="32" hidden="1">#REF!</definedName>
    <definedName name="BExKEKXK6E6QX339ELPXDIRZSJE0" hidden="1">#REF!</definedName>
    <definedName name="BExKEOOIBMP7N8033EY2CJYCBX6H" localSheetId="30" hidden="1">#REF!</definedName>
    <definedName name="BExKEOOIBMP7N8033EY2CJYCBX6H" localSheetId="29" hidden="1">#REF!</definedName>
    <definedName name="BExKEOOIBMP7N8033EY2CJYCBX6H" localSheetId="33" hidden="1">#REF!</definedName>
    <definedName name="BExKEOOIBMP7N8033EY2CJYCBX6H" localSheetId="31" hidden="1">#REF!</definedName>
    <definedName name="BExKEOOIBMP7N8033EY2CJYCBX6H" localSheetId="32" hidden="1">#REF!</definedName>
    <definedName name="BExKEOOIBMP7N8033EY2CJYCBX6H" hidden="1">#REF!</definedName>
    <definedName name="BExKEW0RR5LA3VC46A2BEOOMQE56" localSheetId="30" hidden="1">#REF!</definedName>
    <definedName name="BExKEW0RR5LA3VC46A2BEOOMQE56" localSheetId="29" hidden="1">#REF!</definedName>
    <definedName name="BExKEW0RR5LA3VC46A2BEOOMQE56" localSheetId="33" hidden="1">#REF!</definedName>
    <definedName name="BExKEW0RR5LA3VC46A2BEOOMQE56" localSheetId="31" hidden="1">#REF!</definedName>
    <definedName name="BExKEW0RR5LA3VC46A2BEOOMQE56" localSheetId="32" hidden="1">#REF!</definedName>
    <definedName name="BExKEW0RR5LA3VC46A2BEOOMQE56" hidden="1">#REF!</definedName>
    <definedName name="BExKFA3VI1CZK21SM0N3LZWT9LA1" localSheetId="30" hidden="1">#REF!</definedName>
    <definedName name="BExKFA3VI1CZK21SM0N3LZWT9LA1" localSheetId="29" hidden="1">#REF!</definedName>
    <definedName name="BExKFA3VI1CZK21SM0N3LZWT9LA1" localSheetId="33" hidden="1">#REF!</definedName>
    <definedName name="BExKFA3VI1CZK21SM0N3LZWT9LA1" localSheetId="31" hidden="1">#REF!</definedName>
    <definedName name="BExKFA3VI1CZK21SM0N3LZWT9LA1" localSheetId="32" hidden="1">#REF!</definedName>
    <definedName name="BExKFA3VI1CZK21SM0N3LZWT9LA1" hidden="1">#REF!</definedName>
    <definedName name="BExKFINBFV5J2NFRCL4YUO3YF0ZE" localSheetId="30" hidden="1">#REF!</definedName>
    <definedName name="BExKFINBFV5J2NFRCL4YUO3YF0ZE" localSheetId="29" hidden="1">#REF!</definedName>
    <definedName name="BExKFINBFV5J2NFRCL4YUO3YF0ZE" localSheetId="33" hidden="1">#REF!</definedName>
    <definedName name="BExKFINBFV5J2NFRCL4YUO3YF0ZE" localSheetId="31" hidden="1">#REF!</definedName>
    <definedName name="BExKFINBFV5J2NFRCL4YUO3YF0ZE" localSheetId="32" hidden="1">#REF!</definedName>
    <definedName name="BExKFINBFV5J2NFRCL4YUO3YF0ZE" hidden="1">#REF!</definedName>
    <definedName name="BExKFISRBFACTAMJSALEYMY66F6X" localSheetId="30" hidden="1">#REF!</definedName>
    <definedName name="BExKFISRBFACTAMJSALEYMY66F6X" localSheetId="29" hidden="1">#REF!</definedName>
    <definedName name="BExKFISRBFACTAMJSALEYMY66F6X" localSheetId="33" hidden="1">#REF!</definedName>
    <definedName name="BExKFISRBFACTAMJSALEYMY66F6X" localSheetId="31" hidden="1">#REF!</definedName>
    <definedName name="BExKFISRBFACTAMJSALEYMY66F6X" localSheetId="32" hidden="1">#REF!</definedName>
    <definedName name="BExKFISRBFACTAMJSALEYMY66F6X" hidden="1">#REF!</definedName>
    <definedName name="BExKFOSK5DJ151C4E8544UWMYTOC" localSheetId="30" hidden="1">#REF!</definedName>
    <definedName name="BExKFOSK5DJ151C4E8544UWMYTOC" localSheetId="29" hidden="1">#REF!</definedName>
    <definedName name="BExKFOSK5DJ151C4E8544UWMYTOC" localSheetId="33" hidden="1">#REF!</definedName>
    <definedName name="BExKFOSK5DJ151C4E8544UWMYTOC" localSheetId="31" hidden="1">#REF!</definedName>
    <definedName name="BExKFOSK5DJ151C4E8544UWMYTOC" localSheetId="32" hidden="1">#REF!</definedName>
    <definedName name="BExKFOSK5DJ151C4E8544UWMYTOC" hidden="1">#REF!</definedName>
    <definedName name="BExKFYJC4EVEV54F82K6VKP7Q3OU" localSheetId="30" hidden="1">#REF!</definedName>
    <definedName name="BExKFYJC4EVEV54F82K6VKP7Q3OU" localSheetId="29" hidden="1">#REF!</definedName>
    <definedName name="BExKFYJC4EVEV54F82K6VKP7Q3OU" localSheetId="33" hidden="1">#REF!</definedName>
    <definedName name="BExKFYJC4EVEV54F82K6VKP7Q3OU" localSheetId="31" hidden="1">#REF!</definedName>
    <definedName name="BExKFYJC4EVEV54F82K6VKP7Q3OU" localSheetId="32" hidden="1">#REF!</definedName>
    <definedName name="BExKFYJC4EVEV54F82K6VKP7Q3OU" hidden="1">#REF!</definedName>
    <definedName name="BExKG4IYHBKQQ8J8FN10GB2IKO33" localSheetId="30" hidden="1">#REF!</definedName>
    <definedName name="BExKG4IYHBKQQ8J8FN10GB2IKO33" localSheetId="29" hidden="1">#REF!</definedName>
    <definedName name="BExKG4IYHBKQQ8J8FN10GB2IKO33" localSheetId="33" hidden="1">#REF!</definedName>
    <definedName name="BExKG4IYHBKQQ8J8FN10GB2IKO33" localSheetId="31" hidden="1">#REF!</definedName>
    <definedName name="BExKG4IYHBKQQ8J8FN10GB2IKO33" localSheetId="32" hidden="1">#REF!</definedName>
    <definedName name="BExKG4IYHBKQQ8J8FN10GB2IKO33" hidden="1">#REF!</definedName>
    <definedName name="BExKGF0L44S78D33WMQ1A75TRKB9" localSheetId="30" hidden="1">#REF!</definedName>
    <definedName name="BExKGF0L44S78D33WMQ1A75TRKB9" localSheetId="29" hidden="1">#REF!</definedName>
    <definedName name="BExKGF0L44S78D33WMQ1A75TRKB9" localSheetId="33" hidden="1">#REF!</definedName>
    <definedName name="BExKGF0L44S78D33WMQ1A75TRKB9" localSheetId="31" hidden="1">#REF!</definedName>
    <definedName name="BExKGF0L44S78D33WMQ1A75TRKB9" localSheetId="32" hidden="1">#REF!</definedName>
    <definedName name="BExKGF0L44S78D33WMQ1A75TRKB9" hidden="1">#REF!</definedName>
    <definedName name="BExKGFRN31B3G20LMQ4LRF879J68" localSheetId="30" hidden="1">#REF!</definedName>
    <definedName name="BExKGFRN31B3G20LMQ4LRF879J68" localSheetId="29" hidden="1">#REF!</definedName>
    <definedName name="BExKGFRN31B3G20LMQ4LRF879J68" localSheetId="33" hidden="1">#REF!</definedName>
    <definedName name="BExKGFRN31B3G20LMQ4LRF879J68" localSheetId="31" hidden="1">#REF!</definedName>
    <definedName name="BExKGFRN31B3G20LMQ4LRF879J68" localSheetId="32" hidden="1">#REF!</definedName>
    <definedName name="BExKGFRN31B3G20LMQ4LRF879J68" hidden="1">#REF!</definedName>
    <definedName name="BExKGJD3U3ADZILP20U3EURP0UQP" localSheetId="30" hidden="1">#REF!</definedName>
    <definedName name="BExKGJD3U3ADZILP20U3EURP0UQP" localSheetId="29" hidden="1">#REF!</definedName>
    <definedName name="BExKGJD3U3ADZILP20U3EURP0UQP" localSheetId="33" hidden="1">#REF!</definedName>
    <definedName name="BExKGJD3U3ADZILP20U3EURP0UQP" localSheetId="31" hidden="1">#REF!</definedName>
    <definedName name="BExKGJD3U3ADZILP20U3EURP0UQP" localSheetId="32" hidden="1">#REF!</definedName>
    <definedName name="BExKGJD3U3ADZILP20U3EURP0UQP" hidden="1">#REF!</definedName>
    <definedName name="BExKGNK5YGKP0YHHTAAOV17Z9EIM" localSheetId="30" hidden="1">#REF!</definedName>
    <definedName name="BExKGNK5YGKP0YHHTAAOV17Z9EIM" localSheetId="29" hidden="1">#REF!</definedName>
    <definedName name="BExKGNK5YGKP0YHHTAAOV17Z9EIM" localSheetId="33" hidden="1">#REF!</definedName>
    <definedName name="BExKGNK5YGKP0YHHTAAOV17Z9EIM" localSheetId="31" hidden="1">#REF!</definedName>
    <definedName name="BExKGNK5YGKP0YHHTAAOV17Z9EIM" localSheetId="32" hidden="1">#REF!</definedName>
    <definedName name="BExKGNK5YGKP0YHHTAAOV17Z9EIM" hidden="1">#REF!</definedName>
    <definedName name="BExKGV77YH9YXIQTRKK2331QGYKF" localSheetId="30" hidden="1">#REF!</definedName>
    <definedName name="BExKGV77YH9YXIQTRKK2331QGYKF" localSheetId="29" hidden="1">#REF!</definedName>
    <definedName name="BExKGV77YH9YXIQTRKK2331QGYKF" localSheetId="33" hidden="1">#REF!</definedName>
    <definedName name="BExKGV77YH9YXIQTRKK2331QGYKF" localSheetId="31" hidden="1">#REF!</definedName>
    <definedName name="BExKGV77YH9YXIQTRKK2331QGYKF" localSheetId="32" hidden="1">#REF!</definedName>
    <definedName name="BExKGV77YH9YXIQTRKK2331QGYKF" hidden="1">#REF!</definedName>
    <definedName name="BExKH3FTZ5VGTB86W9M4AB39R0G8" localSheetId="30" hidden="1">#REF!</definedName>
    <definedName name="BExKH3FTZ5VGTB86W9M4AB39R0G8" localSheetId="29" hidden="1">#REF!</definedName>
    <definedName name="BExKH3FTZ5VGTB86W9M4AB39R0G8" localSheetId="33" hidden="1">#REF!</definedName>
    <definedName name="BExKH3FTZ5VGTB86W9M4AB39R0G8" localSheetId="31" hidden="1">#REF!</definedName>
    <definedName name="BExKH3FTZ5VGTB86W9M4AB39R0G8" localSheetId="32" hidden="1">#REF!</definedName>
    <definedName name="BExKH3FTZ5VGTB86W9M4AB39R0G8" hidden="1">#REF!</definedName>
    <definedName name="BExKH3FV5U5O6XZM7STS3NZKQFGJ" localSheetId="30" hidden="1">#REF!</definedName>
    <definedName name="BExKH3FV5U5O6XZM7STS3NZKQFGJ" localSheetId="29" hidden="1">#REF!</definedName>
    <definedName name="BExKH3FV5U5O6XZM7STS3NZKQFGJ" localSheetId="33" hidden="1">#REF!</definedName>
    <definedName name="BExKH3FV5U5O6XZM7STS3NZKQFGJ" localSheetId="31" hidden="1">#REF!</definedName>
    <definedName name="BExKH3FV5U5O6XZM7STS3NZKQFGJ" localSheetId="32" hidden="1">#REF!</definedName>
    <definedName name="BExKH3FV5U5O6XZM7STS3NZKQFGJ" hidden="1">#REF!</definedName>
    <definedName name="BExKHAMUH8NR3HRV0V6FHJE3ROLN" localSheetId="30" hidden="1">#REF!</definedName>
    <definedName name="BExKHAMUH8NR3HRV0V6FHJE3ROLN" localSheetId="29" hidden="1">#REF!</definedName>
    <definedName name="BExKHAMUH8NR3HRV0V6FHJE3ROLN" localSheetId="33" hidden="1">#REF!</definedName>
    <definedName name="BExKHAMUH8NR3HRV0V6FHJE3ROLN" localSheetId="31" hidden="1">#REF!</definedName>
    <definedName name="BExKHAMUH8NR3HRV0V6FHJE3ROLN" localSheetId="32" hidden="1">#REF!</definedName>
    <definedName name="BExKHAMUH8NR3HRV0V6FHJE3ROLN" hidden="1">#REF!</definedName>
    <definedName name="BExKHCFKOWFHO2WW0N7Y5XDXEWAO" localSheetId="30" hidden="1">#REF!</definedName>
    <definedName name="BExKHCFKOWFHO2WW0N7Y5XDXEWAO" localSheetId="29" hidden="1">#REF!</definedName>
    <definedName name="BExKHCFKOWFHO2WW0N7Y5XDXEWAO" localSheetId="33" hidden="1">#REF!</definedName>
    <definedName name="BExKHCFKOWFHO2WW0N7Y5XDXEWAO" localSheetId="31" hidden="1">#REF!</definedName>
    <definedName name="BExKHCFKOWFHO2WW0N7Y5XDXEWAO" localSheetId="32" hidden="1">#REF!</definedName>
    <definedName name="BExKHCFKOWFHO2WW0N7Y5XDXEWAO" hidden="1">#REF!</definedName>
    <definedName name="BExKHIVLONZ46HLMR50DEXKEUNEP" localSheetId="30" hidden="1">#REF!</definedName>
    <definedName name="BExKHIVLONZ46HLMR50DEXKEUNEP" localSheetId="29" hidden="1">#REF!</definedName>
    <definedName name="BExKHIVLONZ46HLMR50DEXKEUNEP" localSheetId="33" hidden="1">#REF!</definedName>
    <definedName name="BExKHIVLONZ46HLMR50DEXKEUNEP" localSheetId="31" hidden="1">#REF!</definedName>
    <definedName name="BExKHIVLONZ46HLMR50DEXKEUNEP" localSheetId="32" hidden="1">#REF!</definedName>
    <definedName name="BExKHIVLONZ46HLMR50DEXKEUNEP" hidden="1">#REF!</definedName>
    <definedName name="BExKHPM9XA0ADDK7TUR0N38EXWEP" localSheetId="30" hidden="1">#REF!</definedName>
    <definedName name="BExKHPM9XA0ADDK7TUR0N38EXWEP" localSheetId="29" hidden="1">#REF!</definedName>
    <definedName name="BExKHPM9XA0ADDK7TUR0N38EXWEP" localSheetId="33" hidden="1">#REF!</definedName>
    <definedName name="BExKHPM9XA0ADDK7TUR0N38EXWEP" localSheetId="31" hidden="1">#REF!</definedName>
    <definedName name="BExKHPM9XA0ADDK7TUR0N38EXWEP" localSheetId="32" hidden="1">#REF!</definedName>
    <definedName name="BExKHPM9XA0ADDK7TUR0N38EXWEP" hidden="1">#REF!</definedName>
    <definedName name="BExKI4076KXCDE5KXL79KT36OKLO" localSheetId="30" hidden="1">#REF!</definedName>
    <definedName name="BExKI4076KXCDE5KXL79KT36OKLO" localSheetId="29" hidden="1">#REF!</definedName>
    <definedName name="BExKI4076KXCDE5KXL79KT36OKLO" localSheetId="33" hidden="1">#REF!</definedName>
    <definedName name="BExKI4076KXCDE5KXL79KT36OKLO" localSheetId="31" hidden="1">#REF!</definedName>
    <definedName name="BExKI4076KXCDE5KXL79KT36OKLO" localSheetId="32" hidden="1">#REF!</definedName>
    <definedName name="BExKI4076KXCDE5KXL79KT36OKLO" hidden="1">#REF!</definedName>
    <definedName name="BExKI7LO70WYISR7Q0Y1ZDWO9M3B" localSheetId="30" hidden="1">#REF!</definedName>
    <definedName name="BExKI7LO70WYISR7Q0Y1ZDWO9M3B" localSheetId="29" hidden="1">#REF!</definedName>
    <definedName name="BExKI7LO70WYISR7Q0Y1ZDWO9M3B" localSheetId="33" hidden="1">#REF!</definedName>
    <definedName name="BExKI7LO70WYISR7Q0Y1ZDWO9M3B" localSheetId="31" hidden="1">#REF!</definedName>
    <definedName name="BExKI7LO70WYISR7Q0Y1ZDWO9M3B" localSheetId="32" hidden="1">#REF!</definedName>
    <definedName name="BExKI7LO70WYISR7Q0Y1ZDWO9M3B" hidden="1">#REF!</definedName>
    <definedName name="BExKIGQV6TXIZG039HBOJU62WP2U" localSheetId="30" hidden="1">#REF!</definedName>
    <definedName name="BExKIGQV6TXIZG039HBOJU62WP2U" localSheetId="29" hidden="1">#REF!</definedName>
    <definedName name="BExKIGQV6TXIZG039HBOJU62WP2U" localSheetId="33" hidden="1">#REF!</definedName>
    <definedName name="BExKIGQV6TXIZG039HBOJU62WP2U" localSheetId="31" hidden="1">#REF!</definedName>
    <definedName name="BExKIGQV6TXIZG039HBOJU62WP2U" localSheetId="32" hidden="1">#REF!</definedName>
    <definedName name="BExKIGQV6TXIZG039HBOJU62WP2U" hidden="1">#REF!</definedName>
    <definedName name="BExKILE008SF3KTAN8WML3XKI1NZ" localSheetId="30" hidden="1">#REF!</definedName>
    <definedName name="BExKILE008SF3KTAN8WML3XKI1NZ" localSheetId="29" hidden="1">#REF!</definedName>
    <definedName name="BExKILE008SF3KTAN8WML3XKI1NZ" localSheetId="33" hidden="1">#REF!</definedName>
    <definedName name="BExKILE008SF3KTAN8WML3XKI1NZ" localSheetId="31" hidden="1">#REF!</definedName>
    <definedName name="BExKILE008SF3KTAN8WML3XKI1NZ" localSheetId="32" hidden="1">#REF!</definedName>
    <definedName name="BExKILE008SF3KTAN8WML3XKI1NZ" hidden="1">#REF!</definedName>
    <definedName name="BExKINSBB6RS7I489QHMCOMU4Z2X" localSheetId="30" hidden="1">#REF!</definedName>
    <definedName name="BExKINSBB6RS7I489QHMCOMU4Z2X" localSheetId="29" hidden="1">#REF!</definedName>
    <definedName name="BExKINSBB6RS7I489QHMCOMU4Z2X" localSheetId="33" hidden="1">#REF!</definedName>
    <definedName name="BExKINSBB6RS7I489QHMCOMU4Z2X" localSheetId="31" hidden="1">#REF!</definedName>
    <definedName name="BExKINSBB6RS7I489QHMCOMU4Z2X" localSheetId="32" hidden="1">#REF!</definedName>
    <definedName name="BExKINSBB6RS7I489QHMCOMU4Z2X" hidden="1">#REF!</definedName>
    <definedName name="BExKIU87ZKSOC2DYZWFK6SAK9I8E" localSheetId="30" hidden="1">#REF!</definedName>
    <definedName name="BExKIU87ZKSOC2DYZWFK6SAK9I8E" localSheetId="29" hidden="1">#REF!</definedName>
    <definedName name="BExKIU87ZKSOC2DYZWFK6SAK9I8E" localSheetId="33" hidden="1">#REF!</definedName>
    <definedName name="BExKIU87ZKSOC2DYZWFK6SAK9I8E" localSheetId="31" hidden="1">#REF!</definedName>
    <definedName name="BExKIU87ZKSOC2DYZWFK6SAK9I8E" localSheetId="32" hidden="1">#REF!</definedName>
    <definedName name="BExKIU87ZKSOC2DYZWFK6SAK9I8E" hidden="1">#REF!</definedName>
    <definedName name="BExKJ449HLYX2DJ9UF0H9GTPSQ73" localSheetId="30" hidden="1">#REF!</definedName>
    <definedName name="BExKJ449HLYX2DJ9UF0H9GTPSQ73" localSheetId="29" hidden="1">#REF!</definedName>
    <definedName name="BExKJ449HLYX2DJ9UF0H9GTPSQ73" localSheetId="33" hidden="1">#REF!</definedName>
    <definedName name="BExKJ449HLYX2DJ9UF0H9GTPSQ73" localSheetId="31" hidden="1">#REF!</definedName>
    <definedName name="BExKJ449HLYX2DJ9UF0H9GTPSQ73" localSheetId="32" hidden="1">#REF!</definedName>
    <definedName name="BExKJ449HLYX2DJ9UF0H9GTPSQ73" hidden="1">#REF!</definedName>
    <definedName name="BExKJ79LWY29D9GB9NNHC5VBQKFJ" localSheetId="30" hidden="1">#REF!</definedName>
    <definedName name="BExKJ79LWY29D9GB9NNHC5VBQKFJ" localSheetId="29" hidden="1">#REF!</definedName>
    <definedName name="BExKJ79LWY29D9GB9NNHC5VBQKFJ" localSheetId="33" hidden="1">#REF!</definedName>
    <definedName name="BExKJ79LWY29D9GB9NNHC5VBQKFJ" localSheetId="31" hidden="1">#REF!</definedName>
    <definedName name="BExKJ79LWY29D9GB9NNHC5VBQKFJ" localSheetId="32" hidden="1">#REF!</definedName>
    <definedName name="BExKJ79LWY29D9GB9NNHC5VBQKFJ" hidden="1">#REF!</definedName>
    <definedName name="BExKJ9NYGHGZUK1WJ5LS0A8Z7CZB" localSheetId="30" hidden="1">#REF!</definedName>
    <definedName name="BExKJ9NYGHGZUK1WJ5LS0A8Z7CZB" localSheetId="29" hidden="1">#REF!</definedName>
    <definedName name="BExKJ9NYGHGZUK1WJ5LS0A8Z7CZB" localSheetId="33" hidden="1">#REF!</definedName>
    <definedName name="BExKJ9NYGHGZUK1WJ5LS0A8Z7CZB" localSheetId="31" hidden="1">#REF!</definedName>
    <definedName name="BExKJ9NYGHGZUK1WJ5LS0A8Z7CZB" localSheetId="32" hidden="1">#REF!</definedName>
    <definedName name="BExKJ9NYGHGZUK1WJ5LS0A8Z7CZB" hidden="1">#REF!</definedName>
    <definedName name="BExKJBB74UCLGX6U4RG5ST150KGI" localSheetId="30" hidden="1">#REF!</definedName>
    <definedName name="BExKJBB74UCLGX6U4RG5ST150KGI" localSheetId="29" hidden="1">#REF!</definedName>
    <definedName name="BExKJBB74UCLGX6U4RG5ST150KGI" localSheetId="33" hidden="1">#REF!</definedName>
    <definedName name="BExKJBB74UCLGX6U4RG5ST150KGI" localSheetId="31" hidden="1">#REF!</definedName>
    <definedName name="BExKJBB74UCLGX6U4RG5ST150KGI" localSheetId="32" hidden="1">#REF!</definedName>
    <definedName name="BExKJBB74UCLGX6U4RG5ST150KGI" hidden="1">#REF!</definedName>
    <definedName name="BExKJELX2RUC8UEC56IZPYYZXHA7" localSheetId="30" hidden="1">#REF!</definedName>
    <definedName name="BExKJELX2RUC8UEC56IZPYYZXHA7" localSheetId="29" hidden="1">#REF!</definedName>
    <definedName name="BExKJELX2RUC8UEC56IZPYYZXHA7" localSheetId="33" hidden="1">#REF!</definedName>
    <definedName name="BExKJELX2RUC8UEC56IZPYYZXHA7" localSheetId="31" hidden="1">#REF!</definedName>
    <definedName name="BExKJELX2RUC8UEC56IZPYYZXHA7" localSheetId="32" hidden="1">#REF!</definedName>
    <definedName name="BExKJELX2RUC8UEC56IZPYYZXHA7" hidden="1">#REF!</definedName>
    <definedName name="BExKJINMXS61G2TZEXCJAWVV4F57" localSheetId="30" hidden="1">#REF!</definedName>
    <definedName name="BExKJINMXS61G2TZEXCJAWVV4F57" localSheetId="29" hidden="1">#REF!</definedName>
    <definedName name="BExKJINMXS61G2TZEXCJAWVV4F57" localSheetId="33" hidden="1">#REF!</definedName>
    <definedName name="BExKJINMXS61G2TZEXCJAWVV4F57" localSheetId="31" hidden="1">#REF!</definedName>
    <definedName name="BExKJINMXS61G2TZEXCJAWVV4F57" localSheetId="32" hidden="1">#REF!</definedName>
    <definedName name="BExKJINMXS61G2TZEXCJAWVV4F57" hidden="1">#REF!</definedName>
    <definedName name="BExKJK5ME8KB7HA0180L7OUZDDGV" localSheetId="30" hidden="1">#REF!</definedName>
    <definedName name="BExKJK5ME8KB7HA0180L7OUZDDGV" localSheetId="29" hidden="1">#REF!</definedName>
    <definedName name="BExKJK5ME8KB7HA0180L7OUZDDGV" localSheetId="33" hidden="1">#REF!</definedName>
    <definedName name="BExKJK5ME8KB7HA0180L7OUZDDGV" localSheetId="31" hidden="1">#REF!</definedName>
    <definedName name="BExKJK5ME8KB7HA0180L7OUZDDGV" localSheetId="32" hidden="1">#REF!</definedName>
    <definedName name="BExKJK5ME8KB7HA0180L7OUZDDGV" hidden="1">#REF!</definedName>
    <definedName name="BExKJN5IF0VMDILJ5K8ZENF2QYV1" localSheetId="30" hidden="1">#REF!</definedName>
    <definedName name="BExKJN5IF0VMDILJ5K8ZENF2QYV1" localSheetId="29" hidden="1">#REF!</definedName>
    <definedName name="BExKJN5IF0VMDILJ5K8ZENF2QYV1" localSheetId="33" hidden="1">#REF!</definedName>
    <definedName name="BExKJN5IF0VMDILJ5K8ZENF2QYV1" localSheetId="31" hidden="1">#REF!</definedName>
    <definedName name="BExKJN5IF0VMDILJ5K8ZENF2QYV1" localSheetId="32" hidden="1">#REF!</definedName>
    <definedName name="BExKJN5IF0VMDILJ5K8ZENF2QYV1" hidden="1">#REF!</definedName>
    <definedName name="BExKJUSJPFUIK20FTVAFJWR2OUYX" localSheetId="30" hidden="1">#REF!</definedName>
    <definedName name="BExKJUSJPFUIK20FTVAFJWR2OUYX" localSheetId="29" hidden="1">#REF!</definedName>
    <definedName name="BExKJUSJPFUIK20FTVAFJWR2OUYX" localSheetId="33" hidden="1">#REF!</definedName>
    <definedName name="BExKJUSJPFUIK20FTVAFJWR2OUYX" localSheetId="31" hidden="1">#REF!</definedName>
    <definedName name="BExKJUSJPFUIK20FTVAFJWR2OUYX" localSheetId="32" hidden="1">#REF!</definedName>
    <definedName name="BExKJUSJPFUIK20FTVAFJWR2OUYX" hidden="1">#REF!</definedName>
    <definedName name="BExKK8VP5RS3D0UXZVKA37C4SYBP" localSheetId="30" hidden="1">#REF!</definedName>
    <definedName name="BExKK8VP5RS3D0UXZVKA37C4SYBP" localSheetId="29" hidden="1">#REF!</definedName>
    <definedName name="BExKK8VP5RS3D0UXZVKA37C4SYBP" localSheetId="33" hidden="1">#REF!</definedName>
    <definedName name="BExKK8VP5RS3D0UXZVKA37C4SYBP" localSheetId="31" hidden="1">#REF!</definedName>
    <definedName name="BExKK8VP5RS3D0UXZVKA37C4SYBP" localSheetId="32" hidden="1">#REF!</definedName>
    <definedName name="BExKK8VP5RS3D0UXZVKA37C4SYBP" hidden="1">#REF!</definedName>
    <definedName name="BExKKIM9NPF6B3SPMPIQB27HQME4" localSheetId="30" hidden="1">#REF!</definedName>
    <definedName name="BExKKIM9NPF6B3SPMPIQB27HQME4" localSheetId="29" hidden="1">#REF!</definedName>
    <definedName name="BExKKIM9NPF6B3SPMPIQB27HQME4" localSheetId="33" hidden="1">#REF!</definedName>
    <definedName name="BExKKIM9NPF6B3SPMPIQB27HQME4" localSheetId="31" hidden="1">#REF!</definedName>
    <definedName name="BExKKIM9NPF6B3SPMPIQB27HQME4" localSheetId="32" hidden="1">#REF!</definedName>
    <definedName name="BExKKIM9NPF6B3SPMPIQB27HQME4" hidden="1">#REF!</definedName>
    <definedName name="BExKKIX1BCBQ4R3K41QD8NTV0OV0" localSheetId="30" hidden="1">#REF!</definedName>
    <definedName name="BExKKIX1BCBQ4R3K41QD8NTV0OV0" localSheetId="29" hidden="1">#REF!</definedName>
    <definedName name="BExKKIX1BCBQ4R3K41QD8NTV0OV0" localSheetId="33" hidden="1">#REF!</definedName>
    <definedName name="BExKKIX1BCBQ4R3K41QD8NTV0OV0" localSheetId="31" hidden="1">#REF!</definedName>
    <definedName name="BExKKIX1BCBQ4R3K41QD8NTV0OV0" localSheetId="32" hidden="1">#REF!</definedName>
    <definedName name="BExKKIX1BCBQ4R3K41QD8NTV0OV0" hidden="1">#REF!</definedName>
    <definedName name="BExKKQ3ZWADYV03YHMXDOAMU90EB" localSheetId="30" hidden="1">#REF!</definedName>
    <definedName name="BExKKQ3ZWADYV03YHMXDOAMU90EB" localSheetId="29" hidden="1">#REF!</definedName>
    <definedName name="BExKKQ3ZWADYV03YHMXDOAMU90EB" localSheetId="33" hidden="1">#REF!</definedName>
    <definedName name="BExKKQ3ZWADYV03YHMXDOAMU90EB" localSheetId="31" hidden="1">#REF!</definedName>
    <definedName name="BExKKQ3ZWADYV03YHMXDOAMU90EB" localSheetId="32" hidden="1">#REF!</definedName>
    <definedName name="BExKKQ3ZWADYV03YHMXDOAMU90EB" hidden="1">#REF!</definedName>
    <definedName name="BExKKUGD2HMJWQEYZ8H3X1BMXFS9" localSheetId="30" hidden="1">#REF!</definedName>
    <definedName name="BExKKUGD2HMJWQEYZ8H3X1BMXFS9" localSheetId="29" hidden="1">#REF!</definedName>
    <definedName name="BExKKUGD2HMJWQEYZ8H3X1BMXFS9" localSheetId="33" hidden="1">#REF!</definedName>
    <definedName name="BExKKUGD2HMJWQEYZ8H3X1BMXFS9" localSheetId="31" hidden="1">#REF!</definedName>
    <definedName name="BExKKUGD2HMJWQEYZ8H3X1BMXFS9" localSheetId="32" hidden="1">#REF!</definedName>
    <definedName name="BExKKUGD2HMJWQEYZ8H3X1BMXFS9" hidden="1">#REF!</definedName>
    <definedName name="BExKKX05KCZZZPKOR1NE5A8RGVT4" localSheetId="30" hidden="1">#REF!</definedName>
    <definedName name="BExKKX05KCZZZPKOR1NE5A8RGVT4" localSheetId="29" hidden="1">#REF!</definedName>
    <definedName name="BExKKX05KCZZZPKOR1NE5A8RGVT4" localSheetId="33" hidden="1">#REF!</definedName>
    <definedName name="BExKKX05KCZZZPKOR1NE5A8RGVT4" localSheetId="31" hidden="1">#REF!</definedName>
    <definedName name="BExKKX05KCZZZPKOR1NE5A8RGVT4" localSheetId="32" hidden="1">#REF!</definedName>
    <definedName name="BExKKX05KCZZZPKOR1NE5A8RGVT4" hidden="1">#REF!</definedName>
    <definedName name="BExKLD6S9L66QYREYHBE5J44OK7X" localSheetId="30" hidden="1">#REF!</definedName>
    <definedName name="BExKLD6S9L66QYREYHBE5J44OK7X" localSheetId="29" hidden="1">#REF!</definedName>
    <definedName name="BExKLD6S9L66QYREYHBE5J44OK7X" localSheetId="33" hidden="1">#REF!</definedName>
    <definedName name="BExKLD6S9L66QYREYHBE5J44OK7X" localSheetId="31" hidden="1">#REF!</definedName>
    <definedName name="BExKLD6S9L66QYREYHBE5J44OK7X" localSheetId="32" hidden="1">#REF!</definedName>
    <definedName name="BExKLD6S9L66QYREYHBE5J44OK7X" hidden="1">#REF!</definedName>
    <definedName name="BExKLEZK32L28GYJWVO63BZ5E1JD" localSheetId="30" hidden="1">#REF!</definedName>
    <definedName name="BExKLEZK32L28GYJWVO63BZ5E1JD" localSheetId="29" hidden="1">#REF!</definedName>
    <definedName name="BExKLEZK32L28GYJWVO63BZ5E1JD" localSheetId="33" hidden="1">#REF!</definedName>
    <definedName name="BExKLEZK32L28GYJWVO63BZ5E1JD" localSheetId="31" hidden="1">#REF!</definedName>
    <definedName name="BExKLEZK32L28GYJWVO63BZ5E1JD" localSheetId="32" hidden="1">#REF!</definedName>
    <definedName name="BExKLEZK32L28GYJWVO63BZ5E1JD" hidden="1">#REF!</definedName>
    <definedName name="BExKLLKVVHT06LA55JB2FC871DC5" localSheetId="30" hidden="1">#REF!</definedName>
    <definedName name="BExKLLKVVHT06LA55JB2FC871DC5" localSheetId="29" hidden="1">#REF!</definedName>
    <definedName name="BExKLLKVVHT06LA55JB2FC871DC5" localSheetId="33" hidden="1">#REF!</definedName>
    <definedName name="BExKLLKVVHT06LA55JB2FC871DC5" localSheetId="31" hidden="1">#REF!</definedName>
    <definedName name="BExKLLKVVHT06LA55JB2FC871DC5" localSheetId="32" hidden="1">#REF!</definedName>
    <definedName name="BExKLLKVVHT06LA55JB2FC871DC5" hidden="1">#REF!</definedName>
    <definedName name="BExKLR9WAXBT3ETCABRJSNIBIF4A" localSheetId="30" hidden="1">#REF!</definedName>
    <definedName name="BExKLR9WAXBT3ETCABRJSNIBIF4A" localSheetId="29" hidden="1">#REF!</definedName>
    <definedName name="BExKLR9WAXBT3ETCABRJSNIBIF4A" localSheetId="33" hidden="1">#REF!</definedName>
    <definedName name="BExKLR9WAXBT3ETCABRJSNIBIF4A" localSheetId="31" hidden="1">#REF!</definedName>
    <definedName name="BExKLR9WAXBT3ETCABRJSNIBIF4A" localSheetId="32" hidden="1">#REF!</definedName>
    <definedName name="BExKLR9WAXBT3ETCABRJSNIBIF4A" hidden="1">#REF!</definedName>
    <definedName name="BExKLT2NMHHROSAXKFL3372CE0W3" localSheetId="30" hidden="1">#REF!</definedName>
    <definedName name="BExKLT2NMHHROSAXKFL3372CE0W3" localSheetId="29" hidden="1">#REF!</definedName>
    <definedName name="BExKLT2NMHHROSAXKFL3372CE0W3" localSheetId="33" hidden="1">#REF!</definedName>
    <definedName name="BExKLT2NMHHROSAXKFL3372CE0W3" localSheetId="31" hidden="1">#REF!</definedName>
    <definedName name="BExKLT2NMHHROSAXKFL3372CE0W3" localSheetId="32" hidden="1">#REF!</definedName>
    <definedName name="BExKLT2NMHHROSAXKFL3372CE0W3" hidden="1">#REF!</definedName>
    <definedName name="BExKM8YH5GANAF9SPYBT7TGF831X" localSheetId="30" hidden="1">#REF!</definedName>
    <definedName name="BExKM8YH5GANAF9SPYBT7TGF831X" localSheetId="29" hidden="1">#REF!</definedName>
    <definedName name="BExKM8YH5GANAF9SPYBT7TGF831X" localSheetId="33" hidden="1">#REF!</definedName>
    <definedName name="BExKM8YH5GANAF9SPYBT7TGF831X" localSheetId="31" hidden="1">#REF!</definedName>
    <definedName name="BExKM8YH5GANAF9SPYBT7TGF831X" localSheetId="32" hidden="1">#REF!</definedName>
    <definedName name="BExKM8YH5GANAF9SPYBT7TGF831X" hidden="1">#REF!</definedName>
    <definedName name="BExKMDR4R6SWIBH49WQ3QRVMZA8A" localSheetId="30" hidden="1">#REF!</definedName>
    <definedName name="BExKMDR4R6SWIBH49WQ3QRVMZA8A" localSheetId="29" hidden="1">#REF!</definedName>
    <definedName name="BExKMDR4R6SWIBH49WQ3QRVMZA8A" localSheetId="33" hidden="1">#REF!</definedName>
    <definedName name="BExKMDR4R6SWIBH49WQ3QRVMZA8A" localSheetId="31" hidden="1">#REF!</definedName>
    <definedName name="BExKMDR4R6SWIBH49WQ3QRVMZA8A" localSheetId="32" hidden="1">#REF!</definedName>
    <definedName name="BExKMDR4R6SWIBH49WQ3QRVMZA8A" hidden="1">#REF!</definedName>
    <definedName name="BExKMWBX4EH3EYJ07UFEM08NB40Z" localSheetId="30" hidden="1">#REF!</definedName>
    <definedName name="BExKMWBX4EH3EYJ07UFEM08NB40Z" localSheetId="29" hidden="1">#REF!</definedName>
    <definedName name="BExKMWBX4EH3EYJ07UFEM08NB40Z" localSheetId="33" hidden="1">#REF!</definedName>
    <definedName name="BExKMWBX4EH3EYJ07UFEM08NB40Z" localSheetId="31" hidden="1">#REF!</definedName>
    <definedName name="BExKMWBX4EH3EYJ07UFEM08NB40Z" localSheetId="32" hidden="1">#REF!</definedName>
    <definedName name="BExKMWBX4EH3EYJ07UFEM08NB40Z" hidden="1">#REF!</definedName>
    <definedName name="BExKMYA4KHDTA85QNGIDZSH6KUB9" localSheetId="30" hidden="1">#REF!</definedName>
    <definedName name="BExKMYA4KHDTA85QNGIDZSH6KUB9" localSheetId="29" hidden="1">#REF!</definedName>
    <definedName name="BExKMYA4KHDTA85QNGIDZSH6KUB9" localSheetId="33" hidden="1">#REF!</definedName>
    <definedName name="BExKMYA4KHDTA85QNGIDZSH6KUB9" localSheetId="31" hidden="1">#REF!</definedName>
    <definedName name="BExKMYA4KHDTA85QNGIDZSH6KUB9" localSheetId="32" hidden="1">#REF!</definedName>
    <definedName name="BExKMYA4KHDTA85QNGIDZSH6KUB9" hidden="1">#REF!</definedName>
    <definedName name="BExKN0TR9MVZUIERU3RKQM9GTX4L" localSheetId="30" hidden="1">#REF!</definedName>
    <definedName name="BExKN0TR9MVZUIERU3RKQM9GTX4L" localSheetId="29" hidden="1">#REF!</definedName>
    <definedName name="BExKN0TR9MVZUIERU3RKQM9GTX4L" localSheetId="33" hidden="1">#REF!</definedName>
    <definedName name="BExKN0TR9MVZUIERU3RKQM9GTX4L" localSheetId="31" hidden="1">#REF!</definedName>
    <definedName name="BExKN0TR9MVZUIERU3RKQM9GTX4L" localSheetId="32" hidden="1">#REF!</definedName>
    <definedName name="BExKN0TR9MVZUIERU3RKQM9GTX4L" hidden="1">#REF!</definedName>
    <definedName name="BExKNBGV2IR3S7M0BX4810KZB4V3" localSheetId="30" hidden="1">#REF!</definedName>
    <definedName name="BExKNBGV2IR3S7M0BX4810KZB4V3" localSheetId="29" hidden="1">#REF!</definedName>
    <definedName name="BExKNBGV2IR3S7M0BX4810KZB4V3" localSheetId="33" hidden="1">#REF!</definedName>
    <definedName name="BExKNBGV2IR3S7M0BX4810KZB4V3" localSheetId="31" hidden="1">#REF!</definedName>
    <definedName name="BExKNBGV2IR3S7M0BX4810KZB4V3" localSheetId="32" hidden="1">#REF!</definedName>
    <definedName name="BExKNBGV2IR3S7M0BX4810KZB4V3" hidden="1">#REF!</definedName>
    <definedName name="BExKNCTBZTSY3MO42VU5PLV6YUHZ" localSheetId="30" hidden="1">#REF!</definedName>
    <definedName name="BExKNCTBZTSY3MO42VU5PLV6YUHZ" localSheetId="29" hidden="1">#REF!</definedName>
    <definedName name="BExKNCTBZTSY3MO42VU5PLV6YUHZ" localSheetId="33" hidden="1">#REF!</definedName>
    <definedName name="BExKNCTBZTSY3MO42VU5PLV6YUHZ" localSheetId="31" hidden="1">#REF!</definedName>
    <definedName name="BExKNCTBZTSY3MO42VU5PLV6YUHZ" localSheetId="32" hidden="1">#REF!</definedName>
    <definedName name="BExKNCTBZTSY3MO42VU5PLV6YUHZ" hidden="1">#REF!</definedName>
    <definedName name="BExKNGV2YY749C42AQ2T9QNIE5C3" localSheetId="30" hidden="1">#REF!</definedName>
    <definedName name="BExKNGV2YY749C42AQ2T9QNIE5C3" localSheetId="29" hidden="1">#REF!</definedName>
    <definedName name="BExKNGV2YY749C42AQ2T9QNIE5C3" localSheetId="33" hidden="1">#REF!</definedName>
    <definedName name="BExKNGV2YY749C42AQ2T9QNIE5C3" localSheetId="31" hidden="1">#REF!</definedName>
    <definedName name="BExKNGV2YY749C42AQ2T9QNIE5C3" localSheetId="32" hidden="1">#REF!</definedName>
    <definedName name="BExKNGV2YY749C42AQ2T9QNIE5C3" hidden="1">#REF!</definedName>
    <definedName name="BExKNV8UOHVWEHDJWI2WMJ9X6QHZ" localSheetId="30" hidden="1">#REF!</definedName>
    <definedName name="BExKNV8UOHVWEHDJWI2WMJ9X6QHZ" localSheetId="29" hidden="1">#REF!</definedName>
    <definedName name="BExKNV8UOHVWEHDJWI2WMJ9X6QHZ" localSheetId="33" hidden="1">#REF!</definedName>
    <definedName name="BExKNV8UOHVWEHDJWI2WMJ9X6QHZ" localSheetId="31" hidden="1">#REF!</definedName>
    <definedName name="BExKNV8UOHVWEHDJWI2WMJ9X6QHZ" localSheetId="32" hidden="1">#REF!</definedName>
    <definedName name="BExKNV8UOHVWEHDJWI2WMJ9X6QHZ" hidden="1">#REF!</definedName>
    <definedName name="BExKNZLD7UATC1MYRNJD8H2NH4KU" localSheetId="30" hidden="1">#REF!</definedName>
    <definedName name="BExKNZLD7UATC1MYRNJD8H2NH4KU" localSheetId="29" hidden="1">#REF!</definedName>
    <definedName name="BExKNZLD7UATC1MYRNJD8H2NH4KU" localSheetId="33" hidden="1">#REF!</definedName>
    <definedName name="BExKNZLD7UATC1MYRNJD8H2NH4KU" localSheetId="31" hidden="1">#REF!</definedName>
    <definedName name="BExKNZLD7UATC1MYRNJD8H2NH4KU" localSheetId="32" hidden="1">#REF!</definedName>
    <definedName name="BExKNZLD7UATC1MYRNJD8H2NH4KU" hidden="1">#REF!</definedName>
    <definedName name="BExKNZQUKQQG2Y97R74G4O4BJP1L" localSheetId="30" hidden="1">#REF!</definedName>
    <definedName name="BExKNZQUKQQG2Y97R74G4O4BJP1L" localSheetId="29" hidden="1">#REF!</definedName>
    <definedName name="BExKNZQUKQQG2Y97R74G4O4BJP1L" localSheetId="33" hidden="1">#REF!</definedName>
    <definedName name="BExKNZQUKQQG2Y97R74G4O4BJP1L" localSheetId="31" hidden="1">#REF!</definedName>
    <definedName name="BExKNZQUKQQG2Y97R74G4O4BJP1L" localSheetId="32" hidden="1">#REF!</definedName>
    <definedName name="BExKNZQUKQQG2Y97R74G4O4BJP1L" hidden="1">#REF!</definedName>
    <definedName name="BExKO06X0EAD3ABEG1E8PWLDWHBA" localSheetId="30" hidden="1">#REF!</definedName>
    <definedName name="BExKO06X0EAD3ABEG1E8PWLDWHBA" localSheetId="29" hidden="1">#REF!</definedName>
    <definedName name="BExKO06X0EAD3ABEG1E8PWLDWHBA" localSheetId="33" hidden="1">#REF!</definedName>
    <definedName name="BExKO06X0EAD3ABEG1E8PWLDWHBA" localSheetId="31" hidden="1">#REF!</definedName>
    <definedName name="BExKO06X0EAD3ABEG1E8PWLDWHBA" localSheetId="32" hidden="1">#REF!</definedName>
    <definedName name="BExKO06X0EAD3ABEG1E8PWLDWHBA" hidden="1">#REF!</definedName>
    <definedName name="BExKO2AHHSGNI1AZOIOW21KPXKPE" localSheetId="30" hidden="1">#REF!</definedName>
    <definedName name="BExKO2AHHSGNI1AZOIOW21KPXKPE" localSheetId="29" hidden="1">#REF!</definedName>
    <definedName name="BExKO2AHHSGNI1AZOIOW21KPXKPE" localSheetId="33" hidden="1">#REF!</definedName>
    <definedName name="BExKO2AHHSGNI1AZOIOW21KPXKPE" localSheetId="31" hidden="1">#REF!</definedName>
    <definedName name="BExKO2AHHSGNI1AZOIOW21KPXKPE" localSheetId="32" hidden="1">#REF!</definedName>
    <definedName name="BExKO2AHHSGNI1AZOIOW21KPXKPE" hidden="1">#REF!</definedName>
    <definedName name="BExKO2FXWJWC5IZLDN8JHYILQJ2N" localSheetId="30" hidden="1">#REF!</definedName>
    <definedName name="BExKO2FXWJWC5IZLDN8JHYILQJ2N" localSheetId="29" hidden="1">#REF!</definedName>
    <definedName name="BExKO2FXWJWC5IZLDN8JHYILQJ2N" localSheetId="33" hidden="1">#REF!</definedName>
    <definedName name="BExKO2FXWJWC5IZLDN8JHYILQJ2N" localSheetId="31" hidden="1">#REF!</definedName>
    <definedName name="BExKO2FXWJWC5IZLDN8JHYILQJ2N" localSheetId="32" hidden="1">#REF!</definedName>
    <definedName name="BExKO2FXWJWC5IZLDN8JHYILQJ2N" hidden="1">#REF!</definedName>
    <definedName name="BExKO438WZ8FKOU00NURGFMOYXWN" localSheetId="30" hidden="1">#REF!</definedName>
    <definedName name="BExKO438WZ8FKOU00NURGFMOYXWN" localSheetId="29" hidden="1">#REF!</definedName>
    <definedName name="BExKO438WZ8FKOU00NURGFMOYXWN" localSheetId="33" hidden="1">#REF!</definedName>
    <definedName name="BExKO438WZ8FKOU00NURGFMOYXWN" localSheetId="31" hidden="1">#REF!</definedName>
    <definedName name="BExKO438WZ8FKOU00NURGFMOYXWN" localSheetId="32" hidden="1">#REF!</definedName>
    <definedName name="BExKO438WZ8FKOU00NURGFMOYXWN" hidden="1">#REF!</definedName>
    <definedName name="BExKOAU312YWX3YC42BNMNMZ6YQ8" localSheetId="30" hidden="1">#REF!</definedName>
    <definedName name="BExKOAU312YWX3YC42BNMNMZ6YQ8" localSheetId="29" hidden="1">#REF!</definedName>
    <definedName name="BExKOAU312YWX3YC42BNMNMZ6YQ8" localSheetId="33" hidden="1">#REF!</definedName>
    <definedName name="BExKOAU312YWX3YC42BNMNMZ6YQ8" localSheetId="31" hidden="1">#REF!</definedName>
    <definedName name="BExKOAU312YWX3YC42BNMNMZ6YQ8" localSheetId="32" hidden="1">#REF!</definedName>
    <definedName name="BExKOAU312YWX3YC42BNMNMZ6YQ8" hidden="1">#REF!</definedName>
    <definedName name="BExKODIZGWW2EQD0FEYW6WK6XLCM" localSheetId="30" hidden="1">#REF!</definedName>
    <definedName name="BExKODIZGWW2EQD0FEYW6WK6XLCM" localSheetId="29" hidden="1">#REF!</definedName>
    <definedName name="BExKODIZGWW2EQD0FEYW6WK6XLCM" localSheetId="33" hidden="1">#REF!</definedName>
    <definedName name="BExKODIZGWW2EQD0FEYW6WK6XLCM" localSheetId="31" hidden="1">#REF!</definedName>
    <definedName name="BExKODIZGWW2EQD0FEYW6WK6XLCM" localSheetId="32" hidden="1">#REF!</definedName>
    <definedName name="BExKODIZGWW2EQD0FEYW6WK6XLCM" hidden="1">#REF!</definedName>
    <definedName name="BExKOPO2HPWVQGAKW8LOZMPIDEFG" localSheetId="30" hidden="1">#REF!</definedName>
    <definedName name="BExKOPO2HPWVQGAKW8LOZMPIDEFG" localSheetId="29" hidden="1">#REF!</definedName>
    <definedName name="BExKOPO2HPWVQGAKW8LOZMPIDEFG" localSheetId="33" hidden="1">#REF!</definedName>
    <definedName name="BExKOPO2HPWVQGAKW8LOZMPIDEFG" localSheetId="31" hidden="1">#REF!</definedName>
    <definedName name="BExKOPO2HPWVQGAKW8LOZMPIDEFG" localSheetId="32" hidden="1">#REF!</definedName>
    <definedName name="BExKOPO2HPWVQGAKW8LOZMPIDEFG" hidden="1">#REF!</definedName>
    <definedName name="BExKPEZP0QTKOTLIMMIFSVTHQEEK" localSheetId="30" hidden="1">#REF!</definedName>
    <definedName name="BExKPEZP0QTKOTLIMMIFSVTHQEEK" localSheetId="29" hidden="1">#REF!</definedName>
    <definedName name="BExKPEZP0QTKOTLIMMIFSVTHQEEK" localSheetId="33" hidden="1">#REF!</definedName>
    <definedName name="BExKPEZP0QTKOTLIMMIFSVTHQEEK" localSheetId="31" hidden="1">#REF!</definedName>
    <definedName name="BExKPEZP0QTKOTLIMMIFSVTHQEEK" localSheetId="32" hidden="1">#REF!</definedName>
    <definedName name="BExKPEZP0QTKOTLIMMIFSVTHQEEK" hidden="1">#REF!</definedName>
    <definedName name="BExKPLQJX0HJ8OTXBXH9IC9J2V0W" localSheetId="30" hidden="1">#REF!</definedName>
    <definedName name="BExKPLQJX0HJ8OTXBXH9IC9J2V0W" localSheetId="29" hidden="1">#REF!</definedName>
    <definedName name="BExKPLQJX0HJ8OTXBXH9IC9J2V0W" localSheetId="33" hidden="1">#REF!</definedName>
    <definedName name="BExKPLQJX0HJ8OTXBXH9IC9J2V0W" localSheetId="31" hidden="1">#REF!</definedName>
    <definedName name="BExKPLQJX0HJ8OTXBXH9IC9J2V0W" localSheetId="32" hidden="1">#REF!</definedName>
    <definedName name="BExKPLQJX0HJ8OTXBXH9IC9J2V0W" hidden="1">#REF!</definedName>
    <definedName name="BExKPN8C7GN36ZJZHLOB74LU6KT0" localSheetId="30" hidden="1">#REF!</definedName>
    <definedName name="BExKPN8C7GN36ZJZHLOB74LU6KT0" localSheetId="29" hidden="1">#REF!</definedName>
    <definedName name="BExKPN8C7GN36ZJZHLOB74LU6KT0" localSheetId="33" hidden="1">#REF!</definedName>
    <definedName name="BExKPN8C7GN36ZJZHLOB74LU6KT0" localSheetId="31" hidden="1">#REF!</definedName>
    <definedName name="BExKPN8C7GN36ZJZHLOB74LU6KT0" localSheetId="32" hidden="1">#REF!</definedName>
    <definedName name="BExKPN8C7GN36ZJZHLOB74LU6KT0" hidden="1">#REF!</definedName>
    <definedName name="BExKPX9VZ1J5021Q98K60HMPJU58" localSheetId="30" hidden="1">#REF!</definedName>
    <definedName name="BExKPX9VZ1J5021Q98K60HMPJU58" localSheetId="29" hidden="1">#REF!</definedName>
    <definedName name="BExKPX9VZ1J5021Q98K60HMPJU58" localSheetId="33" hidden="1">#REF!</definedName>
    <definedName name="BExKPX9VZ1J5021Q98K60HMPJU58" localSheetId="31" hidden="1">#REF!</definedName>
    <definedName name="BExKPX9VZ1J5021Q98K60HMPJU58" localSheetId="32" hidden="1">#REF!</definedName>
    <definedName name="BExKPX9VZ1J5021Q98K60HMPJU58" hidden="1">#REF!</definedName>
    <definedName name="BExKQJGAAWNM3NT19E9I0CQDBTU0" localSheetId="30" hidden="1">#REF!</definedName>
    <definedName name="BExKQJGAAWNM3NT19E9I0CQDBTU0" localSheetId="29" hidden="1">#REF!</definedName>
    <definedName name="BExKQJGAAWNM3NT19E9I0CQDBTU0" localSheetId="33" hidden="1">#REF!</definedName>
    <definedName name="BExKQJGAAWNM3NT19E9I0CQDBTU0" localSheetId="31" hidden="1">#REF!</definedName>
    <definedName name="BExKQJGAAWNM3NT19E9I0CQDBTU0" localSheetId="32" hidden="1">#REF!</definedName>
    <definedName name="BExKQJGAAWNM3NT19E9I0CQDBTU0" hidden="1">#REF!</definedName>
    <definedName name="BExKQM5GJ1ZN5REKFE7YVBQ0KXWF" localSheetId="30" hidden="1">#REF!</definedName>
    <definedName name="BExKQM5GJ1ZN5REKFE7YVBQ0KXWF" localSheetId="29" hidden="1">#REF!</definedName>
    <definedName name="BExKQM5GJ1ZN5REKFE7YVBQ0KXWF" localSheetId="33" hidden="1">#REF!</definedName>
    <definedName name="BExKQM5GJ1ZN5REKFE7YVBQ0KXWF" localSheetId="31" hidden="1">#REF!</definedName>
    <definedName name="BExKQM5GJ1ZN5REKFE7YVBQ0KXWF" localSheetId="32" hidden="1">#REF!</definedName>
    <definedName name="BExKQM5GJ1ZN5REKFE7YVBQ0KXWF" hidden="1">#REF!</definedName>
    <definedName name="BExKQOEA7HV9U5DH9C8JXFD62EKH" localSheetId="30" hidden="1">#REF!</definedName>
    <definedName name="BExKQOEA7HV9U5DH9C8JXFD62EKH" localSheetId="29" hidden="1">#REF!</definedName>
    <definedName name="BExKQOEA7HV9U5DH9C8JXFD62EKH" localSheetId="33" hidden="1">#REF!</definedName>
    <definedName name="BExKQOEA7HV9U5DH9C8JXFD62EKH" localSheetId="31" hidden="1">#REF!</definedName>
    <definedName name="BExKQOEA7HV9U5DH9C8JXFD62EKH" localSheetId="32" hidden="1">#REF!</definedName>
    <definedName name="BExKQOEA7HV9U5DH9C8JXFD62EKH" hidden="1">#REF!</definedName>
    <definedName name="BExKQQ71278061G7ZFYGPWOMOMY2" localSheetId="30" hidden="1">#REF!</definedName>
    <definedName name="BExKQQ71278061G7ZFYGPWOMOMY2" localSheetId="29" hidden="1">#REF!</definedName>
    <definedName name="BExKQQ71278061G7ZFYGPWOMOMY2" localSheetId="33" hidden="1">#REF!</definedName>
    <definedName name="BExKQQ71278061G7ZFYGPWOMOMY2" localSheetId="31" hidden="1">#REF!</definedName>
    <definedName name="BExKQQ71278061G7ZFYGPWOMOMY2" localSheetId="32" hidden="1">#REF!</definedName>
    <definedName name="BExKQQ71278061G7ZFYGPWOMOMY2" hidden="1">#REF!</definedName>
    <definedName name="BExKQTXRG3ECU8NT47UR7643LO5G" localSheetId="30" hidden="1">#REF!</definedName>
    <definedName name="BExKQTXRG3ECU8NT47UR7643LO5G" localSheetId="29" hidden="1">#REF!</definedName>
    <definedName name="BExKQTXRG3ECU8NT47UR7643LO5G" localSheetId="33" hidden="1">#REF!</definedName>
    <definedName name="BExKQTXRG3ECU8NT47UR7643LO5G" localSheetId="31" hidden="1">#REF!</definedName>
    <definedName name="BExKQTXRG3ECU8NT47UR7643LO5G" localSheetId="32" hidden="1">#REF!</definedName>
    <definedName name="BExKQTXRG3ECU8NT47UR7643LO5G" hidden="1">#REF!</definedName>
    <definedName name="BExKQVL7HPOIZ4FHANDFMVOJLEPR" localSheetId="30" hidden="1">#REF!</definedName>
    <definedName name="BExKQVL7HPOIZ4FHANDFMVOJLEPR" localSheetId="29" hidden="1">#REF!</definedName>
    <definedName name="BExKQVL7HPOIZ4FHANDFMVOJLEPR" localSheetId="33" hidden="1">#REF!</definedName>
    <definedName name="BExKQVL7HPOIZ4FHANDFMVOJLEPR" localSheetId="31" hidden="1">#REF!</definedName>
    <definedName name="BExKQVL7HPOIZ4FHANDFMVOJLEPR" localSheetId="32" hidden="1">#REF!</definedName>
    <definedName name="BExKQVL7HPOIZ4FHANDFMVOJLEPR" hidden="1">#REF!</definedName>
    <definedName name="BExKR32XG1WY77WDT8KW9FJPGQTU" localSheetId="30" hidden="1">#REF!</definedName>
    <definedName name="BExKR32XG1WY77WDT8KW9FJPGQTU" localSheetId="29" hidden="1">#REF!</definedName>
    <definedName name="BExKR32XG1WY77WDT8KW9FJPGQTU" localSheetId="33" hidden="1">#REF!</definedName>
    <definedName name="BExKR32XG1WY77WDT8KW9FJPGQTU" localSheetId="31" hidden="1">#REF!</definedName>
    <definedName name="BExKR32XG1WY77WDT8KW9FJPGQTU" localSheetId="32" hidden="1">#REF!</definedName>
    <definedName name="BExKR32XG1WY77WDT8KW9FJPGQTU" hidden="1">#REF!</definedName>
    <definedName name="BExKR8RZSEHW184G0Z56B4EGNU72" localSheetId="30" hidden="1">#REF!</definedName>
    <definedName name="BExKR8RZSEHW184G0Z56B4EGNU72" localSheetId="29" hidden="1">#REF!</definedName>
    <definedName name="BExKR8RZSEHW184G0Z56B4EGNU72" localSheetId="33" hidden="1">#REF!</definedName>
    <definedName name="BExKR8RZSEHW184G0Z56B4EGNU72" localSheetId="31" hidden="1">#REF!</definedName>
    <definedName name="BExKR8RZSEHW184G0Z56B4EGNU72" localSheetId="32" hidden="1">#REF!</definedName>
    <definedName name="BExKR8RZSEHW184G0Z56B4EGNU72" hidden="1">#REF!</definedName>
    <definedName name="BExKRVUSQ6PA7ZYQSTEQL3X7PB9P" localSheetId="30" hidden="1">#REF!</definedName>
    <definedName name="BExKRVUSQ6PA7ZYQSTEQL3X7PB9P" localSheetId="29" hidden="1">#REF!</definedName>
    <definedName name="BExKRVUSQ6PA7ZYQSTEQL3X7PB9P" localSheetId="33" hidden="1">#REF!</definedName>
    <definedName name="BExKRVUSQ6PA7ZYQSTEQL3X7PB9P" localSheetId="31" hidden="1">#REF!</definedName>
    <definedName name="BExKRVUSQ6PA7ZYQSTEQL3X7PB9P" localSheetId="32" hidden="1">#REF!</definedName>
    <definedName name="BExKRVUSQ6PA7ZYQSTEQL3X7PB9P" hidden="1">#REF!</definedName>
    <definedName name="BExKRY3KZ7F7RB2KH8HXSQ85IEQO" localSheetId="30" hidden="1">#REF!</definedName>
    <definedName name="BExKRY3KZ7F7RB2KH8HXSQ85IEQO" localSheetId="29" hidden="1">#REF!</definedName>
    <definedName name="BExKRY3KZ7F7RB2KH8HXSQ85IEQO" localSheetId="33" hidden="1">#REF!</definedName>
    <definedName name="BExKRY3KZ7F7RB2KH8HXSQ85IEQO" localSheetId="31" hidden="1">#REF!</definedName>
    <definedName name="BExKRY3KZ7F7RB2KH8HXSQ85IEQO" localSheetId="32" hidden="1">#REF!</definedName>
    <definedName name="BExKRY3KZ7F7RB2KH8HXSQ85IEQO" hidden="1">#REF!</definedName>
    <definedName name="BExKSA37DZTCK6H13HPIKR0ZFVL8" localSheetId="30" hidden="1">#REF!</definedName>
    <definedName name="BExKSA37DZTCK6H13HPIKR0ZFVL8" localSheetId="29" hidden="1">#REF!</definedName>
    <definedName name="BExKSA37DZTCK6H13HPIKR0ZFVL8" localSheetId="33" hidden="1">#REF!</definedName>
    <definedName name="BExKSA37DZTCK6H13HPIKR0ZFVL8" localSheetId="31" hidden="1">#REF!</definedName>
    <definedName name="BExKSA37DZTCK6H13HPIKR0ZFVL8" localSheetId="32" hidden="1">#REF!</definedName>
    <definedName name="BExKSA37DZTCK6H13HPIKR0ZFVL8" hidden="1">#REF!</definedName>
    <definedName name="BExKSFMOMSZYDE0WNC94F40S6636" localSheetId="30" hidden="1">#REF!</definedName>
    <definedName name="BExKSFMOMSZYDE0WNC94F40S6636" localSheetId="29" hidden="1">#REF!</definedName>
    <definedName name="BExKSFMOMSZYDE0WNC94F40S6636" localSheetId="33" hidden="1">#REF!</definedName>
    <definedName name="BExKSFMOMSZYDE0WNC94F40S6636" localSheetId="31" hidden="1">#REF!</definedName>
    <definedName name="BExKSFMOMSZYDE0WNC94F40S6636" localSheetId="32" hidden="1">#REF!</definedName>
    <definedName name="BExKSFMOMSZYDE0WNC94F40S6636" hidden="1">#REF!</definedName>
    <definedName name="BExKSHQ9K79S8KYUWIV5M5LAHHF1" localSheetId="30" hidden="1">#REF!</definedName>
    <definedName name="BExKSHQ9K79S8KYUWIV5M5LAHHF1" localSheetId="29" hidden="1">#REF!</definedName>
    <definedName name="BExKSHQ9K79S8KYUWIV5M5LAHHF1" localSheetId="33" hidden="1">#REF!</definedName>
    <definedName name="BExKSHQ9K79S8KYUWIV5M5LAHHF1" localSheetId="31" hidden="1">#REF!</definedName>
    <definedName name="BExKSHQ9K79S8KYUWIV5M5LAHHF1" localSheetId="32" hidden="1">#REF!</definedName>
    <definedName name="BExKSHQ9K79S8KYUWIV5M5LAHHF1" hidden="1">#REF!</definedName>
    <definedName name="BExKSIS3VA1NCEFCZZSIK8B3YIBZ" localSheetId="30" hidden="1">#REF!</definedName>
    <definedName name="BExKSIS3VA1NCEFCZZSIK8B3YIBZ" localSheetId="29" hidden="1">#REF!</definedName>
    <definedName name="BExKSIS3VA1NCEFCZZSIK8B3YIBZ" localSheetId="33" hidden="1">#REF!</definedName>
    <definedName name="BExKSIS3VA1NCEFCZZSIK8B3YIBZ" localSheetId="31" hidden="1">#REF!</definedName>
    <definedName name="BExKSIS3VA1NCEFCZZSIK8B3YIBZ" localSheetId="32" hidden="1">#REF!</definedName>
    <definedName name="BExKSIS3VA1NCEFCZZSIK8B3YIBZ" hidden="1">#REF!</definedName>
    <definedName name="BExKSJTWG9L3FCX8FLK4EMUJMF27" localSheetId="30" hidden="1">#REF!</definedName>
    <definedName name="BExKSJTWG9L3FCX8FLK4EMUJMF27" localSheetId="29" hidden="1">#REF!</definedName>
    <definedName name="BExKSJTWG9L3FCX8FLK4EMUJMF27" localSheetId="33" hidden="1">#REF!</definedName>
    <definedName name="BExKSJTWG9L3FCX8FLK4EMUJMF27" localSheetId="31" hidden="1">#REF!</definedName>
    <definedName name="BExKSJTWG9L3FCX8FLK4EMUJMF27" localSheetId="32" hidden="1">#REF!</definedName>
    <definedName name="BExKSJTWG9L3FCX8FLK4EMUJMF27" hidden="1">#REF!</definedName>
    <definedName name="BExKSU0MKNAVZYYPKCYTZDWQX4R8" localSheetId="30" hidden="1">#REF!</definedName>
    <definedName name="BExKSU0MKNAVZYYPKCYTZDWQX4R8" localSheetId="29" hidden="1">#REF!</definedName>
    <definedName name="BExKSU0MKNAVZYYPKCYTZDWQX4R8" localSheetId="33" hidden="1">#REF!</definedName>
    <definedName name="BExKSU0MKNAVZYYPKCYTZDWQX4R8" localSheetId="31" hidden="1">#REF!</definedName>
    <definedName name="BExKSU0MKNAVZYYPKCYTZDWQX4R8" localSheetId="32" hidden="1">#REF!</definedName>
    <definedName name="BExKSU0MKNAVZYYPKCYTZDWQX4R8" hidden="1">#REF!</definedName>
    <definedName name="BExKSX60G1MUS689FXIGYP2F7C62" localSheetId="30" hidden="1">#REF!</definedName>
    <definedName name="BExKSX60G1MUS689FXIGYP2F7C62" localSheetId="29" hidden="1">#REF!</definedName>
    <definedName name="BExKSX60G1MUS689FXIGYP2F7C62" localSheetId="33" hidden="1">#REF!</definedName>
    <definedName name="BExKSX60G1MUS689FXIGYP2F7C62" localSheetId="31" hidden="1">#REF!</definedName>
    <definedName name="BExKSX60G1MUS689FXIGYP2F7C62" localSheetId="32" hidden="1">#REF!</definedName>
    <definedName name="BExKSX60G1MUS689FXIGYP2F7C62" hidden="1">#REF!</definedName>
    <definedName name="BExKT2UZ7Y2VWF5NQE18SJRLD2RN" localSheetId="30" hidden="1">#REF!</definedName>
    <definedName name="BExKT2UZ7Y2VWF5NQE18SJRLD2RN" localSheetId="29" hidden="1">#REF!</definedName>
    <definedName name="BExKT2UZ7Y2VWF5NQE18SJRLD2RN" localSheetId="33" hidden="1">#REF!</definedName>
    <definedName name="BExKT2UZ7Y2VWF5NQE18SJRLD2RN" localSheetId="31" hidden="1">#REF!</definedName>
    <definedName name="BExKT2UZ7Y2VWF5NQE18SJRLD2RN" localSheetId="32" hidden="1">#REF!</definedName>
    <definedName name="BExKT2UZ7Y2VWF5NQE18SJRLD2RN" hidden="1">#REF!</definedName>
    <definedName name="BExKT3GJFNGAM09H5F615E36A38C" localSheetId="30" hidden="1">#REF!</definedName>
    <definedName name="BExKT3GJFNGAM09H5F615E36A38C" localSheetId="29" hidden="1">#REF!</definedName>
    <definedName name="BExKT3GJFNGAM09H5F615E36A38C" localSheetId="33" hidden="1">#REF!</definedName>
    <definedName name="BExKT3GJFNGAM09H5F615E36A38C" localSheetId="31" hidden="1">#REF!</definedName>
    <definedName name="BExKT3GJFNGAM09H5F615E36A38C" localSheetId="32" hidden="1">#REF!</definedName>
    <definedName name="BExKT3GJFNGAM09H5F615E36A38C" hidden="1">#REF!</definedName>
    <definedName name="BExKTEJMHZUTSOU617JHMJX7OYNZ" localSheetId="30" hidden="1">#REF!</definedName>
    <definedName name="BExKTEJMHZUTSOU617JHMJX7OYNZ" localSheetId="29" hidden="1">#REF!</definedName>
    <definedName name="BExKTEJMHZUTSOU617JHMJX7OYNZ" localSheetId="33" hidden="1">#REF!</definedName>
    <definedName name="BExKTEJMHZUTSOU617JHMJX7OYNZ" localSheetId="31" hidden="1">#REF!</definedName>
    <definedName name="BExKTEJMHZUTSOU617JHMJX7OYNZ" localSheetId="32" hidden="1">#REF!</definedName>
    <definedName name="BExKTEJMHZUTSOU617JHMJX7OYNZ" hidden="1">#REF!</definedName>
    <definedName name="BExKTQZGN8GI3XGSEXMPCCA3S19H" localSheetId="30" hidden="1">#REF!</definedName>
    <definedName name="BExKTQZGN8GI3XGSEXMPCCA3S19H" localSheetId="29" hidden="1">#REF!</definedName>
    <definedName name="BExKTQZGN8GI3XGSEXMPCCA3S19H" localSheetId="33" hidden="1">#REF!</definedName>
    <definedName name="BExKTQZGN8GI3XGSEXMPCCA3S19H" localSheetId="31" hidden="1">#REF!</definedName>
    <definedName name="BExKTQZGN8GI3XGSEXMPCCA3S19H" localSheetId="32" hidden="1">#REF!</definedName>
    <definedName name="BExKTQZGN8GI3XGSEXMPCCA3S19H" hidden="1">#REF!</definedName>
    <definedName name="BExKTSXP1VRHPT4E7YFWTG9HSIA3" localSheetId="30" hidden="1">#REF!</definedName>
    <definedName name="BExKTSXP1VRHPT4E7YFWTG9HSIA3" localSheetId="29" hidden="1">#REF!</definedName>
    <definedName name="BExKTSXP1VRHPT4E7YFWTG9HSIA3" localSheetId="33" hidden="1">#REF!</definedName>
    <definedName name="BExKTSXP1VRHPT4E7YFWTG9HSIA3" localSheetId="31" hidden="1">#REF!</definedName>
    <definedName name="BExKTSXP1VRHPT4E7YFWTG9HSIA3" localSheetId="32" hidden="1">#REF!</definedName>
    <definedName name="BExKTSXP1VRHPT4E7YFWTG9HSIA3" hidden="1">#REF!</definedName>
    <definedName name="BExKTUKYYU0F6TUW1RXV24LRAZFE" localSheetId="30" hidden="1">#REF!</definedName>
    <definedName name="BExKTUKYYU0F6TUW1RXV24LRAZFE" localSheetId="29" hidden="1">#REF!</definedName>
    <definedName name="BExKTUKYYU0F6TUW1RXV24LRAZFE" localSheetId="33" hidden="1">#REF!</definedName>
    <definedName name="BExKTUKYYU0F6TUW1RXV24LRAZFE" localSheetId="31" hidden="1">#REF!</definedName>
    <definedName name="BExKTUKYYU0F6TUW1RXV24LRAZFE" localSheetId="32" hidden="1">#REF!</definedName>
    <definedName name="BExKTUKYYU0F6TUW1RXV24LRAZFE" hidden="1">#REF!</definedName>
    <definedName name="BExKU3FBLHQBIUTN6XEZW5GC9OG1" localSheetId="30" hidden="1">#REF!</definedName>
    <definedName name="BExKU3FBLHQBIUTN6XEZW5GC9OG1" localSheetId="29" hidden="1">#REF!</definedName>
    <definedName name="BExKU3FBLHQBIUTN6XEZW5GC9OG1" localSheetId="33" hidden="1">#REF!</definedName>
    <definedName name="BExKU3FBLHQBIUTN6XEZW5GC9OG1" localSheetId="31" hidden="1">#REF!</definedName>
    <definedName name="BExKU3FBLHQBIUTN6XEZW5GC9OG1" localSheetId="32" hidden="1">#REF!</definedName>
    <definedName name="BExKU3FBLHQBIUTN6XEZW5GC9OG1" hidden="1">#REF!</definedName>
    <definedName name="BExKU82I99FEUIZLODXJDOJC96CQ" localSheetId="30" hidden="1">#REF!</definedName>
    <definedName name="BExKU82I99FEUIZLODXJDOJC96CQ" localSheetId="29" hidden="1">#REF!</definedName>
    <definedName name="BExKU82I99FEUIZLODXJDOJC96CQ" localSheetId="33" hidden="1">#REF!</definedName>
    <definedName name="BExKU82I99FEUIZLODXJDOJC96CQ" localSheetId="31" hidden="1">#REF!</definedName>
    <definedName name="BExKU82I99FEUIZLODXJDOJC96CQ" localSheetId="32" hidden="1">#REF!</definedName>
    <definedName name="BExKU82I99FEUIZLODXJDOJC96CQ" hidden="1">#REF!</definedName>
    <definedName name="BExKUDM0DFSCM3D91SH0XLXJSL18" localSheetId="30" hidden="1">#REF!</definedName>
    <definedName name="BExKUDM0DFSCM3D91SH0XLXJSL18" localSheetId="29" hidden="1">#REF!</definedName>
    <definedName name="BExKUDM0DFSCM3D91SH0XLXJSL18" localSheetId="33" hidden="1">#REF!</definedName>
    <definedName name="BExKUDM0DFSCM3D91SH0XLXJSL18" localSheetId="31" hidden="1">#REF!</definedName>
    <definedName name="BExKUDM0DFSCM3D91SH0XLXJSL18" localSheetId="32" hidden="1">#REF!</definedName>
    <definedName name="BExKUDM0DFSCM3D91SH0XLXJSL18" hidden="1">#REF!</definedName>
    <definedName name="BExKULEKJLA77AUQPDUHSM94Y76Z" localSheetId="30" hidden="1">#REF!</definedName>
    <definedName name="BExKULEKJLA77AUQPDUHSM94Y76Z" localSheetId="29" hidden="1">#REF!</definedName>
    <definedName name="BExKULEKJLA77AUQPDUHSM94Y76Z" localSheetId="33" hidden="1">#REF!</definedName>
    <definedName name="BExKULEKJLA77AUQPDUHSM94Y76Z" localSheetId="31" hidden="1">#REF!</definedName>
    <definedName name="BExKULEKJLA77AUQPDUHSM94Y76Z" localSheetId="32" hidden="1">#REF!</definedName>
    <definedName name="BExKULEKJLA77AUQPDUHSM94Y76Z" hidden="1">#REF!</definedName>
    <definedName name="BExKV08R85MKI3MAX9E2HERNQUNL" localSheetId="30" hidden="1">#REF!</definedName>
    <definedName name="BExKV08R85MKI3MAX9E2HERNQUNL" localSheetId="29" hidden="1">#REF!</definedName>
    <definedName name="BExKV08R85MKI3MAX9E2HERNQUNL" localSheetId="33" hidden="1">#REF!</definedName>
    <definedName name="BExKV08R85MKI3MAX9E2HERNQUNL" localSheetId="31" hidden="1">#REF!</definedName>
    <definedName name="BExKV08R85MKI3MAX9E2HERNQUNL" localSheetId="32" hidden="1">#REF!</definedName>
    <definedName name="BExKV08R85MKI3MAX9E2HERNQUNL" hidden="1">#REF!</definedName>
    <definedName name="BExKV0UBTQBLIIVL0OSBEYGIHZP5" localSheetId="30" hidden="1">#REF!</definedName>
    <definedName name="BExKV0UBTQBLIIVL0OSBEYGIHZP5" localSheetId="29" hidden="1">#REF!</definedName>
    <definedName name="BExKV0UBTQBLIIVL0OSBEYGIHZP5" localSheetId="33" hidden="1">#REF!</definedName>
    <definedName name="BExKV0UBTQBLIIVL0OSBEYGIHZP5" localSheetId="31" hidden="1">#REF!</definedName>
    <definedName name="BExKV0UBTQBLIIVL0OSBEYGIHZP5" localSheetId="32" hidden="1">#REF!</definedName>
    <definedName name="BExKV0UBTQBLIIVL0OSBEYGIHZP5" hidden="1">#REF!</definedName>
    <definedName name="BExKV4AAUNNJL5JWD7PX6BFKVS6O" localSheetId="30" hidden="1">#REF!</definedName>
    <definedName name="BExKV4AAUNNJL5JWD7PX6BFKVS6O" localSheetId="29" hidden="1">#REF!</definedName>
    <definedName name="BExKV4AAUNNJL5JWD7PX6BFKVS6O" localSheetId="33" hidden="1">#REF!</definedName>
    <definedName name="BExKV4AAUNNJL5JWD7PX6BFKVS6O" localSheetId="31" hidden="1">#REF!</definedName>
    <definedName name="BExKV4AAUNNJL5JWD7PX6BFKVS6O" localSheetId="32" hidden="1">#REF!</definedName>
    <definedName name="BExKV4AAUNNJL5JWD7PX6BFKVS6O" hidden="1">#REF!</definedName>
    <definedName name="BExKVDVK6HN74GQPTXICP9BFC8CF" localSheetId="30" hidden="1">#REF!</definedName>
    <definedName name="BExKVDVK6HN74GQPTXICP9BFC8CF" localSheetId="29" hidden="1">#REF!</definedName>
    <definedName name="BExKVDVK6HN74GQPTXICP9BFC8CF" localSheetId="33" hidden="1">#REF!</definedName>
    <definedName name="BExKVDVK6HN74GQPTXICP9BFC8CF" localSheetId="31" hidden="1">#REF!</definedName>
    <definedName name="BExKVDVK6HN74GQPTXICP9BFC8CF" localSheetId="32" hidden="1">#REF!</definedName>
    <definedName name="BExKVDVK6HN74GQPTXICP9BFC8CF" hidden="1">#REF!</definedName>
    <definedName name="BExKVFZ3ZZGIC1QI8XN6BYFWN0ZY" localSheetId="30" hidden="1">#REF!</definedName>
    <definedName name="BExKVFZ3ZZGIC1QI8XN6BYFWN0ZY" localSheetId="29" hidden="1">#REF!</definedName>
    <definedName name="BExKVFZ3ZZGIC1QI8XN6BYFWN0ZY" localSheetId="33" hidden="1">#REF!</definedName>
    <definedName name="BExKVFZ3ZZGIC1QI8XN6BYFWN0ZY" localSheetId="31" hidden="1">#REF!</definedName>
    <definedName name="BExKVFZ3ZZGIC1QI8XN6BYFWN0ZY" localSheetId="32" hidden="1">#REF!</definedName>
    <definedName name="BExKVFZ3ZZGIC1QI8XN6BYFWN0ZY" hidden="1">#REF!</definedName>
    <definedName name="BExKVG4KGO28KPGTAFL1R8TTZ10N" localSheetId="30" hidden="1">#REF!</definedName>
    <definedName name="BExKVG4KGO28KPGTAFL1R8TTZ10N" localSheetId="29" hidden="1">#REF!</definedName>
    <definedName name="BExKVG4KGO28KPGTAFL1R8TTZ10N" localSheetId="33" hidden="1">#REF!</definedName>
    <definedName name="BExKVG4KGO28KPGTAFL1R8TTZ10N" localSheetId="31" hidden="1">#REF!</definedName>
    <definedName name="BExKVG4KGO28KPGTAFL1R8TTZ10N" localSheetId="32" hidden="1">#REF!</definedName>
    <definedName name="BExKVG4KGO28KPGTAFL1R8TTZ10N" hidden="1">#REF!</definedName>
    <definedName name="BExKW0CSH7DA02YSNV64PSEIXB2P" localSheetId="30" hidden="1">#REF!</definedName>
    <definedName name="BExKW0CSH7DA02YSNV64PSEIXB2P" localSheetId="29" hidden="1">#REF!</definedName>
    <definedName name="BExKW0CSH7DA02YSNV64PSEIXB2P" localSheetId="33" hidden="1">#REF!</definedName>
    <definedName name="BExKW0CSH7DA02YSNV64PSEIXB2P" localSheetId="31" hidden="1">#REF!</definedName>
    <definedName name="BExKW0CSH7DA02YSNV64PSEIXB2P" localSheetId="32" hidden="1">#REF!</definedName>
    <definedName name="BExKW0CSH7DA02YSNV64PSEIXB2P" hidden="1">#REF!</definedName>
    <definedName name="BExM942CKGFJGSXHAOPRPJOZCW4D" localSheetId="30" hidden="1">#REF!</definedName>
    <definedName name="BExM942CKGFJGSXHAOPRPJOZCW4D" localSheetId="29" hidden="1">#REF!</definedName>
    <definedName name="BExM942CKGFJGSXHAOPRPJOZCW4D" localSheetId="33" hidden="1">#REF!</definedName>
    <definedName name="BExM942CKGFJGSXHAOPRPJOZCW4D" localSheetId="31" hidden="1">#REF!</definedName>
    <definedName name="BExM942CKGFJGSXHAOPRPJOZCW4D" localSheetId="32" hidden="1">#REF!</definedName>
    <definedName name="BExM942CKGFJGSXHAOPRPJOZCW4D" hidden="1">#REF!</definedName>
    <definedName name="BExM9A24Z9BQ1YYEX9UZ6S2GZOV0" localSheetId="30" hidden="1">#REF!</definedName>
    <definedName name="BExM9A24Z9BQ1YYEX9UZ6S2GZOV0" localSheetId="29" hidden="1">#REF!</definedName>
    <definedName name="BExM9A24Z9BQ1YYEX9UZ6S2GZOV0" localSheetId="33" hidden="1">#REF!</definedName>
    <definedName name="BExM9A24Z9BQ1YYEX9UZ6S2GZOV0" localSheetId="31" hidden="1">#REF!</definedName>
    <definedName name="BExM9A24Z9BQ1YYEX9UZ6S2GZOV0" localSheetId="32" hidden="1">#REF!</definedName>
    <definedName name="BExM9A24Z9BQ1YYEX9UZ6S2GZOV0" hidden="1">#REF!</definedName>
    <definedName name="BExM9NUG3Q31X01AI9ZJCZIX25CS" localSheetId="30" hidden="1">#REF!</definedName>
    <definedName name="BExM9NUG3Q31X01AI9ZJCZIX25CS" localSheetId="29" hidden="1">#REF!</definedName>
    <definedName name="BExM9NUG3Q31X01AI9ZJCZIX25CS" localSheetId="33" hidden="1">#REF!</definedName>
    <definedName name="BExM9NUG3Q31X01AI9ZJCZIX25CS" localSheetId="31" hidden="1">#REF!</definedName>
    <definedName name="BExM9NUG3Q31X01AI9ZJCZIX25CS" localSheetId="32" hidden="1">#REF!</definedName>
    <definedName name="BExM9NUG3Q31X01AI9ZJCZIX25CS" hidden="1">#REF!</definedName>
    <definedName name="BExM9OG182RP30MY23PG49LVPZ1C" localSheetId="30" hidden="1">#REF!</definedName>
    <definedName name="BExM9OG182RP30MY23PG49LVPZ1C" localSheetId="29" hidden="1">#REF!</definedName>
    <definedName name="BExM9OG182RP30MY23PG49LVPZ1C" localSheetId="33" hidden="1">#REF!</definedName>
    <definedName name="BExM9OG182RP30MY23PG49LVPZ1C" localSheetId="31" hidden="1">#REF!</definedName>
    <definedName name="BExM9OG182RP30MY23PG49LVPZ1C" localSheetId="32" hidden="1">#REF!</definedName>
    <definedName name="BExM9OG182RP30MY23PG49LVPZ1C" hidden="1">#REF!</definedName>
    <definedName name="BExMA64MW1S18NH8DCKPCCEI5KCB" localSheetId="30" hidden="1">#REF!</definedName>
    <definedName name="BExMA64MW1S18NH8DCKPCCEI5KCB" localSheetId="29" hidden="1">#REF!</definedName>
    <definedName name="BExMA64MW1S18NH8DCKPCCEI5KCB" localSheetId="33" hidden="1">#REF!</definedName>
    <definedName name="BExMA64MW1S18NH8DCKPCCEI5KCB" localSheetId="31" hidden="1">#REF!</definedName>
    <definedName name="BExMA64MW1S18NH8DCKPCCEI5KCB" localSheetId="32" hidden="1">#REF!</definedName>
    <definedName name="BExMA64MW1S18NH8DCKPCCEI5KCB" hidden="1">#REF!</definedName>
    <definedName name="BExMALEWFUEM8Y686IT03ECURUBR" localSheetId="30" hidden="1">#REF!</definedName>
    <definedName name="BExMALEWFUEM8Y686IT03ECURUBR" localSheetId="29" hidden="1">#REF!</definedName>
    <definedName name="BExMALEWFUEM8Y686IT03ECURUBR" localSheetId="33" hidden="1">#REF!</definedName>
    <definedName name="BExMALEWFUEM8Y686IT03ECURUBR" localSheetId="31" hidden="1">#REF!</definedName>
    <definedName name="BExMALEWFUEM8Y686IT03ECURUBR" localSheetId="32" hidden="1">#REF!</definedName>
    <definedName name="BExMALEWFUEM8Y686IT03ECURUBR" hidden="1">#REF!</definedName>
    <definedName name="BExMAXJS82ZJ8RS22VLE0V0LDUII" localSheetId="30" hidden="1">#REF!</definedName>
    <definedName name="BExMAXJS82ZJ8RS22VLE0V0LDUII" localSheetId="29" hidden="1">#REF!</definedName>
    <definedName name="BExMAXJS82ZJ8RS22VLE0V0LDUII" localSheetId="33" hidden="1">#REF!</definedName>
    <definedName name="BExMAXJS82ZJ8RS22VLE0V0LDUII" localSheetId="31" hidden="1">#REF!</definedName>
    <definedName name="BExMAXJS82ZJ8RS22VLE0V0LDUII" localSheetId="32" hidden="1">#REF!</definedName>
    <definedName name="BExMAXJS82ZJ8RS22VLE0V0LDUII" hidden="1">#REF!</definedName>
    <definedName name="BExMB4QRS0R3MTB4CMUHFZ84LNZQ" localSheetId="30" hidden="1">#REF!</definedName>
    <definedName name="BExMB4QRS0R3MTB4CMUHFZ84LNZQ" localSheetId="29" hidden="1">#REF!</definedName>
    <definedName name="BExMB4QRS0R3MTB4CMUHFZ84LNZQ" localSheetId="33" hidden="1">#REF!</definedName>
    <definedName name="BExMB4QRS0R3MTB4CMUHFZ84LNZQ" localSheetId="31" hidden="1">#REF!</definedName>
    <definedName name="BExMB4QRS0R3MTB4CMUHFZ84LNZQ" localSheetId="32" hidden="1">#REF!</definedName>
    <definedName name="BExMB4QRS0R3MTB4CMUHFZ84LNZQ" hidden="1">#REF!</definedName>
    <definedName name="BExMBC35WKQY5CWQJLV4D05O6971" localSheetId="30" hidden="1">#REF!</definedName>
    <definedName name="BExMBC35WKQY5CWQJLV4D05O6971" localSheetId="29" hidden="1">#REF!</definedName>
    <definedName name="BExMBC35WKQY5CWQJLV4D05O6971" localSheetId="33" hidden="1">#REF!</definedName>
    <definedName name="BExMBC35WKQY5CWQJLV4D05O6971" localSheetId="31" hidden="1">#REF!</definedName>
    <definedName name="BExMBC35WKQY5CWQJLV4D05O6971" localSheetId="32" hidden="1">#REF!</definedName>
    <definedName name="BExMBC35WKQY5CWQJLV4D05O6971" hidden="1">#REF!</definedName>
    <definedName name="BExMBFTZV4Q1A5KG25C1N9PHQNSW" localSheetId="30" hidden="1">#REF!</definedName>
    <definedName name="BExMBFTZV4Q1A5KG25C1N9PHQNSW" localSheetId="29" hidden="1">#REF!</definedName>
    <definedName name="BExMBFTZV4Q1A5KG25C1N9PHQNSW" localSheetId="33" hidden="1">#REF!</definedName>
    <definedName name="BExMBFTZV4Q1A5KG25C1N9PHQNSW" localSheetId="31" hidden="1">#REF!</definedName>
    <definedName name="BExMBFTZV4Q1A5KG25C1N9PHQNSW" localSheetId="32" hidden="1">#REF!</definedName>
    <definedName name="BExMBFTZV4Q1A5KG25C1N9PHQNSW" hidden="1">#REF!</definedName>
    <definedName name="BExMBK6ISK3U7KHZKUJXIDKGF6VW" localSheetId="30" hidden="1">#REF!</definedName>
    <definedName name="BExMBK6ISK3U7KHZKUJXIDKGF6VW" localSheetId="29" hidden="1">#REF!</definedName>
    <definedName name="BExMBK6ISK3U7KHZKUJXIDKGF6VW" localSheetId="33" hidden="1">#REF!</definedName>
    <definedName name="BExMBK6ISK3U7KHZKUJXIDKGF6VW" localSheetId="31" hidden="1">#REF!</definedName>
    <definedName name="BExMBK6ISK3U7KHZKUJXIDKGF6VW" localSheetId="32" hidden="1">#REF!</definedName>
    <definedName name="BExMBK6ISK3U7KHZKUJXIDKGF6VW" hidden="1">#REF!</definedName>
    <definedName name="BExMBYPQDG9AYDQ5E8IECVFREPO6" localSheetId="30" hidden="1">#REF!</definedName>
    <definedName name="BExMBYPQDG9AYDQ5E8IECVFREPO6" localSheetId="29" hidden="1">#REF!</definedName>
    <definedName name="BExMBYPQDG9AYDQ5E8IECVFREPO6" localSheetId="33" hidden="1">#REF!</definedName>
    <definedName name="BExMBYPQDG9AYDQ5E8IECVFREPO6" localSheetId="31" hidden="1">#REF!</definedName>
    <definedName name="BExMBYPQDG9AYDQ5E8IECVFREPO6" localSheetId="32" hidden="1">#REF!</definedName>
    <definedName name="BExMBYPQDG9AYDQ5E8IECVFREPO6" hidden="1">#REF!</definedName>
    <definedName name="BExMC8AZUTX8LG89K2JJR7ZG62XX" localSheetId="30" hidden="1">#REF!</definedName>
    <definedName name="BExMC8AZUTX8LG89K2JJR7ZG62XX" localSheetId="29" hidden="1">#REF!</definedName>
    <definedName name="BExMC8AZUTX8LG89K2JJR7ZG62XX" localSheetId="33" hidden="1">#REF!</definedName>
    <definedName name="BExMC8AZUTX8LG89K2JJR7ZG62XX" localSheetId="31" hidden="1">#REF!</definedName>
    <definedName name="BExMC8AZUTX8LG89K2JJR7ZG62XX" localSheetId="32" hidden="1">#REF!</definedName>
    <definedName name="BExMC8AZUTX8LG89K2JJR7ZG62XX" hidden="1">#REF!</definedName>
    <definedName name="BExMCA96YR10V72G2R0SCIKPZLIZ" localSheetId="30" hidden="1">#REF!</definedName>
    <definedName name="BExMCA96YR10V72G2R0SCIKPZLIZ" localSheetId="29" hidden="1">#REF!</definedName>
    <definedName name="BExMCA96YR10V72G2R0SCIKPZLIZ" localSheetId="33" hidden="1">#REF!</definedName>
    <definedName name="BExMCA96YR10V72G2R0SCIKPZLIZ" localSheetId="31" hidden="1">#REF!</definedName>
    <definedName name="BExMCA96YR10V72G2R0SCIKPZLIZ" localSheetId="32" hidden="1">#REF!</definedName>
    <definedName name="BExMCA96YR10V72G2R0SCIKPZLIZ" hidden="1">#REF!</definedName>
    <definedName name="BExMCB5JU5I2VQDUBS4O42BTEVKI" localSheetId="30" hidden="1">#REF!</definedName>
    <definedName name="BExMCB5JU5I2VQDUBS4O42BTEVKI" localSheetId="29" hidden="1">#REF!</definedName>
    <definedName name="BExMCB5JU5I2VQDUBS4O42BTEVKI" localSheetId="33" hidden="1">#REF!</definedName>
    <definedName name="BExMCB5JU5I2VQDUBS4O42BTEVKI" localSheetId="31" hidden="1">#REF!</definedName>
    <definedName name="BExMCB5JU5I2VQDUBS4O42BTEVKI" localSheetId="32" hidden="1">#REF!</definedName>
    <definedName name="BExMCB5JU5I2VQDUBS4O42BTEVKI" hidden="1">#REF!</definedName>
    <definedName name="BExMCFSQFSEMPY5IXDIRKZDASDBR" localSheetId="30" hidden="1">#REF!</definedName>
    <definedName name="BExMCFSQFSEMPY5IXDIRKZDASDBR" localSheetId="29" hidden="1">#REF!</definedName>
    <definedName name="BExMCFSQFSEMPY5IXDIRKZDASDBR" localSheetId="33" hidden="1">#REF!</definedName>
    <definedName name="BExMCFSQFSEMPY5IXDIRKZDASDBR" localSheetId="31" hidden="1">#REF!</definedName>
    <definedName name="BExMCFSQFSEMPY5IXDIRKZDASDBR" localSheetId="32" hidden="1">#REF!</definedName>
    <definedName name="BExMCFSQFSEMPY5IXDIRKZDASDBR" hidden="1">#REF!</definedName>
    <definedName name="BExMCMZOEYWVOOJ98TBHTTCS7XB8" localSheetId="30" hidden="1">#REF!</definedName>
    <definedName name="BExMCMZOEYWVOOJ98TBHTTCS7XB8" localSheetId="29" hidden="1">#REF!</definedName>
    <definedName name="BExMCMZOEYWVOOJ98TBHTTCS7XB8" localSheetId="33" hidden="1">#REF!</definedName>
    <definedName name="BExMCMZOEYWVOOJ98TBHTTCS7XB8" localSheetId="31" hidden="1">#REF!</definedName>
    <definedName name="BExMCMZOEYWVOOJ98TBHTTCS7XB8" localSheetId="32" hidden="1">#REF!</definedName>
    <definedName name="BExMCMZOEYWVOOJ98TBHTTCS7XB8" hidden="1">#REF!</definedName>
    <definedName name="BExMCS8EF2W3FS9QADNKREYSI8P0" localSheetId="30" hidden="1">#REF!</definedName>
    <definedName name="BExMCS8EF2W3FS9QADNKREYSI8P0" localSheetId="29" hidden="1">#REF!</definedName>
    <definedName name="BExMCS8EF2W3FS9QADNKREYSI8P0" localSheetId="33" hidden="1">#REF!</definedName>
    <definedName name="BExMCS8EF2W3FS9QADNKREYSI8P0" localSheetId="31" hidden="1">#REF!</definedName>
    <definedName name="BExMCS8EF2W3FS9QADNKREYSI8P0" localSheetId="32" hidden="1">#REF!</definedName>
    <definedName name="BExMCS8EF2W3FS9QADNKREYSI8P0" hidden="1">#REF!</definedName>
    <definedName name="BExMCUS7GSOM96J0HJ7EH0FFM2AC" localSheetId="30" hidden="1">#REF!</definedName>
    <definedName name="BExMCUS7GSOM96J0HJ7EH0FFM2AC" localSheetId="29" hidden="1">#REF!</definedName>
    <definedName name="BExMCUS7GSOM96J0HJ7EH0FFM2AC" localSheetId="33" hidden="1">#REF!</definedName>
    <definedName name="BExMCUS7GSOM96J0HJ7EH0FFM2AC" localSheetId="31" hidden="1">#REF!</definedName>
    <definedName name="BExMCUS7GSOM96J0HJ7EH0FFM2AC" localSheetId="32" hidden="1">#REF!</definedName>
    <definedName name="BExMCUS7GSOM96J0HJ7EH0FFM2AC" hidden="1">#REF!</definedName>
    <definedName name="BExMCYTT6TVDWMJXO1NZANRTVNAN" localSheetId="30" hidden="1">#REF!</definedName>
    <definedName name="BExMCYTT6TVDWMJXO1NZANRTVNAN" localSheetId="29" hidden="1">#REF!</definedName>
    <definedName name="BExMCYTT6TVDWMJXO1NZANRTVNAN" localSheetId="33" hidden="1">#REF!</definedName>
    <definedName name="BExMCYTT6TVDWMJXO1NZANRTVNAN" localSheetId="31" hidden="1">#REF!</definedName>
    <definedName name="BExMCYTT6TVDWMJXO1NZANRTVNAN" localSheetId="32" hidden="1">#REF!</definedName>
    <definedName name="BExMCYTT6TVDWMJXO1NZANRTVNAN" hidden="1">#REF!</definedName>
    <definedName name="BExMD5F6IAV108XYJLXUO9HD0IT6" localSheetId="30" hidden="1">#REF!</definedName>
    <definedName name="BExMD5F6IAV108XYJLXUO9HD0IT6" localSheetId="29" hidden="1">#REF!</definedName>
    <definedName name="BExMD5F6IAV108XYJLXUO9HD0IT6" localSheetId="33" hidden="1">#REF!</definedName>
    <definedName name="BExMD5F6IAV108XYJLXUO9HD0IT6" localSheetId="31" hidden="1">#REF!</definedName>
    <definedName name="BExMD5F6IAV108XYJLXUO9HD0IT6" localSheetId="32" hidden="1">#REF!</definedName>
    <definedName name="BExMD5F6IAV108XYJLXUO9HD0IT6" hidden="1">#REF!</definedName>
    <definedName name="BExMDANV66W9T3XAXID40XFJ0J93" localSheetId="30" hidden="1">#REF!</definedName>
    <definedName name="BExMDANV66W9T3XAXID40XFJ0J93" localSheetId="29" hidden="1">#REF!</definedName>
    <definedName name="BExMDANV66W9T3XAXID40XFJ0J93" localSheetId="33" hidden="1">#REF!</definedName>
    <definedName name="BExMDANV66W9T3XAXID40XFJ0J93" localSheetId="31" hidden="1">#REF!</definedName>
    <definedName name="BExMDANV66W9T3XAXID40XFJ0J93" localSheetId="32" hidden="1">#REF!</definedName>
    <definedName name="BExMDANV66W9T3XAXID40XFJ0J93" hidden="1">#REF!</definedName>
    <definedName name="BExMDGD1KQP7NNR78X2ZX4FCBQ1S" localSheetId="30" hidden="1">#REF!</definedName>
    <definedName name="BExMDGD1KQP7NNR78X2ZX4FCBQ1S" localSheetId="29" hidden="1">#REF!</definedName>
    <definedName name="BExMDGD1KQP7NNR78X2ZX4FCBQ1S" localSheetId="33" hidden="1">#REF!</definedName>
    <definedName name="BExMDGD1KQP7NNR78X2ZX4FCBQ1S" localSheetId="31" hidden="1">#REF!</definedName>
    <definedName name="BExMDGD1KQP7NNR78X2ZX4FCBQ1S" localSheetId="32" hidden="1">#REF!</definedName>
    <definedName name="BExMDGD1KQP7NNR78X2ZX4FCBQ1S" hidden="1">#REF!</definedName>
    <definedName name="BExMDIRDK0DI8P86HB7WPH8QWLSQ" localSheetId="30" hidden="1">#REF!</definedName>
    <definedName name="BExMDIRDK0DI8P86HB7WPH8QWLSQ" localSheetId="29" hidden="1">#REF!</definedName>
    <definedName name="BExMDIRDK0DI8P86HB7WPH8QWLSQ" localSheetId="33" hidden="1">#REF!</definedName>
    <definedName name="BExMDIRDK0DI8P86HB7WPH8QWLSQ" localSheetId="31" hidden="1">#REF!</definedName>
    <definedName name="BExMDIRDK0DI8P86HB7WPH8QWLSQ" localSheetId="32" hidden="1">#REF!</definedName>
    <definedName name="BExMDIRDK0DI8P86HB7WPH8QWLSQ" hidden="1">#REF!</definedName>
    <definedName name="BExMDPI2FVMORSWDDCVAJ85WYAYO" localSheetId="30" hidden="1">#REF!</definedName>
    <definedName name="BExMDPI2FVMORSWDDCVAJ85WYAYO" localSheetId="29" hidden="1">#REF!</definedName>
    <definedName name="BExMDPI2FVMORSWDDCVAJ85WYAYO" localSheetId="33" hidden="1">#REF!</definedName>
    <definedName name="BExMDPI2FVMORSWDDCVAJ85WYAYO" localSheetId="31" hidden="1">#REF!</definedName>
    <definedName name="BExMDPI2FVMORSWDDCVAJ85WYAYO" localSheetId="32" hidden="1">#REF!</definedName>
    <definedName name="BExMDPI2FVMORSWDDCVAJ85WYAYO" hidden="1">#REF!</definedName>
    <definedName name="BExMDUWB7VWHFFR266QXO46BNV2S" localSheetId="30" hidden="1">#REF!</definedName>
    <definedName name="BExMDUWB7VWHFFR266QXO46BNV2S" localSheetId="29" hidden="1">#REF!</definedName>
    <definedName name="BExMDUWB7VWHFFR266QXO46BNV2S" localSheetId="33" hidden="1">#REF!</definedName>
    <definedName name="BExMDUWB7VWHFFR266QXO46BNV2S" localSheetId="31" hidden="1">#REF!</definedName>
    <definedName name="BExMDUWB7VWHFFR266QXO46BNV2S" localSheetId="32" hidden="1">#REF!</definedName>
    <definedName name="BExMDUWB7VWHFFR266QXO46BNV2S" hidden="1">#REF!</definedName>
    <definedName name="BExMDYCAMW7DRY3PNI73HFXHWA5O" localSheetId="30" hidden="1">#REF!</definedName>
    <definedName name="BExMDYCAMW7DRY3PNI73HFXHWA5O" localSheetId="29" hidden="1">#REF!</definedName>
    <definedName name="BExMDYCAMW7DRY3PNI73HFXHWA5O" localSheetId="33" hidden="1">#REF!</definedName>
    <definedName name="BExMDYCAMW7DRY3PNI73HFXHWA5O" localSheetId="31" hidden="1">#REF!</definedName>
    <definedName name="BExMDYCAMW7DRY3PNI73HFXHWA5O" localSheetId="32" hidden="1">#REF!</definedName>
    <definedName name="BExMDYCAMW7DRY3PNI73HFXHWA5O" hidden="1">#REF!</definedName>
    <definedName name="BExME2U47N8LZG0BPJ49ANY5QVV2" localSheetId="30" hidden="1">#REF!</definedName>
    <definedName name="BExME2U47N8LZG0BPJ49ANY5QVV2" localSheetId="29" hidden="1">#REF!</definedName>
    <definedName name="BExME2U47N8LZG0BPJ49ANY5QVV2" localSheetId="33" hidden="1">#REF!</definedName>
    <definedName name="BExME2U47N8LZG0BPJ49ANY5QVV2" localSheetId="31" hidden="1">#REF!</definedName>
    <definedName name="BExME2U47N8LZG0BPJ49ANY5QVV2" localSheetId="32" hidden="1">#REF!</definedName>
    <definedName name="BExME2U47N8LZG0BPJ49ANY5QVV2" hidden="1">#REF!</definedName>
    <definedName name="BExME64TYJ9Z6Y2L0Z8GUAKOUV1G" localSheetId="30" hidden="1">#REF!</definedName>
    <definedName name="BExME64TYJ9Z6Y2L0Z8GUAKOUV1G" localSheetId="29" hidden="1">#REF!</definedName>
    <definedName name="BExME64TYJ9Z6Y2L0Z8GUAKOUV1G" localSheetId="33" hidden="1">#REF!</definedName>
    <definedName name="BExME64TYJ9Z6Y2L0Z8GUAKOUV1G" localSheetId="31" hidden="1">#REF!</definedName>
    <definedName name="BExME64TYJ9Z6Y2L0Z8GUAKOUV1G" localSheetId="32" hidden="1">#REF!</definedName>
    <definedName name="BExME64TYJ9Z6Y2L0Z8GUAKOUV1G" hidden="1">#REF!</definedName>
    <definedName name="BExME88DH5DUKMUFI9FNVECXFD2E" localSheetId="30" hidden="1">#REF!</definedName>
    <definedName name="BExME88DH5DUKMUFI9FNVECXFD2E" localSheetId="29" hidden="1">#REF!</definedName>
    <definedName name="BExME88DH5DUKMUFI9FNVECXFD2E" localSheetId="33" hidden="1">#REF!</definedName>
    <definedName name="BExME88DH5DUKMUFI9FNVECXFD2E" localSheetId="31" hidden="1">#REF!</definedName>
    <definedName name="BExME88DH5DUKMUFI9FNVECXFD2E" localSheetId="32" hidden="1">#REF!</definedName>
    <definedName name="BExME88DH5DUKMUFI9FNVECXFD2E" hidden="1">#REF!</definedName>
    <definedName name="BExME9A7MOGAK7YTTQYXP5DL6VYA" localSheetId="30" hidden="1">#REF!</definedName>
    <definedName name="BExME9A7MOGAK7YTTQYXP5DL6VYA" localSheetId="29" hidden="1">#REF!</definedName>
    <definedName name="BExME9A7MOGAK7YTTQYXP5DL6VYA" localSheetId="33" hidden="1">#REF!</definedName>
    <definedName name="BExME9A7MOGAK7YTTQYXP5DL6VYA" localSheetId="31" hidden="1">#REF!</definedName>
    <definedName name="BExME9A7MOGAK7YTTQYXP5DL6VYA" localSheetId="32" hidden="1">#REF!</definedName>
    <definedName name="BExME9A7MOGAK7YTTQYXP5DL6VYA" hidden="1">#REF!</definedName>
    <definedName name="BExMEOV9YFRY5C3GDLU60GIX10BY" localSheetId="30" hidden="1">#REF!</definedName>
    <definedName name="BExMEOV9YFRY5C3GDLU60GIX10BY" localSheetId="29" hidden="1">#REF!</definedName>
    <definedName name="BExMEOV9YFRY5C3GDLU60GIX10BY" localSheetId="33" hidden="1">#REF!</definedName>
    <definedName name="BExMEOV9YFRY5C3GDLU60GIX10BY" localSheetId="31" hidden="1">#REF!</definedName>
    <definedName name="BExMEOV9YFRY5C3GDLU60GIX10BY" localSheetId="32" hidden="1">#REF!</definedName>
    <definedName name="BExMEOV9YFRY5C3GDLU60GIX10BY" hidden="1">#REF!</definedName>
    <definedName name="BExMEY09ESM4H2YGKEQQRYUD114R" localSheetId="30" hidden="1">#REF!</definedName>
    <definedName name="BExMEY09ESM4H2YGKEQQRYUD114R" localSheetId="29" hidden="1">#REF!</definedName>
    <definedName name="BExMEY09ESM4H2YGKEQQRYUD114R" localSheetId="33" hidden="1">#REF!</definedName>
    <definedName name="BExMEY09ESM4H2YGKEQQRYUD114R" localSheetId="31" hidden="1">#REF!</definedName>
    <definedName name="BExMEY09ESM4H2YGKEQQRYUD114R" localSheetId="32" hidden="1">#REF!</definedName>
    <definedName name="BExMEY09ESM4H2YGKEQQRYUD114R" hidden="1">#REF!</definedName>
    <definedName name="BExMF0UTOS7KZV81YP791F7H2AUV" localSheetId="30" hidden="1">#REF!</definedName>
    <definedName name="BExMF0UTOS7KZV81YP791F7H2AUV" localSheetId="29" hidden="1">#REF!</definedName>
    <definedName name="BExMF0UTOS7KZV81YP791F7H2AUV" localSheetId="33" hidden="1">#REF!</definedName>
    <definedName name="BExMF0UTOS7KZV81YP791F7H2AUV" localSheetId="31" hidden="1">#REF!</definedName>
    <definedName name="BExMF0UTOS7KZV81YP791F7H2AUV" localSheetId="32" hidden="1">#REF!</definedName>
    <definedName name="BExMF0UTOS7KZV81YP791F7H2AUV" hidden="1">#REF!</definedName>
    <definedName name="BExMF4G4IUPQY1Y5GEY5N3E04CL6" localSheetId="30" hidden="1">#REF!</definedName>
    <definedName name="BExMF4G4IUPQY1Y5GEY5N3E04CL6" localSheetId="29" hidden="1">#REF!</definedName>
    <definedName name="BExMF4G4IUPQY1Y5GEY5N3E04CL6" localSheetId="33" hidden="1">#REF!</definedName>
    <definedName name="BExMF4G4IUPQY1Y5GEY5N3E04CL6" localSheetId="31" hidden="1">#REF!</definedName>
    <definedName name="BExMF4G4IUPQY1Y5GEY5N3E04CL6" localSheetId="32" hidden="1">#REF!</definedName>
    <definedName name="BExMF4G4IUPQY1Y5GEY5N3E04CL6" hidden="1">#REF!</definedName>
    <definedName name="BExMF9UIGYMOAQK0ELUWP0S0HZZY" localSheetId="30" hidden="1">#REF!</definedName>
    <definedName name="BExMF9UIGYMOAQK0ELUWP0S0HZZY" localSheetId="29" hidden="1">#REF!</definedName>
    <definedName name="BExMF9UIGYMOAQK0ELUWP0S0HZZY" localSheetId="33" hidden="1">#REF!</definedName>
    <definedName name="BExMF9UIGYMOAQK0ELUWP0S0HZZY" localSheetId="31" hidden="1">#REF!</definedName>
    <definedName name="BExMF9UIGYMOAQK0ELUWP0S0HZZY" localSheetId="32" hidden="1">#REF!</definedName>
    <definedName name="BExMF9UIGYMOAQK0ELUWP0S0HZZY" hidden="1">#REF!</definedName>
    <definedName name="BExMFDLBSWFMRDYJ2DZETI3EXKN2" localSheetId="30" hidden="1">#REF!</definedName>
    <definedName name="BExMFDLBSWFMRDYJ2DZETI3EXKN2" localSheetId="29" hidden="1">#REF!</definedName>
    <definedName name="BExMFDLBSWFMRDYJ2DZETI3EXKN2" localSheetId="33" hidden="1">#REF!</definedName>
    <definedName name="BExMFDLBSWFMRDYJ2DZETI3EXKN2" localSheetId="31" hidden="1">#REF!</definedName>
    <definedName name="BExMFDLBSWFMRDYJ2DZETI3EXKN2" localSheetId="32" hidden="1">#REF!</definedName>
    <definedName name="BExMFDLBSWFMRDYJ2DZETI3EXKN2" hidden="1">#REF!</definedName>
    <definedName name="BExMFLDTMRTCHKA37LQW67BG8D5C" localSheetId="30" hidden="1">#REF!</definedName>
    <definedName name="BExMFLDTMRTCHKA37LQW67BG8D5C" localSheetId="29" hidden="1">#REF!</definedName>
    <definedName name="BExMFLDTMRTCHKA37LQW67BG8D5C" localSheetId="33" hidden="1">#REF!</definedName>
    <definedName name="BExMFLDTMRTCHKA37LQW67BG8D5C" localSheetId="31" hidden="1">#REF!</definedName>
    <definedName name="BExMFLDTMRTCHKA37LQW67BG8D5C" localSheetId="32" hidden="1">#REF!</definedName>
    <definedName name="BExMFLDTMRTCHKA37LQW67BG8D5C" hidden="1">#REF!</definedName>
    <definedName name="BExMG6IG0OZ71BD900OK9CGWX6UN" localSheetId="30" hidden="1">#REF!</definedName>
    <definedName name="BExMG6IG0OZ71BD900OK9CGWX6UN" localSheetId="29" hidden="1">#REF!</definedName>
    <definedName name="BExMG6IG0OZ71BD900OK9CGWX6UN" localSheetId="33" hidden="1">#REF!</definedName>
    <definedName name="BExMG6IG0OZ71BD900OK9CGWX6UN" localSheetId="31" hidden="1">#REF!</definedName>
    <definedName name="BExMG6IG0OZ71BD900OK9CGWX6UN" localSheetId="32" hidden="1">#REF!</definedName>
    <definedName name="BExMG6IG0OZ71BD900OK9CGWX6UN" hidden="1">#REF!</definedName>
    <definedName name="BExMGG3PFIHPHX7NXB7HDFI3N12L" localSheetId="30" hidden="1">#REF!</definedName>
    <definedName name="BExMGG3PFIHPHX7NXB7HDFI3N12L" localSheetId="29" hidden="1">#REF!</definedName>
    <definedName name="BExMGG3PFIHPHX7NXB7HDFI3N12L" localSheetId="33" hidden="1">#REF!</definedName>
    <definedName name="BExMGG3PFIHPHX7NXB7HDFI3N12L" localSheetId="31" hidden="1">#REF!</definedName>
    <definedName name="BExMGG3PFIHPHX7NXB7HDFI3N12L" localSheetId="32" hidden="1">#REF!</definedName>
    <definedName name="BExMGG3PFIHPHX7NXB7HDFI3N12L" hidden="1">#REF!</definedName>
    <definedName name="BExMGY32OCJSI1MJHU0260RNGHOI" localSheetId="30" hidden="1">#REF!</definedName>
    <definedName name="BExMGY32OCJSI1MJHU0260RNGHOI" localSheetId="29" hidden="1">#REF!</definedName>
    <definedName name="BExMGY32OCJSI1MJHU0260RNGHOI" localSheetId="33" hidden="1">#REF!</definedName>
    <definedName name="BExMGY32OCJSI1MJHU0260RNGHOI" localSheetId="31" hidden="1">#REF!</definedName>
    <definedName name="BExMGY32OCJSI1MJHU0260RNGHOI" localSheetId="32" hidden="1">#REF!</definedName>
    <definedName name="BExMGY32OCJSI1MJHU0260RNGHOI" hidden="1">#REF!</definedName>
    <definedName name="BExMH3H9TW5TJCNU5Z1EWXP3BAEP" localSheetId="30" hidden="1">#REF!</definedName>
    <definedName name="BExMH3H9TW5TJCNU5Z1EWXP3BAEP" localSheetId="29" hidden="1">#REF!</definedName>
    <definedName name="BExMH3H9TW5TJCNU5Z1EWXP3BAEP" localSheetId="33" hidden="1">#REF!</definedName>
    <definedName name="BExMH3H9TW5TJCNU5Z1EWXP3BAEP" localSheetId="31" hidden="1">#REF!</definedName>
    <definedName name="BExMH3H9TW5TJCNU5Z1EWXP3BAEP" localSheetId="32" hidden="1">#REF!</definedName>
    <definedName name="BExMH3H9TW5TJCNU5Z1EWXP3BAEP" hidden="1">#REF!</definedName>
    <definedName name="BExMHOWPB34KPZ76M2KIX2C9R2VB" localSheetId="30" hidden="1">#REF!</definedName>
    <definedName name="BExMHOWPB34KPZ76M2KIX2C9R2VB" localSheetId="29" hidden="1">#REF!</definedName>
    <definedName name="BExMHOWPB34KPZ76M2KIX2C9R2VB" localSheetId="33" hidden="1">#REF!</definedName>
    <definedName name="BExMHOWPB34KPZ76M2KIX2C9R2VB" localSheetId="31" hidden="1">#REF!</definedName>
    <definedName name="BExMHOWPB34KPZ76M2KIX2C9R2VB" localSheetId="32" hidden="1">#REF!</definedName>
    <definedName name="BExMHOWPB34KPZ76M2KIX2C9R2VB" hidden="1">#REF!</definedName>
    <definedName name="BExMHSSYC6KVHA3QDTSYPN92TWMI" localSheetId="30" hidden="1">#REF!</definedName>
    <definedName name="BExMHSSYC6KVHA3QDTSYPN92TWMI" localSheetId="29" hidden="1">#REF!</definedName>
    <definedName name="BExMHSSYC6KVHA3QDTSYPN92TWMI" localSheetId="33" hidden="1">#REF!</definedName>
    <definedName name="BExMHSSYC6KVHA3QDTSYPN92TWMI" localSheetId="31" hidden="1">#REF!</definedName>
    <definedName name="BExMHSSYC6KVHA3QDTSYPN92TWMI" localSheetId="32" hidden="1">#REF!</definedName>
    <definedName name="BExMHSSYC6KVHA3QDTSYPN92TWMI" hidden="1">#REF!</definedName>
    <definedName name="BExMI056Z45MPM6KJO17O25WVO7Y" localSheetId="30" hidden="1">#REF!</definedName>
    <definedName name="BExMI056Z45MPM6KJO17O25WVO7Y" localSheetId="29" hidden="1">#REF!</definedName>
    <definedName name="BExMI056Z45MPM6KJO17O25WVO7Y" localSheetId="33" hidden="1">#REF!</definedName>
    <definedName name="BExMI056Z45MPM6KJO17O25WVO7Y" localSheetId="31" hidden="1">#REF!</definedName>
    <definedName name="BExMI056Z45MPM6KJO17O25WVO7Y" localSheetId="32" hidden="1">#REF!</definedName>
    <definedName name="BExMI056Z45MPM6KJO17O25WVO7Y" hidden="1">#REF!</definedName>
    <definedName name="BExMI0WA793SF41LQ40A28U8OXQY" localSheetId="30" hidden="1">#REF!</definedName>
    <definedName name="BExMI0WA793SF41LQ40A28U8OXQY" localSheetId="29" hidden="1">#REF!</definedName>
    <definedName name="BExMI0WA793SF41LQ40A28U8OXQY" localSheetId="33" hidden="1">#REF!</definedName>
    <definedName name="BExMI0WA793SF41LQ40A28U8OXQY" localSheetId="31" hidden="1">#REF!</definedName>
    <definedName name="BExMI0WA793SF41LQ40A28U8OXQY" localSheetId="32" hidden="1">#REF!</definedName>
    <definedName name="BExMI0WA793SF41LQ40A28U8OXQY" hidden="1">#REF!</definedName>
    <definedName name="BExMI3AJ9477KDL4T9DHET4LJJTW" localSheetId="30" hidden="1">#REF!</definedName>
    <definedName name="BExMI3AJ9477KDL4T9DHET4LJJTW" localSheetId="29" hidden="1">#REF!</definedName>
    <definedName name="BExMI3AJ9477KDL4T9DHET4LJJTW" localSheetId="33" hidden="1">#REF!</definedName>
    <definedName name="BExMI3AJ9477KDL4T9DHET4LJJTW" localSheetId="31" hidden="1">#REF!</definedName>
    <definedName name="BExMI3AJ9477KDL4T9DHET4LJJTW" localSheetId="32" hidden="1">#REF!</definedName>
    <definedName name="BExMI3AJ9477KDL4T9DHET4LJJTW" hidden="1">#REF!</definedName>
    <definedName name="BExMI6L9KX05GAK523JFKICJMTA5" localSheetId="30" hidden="1">#REF!</definedName>
    <definedName name="BExMI6L9KX05GAK523JFKICJMTA5" localSheetId="29" hidden="1">#REF!</definedName>
    <definedName name="BExMI6L9KX05GAK523JFKICJMTA5" localSheetId="33" hidden="1">#REF!</definedName>
    <definedName name="BExMI6L9KX05GAK523JFKICJMTA5" localSheetId="31" hidden="1">#REF!</definedName>
    <definedName name="BExMI6L9KX05GAK523JFKICJMTA5" localSheetId="32" hidden="1">#REF!</definedName>
    <definedName name="BExMI6L9KX05GAK523JFKICJMTA5" hidden="1">#REF!</definedName>
    <definedName name="BExMI6QQ20XHD0NWJUN741B37182" localSheetId="30" hidden="1">#REF!</definedName>
    <definedName name="BExMI6QQ20XHD0NWJUN741B37182" localSheetId="29" hidden="1">#REF!</definedName>
    <definedName name="BExMI6QQ20XHD0NWJUN741B37182" localSheetId="33" hidden="1">#REF!</definedName>
    <definedName name="BExMI6QQ20XHD0NWJUN741B37182" localSheetId="31" hidden="1">#REF!</definedName>
    <definedName name="BExMI6QQ20XHD0NWJUN741B37182" localSheetId="32" hidden="1">#REF!</definedName>
    <definedName name="BExMI6QQ20XHD0NWJUN741B37182" hidden="1">#REF!</definedName>
    <definedName name="BExMI8JB94SBD9EMNJEK7Y2T6GYU" localSheetId="30" hidden="1">#REF!</definedName>
    <definedName name="BExMI8JB94SBD9EMNJEK7Y2T6GYU" localSheetId="29" hidden="1">#REF!</definedName>
    <definedName name="BExMI8JB94SBD9EMNJEK7Y2T6GYU" localSheetId="33" hidden="1">#REF!</definedName>
    <definedName name="BExMI8JB94SBD9EMNJEK7Y2T6GYU" localSheetId="31" hidden="1">#REF!</definedName>
    <definedName name="BExMI8JB94SBD9EMNJEK7Y2T6GYU" localSheetId="32" hidden="1">#REF!</definedName>
    <definedName name="BExMI8JB94SBD9EMNJEK7Y2T6GYU" hidden="1">#REF!</definedName>
    <definedName name="BExMI8OS85YTW3KYVE4YD0R7Z6UV" localSheetId="30" hidden="1">#REF!</definedName>
    <definedName name="BExMI8OS85YTW3KYVE4YD0R7Z6UV" localSheetId="29" hidden="1">#REF!</definedName>
    <definedName name="BExMI8OS85YTW3KYVE4YD0R7Z6UV" localSheetId="33" hidden="1">#REF!</definedName>
    <definedName name="BExMI8OS85YTW3KYVE4YD0R7Z6UV" localSheetId="31" hidden="1">#REF!</definedName>
    <definedName name="BExMI8OS85YTW3KYVE4YD0R7Z6UV" localSheetId="32" hidden="1">#REF!</definedName>
    <definedName name="BExMI8OS85YTW3KYVE4YD0R7Z6UV" hidden="1">#REF!</definedName>
    <definedName name="BExMIBOOZU40JS3F89OMPSRCE9MM" localSheetId="30" hidden="1">#REF!</definedName>
    <definedName name="BExMIBOOZU40JS3F89OMPSRCE9MM" localSheetId="29" hidden="1">#REF!</definedName>
    <definedName name="BExMIBOOZU40JS3F89OMPSRCE9MM" localSheetId="33" hidden="1">#REF!</definedName>
    <definedName name="BExMIBOOZU40JS3F89OMPSRCE9MM" localSheetId="31" hidden="1">#REF!</definedName>
    <definedName name="BExMIBOOZU40JS3F89OMPSRCE9MM" localSheetId="32" hidden="1">#REF!</definedName>
    <definedName name="BExMIBOOZU40JS3F89OMPSRCE9MM" hidden="1">#REF!</definedName>
    <definedName name="BExMIIQ5MBWSIHTFWAQADXMZC22Q" localSheetId="30" hidden="1">#REF!</definedName>
    <definedName name="BExMIIQ5MBWSIHTFWAQADXMZC22Q" localSheetId="29" hidden="1">#REF!</definedName>
    <definedName name="BExMIIQ5MBWSIHTFWAQADXMZC22Q" localSheetId="33" hidden="1">#REF!</definedName>
    <definedName name="BExMIIQ5MBWSIHTFWAQADXMZC22Q" localSheetId="31" hidden="1">#REF!</definedName>
    <definedName name="BExMIIQ5MBWSIHTFWAQADXMZC22Q" localSheetId="32" hidden="1">#REF!</definedName>
    <definedName name="BExMIIQ5MBWSIHTFWAQADXMZC22Q" hidden="1">#REF!</definedName>
    <definedName name="BExMIL4I2GE866I25CR5JBLJWJ6A" localSheetId="30" hidden="1">#REF!</definedName>
    <definedName name="BExMIL4I2GE866I25CR5JBLJWJ6A" localSheetId="29" hidden="1">#REF!</definedName>
    <definedName name="BExMIL4I2GE866I25CR5JBLJWJ6A" localSheetId="33" hidden="1">#REF!</definedName>
    <definedName name="BExMIL4I2GE866I25CR5JBLJWJ6A" localSheetId="31" hidden="1">#REF!</definedName>
    <definedName name="BExMIL4I2GE866I25CR5JBLJWJ6A" localSheetId="32" hidden="1">#REF!</definedName>
    <definedName name="BExMIL4I2GE866I25CR5JBLJWJ6A" hidden="1">#REF!</definedName>
    <definedName name="BExMIRKIPF27SNO82SPFSB3T5U17" localSheetId="30" hidden="1">#REF!</definedName>
    <definedName name="BExMIRKIPF27SNO82SPFSB3T5U17" localSheetId="29" hidden="1">#REF!</definedName>
    <definedName name="BExMIRKIPF27SNO82SPFSB3T5U17" localSheetId="33" hidden="1">#REF!</definedName>
    <definedName name="BExMIRKIPF27SNO82SPFSB3T5U17" localSheetId="31" hidden="1">#REF!</definedName>
    <definedName name="BExMIRKIPF27SNO82SPFSB3T5U17" localSheetId="32" hidden="1">#REF!</definedName>
    <definedName name="BExMIRKIPF27SNO82SPFSB3T5U17" hidden="1">#REF!</definedName>
    <definedName name="BExMIV0KC8555D5E42ZGWG15Y0MO" localSheetId="30" hidden="1">#REF!</definedName>
    <definedName name="BExMIV0KC8555D5E42ZGWG15Y0MO" localSheetId="29" hidden="1">#REF!</definedName>
    <definedName name="BExMIV0KC8555D5E42ZGWG15Y0MO" localSheetId="33" hidden="1">#REF!</definedName>
    <definedName name="BExMIV0KC8555D5E42ZGWG15Y0MO" localSheetId="31" hidden="1">#REF!</definedName>
    <definedName name="BExMIV0KC8555D5E42ZGWG15Y0MO" localSheetId="32" hidden="1">#REF!</definedName>
    <definedName name="BExMIV0KC8555D5E42ZGWG15Y0MO" hidden="1">#REF!</definedName>
    <definedName name="BExMIZT6AN7E6YMW2S87CTCN2UXH" localSheetId="30" hidden="1">#REF!</definedName>
    <definedName name="BExMIZT6AN7E6YMW2S87CTCN2UXH" localSheetId="29" hidden="1">#REF!</definedName>
    <definedName name="BExMIZT6AN7E6YMW2S87CTCN2UXH" localSheetId="33" hidden="1">#REF!</definedName>
    <definedName name="BExMIZT6AN7E6YMW2S87CTCN2UXH" localSheetId="31" hidden="1">#REF!</definedName>
    <definedName name="BExMIZT6AN7E6YMW2S87CTCN2UXH" localSheetId="32" hidden="1">#REF!</definedName>
    <definedName name="BExMIZT6AN7E6YMW2S87CTCN2UXH" hidden="1">#REF!</definedName>
    <definedName name="BExMJ15T9F3475M0896SG60TN0SR" localSheetId="30" hidden="1">#REF!</definedName>
    <definedName name="BExMJ15T9F3475M0896SG60TN0SR" localSheetId="29" hidden="1">#REF!</definedName>
    <definedName name="BExMJ15T9F3475M0896SG60TN0SR" localSheetId="33" hidden="1">#REF!</definedName>
    <definedName name="BExMJ15T9F3475M0896SG60TN0SR" localSheetId="31" hidden="1">#REF!</definedName>
    <definedName name="BExMJ15T9F3475M0896SG60TN0SR" localSheetId="32" hidden="1">#REF!</definedName>
    <definedName name="BExMJ15T9F3475M0896SG60TN0SR" hidden="1">#REF!</definedName>
    <definedName name="BExMJNC8ZFB9DRFOJ961ZAJ8U3A8" localSheetId="30" hidden="1">#REF!</definedName>
    <definedName name="BExMJNC8ZFB9DRFOJ961ZAJ8U3A8" localSheetId="29" hidden="1">#REF!</definedName>
    <definedName name="BExMJNC8ZFB9DRFOJ961ZAJ8U3A8" localSheetId="33" hidden="1">#REF!</definedName>
    <definedName name="BExMJNC8ZFB9DRFOJ961ZAJ8U3A8" localSheetId="31" hidden="1">#REF!</definedName>
    <definedName name="BExMJNC8ZFB9DRFOJ961ZAJ8U3A8" localSheetId="32" hidden="1">#REF!</definedName>
    <definedName name="BExMJNC8ZFB9DRFOJ961ZAJ8U3A8" hidden="1">#REF!</definedName>
    <definedName name="BExMJTBV8A3D31W2IQHP9RDFPPHQ" localSheetId="30" hidden="1">#REF!</definedName>
    <definedName name="BExMJTBV8A3D31W2IQHP9RDFPPHQ" localSheetId="29" hidden="1">#REF!</definedName>
    <definedName name="BExMJTBV8A3D31W2IQHP9RDFPPHQ" localSheetId="33" hidden="1">#REF!</definedName>
    <definedName name="BExMJTBV8A3D31W2IQHP9RDFPPHQ" localSheetId="31" hidden="1">#REF!</definedName>
    <definedName name="BExMJTBV8A3D31W2IQHP9RDFPPHQ" localSheetId="32" hidden="1">#REF!</definedName>
    <definedName name="BExMJTBV8A3D31W2IQHP9RDFPPHQ" hidden="1">#REF!</definedName>
    <definedName name="BExMK2RTXN4QJWEUNX002XK8VQP8" localSheetId="30" hidden="1">#REF!</definedName>
    <definedName name="BExMK2RTXN4QJWEUNX002XK8VQP8" localSheetId="29" hidden="1">#REF!</definedName>
    <definedName name="BExMK2RTXN4QJWEUNX002XK8VQP8" localSheetId="33" hidden="1">#REF!</definedName>
    <definedName name="BExMK2RTXN4QJWEUNX002XK8VQP8" localSheetId="31" hidden="1">#REF!</definedName>
    <definedName name="BExMK2RTXN4QJWEUNX002XK8VQP8" localSheetId="32" hidden="1">#REF!</definedName>
    <definedName name="BExMK2RTXN4QJWEUNX002XK8VQP8" hidden="1">#REF!</definedName>
    <definedName name="BExMKBGQDUZ8AWXYHA3QVMSDVZ3D" localSheetId="30" hidden="1">#REF!</definedName>
    <definedName name="BExMKBGQDUZ8AWXYHA3QVMSDVZ3D" localSheetId="29" hidden="1">#REF!</definedName>
    <definedName name="BExMKBGQDUZ8AWXYHA3QVMSDVZ3D" localSheetId="33" hidden="1">#REF!</definedName>
    <definedName name="BExMKBGQDUZ8AWXYHA3QVMSDVZ3D" localSheetId="31" hidden="1">#REF!</definedName>
    <definedName name="BExMKBGQDUZ8AWXYHA3QVMSDVZ3D" localSheetId="32" hidden="1">#REF!</definedName>
    <definedName name="BExMKBGQDUZ8AWXYHA3QVMSDVZ3D" hidden="1">#REF!</definedName>
    <definedName name="BExMKBM1467553LDFZRRKVSHN374" localSheetId="30" hidden="1">#REF!</definedName>
    <definedName name="BExMKBM1467553LDFZRRKVSHN374" localSheetId="29" hidden="1">#REF!</definedName>
    <definedName name="BExMKBM1467553LDFZRRKVSHN374" localSheetId="33" hidden="1">#REF!</definedName>
    <definedName name="BExMKBM1467553LDFZRRKVSHN374" localSheetId="31" hidden="1">#REF!</definedName>
    <definedName name="BExMKBM1467553LDFZRRKVSHN374" localSheetId="32" hidden="1">#REF!</definedName>
    <definedName name="BExMKBM1467553LDFZRRKVSHN374" hidden="1">#REF!</definedName>
    <definedName name="BExMKGK5FJUC0AU8MABRGDC5ZM70" localSheetId="30" hidden="1">#REF!</definedName>
    <definedName name="BExMKGK5FJUC0AU8MABRGDC5ZM70" localSheetId="29" hidden="1">#REF!</definedName>
    <definedName name="BExMKGK5FJUC0AU8MABRGDC5ZM70" localSheetId="33" hidden="1">#REF!</definedName>
    <definedName name="BExMKGK5FJUC0AU8MABRGDC5ZM70" localSheetId="31" hidden="1">#REF!</definedName>
    <definedName name="BExMKGK5FJUC0AU8MABRGDC5ZM70" localSheetId="32" hidden="1">#REF!</definedName>
    <definedName name="BExMKGK5FJUC0AU8MABRGDC5ZM70" hidden="1">#REF!</definedName>
    <definedName name="BExMKJ93CQ4DE4FJIJ9BWCAPQUYG" localSheetId="30" hidden="1">#REF!</definedName>
    <definedName name="BExMKJ93CQ4DE4FJIJ9BWCAPQUYG" localSheetId="29" hidden="1">#REF!</definedName>
    <definedName name="BExMKJ93CQ4DE4FJIJ9BWCAPQUYG" localSheetId="33" hidden="1">#REF!</definedName>
    <definedName name="BExMKJ93CQ4DE4FJIJ9BWCAPQUYG" localSheetId="31" hidden="1">#REF!</definedName>
    <definedName name="BExMKJ93CQ4DE4FJIJ9BWCAPQUYG" localSheetId="32" hidden="1">#REF!</definedName>
    <definedName name="BExMKJ93CQ4DE4FJIJ9BWCAPQUYG" hidden="1">#REF!</definedName>
    <definedName name="BExMKTW7R5SOV4PHAFGHU3W73DYE" localSheetId="30" hidden="1">#REF!</definedName>
    <definedName name="BExMKTW7R5SOV4PHAFGHU3W73DYE" localSheetId="29" hidden="1">#REF!</definedName>
    <definedName name="BExMKTW7R5SOV4PHAFGHU3W73DYE" localSheetId="33" hidden="1">#REF!</definedName>
    <definedName name="BExMKTW7R5SOV4PHAFGHU3W73DYE" localSheetId="31" hidden="1">#REF!</definedName>
    <definedName name="BExMKTW7R5SOV4PHAFGHU3W73DYE" localSheetId="32" hidden="1">#REF!</definedName>
    <definedName name="BExMKTW7R5SOV4PHAFGHU3W73DYE" hidden="1">#REF!</definedName>
    <definedName name="BExMKU7051J2W1RQXGZGE62NBRUZ" localSheetId="30" hidden="1">#REF!</definedName>
    <definedName name="BExMKU7051J2W1RQXGZGE62NBRUZ" localSheetId="29" hidden="1">#REF!</definedName>
    <definedName name="BExMKU7051J2W1RQXGZGE62NBRUZ" localSheetId="33" hidden="1">#REF!</definedName>
    <definedName name="BExMKU7051J2W1RQXGZGE62NBRUZ" localSheetId="31" hidden="1">#REF!</definedName>
    <definedName name="BExMKU7051J2W1RQXGZGE62NBRUZ" localSheetId="32" hidden="1">#REF!</definedName>
    <definedName name="BExMKU7051J2W1RQXGZGE62NBRUZ" hidden="1">#REF!</definedName>
    <definedName name="BExMKUN3WPECJR2XRID2R7GZRGNX" localSheetId="30" hidden="1">#REF!</definedName>
    <definedName name="BExMKUN3WPECJR2XRID2R7GZRGNX" localSheetId="29" hidden="1">#REF!</definedName>
    <definedName name="BExMKUN3WPECJR2XRID2R7GZRGNX" localSheetId="33" hidden="1">#REF!</definedName>
    <definedName name="BExMKUN3WPECJR2XRID2R7GZRGNX" localSheetId="31" hidden="1">#REF!</definedName>
    <definedName name="BExMKUN3WPECJR2XRID2R7GZRGNX" localSheetId="32" hidden="1">#REF!</definedName>
    <definedName name="BExMKUN3WPECJR2XRID2R7GZRGNX" hidden="1">#REF!</definedName>
    <definedName name="BExMKY39YQA6NG89ITUUE22I83YE" localSheetId="30" hidden="1">#REF!</definedName>
    <definedName name="BExMKY39YQA6NG89ITUUE22I83YE" localSheetId="29" hidden="1">#REF!</definedName>
    <definedName name="BExMKY39YQA6NG89ITUUE22I83YE" localSheetId="33" hidden="1">#REF!</definedName>
    <definedName name="BExMKY39YQA6NG89ITUUE22I83YE" localSheetId="31" hidden="1">#REF!</definedName>
    <definedName name="BExMKY39YQA6NG89ITUUE22I83YE" localSheetId="32" hidden="1">#REF!</definedName>
    <definedName name="BExMKY39YQA6NG89ITUUE22I83YE" hidden="1">#REF!</definedName>
    <definedName name="BExMKZ535P011X4TNV16GCOH4H21" localSheetId="30" hidden="1">#REF!</definedName>
    <definedName name="BExMKZ535P011X4TNV16GCOH4H21" localSheetId="29" hidden="1">#REF!</definedName>
    <definedName name="BExMKZ535P011X4TNV16GCOH4H21" localSheetId="33" hidden="1">#REF!</definedName>
    <definedName name="BExMKZ535P011X4TNV16GCOH4H21" localSheetId="31" hidden="1">#REF!</definedName>
    <definedName name="BExMKZ535P011X4TNV16GCOH4H21" localSheetId="32" hidden="1">#REF!</definedName>
    <definedName name="BExMKZ535P011X4TNV16GCOH4H21" hidden="1">#REF!</definedName>
    <definedName name="BExML3XQNDIMX55ZCHHXKUV3D6E6" localSheetId="30" hidden="1">#REF!</definedName>
    <definedName name="BExML3XQNDIMX55ZCHHXKUV3D6E6" localSheetId="29" hidden="1">#REF!</definedName>
    <definedName name="BExML3XQNDIMX55ZCHHXKUV3D6E6" localSheetId="33" hidden="1">#REF!</definedName>
    <definedName name="BExML3XQNDIMX55ZCHHXKUV3D6E6" localSheetId="31" hidden="1">#REF!</definedName>
    <definedName name="BExML3XQNDIMX55ZCHHXKUV3D6E6" localSheetId="32" hidden="1">#REF!</definedName>
    <definedName name="BExML3XQNDIMX55ZCHHXKUV3D6E6" hidden="1">#REF!</definedName>
    <definedName name="BExML5QGSWHLI18BGY4CGOTD3UWH" localSheetId="30" hidden="1">#REF!</definedName>
    <definedName name="BExML5QGSWHLI18BGY4CGOTD3UWH" localSheetId="29" hidden="1">#REF!</definedName>
    <definedName name="BExML5QGSWHLI18BGY4CGOTD3UWH" localSheetId="33" hidden="1">#REF!</definedName>
    <definedName name="BExML5QGSWHLI18BGY4CGOTD3UWH" localSheetId="31" hidden="1">#REF!</definedName>
    <definedName name="BExML5QGSWHLI18BGY4CGOTD3UWH" localSheetId="32" hidden="1">#REF!</definedName>
    <definedName name="BExML5QGSWHLI18BGY4CGOTD3UWH" hidden="1">#REF!</definedName>
    <definedName name="BExMLO5Z61RE85X8HHX2G4IU3AZW" localSheetId="30" hidden="1">#REF!</definedName>
    <definedName name="BExMLO5Z61RE85X8HHX2G4IU3AZW" localSheetId="29" hidden="1">#REF!</definedName>
    <definedName name="BExMLO5Z61RE85X8HHX2G4IU3AZW" localSheetId="33" hidden="1">#REF!</definedName>
    <definedName name="BExMLO5Z61RE85X8HHX2G4IU3AZW" localSheetId="31" hidden="1">#REF!</definedName>
    <definedName name="BExMLO5Z61RE85X8HHX2G4IU3AZW" localSheetId="32" hidden="1">#REF!</definedName>
    <definedName name="BExMLO5Z61RE85X8HHX2G4IU3AZW" hidden="1">#REF!</definedName>
    <definedName name="BExMLVI7UORSHM9FMO8S2EI0TMTS" localSheetId="30" hidden="1">#REF!</definedName>
    <definedName name="BExMLVI7UORSHM9FMO8S2EI0TMTS" localSheetId="29" hidden="1">#REF!</definedName>
    <definedName name="BExMLVI7UORSHM9FMO8S2EI0TMTS" localSheetId="33" hidden="1">#REF!</definedName>
    <definedName name="BExMLVI7UORSHM9FMO8S2EI0TMTS" localSheetId="31" hidden="1">#REF!</definedName>
    <definedName name="BExMLVI7UORSHM9FMO8S2EI0TMTS" localSheetId="32" hidden="1">#REF!</definedName>
    <definedName name="BExMLVI7UORSHM9FMO8S2EI0TMTS" hidden="1">#REF!</definedName>
    <definedName name="BExMM5UCOT2HSSN0ZIPZW55GSOVO" localSheetId="30" hidden="1">#REF!</definedName>
    <definedName name="BExMM5UCOT2HSSN0ZIPZW55GSOVO" localSheetId="29" hidden="1">#REF!</definedName>
    <definedName name="BExMM5UCOT2HSSN0ZIPZW55GSOVO" localSheetId="33" hidden="1">#REF!</definedName>
    <definedName name="BExMM5UCOT2HSSN0ZIPZW55GSOVO" localSheetId="31" hidden="1">#REF!</definedName>
    <definedName name="BExMM5UCOT2HSSN0ZIPZW55GSOVO" localSheetId="32" hidden="1">#REF!</definedName>
    <definedName name="BExMM5UCOT2HSSN0ZIPZW55GSOVO" hidden="1">#REF!</definedName>
    <definedName name="BExMM8ZRS5RQ8H1H55RVPVTDL5NL" localSheetId="30" hidden="1">#REF!</definedName>
    <definedName name="BExMM8ZRS5RQ8H1H55RVPVTDL5NL" localSheetId="29" hidden="1">#REF!</definedName>
    <definedName name="BExMM8ZRS5RQ8H1H55RVPVTDL5NL" localSheetId="33" hidden="1">#REF!</definedName>
    <definedName name="BExMM8ZRS5RQ8H1H55RVPVTDL5NL" localSheetId="31" hidden="1">#REF!</definedName>
    <definedName name="BExMM8ZRS5RQ8H1H55RVPVTDL5NL" localSheetId="32" hidden="1">#REF!</definedName>
    <definedName name="BExMM8ZRS5RQ8H1H55RVPVTDL5NL" hidden="1">#REF!</definedName>
    <definedName name="BExMMH8EAZB09XXQ5X4LR0P4NHG9" localSheetId="30" hidden="1">#REF!</definedName>
    <definedName name="BExMMH8EAZB09XXQ5X4LR0P4NHG9" localSheetId="29" hidden="1">#REF!</definedName>
    <definedName name="BExMMH8EAZB09XXQ5X4LR0P4NHG9" localSheetId="33" hidden="1">#REF!</definedName>
    <definedName name="BExMMH8EAZB09XXQ5X4LR0P4NHG9" localSheetId="31" hidden="1">#REF!</definedName>
    <definedName name="BExMMH8EAZB09XXQ5X4LR0P4NHG9" localSheetId="32" hidden="1">#REF!</definedName>
    <definedName name="BExMMH8EAZB09XXQ5X4LR0P4NHG9" hidden="1">#REF!</definedName>
    <definedName name="BExMMIQH5BABNZVCIQ7TBCQ10AY5" localSheetId="30" hidden="1">#REF!</definedName>
    <definedName name="BExMMIQH5BABNZVCIQ7TBCQ10AY5" localSheetId="29" hidden="1">#REF!</definedName>
    <definedName name="BExMMIQH5BABNZVCIQ7TBCQ10AY5" localSheetId="33" hidden="1">#REF!</definedName>
    <definedName name="BExMMIQH5BABNZVCIQ7TBCQ10AY5" localSheetId="31" hidden="1">#REF!</definedName>
    <definedName name="BExMMIQH5BABNZVCIQ7TBCQ10AY5" localSheetId="32" hidden="1">#REF!</definedName>
    <definedName name="BExMMIQH5BABNZVCIQ7TBCQ10AY5" hidden="1">#REF!</definedName>
    <definedName name="BExMMNIZ2T7M22WECMUQXEF4NJ71" localSheetId="30" hidden="1">#REF!</definedName>
    <definedName name="BExMMNIZ2T7M22WECMUQXEF4NJ71" localSheetId="29" hidden="1">#REF!</definedName>
    <definedName name="BExMMNIZ2T7M22WECMUQXEF4NJ71" localSheetId="33" hidden="1">#REF!</definedName>
    <definedName name="BExMMNIZ2T7M22WECMUQXEF4NJ71" localSheetId="31" hidden="1">#REF!</definedName>
    <definedName name="BExMMNIZ2T7M22WECMUQXEF4NJ71" localSheetId="32" hidden="1">#REF!</definedName>
    <definedName name="BExMMNIZ2T7M22WECMUQXEF4NJ71" hidden="1">#REF!</definedName>
    <definedName name="BExMMPMIOU7BURTV0L1K6ACW9X73" localSheetId="30" hidden="1">#REF!</definedName>
    <definedName name="BExMMPMIOU7BURTV0L1K6ACW9X73" localSheetId="29" hidden="1">#REF!</definedName>
    <definedName name="BExMMPMIOU7BURTV0L1K6ACW9X73" localSheetId="33" hidden="1">#REF!</definedName>
    <definedName name="BExMMPMIOU7BURTV0L1K6ACW9X73" localSheetId="31" hidden="1">#REF!</definedName>
    <definedName name="BExMMPMIOU7BURTV0L1K6ACW9X73" localSheetId="32" hidden="1">#REF!</definedName>
    <definedName name="BExMMPMIOU7BURTV0L1K6ACW9X73" hidden="1">#REF!</definedName>
    <definedName name="BExMMQ835AJDHS4B419SS645P67Q" localSheetId="30" hidden="1">#REF!</definedName>
    <definedName name="BExMMQ835AJDHS4B419SS645P67Q" localSheetId="29" hidden="1">#REF!</definedName>
    <definedName name="BExMMQ835AJDHS4B419SS645P67Q" localSheetId="33" hidden="1">#REF!</definedName>
    <definedName name="BExMMQ835AJDHS4B419SS645P67Q" localSheetId="31" hidden="1">#REF!</definedName>
    <definedName name="BExMMQ835AJDHS4B419SS645P67Q" localSheetId="32" hidden="1">#REF!</definedName>
    <definedName name="BExMMQ835AJDHS4B419SS645P67Q" hidden="1">#REF!</definedName>
    <definedName name="BExMMQIUVPCOBISTEJJYNCCLUCPY" localSheetId="30" hidden="1">#REF!</definedName>
    <definedName name="BExMMQIUVPCOBISTEJJYNCCLUCPY" localSheetId="29" hidden="1">#REF!</definedName>
    <definedName name="BExMMQIUVPCOBISTEJJYNCCLUCPY" localSheetId="33" hidden="1">#REF!</definedName>
    <definedName name="BExMMQIUVPCOBISTEJJYNCCLUCPY" localSheetId="31" hidden="1">#REF!</definedName>
    <definedName name="BExMMQIUVPCOBISTEJJYNCCLUCPY" localSheetId="32" hidden="1">#REF!</definedName>
    <definedName name="BExMMQIUVPCOBISTEJJYNCCLUCPY" hidden="1">#REF!</definedName>
    <definedName name="BExMMQOCU5L7D2KCMRXWJBAX66O8" localSheetId="30" hidden="1">#REF!</definedName>
    <definedName name="BExMMQOCU5L7D2KCMRXWJBAX66O8" localSheetId="29" hidden="1">#REF!</definedName>
    <definedName name="BExMMQOCU5L7D2KCMRXWJBAX66O8" localSheetId="33" hidden="1">#REF!</definedName>
    <definedName name="BExMMQOCU5L7D2KCMRXWJBAX66O8" localSheetId="31" hidden="1">#REF!</definedName>
    <definedName name="BExMMQOCU5L7D2KCMRXWJBAX66O8" localSheetId="32" hidden="1">#REF!</definedName>
    <definedName name="BExMMQOCU5L7D2KCMRXWJBAX66O8" hidden="1">#REF!</definedName>
    <definedName name="BExMMTIXETA5VAKBSOFDD5SRU887" localSheetId="30" hidden="1">#REF!</definedName>
    <definedName name="BExMMTIXETA5VAKBSOFDD5SRU887" localSheetId="29" hidden="1">#REF!</definedName>
    <definedName name="BExMMTIXETA5VAKBSOFDD5SRU887" localSheetId="33" hidden="1">#REF!</definedName>
    <definedName name="BExMMTIXETA5VAKBSOFDD5SRU887" localSheetId="31" hidden="1">#REF!</definedName>
    <definedName name="BExMMTIXETA5VAKBSOFDD5SRU887" localSheetId="32" hidden="1">#REF!</definedName>
    <definedName name="BExMMTIXETA5VAKBSOFDD5SRU887" hidden="1">#REF!</definedName>
    <definedName name="BExMMV0P6P5YS3C35G0JYYHI7992" localSheetId="30" hidden="1">#REF!</definedName>
    <definedName name="BExMMV0P6P5YS3C35G0JYYHI7992" localSheetId="29" hidden="1">#REF!</definedName>
    <definedName name="BExMMV0P6P5YS3C35G0JYYHI7992" localSheetId="33" hidden="1">#REF!</definedName>
    <definedName name="BExMMV0P6P5YS3C35G0JYYHI7992" localSheetId="31" hidden="1">#REF!</definedName>
    <definedName name="BExMMV0P6P5YS3C35G0JYYHI7992" localSheetId="32" hidden="1">#REF!</definedName>
    <definedName name="BExMMV0P6P5YS3C35G0JYYHI7992" hidden="1">#REF!</definedName>
    <definedName name="BExMNDR4V2VG5RFZDGTAGD3Q9PPG" localSheetId="30" hidden="1">#REF!</definedName>
    <definedName name="BExMNDR4V2VG5RFZDGTAGD3Q9PPG" localSheetId="29" hidden="1">#REF!</definedName>
    <definedName name="BExMNDR4V2VG5RFZDGTAGD3Q9PPG" localSheetId="33" hidden="1">#REF!</definedName>
    <definedName name="BExMNDR4V2VG5RFZDGTAGD3Q9PPG" localSheetId="31" hidden="1">#REF!</definedName>
    <definedName name="BExMNDR4V2VG5RFZDGTAGD3Q9PPG" localSheetId="32" hidden="1">#REF!</definedName>
    <definedName name="BExMNDR4V2VG5RFZDGTAGD3Q9PPG" hidden="1">#REF!</definedName>
    <definedName name="BExMNJLFWZBRN9PZF1IO9CYWV1B2" localSheetId="30" hidden="1">#REF!</definedName>
    <definedName name="BExMNJLFWZBRN9PZF1IO9CYWV1B2" localSheetId="29" hidden="1">#REF!</definedName>
    <definedName name="BExMNJLFWZBRN9PZF1IO9CYWV1B2" localSheetId="33" hidden="1">#REF!</definedName>
    <definedName name="BExMNJLFWZBRN9PZF1IO9CYWV1B2" localSheetId="31" hidden="1">#REF!</definedName>
    <definedName name="BExMNJLFWZBRN9PZF1IO9CYWV1B2" localSheetId="32" hidden="1">#REF!</definedName>
    <definedName name="BExMNJLFWZBRN9PZF1IO9CYWV1B2" hidden="1">#REF!</definedName>
    <definedName name="BExMNKCJ0FA57YEUUAJE43U1QN5P" localSheetId="30" hidden="1">#REF!</definedName>
    <definedName name="BExMNKCJ0FA57YEUUAJE43U1QN5P" localSheetId="29" hidden="1">#REF!</definedName>
    <definedName name="BExMNKCJ0FA57YEUUAJE43U1QN5P" localSheetId="33" hidden="1">#REF!</definedName>
    <definedName name="BExMNKCJ0FA57YEUUAJE43U1QN5P" localSheetId="31" hidden="1">#REF!</definedName>
    <definedName name="BExMNKCJ0FA57YEUUAJE43U1QN5P" localSheetId="32" hidden="1">#REF!</definedName>
    <definedName name="BExMNKCJ0FA57YEUUAJE43U1QN5P" hidden="1">#REF!</definedName>
    <definedName name="BExMNKN5D1WEF2OOJVP6LZ6DLU3Y" localSheetId="30" hidden="1">#REF!</definedName>
    <definedName name="BExMNKN5D1WEF2OOJVP6LZ6DLU3Y" localSheetId="29" hidden="1">#REF!</definedName>
    <definedName name="BExMNKN5D1WEF2OOJVP6LZ6DLU3Y" localSheetId="33" hidden="1">#REF!</definedName>
    <definedName name="BExMNKN5D1WEF2OOJVP6LZ6DLU3Y" localSheetId="31" hidden="1">#REF!</definedName>
    <definedName name="BExMNKN5D1WEF2OOJVP6LZ6DLU3Y" localSheetId="32" hidden="1">#REF!</definedName>
    <definedName name="BExMNKN5D1WEF2OOJVP6LZ6DLU3Y" hidden="1">#REF!</definedName>
    <definedName name="BExMNR38HMPLWAJRQ9MMS3ZAZ9IU" localSheetId="30" hidden="1">#REF!</definedName>
    <definedName name="BExMNR38HMPLWAJRQ9MMS3ZAZ9IU" localSheetId="29" hidden="1">#REF!</definedName>
    <definedName name="BExMNR38HMPLWAJRQ9MMS3ZAZ9IU" localSheetId="33" hidden="1">#REF!</definedName>
    <definedName name="BExMNR38HMPLWAJRQ9MMS3ZAZ9IU" localSheetId="31" hidden="1">#REF!</definedName>
    <definedName name="BExMNR38HMPLWAJRQ9MMS3ZAZ9IU" localSheetId="32" hidden="1">#REF!</definedName>
    <definedName name="BExMNR38HMPLWAJRQ9MMS3ZAZ9IU" hidden="1">#REF!</definedName>
    <definedName name="BExMNRDZULKJMVY2VKIIRM2M5A1M" localSheetId="30" hidden="1">#REF!</definedName>
    <definedName name="BExMNRDZULKJMVY2VKIIRM2M5A1M" localSheetId="29" hidden="1">#REF!</definedName>
    <definedName name="BExMNRDZULKJMVY2VKIIRM2M5A1M" localSheetId="33" hidden="1">#REF!</definedName>
    <definedName name="BExMNRDZULKJMVY2VKIIRM2M5A1M" localSheetId="31" hidden="1">#REF!</definedName>
    <definedName name="BExMNRDZULKJMVY2VKIIRM2M5A1M" localSheetId="32" hidden="1">#REF!</definedName>
    <definedName name="BExMNRDZULKJMVY2VKIIRM2M5A1M" hidden="1">#REF!</definedName>
    <definedName name="BExMO9IOWKTWHO8LQJJQI5P3INWY" localSheetId="30" hidden="1">#REF!</definedName>
    <definedName name="BExMO9IOWKTWHO8LQJJQI5P3INWY" localSheetId="29" hidden="1">#REF!</definedName>
    <definedName name="BExMO9IOWKTWHO8LQJJQI5P3INWY" localSheetId="33" hidden="1">#REF!</definedName>
    <definedName name="BExMO9IOWKTWHO8LQJJQI5P3INWY" localSheetId="31" hidden="1">#REF!</definedName>
    <definedName name="BExMO9IOWKTWHO8LQJJQI5P3INWY" localSheetId="32" hidden="1">#REF!</definedName>
    <definedName name="BExMO9IOWKTWHO8LQJJQI5P3INWY" hidden="1">#REF!</definedName>
    <definedName name="BExMOI29DOEK5R1A5QZPUDKF7N6T" localSheetId="30" hidden="1">#REF!</definedName>
    <definedName name="BExMOI29DOEK5R1A5QZPUDKF7N6T" localSheetId="29" hidden="1">#REF!</definedName>
    <definedName name="BExMOI29DOEK5R1A5QZPUDKF7N6T" localSheetId="33" hidden="1">#REF!</definedName>
    <definedName name="BExMOI29DOEK5R1A5QZPUDKF7N6T" localSheetId="31" hidden="1">#REF!</definedName>
    <definedName name="BExMOI29DOEK5R1A5QZPUDKF7N6T" localSheetId="32" hidden="1">#REF!</definedName>
    <definedName name="BExMOI29DOEK5R1A5QZPUDKF7N6T" hidden="1">#REF!</definedName>
    <definedName name="BExMOV3JSWGMRQ1FU66D8W02DOQD" localSheetId="30" hidden="1">#REF!</definedName>
    <definedName name="BExMOV3JSWGMRQ1FU66D8W02DOQD" localSheetId="29" hidden="1">#REF!</definedName>
    <definedName name="BExMOV3JSWGMRQ1FU66D8W02DOQD" localSheetId="33" hidden="1">#REF!</definedName>
    <definedName name="BExMOV3JSWGMRQ1FU66D8W02DOQD" localSheetId="31" hidden="1">#REF!</definedName>
    <definedName name="BExMOV3JSWGMRQ1FU66D8W02DOQD" localSheetId="32" hidden="1">#REF!</definedName>
    <definedName name="BExMOV3JSWGMRQ1FU66D8W02DOQD" hidden="1">#REF!</definedName>
    <definedName name="BExMOZALG78KPMG2MXO8B42YPRAL" localSheetId="30" hidden="1">#REF!</definedName>
    <definedName name="BExMOZALG78KPMG2MXO8B42YPRAL" localSheetId="29" hidden="1">#REF!</definedName>
    <definedName name="BExMOZALG78KPMG2MXO8B42YPRAL" localSheetId="33" hidden="1">#REF!</definedName>
    <definedName name="BExMOZALG78KPMG2MXO8B42YPRAL" localSheetId="31" hidden="1">#REF!</definedName>
    <definedName name="BExMOZALG78KPMG2MXO8B42YPRAL" localSheetId="32" hidden="1">#REF!</definedName>
    <definedName name="BExMOZALG78KPMG2MXO8B42YPRAL" hidden="1">#REF!</definedName>
    <definedName name="BExMPAJ5AJAXGKGK3F6H3ODS6RF4" localSheetId="30" hidden="1">#REF!</definedName>
    <definedName name="BExMPAJ5AJAXGKGK3F6H3ODS6RF4" localSheetId="29" hidden="1">#REF!</definedName>
    <definedName name="BExMPAJ5AJAXGKGK3F6H3ODS6RF4" localSheetId="33" hidden="1">#REF!</definedName>
    <definedName name="BExMPAJ5AJAXGKGK3F6H3ODS6RF4" localSheetId="31" hidden="1">#REF!</definedName>
    <definedName name="BExMPAJ5AJAXGKGK3F6H3ODS6RF4" localSheetId="32" hidden="1">#REF!</definedName>
    <definedName name="BExMPAJ5AJAXGKGK3F6H3ODS6RF4" hidden="1">#REF!</definedName>
    <definedName name="BExMPAJ9U0R0TRB68Q7MGYEIHOMT" localSheetId="30" hidden="1">#REF!</definedName>
    <definedName name="BExMPAJ9U0R0TRB68Q7MGYEIHOMT" localSheetId="29" hidden="1">#REF!</definedName>
    <definedName name="BExMPAJ9U0R0TRB68Q7MGYEIHOMT" localSheetId="33" hidden="1">#REF!</definedName>
    <definedName name="BExMPAJ9U0R0TRB68Q7MGYEIHOMT" localSheetId="31" hidden="1">#REF!</definedName>
    <definedName name="BExMPAJ9U0R0TRB68Q7MGYEIHOMT" localSheetId="32" hidden="1">#REF!</definedName>
    <definedName name="BExMPAJ9U0R0TRB68Q7MGYEIHOMT" hidden="1">#REF!</definedName>
    <definedName name="BExMPD2X55FFBVJ6CBUKNPROIOEU" localSheetId="30" hidden="1">#REF!</definedName>
    <definedName name="BExMPD2X55FFBVJ6CBUKNPROIOEU" localSheetId="29" hidden="1">#REF!</definedName>
    <definedName name="BExMPD2X55FFBVJ6CBUKNPROIOEU" localSheetId="33" hidden="1">#REF!</definedName>
    <definedName name="BExMPD2X55FFBVJ6CBUKNPROIOEU" localSheetId="31" hidden="1">#REF!</definedName>
    <definedName name="BExMPD2X55FFBVJ6CBUKNPROIOEU" localSheetId="32" hidden="1">#REF!</definedName>
    <definedName name="BExMPD2X55FFBVJ6CBUKNPROIOEU" hidden="1">#REF!</definedName>
    <definedName name="BExMPEVNFL2SCHV9J1YH8YM9774D" localSheetId="30" hidden="1">#REF!</definedName>
    <definedName name="BExMPEVNFL2SCHV9J1YH8YM9774D" localSheetId="29" hidden="1">#REF!</definedName>
    <definedName name="BExMPEVNFL2SCHV9J1YH8YM9774D" localSheetId="33" hidden="1">#REF!</definedName>
    <definedName name="BExMPEVNFL2SCHV9J1YH8YM9774D" localSheetId="31" hidden="1">#REF!</definedName>
    <definedName name="BExMPEVNFL2SCHV9J1YH8YM9774D" localSheetId="32" hidden="1">#REF!</definedName>
    <definedName name="BExMPEVNFL2SCHV9J1YH8YM9774D" hidden="1">#REF!</definedName>
    <definedName name="BExMPGZ848E38FUH1JBQN97DGWAT" localSheetId="30" hidden="1">#REF!</definedName>
    <definedName name="BExMPGZ848E38FUH1JBQN97DGWAT" localSheetId="29" hidden="1">#REF!</definedName>
    <definedName name="BExMPGZ848E38FUH1JBQN97DGWAT" localSheetId="33" hidden="1">#REF!</definedName>
    <definedName name="BExMPGZ848E38FUH1JBQN97DGWAT" localSheetId="31" hidden="1">#REF!</definedName>
    <definedName name="BExMPGZ848E38FUH1JBQN97DGWAT" localSheetId="32" hidden="1">#REF!</definedName>
    <definedName name="BExMPGZ848E38FUH1JBQN97DGWAT" hidden="1">#REF!</definedName>
    <definedName name="BExMPMTICOSMQENOFKQ18K0ZT4S8" localSheetId="30" hidden="1">#REF!</definedName>
    <definedName name="BExMPMTICOSMQENOFKQ18K0ZT4S8" localSheetId="29" hidden="1">#REF!</definedName>
    <definedName name="BExMPMTICOSMQENOFKQ18K0ZT4S8" localSheetId="33" hidden="1">#REF!</definedName>
    <definedName name="BExMPMTICOSMQENOFKQ18K0ZT4S8" localSheetId="31" hidden="1">#REF!</definedName>
    <definedName name="BExMPMTICOSMQENOFKQ18K0ZT4S8" localSheetId="32" hidden="1">#REF!</definedName>
    <definedName name="BExMPMTICOSMQENOFKQ18K0ZT4S8" hidden="1">#REF!</definedName>
    <definedName name="BExMPMZ07II0R4KGWQQ7PGS3RZS4" localSheetId="30" hidden="1">#REF!</definedName>
    <definedName name="BExMPMZ07II0R4KGWQQ7PGS3RZS4" localSheetId="29" hidden="1">#REF!</definedName>
    <definedName name="BExMPMZ07II0R4KGWQQ7PGS3RZS4" localSheetId="33" hidden="1">#REF!</definedName>
    <definedName name="BExMPMZ07II0R4KGWQQ7PGS3RZS4" localSheetId="31" hidden="1">#REF!</definedName>
    <definedName name="BExMPMZ07II0R4KGWQQ7PGS3RZS4" localSheetId="32" hidden="1">#REF!</definedName>
    <definedName name="BExMPMZ07II0R4KGWQQ7PGS3RZS4" hidden="1">#REF!</definedName>
    <definedName name="BExMPOBH04JMDO6Z8DMSEJZM4ANN" localSheetId="30" hidden="1">#REF!</definedName>
    <definedName name="BExMPOBH04JMDO6Z8DMSEJZM4ANN" localSheetId="29" hidden="1">#REF!</definedName>
    <definedName name="BExMPOBH04JMDO6Z8DMSEJZM4ANN" localSheetId="33" hidden="1">#REF!</definedName>
    <definedName name="BExMPOBH04JMDO6Z8DMSEJZM4ANN" localSheetId="31" hidden="1">#REF!</definedName>
    <definedName name="BExMPOBH04JMDO6Z8DMSEJZM4ANN" localSheetId="32" hidden="1">#REF!</definedName>
    <definedName name="BExMPOBH04JMDO6Z8DMSEJZM4ANN" hidden="1">#REF!</definedName>
    <definedName name="BExMPSD77XQ3HA6A4FZOJK8G2JP3" localSheetId="30" hidden="1">#REF!</definedName>
    <definedName name="BExMPSD77XQ3HA6A4FZOJK8G2JP3" localSheetId="29" hidden="1">#REF!</definedName>
    <definedName name="BExMPSD77XQ3HA6A4FZOJK8G2JP3" localSheetId="33" hidden="1">#REF!</definedName>
    <definedName name="BExMPSD77XQ3HA6A4FZOJK8G2JP3" localSheetId="31" hidden="1">#REF!</definedName>
    <definedName name="BExMPSD77XQ3HA6A4FZOJK8G2JP3" localSheetId="32" hidden="1">#REF!</definedName>
    <definedName name="BExMPSD77XQ3HA6A4FZOJK8G2JP3" hidden="1">#REF!</definedName>
    <definedName name="BExMQ4I3Q7F0BMPHSFMFW9TZ87UD" localSheetId="30" hidden="1">#REF!</definedName>
    <definedName name="BExMQ4I3Q7F0BMPHSFMFW9TZ87UD" localSheetId="29" hidden="1">#REF!</definedName>
    <definedName name="BExMQ4I3Q7F0BMPHSFMFW9TZ87UD" localSheetId="33" hidden="1">#REF!</definedName>
    <definedName name="BExMQ4I3Q7F0BMPHSFMFW9TZ87UD" localSheetId="31" hidden="1">#REF!</definedName>
    <definedName name="BExMQ4I3Q7F0BMPHSFMFW9TZ87UD" localSheetId="32" hidden="1">#REF!</definedName>
    <definedName name="BExMQ4I3Q7F0BMPHSFMFW9TZ87UD" hidden="1">#REF!</definedName>
    <definedName name="BExMQ4SWDWI4N16AZ0T5CJ6HH8WC" localSheetId="30" hidden="1">#REF!</definedName>
    <definedName name="BExMQ4SWDWI4N16AZ0T5CJ6HH8WC" localSheetId="29" hidden="1">#REF!</definedName>
    <definedName name="BExMQ4SWDWI4N16AZ0T5CJ6HH8WC" localSheetId="33" hidden="1">#REF!</definedName>
    <definedName name="BExMQ4SWDWI4N16AZ0T5CJ6HH8WC" localSheetId="31" hidden="1">#REF!</definedName>
    <definedName name="BExMQ4SWDWI4N16AZ0T5CJ6HH8WC" localSheetId="32" hidden="1">#REF!</definedName>
    <definedName name="BExMQ4SWDWI4N16AZ0T5CJ6HH8WC" hidden="1">#REF!</definedName>
    <definedName name="BExMQ71WHW50GVX45JU951AGPLFQ" localSheetId="30" hidden="1">#REF!</definedName>
    <definedName name="BExMQ71WHW50GVX45JU951AGPLFQ" localSheetId="29" hidden="1">#REF!</definedName>
    <definedName name="BExMQ71WHW50GVX45JU951AGPLFQ" localSheetId="33" hidden="1">#REF!</definedName>
    <definedName name="BExMQ71WHW50GVX45JU951AGPLFQ" localSheetId="31" hidden="1">#REF!</definedName>
    <definedName name="BExMQ71WHW50GVX45JU951AGPLFQ" localSheetId="32" hidden="1">#REF!</definedName>
    <definedName name="BExMQ71WHW50GVX45JU951AGPLFQ" hidden="1">#REF!</definedName>
    <definedName name="BExMQAN7SE4U2RCEPGORY8412JLD" localSheetId="30" hidden="1">#REF!</definedName>
    <definedName name="BExMQAN7SE4U2RCEPGORY8412JLD" localSheetId="29" hidden="1">#REF!</definedName>
    <definedName name="BExMQAN7SE4U2RCEPGORY8412JLD" localSheetId="33" hidden="1">#REF!</definedName>
    <definedName name="BExMQAN7SE4U2RCEPGORY8412JLD" localSheetId="31" hidden="1">#REF!</definedName>
    <definedName name="BExMQAN7SE4U2RCEPGORY8412JLD" localSheetId="32" hidden="1">#REF!</definedName>
    <definedName name="BExMQAN7SE4U2RCEPGORY8412JLD" hidden="1">#REF!</definedName>
    <definedName name="BExMQGXSLPT4A6N47LE6FBVHWBOF" localSheetId="30" hidden="1">#REF!</definedName>
    <definedName name="BExMQGXSLPT4A6N47LE6FBVHWBOF" localSheetId="29" hidden="1">#REF!</definedName>
    <definedName name="BExMQGXSLPT4A6N47LE6FBVHWBOF" localSheetId="33" hidden="1">#REF!</definedName>
    <definedName name="BExMQGXSLPT4A6N47LE6FBVHWBOF" localSheetId="31" hidden="1">#REF!</definedName>
    <definedName name="BExMQGXSLPT4A6N47LE6FBVHWBOF" localSheetId="32" hidden="1">#REF!</definedName>
    <definedName name="BExMQGXSLPT4A6N47LE6FBVHWBOF" hidden="1">#REF!</definedName>
    <definedName name="BExMQSBR7PL4KLB1Q4961QO45Y4G" localSheetId="30" hidden="1">#REF!</definedName>
    <definedName name="BExMQSBR7PL4KLB1Q4961QO45Y4G" localSheetId="29" hidden="1">#REF!</definedName>
    <definedName name="BExMQSBR7PL4KLB1Q4961QO45Y4G" localSheetId="33" hidden="1">#REF!</definedName>
    <definedName name="BExMQSBR7PL4KLB1Q4961QO45Y4G" localSheetId="31" hidden="1">#REF!</definedName>
    <definedName name="BExMQSBR7PL4KLB1Q4961QO45Y4G" localSheetId="32" hidden="1">#REF!</definedName>
    <definedName name="BExMQSBR7PL4KLB1Q4961QO45Y4G" hidden="1">#REF!</definedName>
    <definedName name="BExMR1MA4I1X77714ZEPUVC8W398" localSheetId="30" hidden="1">#REF!</definedName>
    <definedName name="BExMR1MA4I1X77714ZEPUVC8W398" localSheetId="29" hidden="1">#REF!</definedName>
    <definedName name="BExMR1MA4I1X77714ZEPUVC8W398" localSheetId="33" hidden="1">#REF!</definedName>
    <definedName name="BExMR1MA4I1X77714ZEPUVC8W398" localSheetId="31" hidden="1">#REF!</definedName>
    <definedName name="BExMR1MA4I1X77714ZEPUVC8W398" localSheetId="32" hidden="1">#REF!</definedName>
    <definedName name="BExMR1MA4I1X77714ZEPUVC8W398" hidden="1">#REF!</definedName>
    <definedName name="BExMR8YQHA7N77HGHY4Y6R30I3XT" localSheetId="30" hidden="1">#REF!</definedName>
    <definedName name="BExMR8YQHA7N77HGHY4Y6R30I3XT" localSheetId="29" hidden="1">#REF!</definedName>
    <definedName name="BExMR8YQHA7N77HGHY4Y6R30I3XT" localSheetId="33" hidden="1">#REF!</definedName>
    <definedName name="BExMR8YQHA7N77HGHY4Y6R30I3XT" localSheetId="31" hidden="1">#REF!</definedName>
    <definedName name="BExMR8YQHA7N77HGHY4Y6R30I3XT" localSheetId="32" hidden="1">#REF!</definedName>
    <definedName name="BExMR8YQHA7N77HGHY4Y6R30I3XT" hidden="1">#REF!</definedName>
    <definedName name="BExMRENOIARWRYOIVPDIEBVNRDO7" localSheetId="30" hidden="1">#REF!</definedName>
    <definedName name="BExMRENOIARWRYOIVPDIEBVNRDO7" localSheetId="29" hidden="1">#REF!</definedName>
    <definedName name="BExMRENOIARWRYOIVPDIEBVNRDO7" localSheetId="33" hidden="1">#REF!</definedName>
    <definedName name="BExMRENOIARWRYOIVPDIEBVNRDO7" localSheetId="31" hidden="1">#REF!</definedName>
    <definedName name="BExMRENOIARWRYOIVPDIEBVNRDO7" localSheetId="32" hidden="1">#REF!</definedName>
    <definedName name="BExMRENOIARWRYOIVPDIEBVNRDO7" hidden="1">#REF!</definedName>
    <definedName name="BExMRIP9KV0X2R3JNV7I7KOGVP3G" localSheetId="30" hidden="1">#REF!</definedName>
    <definedName name="BExMRIP9KV0X2R3JNV7I7KOGVP3G" localSheetId="29" hidden="1">#REF!</definedName>
    <definedName name="BExMRIP9KV0X2R3JNV7I7KOGVP3G" localSheetId="33" hidden="1">#REF!</definedName>
    <definedName name="BExMRIP9KV0X2R3JNV7I7KOGVP3G" localSheetId="31" hidden="1">#REF!</definedName>
    <definedName name="BExMRIP9KV0X2R3JNV7I7KOGVP3G" localSheetId="32" hidden="1">#REF!</definedName>
    <definedName name="BExMRIP9KV0X2R3JNV7I7KOGVP3G" hidden="1">#REF!</definedName>
    <definedName name="BExMRRJNUMGRSDD5GGKKGEIZ6FTS" localSheetId="30" hidden="1">#REF!</definedName>
    <definedName name="BExMRRJNUMGRSDD5GGKKGEIZ6FTS" localSheetId="29" hidden="1">#REF!</definedName>
    <definedName name="BExMRRJNUMGRSDD5GGKKGEIZ6FTS" localSheetId="33" hidden="1">#REF!</definedName>
    <definedName name="BExMRRJNUMGRSDD5GGKKGEIZ6FTS" localSheetId="31" hidden="1">#REF!</definedName>
    <definedName name="BExMRRJNUMGRSDD5GGKKGEIZ6FTS" localSheetId="32" hidden="1">#REF!</definedName>
    <definedName name="BExMRRJNUMGRSDD5GGKKGEIZ6FTS" hidden="1">#REF!</definedName>
    <definedName name="BExMRU3ACIU0RD2BNWO55LH5U2BR" localSheetId="30" hidden="1">#REF!</definedName>
    <definedName name="BExMRU3ACIU0RD2BNWO55LH5U2BR" localSheetId="29" hidden="1">#REF!</definedName>
    <definedName name="BExMRU3ACIU0RD2BNWO55LH5U2BR" localSheetId="33" hidden="1">#REF!</definedName>
    <definedName name="BExMRU3ACIU0RD2BNWO55LH5U2BR" localSheetId="31" hidden="1">#REF!</definedName>
    <definedName name="BExMRU3ACIU0RD2BNWO55LH5U2BR" localSheetId="32" hidden="1">#REF!</definedName>
    <definedName name="BExMRU3ACIU0RD2BNWO55LH5U2BR" hidden="1">#REF!</definedName>
    <definedName name="BExMRZ6OS0V2MLU4KQ5HS39ADPFY" localSheetId="30" hidden="1">#REF!</definedName>
    <definedName name="BExMRZ6OS0V2MLU4KQ5HS39ADPFY" localSheetId="29" hidden="1">#REF!</definedName>
    <definedName name="BExMRZ6OS0V2MLU4KQ5HS39ADPFY" localSheetId="33" hidden="1">#REF!</definedName>
    <definedName name="BExMRZ6OS0V2MLU4KQ5HS39ADPFY" localSheetId="31" hidden="1">#REF!</definedName>
    <definedName name="BExMRZ6OS0V2MLU4KQ5HS39ADPFY" localSheetId="32" hidden="1">#REF!</definedName>
    <definedName name="BExMRZ6OS0V2MLU4KQ5HS39ADPFY" hidden="1">#REF!</definedName>
    <definedName name="BExMSQRCC40AP8BDUPL2I2DNC210" localSheetId="30" hidden="1">#REF!</definedName>
    <definedName name="BExMSQRCC40AP8BDUPL2I2DNC210" localSheetId="29" hidden="1">#REF!</definedName>
    <definedName name="BExMSQRCC40AP8BDUPL2I2DNC210" localSheetId="33" hidden="1">#REF!</definedName>
    <definedName name="BExMSQRCC40AP8BDUPL2I2DNC210" localSheetId="31" hidden="1">#REF!</definedName>
    <definedName name="BExMSQRCC40AP8BDUPL2I2DNC210" localSheetId="32" hidden="1">#REF!</definedName>
    <definedName name="BExMSQRCC40AP8BDUPL2I2DNC210" hidden="1">#REF!</definedName>
    <definedName name="BExO4J9LR712G00TVA82VNTG8O7H" localSheetId="30" hidden="1">#REF!</definedName>
    <definedName name="BExO4J9LR712G00TVA82VNTG8O7H" localSheetId="29" hidden="1">#REF!</definedName>
    <definedName name="BExO4J9LR712G00TVA82VNTG8O7H" localSheetId="33" hidden="1">#REF!</definedName>
    <definedName name="BExO4J9LR712G00TVA82VNTG8O7H" localSheetId="31" hidden="1">#REF!</definedName>
    <definedName name="BExO4J9LR712G00TVA82VNTG8O7H" localSheetId="32" hidden="1">#REF!</definedName>
    <definedName name="BExO4J9LR712G00TVA82VNTG8O7H" hidden="1">#REF!</definedName>
    <definedName name="BExO55G2KVZ7MIJ30N827CLH0I2A" localSheetId="30" hidden="1">#REF!</definedName>
    <definedName name="BExO55G2KVZ7MIJ30N827CLH0I2A" localSheetId="29" hidden="1">#REF!</definedName>
    <definedName name="BExO55G2KVZ7MIJ30N827CLH0I2A" localSheetId="33" hidden="1">#REF!</definedName>
    <definedName name="BExO55G2KVZ7MIJ30N827CLH0I2A" localSheetId="31" hidden="1">#REF!</definedName>
    <definedName name="BExO55G2KVZ7MIJ30N827CLH0I2A" localSheetId="32" hidden="1">#REF!</definedName>
    <definedName name="BExO55G2KVZ7MIJ30N827CLH0I2A" hidden="1">#REF!</definedName>
    <definedName name="BExO5A8PZD9EUHC5CMPU6N3SQ15L" localSheetId="30" hidden="1">#REF!</definedName>
    <definedName name="BExO5A8PZD9EUHC5CMPU6N3SQ15L" localSheetId="29" hidden="1">#REF!</definedName>
    <definedName name="BExO5A8PZD9EUHC5CMPU6N3SQ15L" localSheetId="33" hidden="1">#REF!</definedName>
    <definedName name="BExO5A8PZD9EUHC5CMPU6N3SQ15L" localSheetId="31" hidden="1">#REF!</definedName>
    <definedName name="BExO5A8PZD9EUHC5CMPU6N3SQ15L" localSheetId="32" hidden="1">#REF!</definedName>
    <definedName name="BExO5A8PZD9EUHC5CMPU6N3SQ15L" hidden="1">#REF!</definedName>
    <definedName name="BExO5XMAHL7CY3X0B1OPKZ28DCJ5" localSheetId="30" hidden="1">#REF!</definedName>
    <definedName name="BExO5XMAHL7CY3X0B1OPKZ28DCJ5" localSheetId="29" hidden="1">#REF!</definedName>
    <definedName name="BExO5XMAHL7CY3X0B1OPKZ28DCJ5" localSheetId="33" hidden="1">#REF!</definedName>
    <definedName name="BExO5XMAHL7CY3X0B1OPKZ28DCJ5" localSheetId="31" hidden="1">#REF!</definedName>
    <definedName name="BExO5XMAHL7CY3X0B1OPKZ28DCJ5" localSheetId="32" hidden="1">#REF!</definedName>
    <definedName name="BExO5XMAHL7CY3X0B1OPKZ28DCJ5" hidden="1">#REF!</definedName>
    <definedName name="BExO66LZJKY4PTQVREELI6POS4AY" localSheetId="30" hidden="1">#REF!</definedName>
    <definedName name="BExO66LZJKY4PTQVREELI6POS4AY" localSheetId="29" hidden="1">#REF!</definedName>
    <definedName name="BExO66LZJKY4PTQVREELI6POS4AY" localSheetId="33" hidden="1">#REF!</definedName>
    <definedName name="BExO66LZJKY4PTQVREELI6POS4AY" localSheetId="31" hidden="1">#REF!</definedName>
    <definedName name="BExO66LZJKY4PTQVREELI6POS4AY" localSheetId="32" hidden="1">#REF!</definedName>
    <definedName name="BExO66LZJKY4PTQVREELI6POS4AY" hidden="1">#REF!</definedName>
    <definedName name="BExO6LLHCYTF7CIVHKAO0NMET14Q" localSheetId="30" hidden="1">#REF!</definedName>
    <definedName name="BExO6LLHCYTF7CIVHKAO0NMET14Q" localSheetId="29" hidden="1">#REF!</definedName>
    <definedName name="BExO6LLHCYTF7CIVHKAO0NMET14Q" localSheetId="33" hidden="1">#REF!</definedName>
    <definedName name="BExO6LLHCYTF7CIVHKAO0NMET14Q" localSheetId="31" hidden="1">#REF!</definedName>
    <definedName name="BExO6LLHCYTF7CIVHKAO0NMET14Q" localSheetId="32" hidden="1">#REF!</definedName>
    <definedName name="BExO6LLHCYTF7CIVHKAO0NMET14Q" hidden="1">#REF!</definedName>
    <definedName name="BExO7OUQS3XTUQ2LDKGQ8AAQ3OJJ" localSheetId="30" hidden="1">#REF!</definedName>
    <definedName name="BExO7OUQS3XTUQ2LDKGQ8AAQ3OJJ" localSheetId="29" hidden="1">#REF!</definedName>
    <definedName name="BExO7OUQS3XTUQ2LDKGQ8AAQ3OJJ" localSheetId="33" hidden="1">#REF!</definedName>
    <definedName name="BExO7OUQS3XTUQ2LDKGQ8AAQ3OJJ" localSheetId="31" hidden="1">#REF!</definedName>
    <definedName name="BExO7OUQS3XTUQ2LDKGQ8AAQ3OJJ" localSheetId="32" hidden="1">#REF!</definedName>
    <definedName name="BExO7OUQS3XTUQ2LDKGQ8AAQ3OJJ" hidden="1">#REF!</definedName>
    <definedName name="BExO7RUSODZC2NQZMT2AFSMV2ONF" localSheetId="30" hidden="1">#REF!</definedName>
    <definedName name="BExO7RUSODZC2NQZMT2AFSMV2ONF" localSheetId="29" hidden="1">#REF!</definedName>
    <definedName name="BExO7RUSODZC2NQZMT2AFSMV2ONF" localSheetId="33" hidden="1">#REF!</definedName>
    <definedName name="BExO7RUSODZC2NQZMT2AFSMV2ONF" localSheetId="31" hidden="1">#REF!</definedName>
    <definedName name="BExO7RUSODZC2NQZMT2AFSMV2ONF" localSheetId="32" hidden="1">#REF!</definedName>
    <definedName name="BExO7RUSODZC2NQZMT2AFSMV2ONF" hidden="1">#REF!</definedName>
    <definedName name="BExO85HMYXZJ7SONWBKKIAXMCI3C" localSheetId="30" hidden="1">#REF!</definedName>
    <definedName name="BExO85HMYXZJ7SONWBKKIAXMCI3C" localSheetId="29" hidden="1">#REF!</definedName>
    <definedName name="BExO85HMYXZJ7SONWBKKIAXMCI3C" localSheetId="33" hidden="1">#REF!</definedName>
    <definedName name="BExO85HMYXZJ7SONWBKKIAXMCI3C" localSheetId="31" hidden="1">#REF!</definedName>
    <definedName name="BExO85HMYXZJ7SONWBKKIAXMCI3C" localSheetId="32" hidden="1">#REF!</definedName>
    <definedName name="BExO85HMYXZJ7SONWBKKIAXMCI3C" hidden="1">#REF!</definedName>
    <definedName name="BExO863922O4PBGQMUNEQKGN3K96" localSheetId="30" hidden="1">#REF!</definedName>
    <definedName name="BExO863922O4PBGQMUNEQKGN3K96" localSheetId="29" hidden="1">#REF!</definedName>
    <definedName name="BExO863922O4PBGQMUNEQKGN3K96" localSheetId="33" hidden="1">#REF!</definedName>
    <definedName name="BExO863922O4PBGQMUNEQKGN3K96" localSheetId="31" hidden="1">#REF!</definedName>
    <definedName name="BExO863922O4PBGQMUNEQKGN3K96" localSheetId="32" hidden="1">#REF!</definedName>
    <definedName name="BExO863922O4PBGQMUNEQKGN3K96" hidden="1">#REF!</definedName>
    <definedName name="BExO89ZIOXN0HOKHY24F7HDZ87UT" localSheetId="30" hidden="1">#REF!</definedName>
    <definedName name="BExO89ZIOXN0HOKHY24F7HDZ87UT" localSheetId="29" hidden="1">#REF!</definedName>
    <definedName name="BExO89ZIOXN0HOKHY24F7HDZ87UT" localSheetId="33" hidden="1">#REF!</definedName>
    <definedName name="BExO89ZIOXN0HOKHY24F7HDZ87UT" localSheetId="31" hidden="1">#REF!</definedName>
    <definedName name="BExO89ZIOXN0HOKHY24F7HDZ87UT" localSheetId="32" hidden="1">#REF!</definedName>
    <definedName name="BExO89ZIOXN0HOKHY24F7HDZ87UT" hidden="1">#REF!</definedName>
    <definedName name="BExO8CDTBCABLEUD6PE2UM2EZ6C4" localSheetId="30" hidden="1">#REF!</definedName>
    <definedName name="BExO8CDTBCABLEUD6PE2UM2EZ6C4" localSheetId="29" hidden="1">#REF!</definedName>
    <definedName name="BExO8CDTBCABLEUD6PE2UM2EZ6C4" localSheetId="33" hidden="1">#REF!</definedName>
    <definedName name="BExO8CDTBCABLEUD6PE2UM2EZ6C4" localSheetId="31" hidden="1">#REF!</definedName>
    <definedName name="BExO8CDTBCABLEUD6PE2UM2EZ6C4" localSheetId="32" hidden="1">#REF!</definedName>
    <definedName name="BExO8CDTBCABLEUD6PE2UM2EZ6C4" hidden="1">#REF!</definedName>
    <definedName name="BExO8IZ05ZG0XVOL3W41KBQE176A" localSheetId="30" hidden="1">#REF!</definedName>
    <definedName name="BExO8IZ05ZG0XVOL3W41KBQE176A" localSheetId="29" hidden="1">#REF!</definedName>
    <definedName name="BExO8IZ05ZG0XVOL3W41KBQE176A" localSheetId="33" hidden="1">#REF!</definedName>
    <definedName name="BExO8IZ05ZG0XVOL3W41KBQE176A" localSheetId="31" hidden="1">#REF!</definedName>
    <definedName name="BExO8IZ05ZG0XVOL3W41KBQE176A" localSheetId="32" hidden="1">#REF!</definedName>
    <definedName name="BExO8IZ05ZG0XVOL3W41KBQE176A" hidden="1">#REF!</definedName>
    <definedName name="BExO8UTAGQWDBQZEEF4HUNMLQCVU" localSheetId="30" hidden="1">#REF!</definedName>
    <definedName name="BExO8UTAGQWDBQZEEF4HUNMLQCVU" localSheetId="29" hidden="1">#REF!</definedName>
    <definedName name="BExO8UTAGQWDBQZEEF4HUNMLQCVU" localSheetId="33" hidden="1">#REF!</definedName>
    <definedName name="BExO8UTAGQWDBQZEEF4HUNMLQCVU" localSheetId="31" hidden="1">#REF!</definedName>
    <definedName name="BExO8UTAGQWDBQZEEF4HUNMLQCVU" localSheetId="32" hidden="1">#REF!</definedName>
    <definedName name="BExO8UTAGQWDBQZEEF4HUNMLQCVU" hidden="1">#REF!</definedName>
    <definedName name="BExO937E20IHMGQOZMECL3VZC7OX" localSheetId="30" hidden="1">#REF!</definedName>
    <definedName name="BExO937E20IHMGQOZMECL3VZC7OX" localSheetId="29" hidden="1">#REF!</definedName>
    <definedName name="BExO937E20IHMGQOZMECL3VZC7OX" localSheetId="33" hidden="1">#REF!</definedName>
    <definedName name="BExO937E20IHMGQOZMECL3VZC7OX" localSheetId="31" hidden="1">#REF!</definedName>
    <definedName name="BExO937E20IHMGQOZMECL3VZC7OX" localSheetId="32" hidden="1">#REF!</definedName>
    <definedName name="BExO937E20IHMGQOZMECL3VZC7OX" hidden="1">#REF!</definedName>
    <definedName name="BExO94UTJKQQ7TJTTJRTSR70YVJC" localSheetId="30" hidden="1">#REF!</definedName>
    <definedName name="BExO94UTJKQQ7TJTTJRTSR70YVJC" localSheetId="29" hidden="1">#REF!</definedName>
    <definedName name="BExO94UTJKQQ7TJTTJRTSR70YVJC" localSheetId="33" hidden="1">#REF!</definedName>
    <definedName name="BExO94UTJKQQ7TJTTJRTSR70YVJC" localSheetId="31" hidden="1">#REF!</definedName>
    <definedName name="BExO94UTJKQQ7TJTTJRTSR70YVJC" localSheetId="32" hidden="1">#REF!</definedName>
    <definedName name="BExO94UTJKQQ7TJTTJRTSR70YVJC" hidden="1">#REF!</definedName>
    <definedName name="BExO9J3A438976RXIUX5U9SU5T55" localSheetId="30" hidden="1">#REF!</definedName>
    <definedName name="BExO9J3A438976RXIUX5U9SU5T55" localSheetId="29" hidden="1">#REF!</definedName>
    <definedName name="BExO9J3A438976RXIUX5U9SU5T55" localSheetId="33" hidden="1">#REF!</definedName>
    <definedName name="BExO9J3A438976RXIUX5U9SU5T55" localSheetId="31" hidden="1">#REF!</definedName>
    <definedName name="BExO9J3A438976RXIUX5U9SU5T55" localSheetId="32" hidden="1">#REF!</definedName>
    <definedName name="BExO9J3A438976RXIUX5U9SU5T55" hidden="1">#REF!</definedName>
    <definedName name="BExO9RS5RXFJ1911HL3CCK6M74EP" localSheetId="30" hidden="1">#REF!</definedName>
    <definedName name="BExO9RS5RXFJ1911HL3CCK6M74EP" localSheetId="29" hidden="1">#REF!</definedName>
    <definedName name="BExO9RS5RXFJ1911HL3CCK6M74EP" localSheetId="33" hidden="1">#REF!</definedName>
    <definedName name="BExO9RS5RXFJ1911HL3CCK6M74EP" localSheetId="31" hidden="1">#REF!</definedName>
    <definedName name="BExO9RS5RXFJ1911HL3CCK6M74EP" localSheetId="32" hidden="1">#REF!</definedName>
    <definedName name="BExO9RS5RXFJ1911HL3CCK6M74EP" hidden="1">#REF!</definedName>
    <definedName name="BExO9SDRI1M6KMHXSG3AE5L0F2U3" localSheetId="30" hidden="1">#REF!</definedName>
    <definedName name="BExO9SDRI1M6KMHXSG3AE5L0F2U3" localSheetId="29" hidden="1">#REF!</definedName>
    <definedName name="BExO9SDRI1M6KMHXSG3AE5L0F2U3" localSheetId="33" hidden="1">#REF!</definedName>
    <definedName name="BExO9SDRI1M6KMHXSG3AE5L0F2U3" localSheetId="31" hidden="1">#REF!</definedName>
    <definedName name="BExO9SDRI1M6KMHXSG3AE5L0F2U3" localSheetId="32" hidden="1">#REF!</definedName>
    <definedName name="BExO9SDRI1M6KMHXSG3AE5L0F2U3" hidden="1">#REF!</definedName>
    <definedName name="BExO9V2U2YXAY904GYYGU6TD8Y7M" localSheetId="30" hidden="1">#REF!</definedName>
    <definedName name="BExO9V2U2YXAY904GYYGU6TD8Y7M" localSheetId="29" hidden="1">#REF!</definedName>
    <definedName name="BExO9V2U2YXAY904GYYGU6TD8Y7M" localSheetId="33" hidden="1">#REF!</definedName>
    <definedName name="BExO9V2U2YXAY904GYYGU6TD8Y7M" localSheetId="31" hidden="1">#REF!</definedName>
    <definedName name="BExO9V2U2YXAY904GYYGU6TD8Y7M" localSheetId="32" hidden="1">#REF!</definedName>
    <definedName name="BExO9V2U2YXAY904GYYGU6TD8Y7M" hidden="1">#REF!</definedName>
    <definedName name="BExOAQ3GKCT7YZW1EMVU3EILSZL2" localSheetId="30" hidden="1">#REF!</definedName>
    <definedName name="BExOAQ3GKCT7YZW1EMVU3EILSZL2" localSheetId="29" hidden="1">#REF!</definedName>
    <definedName name="BExOAQ3GKCT7YZW1EMVU3EILSZL2" localSheetId="33" hidden="1">#REF!</definedName>
    <definedName name="BExOAQ3GKCT7YZW1EMVU3EILSZL2" localSheetId="31" hidden="1">#REF!</definedName>
    <definedName name="BExOAQ3GKCT7YZW1EMVU3EILSZL2" localSheetId="32" hidden="1">#REF!</definedName>
    <definedName name="BExOAQ3GKCT7YZW1EMVU3EILSZL2" hidden="1">#REF!</definedName>
    <definedName name="BExOB3L04LKKEHNAGD1255THIHWQ" localSheetId="30" hidden="1">#REF!</definedName>
    <definedName name="BExOB3L04LKKEHNAGD1255THIHWQ" localSheetId="29" hidden="1">#REF!</definedName>
    <definedName name="BExOB3L04LKKEHNAGD1255THIHWQ" localSheetId="33" hidden="1">#REF!</definedName>
    <definedName name="BExOB3L04LKKEHNAGD1255THIHWQ" localSheetId="31" hidden="1">#REF!</definedName>
    <definedName name="BExOB3L04LKKEHNAGD1255THIHWQ" localSheetId="32" hidden="1">#REF!</definedName>
    <definedName name="BExOB3L04LKKEHNAGD1255THIHWQ" hidden="1">#REF!</definedName>
    <definedName name="BExOB9KT2THGV4SPLDVFTFXS4B14" localSheetId="30" hidden="1">#REF!</definedName>
    <definedName name="BExOB9KT2THGV4SPLDVFTFXS4B14" localSheetId="29" hidden="1">#REF!</definedName>
    <definedName name="BExOB9KT2THGV4SPLDVFTFXS4B14" localSheetId="33" hidden="1">#REF!</definedName>
    <definedName name="BExOB9KT2THGV4SPLDVFTFXS4B14" localSheetId="31" hidden="1">#REF!</definedName>
    <definedName name="BExOB9KT2THGV4SPLDVFTFXS4B14" localSheetId="32" hidden="1">#REF!</definedName>
    <definedName name="BExOB9KT2THGV4SPLDVFTFXS4B14" hidden="1">#REF!</definedName>
    <definedName name="BExOBAXA88FJGCUDAKK7ZRO0JXGK" localSheetId="30" hidden="1">#REF!</definedName>
    <definedName name="BExOBAXA88FJGCUDAKK7ZRO0JXGK" localSheetId="29" hidden="1">#REF!</definedName>
    <definedName name="BExOBAXA88FJGCUDAKK7ZRO0JXGK" localSheetId="33" hidden="1">#REF!</definedName>
    <definedName name="BExOBAXA88FJGCUDAKK7ZRO0JXGK" localSheetId="31" hidden="1">#REF!</definedName>
    <definedName name="BExOBAXA88FJGCUDAKK7ZRO0JXGK" localSheetId="32" hidden="1">#REF!</definedName>
    <definedName name="BExOBAXA88FJGCUDAKK7ZRO0JXGK" hidden="1">#REF!</definedName>
    <definedName name="BExOBEZ0IE2WBEYY3D3CMRI72N1K" localSheetId="30" hidden="1">#REF!</definedName>
    <definedName name="BExOBEZ0IE2WBEYY3D3CMRI72N1K" localSheetId="29" hidden="1">#REF!</definedName>
    <definedName name="BExOBEZ0IE2WBEYY3D3CMRI72N1K" localSheetId="33" hidden="1">#REF!</definedName>
    <definedName name="BExOBEZ0IE2WBEYY3D3CMRI72N1K" localSheetId="31" hidden="1">#REF!</definedName>
    <definedName name="BExOBEZ0IE2WBEYY3D3CMRI72N1K" localSheetId="32" hidden="1">#REF!</definedName>
    <definedName name="BExOBEZ0IE2WBEYY3D3CMRI72N1K" hidden="1">#REF!</definedName>
    <definedName name="BExOBIPU8760ITY0C8N27XZ3KWEF" localSheetId="30" hidden="1">#REF!</definedName>
    <definedName name="BExOBIPU8760ITY0C8N27XZ3KWEF" localSheetId="29" hidden="1">#REF!</definedName>
    <definedName name="BExOBIPU8760ITY0C8N27XZ3KWEF" localSheetId="33" hidden="1">#REF!</definedName>
    <definedName name="BExOBIPU8760ITY0C8N27XZ3KWEF" localSheetId="31" hidden="1">#REF!</definedName>
    <definedName name="BExOBIPU8760ITY0C8N27XZ3KWEF" localSheetId="32" hidden="1">#REF!</definedName>
    <definedName name="BExOBIPU8760ITY0C8N27XZ3KWEF" hidden="1">#REF!</definedName>
    <definedName name="BExOBM0I5L0MZ1G4H9MGMD87SBMZ" localSheetId="30" hidden="1">#REF!</definedName>
    <definedName name="BExOBM0I5L0MZ1G4H9MGMD87SBMZ" localSheetId="29" hidden="1">#REF!</definedName>
    <definedName name="BExOBM0I5L0MZ1G4H9MGMD87SBMZ" localSheetId="33" hidden="1">#REF!</definedName>
    <definedName name="BExOBM0I5L0MZ1G4H9MGMD87SBMZ" localSheetId="31" hidden="1">#REF!</definedName>
    <definedName name="BExOBM0I5L0MZ1G4H9MGMD87SBMZ" localSheetId="32" hidden="1">#REF!</definedName>
    <definedName name="BExOBM0I5L0MZ1G4H9MGMD87SBMZ" hidden="1">#REF!</definedName>
    <definedName name="BExOBOUXMP88KJY2BX2JLUJH5N0K" localSheetId="30" hidden="1">#REF!</definedName>
    <definedName name="BExOBOUXMP88KJY2BX2JLUJH5N0K" localSheetId="29" hidden="1">#REF!</definedName>
    <definedName name="BExOBOUXMP88KJY2BX2JLUJH5N0K" localSheetId="33" hidden="1">#REF!</definedName>
    <definedName name="BExOBOUXMP88KJY2BX2JLUJH5N0K" localSheetId="31" hidden="1">#REF!</definedName>
    <definedName name="BExOBOUXMP88KJY2BX2JLUJH5N0K" localSheetId="32" hidden="1">#REF!</definedName>
    <definedName name="BExOBOUXMP88KJY2BX2JLUJH5N0K" hidden="1">#REF!</definedName>
    <definedName name="BExOBP0FKQ4SVR59FB48UNLKCOR6" localSheetId="30" hidden="1">#REF!</definedName>
    <definedName name="BExOBP0FKQ4SVR59FB48UNLKCOR6" localSheetId="29" hidden="1">#REF!</definedName>
    <definedName name="BExOBP0FKQ4SVR59FB48UNLKCOR6" localSheetId="33" hidden="1">#REF!</definedName>
    <definedName name="BExOBP0FKQ4SVR59FB48UNLKCOR6" localSheetId="31" hidden="1">#REF!</definedName>
    <definedName name="BExOBP0FKQ4SVR59FB48UNLKCOR6" localSheetId="32" hidden="1">#REF!</definedName>
    <definedName name="BExOBP0FKQ4SVR59FB48UNLKCOR6" hidden="1">#REF!</definedName>
    <definedName name="BExOBYAVUCQ0IGM0Y6A75QHP0Q1A" localSheetId="30" hidden="1">#REF!</definedName>
    <definedName name="BExOBYAVUCQ0IGM0Y6A75QHP0Q1A" localSheetId="29" hidden="1">#REF!</definedName>
    <definedName name="BExOBYAVUCQ0IGM0Y6A75QHP0Q1A" localSheetId="33" hidden="1">#REF!</definedName>
    <definedName name="BExOBYAVUCQ0IGM0Y6A75QHP0Q1A" localSheetId="31" hidden="1">#REF!</definedName>
    <definedName name="BExOBYAVUCQ0IGM0Y6A75QHP0Q1A" localSheetId="32" hidden="1">#REF!</definedName>
    <definedName name="BExOBYAVUCQ0IGM0Y6A75QHP0Q1A" hidden="1">#REF!</definedName>
    <definedName name="BExOC3UEHB1CZNINSQHZANWJYKR8" localSheetId="30" hidden="1">#REF!</definedName>
    <definedName name="BExOC3UEHB1CZNINSQHZANWJYKR8" localSheetId="29" hidden="1">#REF!</definedName>
    <definedName name="BExOC3UEHB1CZNINSQHZANWJYKR8" localSheetId="33" hidden="1">#REF!</definedName>
    <definedName name="BExOC3UEHB1CZNINSQHZANWJYKR8" localSheetId="31" hidden="1">#REF!</definedName>
    <definedName name="BExOC3UEHB1CZNINSQHZANWJYKR8" localSheetId="32" hidden="1">#REF!</definedName>
    <definedName name="BExOC3UEHB1CZNINSQHZANWJYKR8" hidden="1">#REF!</definedName>
    <definedName name="BExOCBSF3XGO9YJ23LX2H78VOUR7" localSheetId="30" hidden="1">#REF!</definedName>
    <definedName name="BExOCBSF3XGO9YJ23LX2H78VOUR7" localSheetId="29" hidden="1">#REF!</definedName>
    <definedName name="BExOCBSF3XGO9YJ23LX2H78VOUR7" localSheetId="33" hidden="1">#REF!</definedName>
    <definedName name="BExOCBSF3XGO9YJ23LX2H78VOUR7" localSheetId="31" hidden="1">#REF!</definedName>
    <definedName name="BExOCBSF3XGO9YJ23LX2H78VOUR7" localSheetId="32" hidden="1">#REF!</definedName>
    <definedName name="BExOCBSF3XGO9YJ23LX2H78VOUR7" hidden="1">#REF!</definedName>
    <definedName name="BExOCKXFMOW6WPFEVX1I7R7FNDSS" localSheetId="30" hidden="1">#REF!</definedName>
    <definedName name="BExOCKXFMOW6WPFEVX1I7R7FNDSS" localSheetId="29" hidden="1">#REF!</definedName>
    <definedName name="BExOCKXFMOW6WPFEVX1I7R7FNDSS" localSheetId="33" hidden="1">#REF!</definedName>
    <definedName name="BExOCKXFMOW6WPFEVX1I7R7FNDSS" localSheetId="31" hidden="1">#REF!</definedName>
    <definedName name="BExOCKXFMOW6WPFEVX1I7R7FNDSS" localSheetId="32" hidden="1">#REF!</definedName>
    <definedName name="BExOCKXFMOW6WPFEVX1I7R7FNDSS" hidden="1">#REF!</definedName>
    <definedName name="BExOCYEXOB95DH5NOB0M5NOYX398" localSheetId="30" hidden="1">#REF!</definedName>
    <definedName name="BExOCYEXOB95DH5NOB0M5NOYX398" localSheetId="29" hidden="1">#REF!</definedName>
    <definedName name="BExOCYEXOB95DH5NOB0M5NOYX398" localSheetId="33" hidden="1">#REF!</definedName>
    <definedName name="BExOCYEXOB95DH5NOB0M5NOYX398" localSheetId="31" hidden="1">#REF!</definedName>
    <definedName name="BExOCYEXOB95DH5NOB0M5NOYX398" localSheetId="32" hidden="1">#REF!</definedName>
    <definedName name="BExOCYEXOB95DH5NOB0M5NOYX398" hidden="1">#REF!</definedName>
    <definedName name="BExOD4ERMDMFD8X1016N4EXOUR0S" localSheetId="30" hidden="1">#REF!</definedName>
    <definedName name="BExOD4ERMDMFD8X1016N4EXOUR0S" localSheetId="29" hidden="1">#REF!</definedName>
    <definedName name="BExOD4ERMDMFD8X1016N4EXOUR0S" localSheetId="33" hidden="1">#REF!</definedName>
    <definedName name="BExOD4ERMDMFD8X1016N4EXOUR0S" localSheetId="31" hidden="1">#REF!</definedName>
    <definedName name="BExOD4ERMDMFD8X1016N4EXOUR0S" localSheetId="32" hidden="1">#REF!</definedName>
    <definedName name="BExOD4ERMDMFD8X1016N4EXOUR0S" hidden="1">#REF!</definedName>
    <definedName name="BExOD55RS7BQUHRQ6H3USVGKR0P7" localSheetId="30" hidden="1">#REF!</definedName>
    <definedName name="BExOD55RS7BQUHRQ6H3USVGKR0P7" localSheetId="29" hidden="1">#REF!</definedName>
    <definedName name="BExOD55RS7BQUHRQ6H3USVGKR0P7" localSheetId="33" hidden="1">#REF!</definedName>
    <definedName name="BExOD55RS7BQUHRQ6H3USVGKR0P7" localSheetId="31" hidden="1">#REF!</definedName>
    <definedName name="BExOD55RS7BQUHRQ6H3USVGKR0P7" localSheetId="32" hidden="1">#REF!</definedName>
    <definedName name="BExOD55RS7BQUHRQ6H3USVGKR0P7" hidden="1">#REF!</definedName>
    <definedName name="BExODEWDDEABM4ZY3XREJIBZ8IVP" localSheetId="30" hidden="1">#REF!</definedName>
    <definedName name="BExODEWDDEABM4ZY3XREJIBZ8IVP" localSheetId="29" hidden="1">#REF!</definedName>
    <definedName name="BExODEWDDEABM4ZY3XREJIBZ8IVP" localSheetId="33" hidden="1">#REF!</definedName>
    <definedName name="BExODEWDDEABM4ZY3XREJIBZ8IVP" localSheetId="31" hidden="1">#REF!</definedName>
    <definedName name="BExODEWDDEABM4ZY3XREJIBZ8IVP" localSheetId="32" hidden="1">#REF!</definedName>
    <definedName name="BExODEWDDEABM4ZY3XREJIBZ8IVP" hidden="1">#REF!</definedName>
    <definedName name="BExODZFEIWV26E8RFU7XQYX1J458" localSheetId="30" hidden="1">#REF!</definedName>
    <definedName name="BExODZFEIWV26E8RFU7XQYX1J458" localSheetId="29" hidden="1">#REF!</definedName>
    <definedName name="BExODZFEIWV26E8RFU7XQYX1J458" localSheetId="33" hidden="1">#REF!</definedName>
    <definedName name="BExODZFEIWV26E8RFU7XQYX1J458" localSheetId="31" hidden="1">#REF!</definedName>
    <definedName name="BExODZFEIWV26E8RFU7XQYX1J458" localSheetId="32" hidden="1">#REF!</definedName>
    <definedName name="BExODZFEIWV26E8RFU7XQYX1J458" hidden="1">#REF!</definedName>
    <definedName name="BExOEBKG55EROA2VL360A06LKASE" localSheetId="30" hidden="1">#REF!</definedName>
    <definedName name="BExOEBKG55EROA2VL360A06LKASE" localSheetId="29" hidden="1">#REF!</definedName>
    <definedName name="BExOEBKG55EROA2VL360A06LKASE" localSheetId="33" hidden="1">#REF!</definedName>
    <definedName name="BExOEBKG55EROA2VL360A06LKASE" localSheetId="31" hidden="1">#REF!</definedName>
    <definedName name="BExOEBKG55EROA2VL360A06LKASE" localSheetId="32" hidden="1">#REF!</definedName>
    <definedName name="BExOEBKG55EROA2VL360A06LKASE" hidden="1">#REF!</definedName>
    <definedName name="BExOERG5LWXYYEN1DY1H2FWRJS9T" localSheetId="30" hidden="1">#REF!</definedName>
    <definedName name="BExOERG5LWXYYEN1DY1H2FWRJS9T" localSheetId="29" hidden="1">#REF!</definedName>
    <definedName name="BExOERG5LWXYYEN1DY1H2FWRJS9T" localSheetId="33" hidden="1">#REF!</definedName>
    <definedName name="BExOERG5LWXYYEN1DY1H2FWRJS9T" localSheetId="31" hidden="1">#REF!</definedName>
    <definedName name="BExOERG5LWXYYEN1DY1H2FWRJS9T" localSheetId="32" hidden="1">#REF!</definedName>
    <definedName name="BExOERG5LWXYYEN1DY1H2FWRJS9T" hidden="1">#REF!</definedName>
    <definedName name="BExOETJOAFZU2N4EM8M3P0JHMBD3" localSheetId="30" hidden="1">#REF!</definedName>
    <definedName name="BExOETJOAFZU2N4EM8M3P0JHMBD3" localSheetId="29" hidden="1">#REF!</definedName>
    <definedName name="BExOETJOAFZU2N4EM8M3P0JHMBD3" localSheetId="33" hidden="1">#REF!</definedName>
    <definedName name="BExOETJOAFZU2N4EM8M3P0JHMBD3" localSheetId="31" hidden="1">#REF!</definedName>
    <definedName name="BExOETJOAFZU2N4EM8M3P0JHMBD3" localSheetId="32" hidden="1">#REF!</definedName>
    <definedName name="BExOETJOAFZU2N4EM8M3P0JHMBD3" hidden="1">#REF!</definedName>
    <definedName name="BExOEV1S6JJVO5PP4BZ20SNGZR7D" localSheetId="30" hidden="1">#REF!</definedName>
    <definedName name="BExOEV1S6JJVO5PP4BZ20SNGZR7D" localSheetId="29" hidden="1">#REF!</definedName>
    <definedName name="BExOEV1S6JJVO5PP4BZ20SNGZR7D" localSheetId="33" hidden="1">#REF!</definedName>
    <definedName name="BExOEV1S6JJVO5PP4BZ20SNGZR7D" localSheetId="31" hidden="1">#REF!</definedName>
    <definedName name="BExOEV1S6JJVO5PP4BZ20SNGZR7D" localSheetId="32" hidden="1">#REF!</definedName>
    <definedName name="BExOEV1S6JJVO5PP4BZ20SNGZR7D" hidden="1">#REF!</definedName>
    <definedName name="BExOFEDNCYI2TPTMQ8SJN3AW4YMF" localSheetId="30" hidden="1">#REF!</definedName>
    <definedName name="BExOFEDNCYI2TPTMQ8SJN3AW4YMF" localSheetId="29" hidden="1">#REF!</definedName>
    <definedName name="BExOFEDNCYI2TPTMQ8SJN3AW4YMF" localSheetId="33" hidden="1">#REF!</definedName>
    <definedName name="BExOFEDNCYI2TPTMQ8SJN3AW4YMF" localSheetId="31" hidden="1">#REF!</definedName>
    <definedName name="BExOFEDNCYI2TPTMQ8SJN3AW4YMF" localSheetId="32" hidden="1">#REF!</definedName>
    <definedName name="BExOFEDNCYI2TPTMQ8SJN3AW4YMF" hidden="1">#REF!</definedName>
    <definedName name="BExOFNINC39GF48XNW0T552CZZ3A" localSheetId="30" hidden="1">#REF!</definedName>
    <definedName name="BExOFNINC39GF48XNW0T552CZZ3A" localSheetId="29" hidden="1">#REF!</definedName>
    <definedName name="BExOFNINC39GF48XNW0T552CZZ3A" localSheetId="33" hidden="1">#REF!</definedName>
    <definedName name="BExOFNINC39GF48XNW0T552CZZ3A" localSheetId="31" hidden="1">#REF!</definedName>
    <definedName name="BExOFNINC39GF48XNW0T552CZZ3A" localSheetId="32" hidden="1">#REF!</definedName>
    <definedName name="BExOFNINC39GF48XNW0T552CZZ3A" hidden="1">#REF!</definedName>
    <definedName name="BExOFVLXVD6RVHSQO8KZOOACSV24" localSheetId="30" hidden="1">#REF!</definedName>
    <definedName name="BExOFVLXVD6RVHSQO8KZOOACSV24" localSheetId="29" hidden="1">#REF!</definedName>
    <definedName name="BExOFVLXVD6RVHSQO8KZOOACSV24" localSheetId="33" hidden="1">#REF!</definedName>
    <definedName name="BExOFVLXVD6RVHSQO8KZOOACSV24" localSheetId="31" hidden="1">#REF!</definedName>
    <definedName name="BExOFVLXVD6RVHSQO8KZOOACSV24" localSheetId="32" hidden="1">#REF!</definedName>
    <definedName name="BExOFVLXVD6RVHSQO8KZOOACSV24" hidden="1">#REF!</definedName>
    <definedName name="BExOG2SW3XOGP9VAPQ3THV3VWV12" localSheetId="30" hidden="1">#REF!</definedName>
    <definedName name="BExOG2SW3XOGP9VAPQ3THV3VWV12" localSheetId="29" hidden="1">#REF!</definedName>
    <definedName name="BExOG2SW3XOGP9VAPQ3THV3VWV12" localSheetId="33" hidden="1">#REF!</definedName>
    <definedName name="BExOG2SW3XOGP9VAPQ3THV3VWV12" localSheetId="31" hidden="1">#REF!</definedName>
    <definedName name="BExOG2SW3XOGP9VAPQ3THV3VWV12" localSheetId="32" hidden="1">#REF!</definedName>
    <definedName name="BExOG2SW3XOGP9VAPQ3THV3VWV12" hidden="1">#REF!</definedName>
    <definedName name="BExOG45J81K4OPA40KW5VQU54KY3" localSheetId="30" hidden="1">#REF!</definedName>
    <definedName name="BExOG45J81K4OPA40KW5VQU54KY3" localSheetId="29" hidden="1">#REF!</definedName>
    <definedName name="BExOG45J81K4OPA40KW5VQU54KY3" localSheetId="33" hidden="1">#REF!</definedName>
    <definedName name="BExOG45J81K4OPA40KW5VQU54KY3" localSheetId="31" hidden="1">#REF!</definedName>
    <definedName name="BExOG45J81K4OPA40KW5VQU54KY3" localSheetId="32" hidden="1">#REF!</definedName>
    <definedName name="BExOG45J81K4OPA40KW5VQU54KY3" hidden="1">#REF!</definedName>
    <definedName name="BExOGB1PIQFV5AZV66BVISNEZEZX" localSheetId="30" hidden="1">#REF!</definedName>
    <definedName name="BExOGB1PIQFV5AZV66BVISNEZEZX" localSheetId="29" hidden="1">#REF!</definedName>
    <definedName name="BExOGB1PIQFV5AZV66BVISNEZEZX" localSheetId="33" hidden="1">#REF!</definedName>
    <definedName name="BExOGB1PIQFV5AZV66BVISNEZEZX" localSheetId="31" hidden="1">#REF!</definedName>
    <definedName name="BExOGB1PIQFV5AZV66BVISNEZEZX" localSheetId="32" hidden="1">#REF!</definedName>
    <definedName name="BExOGB1PIQFV5AZV66BVISNEZEZX" hidden="1">#REF!</definedName>
    <definedName name="BExOGFE2SCL8HHT4DFAXKLUTJZOG" localSheetId="30" hidden="1">#REF!</definedName>
    <definedName name="BExOGFE2SCL8HHT4DFAXKLUTJZOG" localSheetId="29" hidden="1">#REF!</definedName>
    <definedName name="BExOGFE2SCL8HHT4DFAXKLUTJZOG" localSheetId="33" hidden="1">#REF!</definedName>
    <definedName name="BExOGFE2SCL8HHT4DFAXKLUTJZOG" localSheetId="31" hidden="1">#REF!</definedName>
    <definedName name="BExOGFE2SCL8HHT4DFAXKLUTJZOG" localSheetId="32" hidden="1">#REF!</definedName>
    <definedName name="BExOGFE2SCL8HHT4DFAXKLUTJZOG" hidden="1">#REF!</definedName>
    <definedName name="BExOGODQIRGGEZXSOT2QZ01A1UXL" localSheetId="30" hidden="1">#REF!</definedName>
    <definedName name="BExOGODQIRGGEZXSOT2QZ01A1UXL" localSheetId="29" hidden="1">#REF!</definedName>
    <definedName name="BExOGODQIRGGEZXSOT2QZ01A1UXL" localSheetId="33" hidden="1">#REF!</definedName>
    <definedName name="BExOGODQIRGGEZXSOT2QZ01A1UXL" localSheetId="31" hidden="1">#REF!</definedName>
    <definedName name="BExOGODQIRGGEZXSOT2QZ01A1UXL" localSheetId="32" hidden="1">#REF!</definedName>
    <definedName name="BExOGODQIRGGEZXSOT2QZ01A1UXL" hidden="1">#REF!</definedName>
    <definedName name="BExOGT6D0LJ3C22RDW8COECKB1J5" localSheetId="30" hidden="1">#REF!</definedName>
    <definedName name="BExOGT6D0LJ3C22RDW8COECKB1J5" localSheetId="29" hidden="1">#REF!</definedName>
    <definedName name="BExOGT6D0LJ3C22RDW8COECKB1J5" localSheetId="33" hidden="1">#REF!</definedName>
    <definedName name="BExOGT6D0LJ3C22RDW8COECKB1J5" localSheetId="31" hidden="1">#REF!</definedName>
    <definedName name="BExOGT6D0LJ3C22RDW8COECKB1J5" localSheetId="32" hidden="1">#REF!</definedName>
    <definedName name="BExOGT6D0LJ3C22RDW8COECKB1J5" hidden="1">#REF!</definedName>
    <definedName name="BExOGTMI1HT31M1RGWVRAVHAK7DE" localSheetId="30" hidden="1">#REF!</definedName>
    <definedName name="BExOGTMI1HT31M1RGWVRAVHAK7DE" localSheetId="29" hidden="1">#REF!</definedName>
    <definedName name="BExOGTMI1HT31M1RGWVRAVHAK7DE" localSheetId="33" hidden="1">#REF!</definedName>
    <definedName name="BExOGTMI1HT31M1RGWVRAVHAK7DE" localSheetId="31" hidden="1">#REF!</definedName>
    <definedName name="BExOGTMI1HT31M1RGWVRAVHAK7DE" localSheetId="32" hidden="1">#REF!</definedName>
    <definedName name="BExOGTMI1HT31M1RGWVRAVHAK7DE" hidden="1">#REF!</definedName>
    <definedName name="BExOGXO9JE5XSE9GC3I6O21UEKAO" localSheetId="30" hidden="1">#REF!</definedName>
    <definedName name="BExOGXO9JE5XSE9GC3I6O21UEKAO" localSheetId="29" hidden="1">#REF!</definedName>
    <definedName name="BExOGXO9JE5XSE9GC3I6O21UEKAO" localSheetId="33" hidden="1">#REF!</definedName>
    <definedName name="BExOGXO9JE5XSE9GC3I6O21UEKAO" localSheetId="31" hidden="1">#REF!</definedName>
    <definedName name="BExOGXO9JE5XSE9GC3I6O21UEKAO" localSheetId="32" hidden="1">#REF!</definedName>
    <definedName name="BExOGXO9JE5XSE9GC3I6O21UEKAO" hidden="1">#REF!</definedName>
    <definedName name="BExOH9ICZ13C1LAW8OTYTR9S7ZP3" localSheetId="30" hidden="1">#REF!</definedName>
    <definedName name="BExOH9ICZ13C1LAW8OTYTR9S7ZP3" localSheetId="29" hidden="1">#REF!</definedName>
    <definedName name="BExOH9ICZ13C1LAW8OTYTR9S7ZP3" localSheetId="33" hidden="1">#REF!</definedName>
    <definedName name="BExOH9ICZ13C1LAW8OTYTR9S7ZP3" localSheetId="31" hidden="1">#REF!</definedName>
    <definedName name="BExOH9ICZ13C1LAW8OTYTR9S7ZP3" localSheetId="32" hidden="1">#REF!</definedName>
    <definedName name="BExOH9ICZ13C1LAW8OTYTR9S7ZP3" hidden="1">#REF!</definedName>
    <definedName name="BExOHDUV2SRTVF0WZMTGF8T2W6VL" localSheetId="30" hidden="1">#REF!</definedName>
    <definedName name="BExOHDUV2SRTVF0WZMTGF8T2W6VL" localSheetId="29" hidden="1">#REF!</definedName>
    <definedName name="BExOHDUV2SRTVF0WZMTGF8T2W6VL" localSheetId="33" hidden="1">#REF!</definedName>
    <definedName name="BExOHDUV2SRTVF0WZMTGF8T2W6VL" localSheetId="31" hidden="1">#REF!</definedName>
    <definedName name="BExOHDUV2SRTVF0WZMTGF8T2W6VL" localSheetId="32" hidden="1">#REF!</definedName>
    <definedName name="BExOHDUV2SRTVF0WZMTGF8T2W6VL" hidden="1">#REF!</definedName>
    <definedName name="BExOHL75H3OT4WAKKPUXIVXWFVDS" localSheetId="30" hidden="1">#REF!</definedName>
    <definedName name="BExOHL75H3OT4WAKKPUXIVXWFVDS" localSheetId="29" hidden="1">#REF!</definedName>
    <definedName name="BExOHL75H3OT4WAKKPUXIVXWFVDS" localSheetId="33" hidden="1">#REF!</definedName>
    <definedName name="BExOHL75H3OT4WAKKPUXIVXWFVDS" localSheetId="31" hidden="1">#REF!</definedName>
    <definedName name="BExOHL75H3OT4WAKKPUXIVXWFVDS" localSheetId="32" hidden="1">#REF!</definedName>
    <definedName name="BExOHL75H3OT4WAKKPUXIVXWFVDS" hidden="1">#REF!</definedName>
    <definedName name="BExOHLHXXJL6363CC082M9M5VVXQ" localSheetId="30" hidden="1">#REF!</definedName>
    <definedName name="BExOHLHXXJL6363CC082M9M5VVXQ" localSheetId="29" hidden="1">#REF!</definedName>
    <definedName name="BExOHLHXXJL6363CC082M9M5VVXQ" localSheetId="33" hidden="1">#REF!</definedName>
    <definedName name="BExOHLHXXJL6363CC082M9M5VVXQ" localSheetId="31" hidden="1">#REF!</definedName>
    <definedName name="BExOHLHXXJL6363CC082M9M5VVXQ" localSheetId="32" hidden="1">#REF!</definedName>
    <definedName name="BExOHLHXXJL6363CC082M9M5VVXQ" hidden="1">#REF!</definedName>
    <definedName name="BExOHNAO5UDXSO73BK2ARHWKS90Y" localSheetId="30" hidden="1">#REF!</definedName>
    <definedName name="BExOHNAO5UDXSO73BK2ARHWKS90Y" localSheetId="29" hidden="1">#REF!</definedName>
    <definedName name="BExOHNAO5UDXSO73BK2ARHWKS90Y" localSheetId="33" hidden="1">#REF!</definedName>
    <definedName name="BExOHNAO5UDXSO73BK2ARHWKS90Y" localSheetId="31" hidden="1">#REF!</definedName>
    <definedName name="BExOHNAO5UDXSO73BK2ARHWKS90Y" localSheetId="32" hidden="1">#REF!</definedName>
    <definedName name="BExOHNAO5UDXSO73BK2ARHWKS90Y" hidden="1">#REF!</definedName>
    <definedName name="BExOHR1G1I9A9CI1HG94EWBLWNM2" localSheetId="30" hidden="1">#REF!</definedName>
    <definedName name="BExOHR1G1I9A9CI1HG94EWBLWNM2" localSheetId="29" hidden="1">#REF!</definedName>
    <definedName name="BExOHR1G1I9A9CI1HG94EWBLWNM2" localSheetId="33" hidden="1">#REF!</definedName>
    <definedName name="BExOHR1G1I9A9CI1HG94EWBLWNM2" localSheetId="31" hidden="1">#REF!</definedName>
    <definedName name="BExOHR1G1I9A9CI1HG94EWBLWNM2" localSheetId="32" hidden="1">#REF!</definedName>
    <definedName name="BExOHR1G1I9A9CI1HG94EWBLWNM2" hidden="1">#REF!</definedName>
    <definedName name="BExOHTQPP8LQ98L6PYUI6QW08YID" localSheetId="30" hidden="1">#REF!</definedName>
    <definedName name="BExOHTQPP8LQ98L6PYUI6QW08YID" localSheetId="29" hidden="1">#REF!</definedName>
    <definedName name="BExOHTQPP8LQ98L6PYUI6QW08YID" localSheetId="33" hidden="1">#REF!</definedName>
    <definedName name="BExOHTQPP8LQ98L6PYUI6QW08YID" localSheetId="31" hidden="1">#REF!</definedName>
    <definedName name="BExOHTQPP8LQ98L6PYUI6QW08YID" localSheetId="32" hidden="1">#REF!</definedName>
    <definedName name="BExOHTQPP8LQ98L6PYUI6QW08YID" hidden="1">#REF!</definedName>
    <definedName name="BExOHW4V6ECU4OCJC4HCVH1BSZ7K" localSheetId="30" hidden="1">#REF!</definedName>
    <definedName name="BExOHW4V6ECU4OCJC4HCVH1BSZ7K" localSheetId="29" hidden="1">#REF!</definedName>
    <definedName name="BExOHW4V6ECU4OCJC4HCVH1BSZ7K" localSheetId="33" hidden="1">#REF!</definedName>
    <definedName name="BExOHW4V6ECU4OCJC4HCVH1BSZ7K" localSheetId="31" hidden="1">#REF!</definedName>
    <definedName name="BExOHW4V6ECU4OCJC4HCVH1BSZ7K" localSheetId="32" hidden="1">#REF!</definedName>
    <definedName name="BExOHW4V6ECU4OCJC4HCVH1BSZ7K" hidden="1">#REF!</definedName>
    <definedName name="BExOHX6Q6NJI793PGX59O5EKTP4G" localSheetId="30" hidden="1">#REF!</definedName>
    <definedName name="BExOHX6Q6NJI793PGX59O5EKTP4G" localSheetId="29" hidden="1">#REF!</definedName>
    <definedName name="BExOHX6Q6NJI793PGX59O5EKTP4G" localSheetId="33" hidden="1">#REF!</definedName>
    <definedName name="BExOHX6Q6NJI793PGX59O5EKTP4G" localSheetId="31" hidden="1">#REF!</definedName>
    <definedName name="BExOHX6Q6NJI793PGX59O5EKTP4G" localSheetId="32" hidden="1">#REF!</definedName>
    <definedName name="BExOHX6Q6NJI793PGX59O5EKTP4G" hidden="1">#REF!</definedName>
    <definedName name="BExOI5VMTHH7Y8MQQ1N635CHYI0P" localSheetId="30" hidden="1">#REF!</definedName>
    <definedName name="BExOI5VMTHH7Y8MQQ1N635CHYI0P" localSheetId="29" hidden="1">#REF!</definedName>
    <definedName name="BExOI5VMTHH7Y8MQQ1N635CHYI0P" localSheetId="33" hidden="1">#REF!</definedName>
    <definedName name="BExOI5VMTHH7Y8MQQ1N635CHYI0P" localSheetId="31" hidden="1">#REF!</definedName>
    <definedName name="BExOI5VMTHH7Y8MQQ1N635CHYI0P" localSheetId="32" hidden="1">#REF!</definedName>
    <definedName name="BExOI5VMTHH7Y8MQQ1N635CHYI0P" hidden="1">#REF!</definedName>
    <definedName name="BExOIEVCP4Y6VDS23AK84MCYYHRT" localSheetId="30" hidden="1">#REF!</definedName>
    <definedName name="BExOIEVCP4Y6VDS23AK84MCYYHRT" localSheetId="29" hidden="1">#REF!</definedName>
    <definedName name="BExOIEVCP4Y6VDS23AK84MCYYHRT" localSheetId="33" hidden="1">#REF!</definedName>
    <definedName name="BExOIEVCP4Y6VDS23AK84MCYYHRT" localSheetId="31" hidden="1">#REF!</definedName>
    <definedName name="BExOIEVCP4Y6VDS23AK84MCYYHRT" localSheetId="32" hidden="1">#REF!</definedName>
    <definedName name="BExOIEVCP4Y6VDS23AK84MCYYHRT" hidden="1">#REF!</definedName>
    <definedName name="BExOIFM7FOQEBO0HHFFKBRLBSD6F" localSheetId="30" hidden="1">#REF!</definedName>
    <definedName name="BExOIFM7FOQEBO0HHFFKBRLBSD6F" localSheetId="29" hidden="1">#REF!</definedName>
    <definedName name="BExOIFM7FOQEBO0HHFFKBRLBSD6F" localSheetId="33" hidden="1">#REF!</definedName>
    <definedName name="BExOIFM7FOQEBO0HHFFKBRLBSD6F" localSheetId="31" hidden="1">#REF!</definedName>
    <definedName name="BExOIFM7FOQEBO0HHFFKBRLBSD6F" localSheetId="32" hidden="1">#REF!</definedName>
    <definedName name="BExOIFM7FOQEBO0HHFFKBRLBSD6F" hidden="1">#REF!</definedName>
    <definedName name="BExOIHPQIXR0NDR5WD01BZKPKEO3" localSheetId="30" hidden="1">#REF!</definedName>
    <definedName name="BExOIHPQIXR0NDR5WD01BZKPKEO3" localSheetId="29" hidden="1">#REF!</definedName>
    <definedName name="BExOIHPQIXR0NDR5WD01BZKPKEO3" localSheetId="33" hidden="1">#REF!</definedName>
    <definedName name="BExOIHPQIXR0NDR5WD01BZKPKEO3" localSheetId="31" hidden="1">#REF!</definedName>
    <definedName name="BExOIHPQIXR0NDR5WD01BZKPKEO3" localSheetId="32" hidden="1">#REF!</definedName>
    <definedName name="BExOIHPQIXR0NDR5WD01BZKPKEO3" hidden="1">#REF!</definedName>
    <definedName name="BExOIM7L0Z3LSII9P7ZTV4KJ8RMA" localSheetId="30" hidden="1">#REF!</definedName>
    <definedName name="BExOIM7L0Z3LSII9P7ZTV4KJ8RMA" localSheetId="29" hidden="1">#REF!</definedName>
    <definedName name="BExOIM7L0Z3LSII9P7ZTV4KJ8RMA" localSheetId="33" hidden="1">#REF!</definedName>
    <definedName name="BExOIM7L0Z3LSII9P7ZTV4KJ8RMA" localSheetId="31" hidden="1">#REF!</definedName>
    <definedName name="BExOIM7L0Z3LSII9P7ZTV4KJ8RMA" localSheetId="32" hidden="1">#REF!</definedName>
    <definedName name="BExOIM7L0Z3LSII9P7ZTV4KJ8RMA" hidden="1">#REF!</definedName>
    <definedName name="BExOIWJVMJ6MG6JC4SPD1L00OHU1" localSheetId="30" hidden="1">#REF!</definedName>
    <definedName name="BExOIWJVMJ6MG6JC4SPD1L00OHU1" localSheetId="29" hidden="1">#REF!</definedName>
    <definedName name="BExOIWJVMJ6MG6JC4SPD1L00OHU1" localSheetId="33" hidden="1">#REF!</definedName>
    <definedName name="BExOIWJVMJ6MG6JC4SPD1L00OHU1" localSheetId="31" hidden="1">#REF!</definedName>
    <definedName name="BExOIWJVMJ6MG6JC4SPD1L00OHU1" localSheetId="32" hidden="1">#REF!</definedName>
    <definedName name="BExOIWJVMJ6MG6JC4SPD1L00OHU1" hidden="1">#REF!</definedName>
    <definedName name="BExOIYCN8Z4JK3OOG86KYUCV0ME8" localSheetId="30" hidden="1">#REF!</definedName>
    <definedName name="BExOIYCN8Z4JK3OOG86KYUCV0ME8" localSheetId="29" hidden="1">#REF!</definedName>
    <definedName name="BExOIYCN8Z4JK3OOG86KYUCV0ME8" localSheetId="33" hidden="1">#REF!</definedName>
    <definedName name="BExOIYCN8Z4JK3OOG86KYUCV0ME8" localSheetId="31" hidden="1">#REF!</definedName>
    <definedName name="BExOIYCN8Z4JK3OOG86KYUCV0ME8" localSheetId="32" hidden="1">#REF!</definedName>
    <definedName name="BExOIYCN8Z4JK3OOG86KYUCV0ME8" hidden="1">#REF!</definedName>
    <definedName name="BExOJ3AKZ9BCBZT3KD8WMSLK6MN2" localSheetId="30" hidden="1">#REF!</definedName>
    <definedName name="BExOJ3AKZ9BCBZT3KD8WMSLK6MN2" localSheetId="29" hidden="1">#REF!</definedName>
    <definedName name="BExOJ3AKZ9BCBZT3KD8WMSLK6MN2" localSheetId="33" hidden="1">#REF!</definedName>
    <definedName name="BExOJ3AKZ9BCBZT3KD8WMSLK6MN2" localSheetId="31" hidden="1">#REF!</definedName>
    <definedName name="BExOJ3AKZ9BCBZT3KD8WMSLK6MN2" localSheetId="32" hidden="1">#REF!</definedName>
    <definedName name="BExOJ3AKZ9BCBZT3KD8WMSLK6MN2" hidden="1">#REF!</definedName>
    <definedName name="BExOJ7XQK71I4YZDD29AKOOWZ47E" localSheetId="30" hidden="1">#REF!</definedName>
    <definedName name="BExOJ7XQK71I4YZDD29AKOOWZ47E" localSheetId="29" hidden="1">#REF!</definedName>
    <definedName name="BExOJ7XQK71I4YZDD29AKOOWZ47E" localSheetId="33" hidden="1">#REF!</definedName>
    <definedName name="BExOJ7XQK71I4YZDD29AKOOWZ47E" localSheetId="31" hidden="1">#REF!</definedName>
    <definedName name="BExOJ7XQK71I4YZDD29AKOOWZ47E" localSheetId="32" hidden="1">#REF!</definedName>
    <definedName name="BExOJ7XQK71I4YZDD29AKOOWZ47E" hidden="1">#REF!</definedName>
    <definedName name="BExOJDXJDI92LD6IH8N4H4LD417Q" localSheetId="30" hidden="1">#REF!</definedName>
    <definedName name="BExOJDXJDI92LD6IH8N4H4LD417Q" localSheetId="29" hidden="1">#REF!</definedName>
    <definedName name="BExOJDXJDI92LD6IH8N4H4LD417Q" localSheetId="33" hidden="1">#REF!</definedName>
    <definedName name="BExOJDXJDI92LD6IH8N4H4LD417Q" localSheetId="31" hidden="1">#REF!</definedName>
    <definedName name="BExOJDXJDI92LD6IH8N4H4LD417Q" localSheetId="32" hidden="1">#REF!</definedName>
    <definedName name="BExOJDXJDI92LD6IH8N4H4LD417Q" hidden="1">#REF!</definedName>
    <definedName name="BExOJM0W6XGSW5MXPTTX0GNF6SFT" localSheetId="30" hidden="1">#REF!</definedName>
    <definedName name="BExOJM0W6XGSW5MXPTTX0GNF6SFT" localSheetId="29" hidden="1">#REF!</definedName>
    <definedName name="BExOJM0W6XGSW5MXPTTX0GNF6SFT" localSheetId="33" hidden="1">#REF!</definedName>
    <definedName name="BExOJM0W6XGSW5MXPTTX0GNF6SFT" localSheetId="31" hidden="1">#REF!</definedName>
    <definedName name="BExOJM0W6XGSW5MXPTTX0GNF6SFT" localSheetId="32" hidden="1">#REF!</definedName>
    <definedName name="BExOJM0W6XGSW5MXPTTX0GNF6SFT" hidden="1">#REF!</definedName>
    <definedName name="BExOJOKO01TGVBFM8PY2LOC0272H" localSheetId="30" hidden="1">#REF!</definedName>
    <definedName name="BExOJOKO01TGVBFM8PY2LOC0272H" localSheetId="29" hidden="1">#REF!</definedName>
    <definedName name="BExOJOKO01TGVBFM8PY2LOC0272H" localSheetId="33" hidden="1">#REF!</definedName>
    <definedName name="BExOJOKO01TGVBFM8PY2LOC0272H" localSheetId="31" hidden="1">#REF!</definedName>
    <definedName name="BExOJOKO01TGVBFM8PY2LOC0272H" localSheetId="32" hidden="1">#REF!</definedName>
    <definedName name="BExOJOKO01TGVBFM8PY2LOC0272H" hidden="1">#REF!</definedName>
    <definedName name="BExOJXEUJJ9SYRJXKYYV2NCCDT2R" localSheetId="30" hidden="1">#REF!</definedName>
    <definedName name="BExOJXEUJJ9SYRJXKYYV2NCCDT2R" localSheetId="29" hidden="1">#REF!</definedName>
    <definedName name="BExOJXEUJJ9SYRJXKYYV2NCCDT2R" localSheetId="33" hidden="1">#REF!</definedName>
    <definedName name="BExOJXEUJJ9SYRJXKYYV2NCCDT2R" localSheetId="31" hidden="1">#REF!</definedName>
    <definedName name="BExOJXEUJJ9SYRJXKYYV2NCCDT2R" localSheetId="32" hidden="1">#REF!</definedName>
    <definedName name="BExOJXEUJJ9SYRJXKYYV2NCCDT2R" hidden="1">#REF!</definedName>
    <definedName name="BExOK0EQYM9JUMAGWOUN7QDH7VMZ" localSheetId="30" hidden="1">#REF!</definedName>
    <definedName name="BExOK0EQYM9JUMAGWOUN7QDH7VMZ" localSheetId="29" hidden="1">#REF!</definedName>
    <definedName name="BExOK0EQYM9JUMAGWOUN7QDH7VMZ" localSheetId="33" hidden="1">#REF!</definedName>
    <definedName name="BExOK0EQYM9JUMAGWOUN7QDH7VMZ" localSheetId="31" hidden="1">#REF!</definedName>
    <definedName name="BExOK0EQYM9JUMAGWOUN7QDH7VMZ" localSheetId="32" hidden="1">#REF!</definedName>
    <definedName name="BExOK0EQYM9JUMAGWOUN7QDH7VMZ" hidden="1">#REF!</definedName>
    <definedName name="BExOK4WM9O7QNG6O57FOASI5QSN1" localSheetId="30" hidden="1">#REF!</definedName>
    <definedName name="BExOK4WM9O7QNG6O57FOASI5QSN1" localSheetId="29" hidden="1">#REF!</definedName>
    <definedName name="BExOK4WM9O7QNG6O57FOASI5QSN1" localSheetId="33" hidden="1">#REF!</definedName>
    <definedName name="BExOK4WM9O7QNG6O57FOASI5QSN1" localSheetId="31" hidden="1">#REF!</definedName>
    <definedName name="BExOK4WM9O7QNG6O57FOASI5QSN1" localSheetId="32" hidden="1">#REF!</definedName>
    <definedName name="BExOK4WM9O7QNG6O57FOASI5QSN1" hidden="1">#REF!</definedName>
    <definedName name="BExOKKHOPWUVRJGQJ5ONR2U40JX8" localSheetId="30" hidden="1">#REF!</definedName>
    <definedName name="BExOKKHOPWUVRJGQJ5ONR2U40JX8" localSheetId="29" hidden="1">#REF!</definedName>
    <definedName name="BExOKKHOPWUVRJGQJ5ONR2U40JX8" localSheetId="33" hidden="1">#REF!</definedName>
    <definedName name="BExOKKHOPWUVRJGQJ5ONR2U40JX8" localSheetId="31" hidden="1">#REF!</definedName>
    <definedName name="BExOKKHOPWUVRJGQJ5ONR2U40JX8" localSheetId="32" hidden="1">#REF!</definedName>
    <definedName name="BExOKKHOPWUVRJGQJ5ONR2U40JX8" hidden="1">#REF!</definedName>
    <definedName name="BExOKTXMJP351VXKH8VT6SXUNIMF" localSheetId="30" hidden="1">#REF!</definedName>
    <definedName name="BExOKTXMJP351VXKH8VT6SXUNIMF" localSheetId="29" hidden="1">#REF!</definedName>
    <definedName name="BExOKTXMJP351VXKH8VT6SXUNIMF" localSheetId="33" hidden="1">#REF!</definedName>
    <definedName name="BExOKTXMJP351VXKH8VT6SXUNIMF" localSheetId="31" hidden="1">#REF!</definedName>
    <definedName name="BExOKTXMJP351VXKH8VT6SXUNIMF" localSheetId="32" hidden="1">#REF!</definedName>
    <definedName name="BExOKTXMJP351VXKH8VT6SXUNIMF" hidden="1">#REF!</definedName>
    <definedName name="BExOKU8GMLOCNVORDE329819XN67" localSheetId="30" hidden="1">#REF!</definedName>
    <definedName name="BExOKU8GMLOCNVORDE329819XN67" localSheetId="29" hidden="1">#REF!</definedName>
    <definedName name="BExOKU8GMLOCNVORDE329819XN67" localSheetId="33" hidden="1">#REF!</definedName>
    <definedName name="BExOKU8GMLOCNVORDE329819XN67" localSheetId="31" hidden="1">#REF!</definedName>
    <definedName name="BExOKU8GMLOCNVORDE329819XN67" localSheetId="32" hidden="1">#REF!</definedName>
    <definedName name="BExOKU8GMLOCNVORDE329819XN67" hidden="1">#REF!</definedName>
    <definedName name="BExOL0Z3Z7IAMHPB91EO2MF49U57" localSheetId="30" hidden="1">#REF!</definedName>
    <definedName name="BExOL0Z3Z7IAMHPB91EO2MF49U57" localSheetId="29" hidden="1">#REF!</definedName>
    <definedName name="BExOL0Z3Z7IAMHPB91EO2MF49U57" localSheetId="33" hidden="1">#REF!</definedName>
    <definedName name="BExOL0Z3Z7IAMHPB91EO2MF49U57" localSheetId="31" hidden="1">#REF!</definedName>
    <definedName name="BExOL0Z3Z7IAMHPB91EO2MF49U57" localSheetId="32" hidden="1">#REF!</definedName>
    <definedName name="BExOL0Z3Z7IAMHPB91EO2MF49U57" hidden="1">#REF!</definedName>
    <definedName name="BExOL7KH12VAR0LG741SIOJTLWFD" localSheetId="30" hidden="1">#REF!</definedName>
    <definedName name="BExOL7KH12VAR0LG741SIOJTLWFD" localSheetId="29" hidden="1">#REF!</definedName>
    <definedName name="BExOL7KH12VAR0LG741SIOJTLWFD" localSheetId="33" hidden="1">#REF!</definedName>
    <definedName name="BExOL7KH12VAR0LG741SIOJTLWFD" localSheetId="31" hidden="1">#REF!</definedName>
    <definedName name="BExOL7KH12VAR0LG741SIOJTLWFD" localSheetId="32" hidden="1">#REF!</definedName>
    <definedName name="BExOL7KH12VAR0LG741SIOJTLWFD" hidden="1">#REF!</definedName>
    <definedName name="BExOLICXFHJLILCJVFMJE5MGGWKR" localSheetId="30" hidden="1">#REF!</definedName>
    <definedName name="BExOLICXFHJLILCJVFMJE5MGGWKR" localSheetId="29" hidden="1">#REF!</definedName>
    <definedName name="BExOLICXFHJLILCJVFMJE5MGGWKR" localSheetId="33" hidden="1">#REF!</definedName>
    <definedName name="BExOLICXFHJLILCJVFMJE5MGGWKR" localSheetId="31" hidden="1">#REF!</definedName>
    <definedName name="BExOLICXFHJLILCJVFMJE5MGGWKR" localSheetId="32" hidden="1">#REF!</definedName>
    <definedName name="BExOLICXFHJLILCJVFMJE5MGGWKR" hidden="1">#REF!</definedName>
    <definedName name="BExOLOI0WJS3QC12I3ISL0D9AWOF" localSheetId="30" hidden="1">#REF!</definedName>
    <definedName name="BExOLOI0WJS3QC12I3ISL0D9AWOF" localSheetId="29" hidden="1">#REF!</definedName>
    <definedName name="BExOLOI0WJS3QC12I3ISL0D9AWOF" localSheetId="33" hidden="1">#REF!</definedName>
    <definedName name="BExOLOI0WJS3QC12I3ISL0D9AWOF" localSheetId="31" hidden="1">#REF!</definedName>
    <definedName name="BExOLOI0WJS3QC12I3ISL0D9AWOF" localSheetId="32" hidden="1">#REF!</definedName>
    <definedName name="BExOLOI0WJS3QC12I3ISL0D9AWOF" hidden="1">#REF!</definedName>
    <definedName name="BExOLYZNG5RBD0BTS1OEZJNU92Q5" localSheetId="30" hidden="1">#REF!</definedName>
    <definedName name="BExOLYZNG5RBD0BTS1OEZJNU92Q5" localSheetId="29" hidden="1">#REF!</definedName>
    <definedName name="BExOLYZNG5RBD0BTS1OEZJNU92Q5" localSheetId="33" hidden="1">#REF!</definedName>
    <definedName name="BExOLYZNG5RBD0BTS1OEZJNU92Q5" localSheetId="31" hidden="1">#REF!</definedName>
    <definedName name="BExOLYZNG5RBD0BTS1OEZJNU92Q5" localSheetId="32" hidden="1">#REF!</definedName>
    <definedName name="BExOLYZNG5RBD0BTS1OEZJNU92Q5" hidden="1">#REF!</definedName>
    <definedName name="BExOM3HIJ3UZPOKJI68KPBJAHPDC" localSheetId="30" hidden="1">#REF!</definedName>
    <definedName name="BExOM3HIJ3UZPOKJI68KPBJAHPDC" localSheetId="29" hidden="1">#REF!</definedName>
    <definedName name="BExOM3HIJ3UZPOKJI68KPBJAHPDC" localSheetId="33" hidden="1">#REF!</definedName>
    <definedName name="BExOM3HIJ3UZPOKJI68KPBJAHPDC" localSheetId="31" hidden="1">#REF!</definedName>
    <definedName name="BExOM3HIJ3UZPOKJI68KPBJAHPDC" localSheetId="32" hidden="1">#REF!</definedName>
    <definedName name="BExOM3HIJ3UZPOKJI68KPBJAHPDC" hidden="1">#REF!</definedName>
    <definedName name="BExOM7DRHN5WT7EUZI5IQACBSH6E" localSheetId="30" hidden="1">#REF!</definedName>
    <definedName name="BExOM7DRHN5WT7EUZI5IQACBSH6E" localSheetId="29" hidden="1">#REF!</definedName>
    <definedName name="BExOM7DRHN5WT7EUZI5IQACBSH6E" localSheetId="33" hidden="1">#REF!</definedName>
    <definedName name="BExOM7DRHN5WT7EUZI5IQACBSH6E" localSheetId="31" hidden="1">#REF!</definedName>
    <definedName name="BExOM7DRHN5WT7EUZI5IQACBSH6E" localSheetId="32" hidden="1">#REF!</definedName>
    <definedName name="BExOM7DRHN5WT7EUZI5IQACBSH6E" hidden="1">#REF!</definedName>
    <definedName name="BExOMKPURE33YQ3K1JG9NVQD4W49" localSheetId="30" hidden="1">#REF!</definedName>
    <definedName name="BExOMKPURE33YQ3K1JG9NVQD4W49" localSheetId="29" hidden="1">#REF!</definedName>
    <definedName name="BExOMKPURE33YQ3K1JG9NVQD4W49" localSheetId="33" hidden="1">#REF!</definedName>
    <definedName name="BExOMKPURE33YQ3K1JG9NVQD4W49" localSheetId="31" hidden="1">#REF!</definedName>
    <definedName name="BExOMKPURE33YQ3K1JG9NVQD4W49" localSheetId="32" hidden="1">#REF!</definedName>
    <definedName name="BExOMKPURE33YQ3K1JG9NVQD4W49" hidden="1">#REF!</definedName>
    <definedName name="BExOMP7NGCLUNFK50QD2LPKRG078" localSheetId="30" hidden="1">#REF!</definedName>
    <definedName name="BExOMP7NGCLUNFK50QD2LPKRG078" localSheetId="29" hidden="1">#REF!</definedName>
    <definedName name="BExOMP7NGCLUNFK50QD2LPKRG078" localSheetId="33" hidden="1">#REF!</definedName>
    <definedName name="BExOMP7NGCLUNFK50QD2LPKRG078" localSheetId="31" hidden="1">#REF!</definedName>
    <definedName name="BExOMP7NGCLUNFK50QD2LPKRG078" localSheetId="32" hidden="1">#REF!</definedName>
    <definedName name="BExOMP7NGCLUNFK50QD2LPKRG078" hidden="1">#REF!</definedName>
    <definedName name="BExOMQKAY43AKY78QP4WXCYG081G" localSheetId="30" hidden="1">#REF!</definedName>
    <definedName name="BExOMQKAY43AKY78QP4WXCYG081G" localSheetId="29" hidden="1">#REF!</definedName>
    <definedName name="BExOMQKAY43AKY78QP4WXCYG081G" localSheetId="33" hidden="1">#REF!</definedName>
    <definedName name="BExOMQKAY43AKY78QP4WXCYG081G" localSheetId="31" hidden="1">#REF!</definedName>
    <definedName name="BExOMQKAY43AKY78QP4WXCYG081G" localSheetId="32" hidden="1">#REF!</definedName>
    <definedName name="BExOMQKAY43AKY78QP4WXCYG081G" hidden="1">#REF!</definedName>
    <definedName name="BExOMU0A6XMY48SZRYL4WQZD13BI" localSheetId="30" hidden="1">#REF!</definedName>
    <definedName name="BExOMU0A6XMY48SZRYL4WQZD13BI" localSheetId="29" hidden="1">#REF!</definedName>
    <definedName name="BExOMU0A6XMY48SZRYL4WQZD13BI" localSheetId="33" hidden="1">#REF!</definedName>
    <definedName name="BExOMU0A6XMY48SZRYL4WQZD13BI" localSheetId="31" hidden="1">#REF!</definedName>
    <definedName name="BExOMU0A6XMY48SZRYL4WQZD13BI" localSheetId="32" hidden="1">#REF!</definedName>
    <definedName name="BExOMU0A6XMY48SZRYL4WQZD13BI" hidden="1">#REF!</definedName>
    <definedName name="BExOMVT0HSNC59DJP4CLISASGHKL" localSheetId="30" hidden="1">#REF!</definedName>
    <definedName name="BExOMVT0HSNC59DJP4CLISASGHKL" localSheetId="29" hidden="1">#REF!</definedName>
    <definedName name="BExOMVT0HSNC59DJP4CLISASGHKL" localSheetId="33" hidden="1">#REF!</definedName>
    <definedName name="BExOMVT0HSNC59DJP4CLISASGHKL" localSheetId="31" hidden="1">#REF!</definedName>
    <definedName name="BExOMVT0HSNC59DJP4CLISASGHKL" localSheetId="32" hidden="1">#REF!</definedName>
    <definedName name="BExOMVT0HSNC59DJP4CLISASGHKL" hidden="1">#REF!</definedName>
    <definedName name="BExON0AX35F2SI0UCVMGWGVIUNI3" localSheetId="30" hidden="1">#REF!</definedName>
    <definedName name="BExON0AX35F2SI0UCVMGWGVIUNI3" localSheetId="29" hidden="1">#REF!</definedName>
    <definedName name="BExON0AX35F2SI0UCVMGWGVIUNI3" localSheetId="33" hidden="1">#REF!</definedName>
    <definedName name="BExON0AX35F2SI0UCVMGWGVIUNI3" localSheetId="31" hidden="1">#REF!</definedName>
    <definedName name="BExON0AX35F2SI0UCVMGWGVIUNI3" localSheetId="32" hidden="1">#REF!</definedName>
    <definedName name="BExON0AX35F2SI0UCVMGWGVIUNI3" hidden="1">#REF!</definedName>
    <definedName name="BExON41U4296DV3DPG6I5EF3OEYF" localSheetId="30" hidden="1">#REF!</definedName>
    <definedName name="BExON41U4296DV3DPG6I5EF3OEYF" localSheetId="29" hidden="1">#REF!</definedName>
    <definedName name="BExON41U4296DV3DPG6I5EF3OEYF" localSheetId="33" hidden="1">#REF!</definedName>
    <definedName name="BExON41U4296DV3DPG6I5EF3OEYF" localSheetId="31" hidden="1">#REF!</definedName>
    <definedName name="BExON41U4296DV3DPG6I5EF3OEYF" localSheetId="32" hidden="1">#REF!</definedName>
    <definedName name="BExON41U4296DV3DPG6I5EF3OEYF" hidden="1">#REF!</definedName>
    <definedName name="BExONB3A7CO4YD8RB41PHC93BQ9M" localSheetId="30" hidden="1">#REF!</definedName>
    <definedName name="BExONB3A7CO4YD8RB41PHC93BQ9M" localSheetId="29" hidden="1">#REF!</definedName>
    <definedName name="BExONB3A7CO4YD8RB41PHC93BQ9M" localSheetId="33" hidden="1">#REF!</definedName>
    <definedName name="BExONB3A7CO4YD8RB41PHC93BQ9M" localSheetId="31" hidden="1">#REF!</definedName>
    <definedName name="BExONB3A7CO4YD8RB41PHC93BQ9M" localSheetId="32" hidden="1">#REF!</definedName>
    <definedName name="BExONB3A7CO4YD8RB41PHC93BQ9M" hidden="1">#REF!</definedName>
    <definedName name="BExONFQH6UUXF8V0GI4BRIST9RFO" localSheetId="30" hidden="1">#REF!</definedName>
    <definedName name="BExONFQH6UUXF8V0GI4BRIST9RFO" localSheetId="29" hidden="1">#REF!</definedName>
    <definedName name="BExONFQH6UUXF8V0GI4BRIST9RFO" localSheetId="33" hidden="1">#REF!</definedName>
    <definedName name="BExONFQH6UUXF8V0GI4BRIST9RFO" localSheetId="31" hidden="1">#REF!</definedName>
    <definedName name="BExONFQH6UUXF8V0GI4BRIST9RFO" localSheetId="32" hidden="1">#REF!</definedName>
    <definedName name="BExONFQH6UUXF8V0GI4BRIST9RFO" hidden="1">#REF!</definedName>
    <definedName name="BExONIL31DZWU7IFVN3VV0XTXJA1" localSheetId="30" hidden="1">#REF!</definedName>
    <definedName name="BExONIL31DZWU7IFVN3VV0XTXJA1" localSheetId="29" hidden="1">#REF!</definedName>
    <definedName name="BExONIL31DZWU7IFVN3VV0XTXJA1" localSheetId="33" hidden="1">#REF!</definedName>
    <definedName name="BExONIL31DZWU7IFVN3VV0XTXJA1" localSheetId="31" hidden="1">#REF!</definedName>
    <definedName name="BExONIL31DZWU7IFVN3VV0XTXJA1" localSheetId="32" hidden="1">#REF!</definedName>
    <definedName name="BExONIL31DZWU7IFVN3VV0XTXJA1" hidden="1">#REF!</definedName>
    <definedName name="BExONJ1BU17R0F5A2UP1UGJBOGKS" localSheetId="30" hidden="1">#REF!</definedName>
    <definedName name="BExONJ1BU17R0F5A2UP1UGJBOGKS" localSheetId="29" hidden="1">#REF!</definedName>
    <definedName name="BExONJ1BU17R0F5A2UP1UGJBOGKS" localSheetId="33" hidden="1">#REF!</definedName>
    <definedName name="BExONJ1BU17R0F5A2UP1UGJBOGKS" localSheetId="31" hidden="1">#REF!</definedName>
    <definedName name="BExONJ1BU17R0F5A2UP1UGJBOGKS" localSheetId="32" hidden="1">#REF!</definedName>
    <definedName name="BExONJ1BU17R0F5A2UP1UGJBOGKS" hidden="1">#REF!</definedName>
    <definedName name="BExONNZ9VMHVX3J6NLNJY7KZA61O" localSheetId="30" hidden="1">#REF!</definedName>
    <definedName name="BExONNZ9VMHVX3J6NLNJY7KZA61O" localSheetId="29" hidden="1">#REF!</definedName>
    <definedName name="BExONNZ9VMHVX3J6NLNJY7KZA61O" localSheetId="33" hidden="1">#REF!</definedName>
    <definedName name="BExONNZ9VMHVX3J6NLNJY7KZA61O" localSheetId="31" hidden="1">#REF!</definedName>
    <definedName name="BExONNZ9VMHVX3J6NLNJY7KZA61O" localSheetId="32" hidden="1">#REF!</definedName>
    <definedName name="BExONNZ9VMHVX3J6NLNJY7KZA61O" hidden="1">#REF!</definedName>
    <definedName name="BExONRQ1BAA4F3TXP2MYQ4YCZ09S" localSheetId="30" hidden="1">#REF!</definedName>
    <definedName name="BExONRQ1BAA4F3TXP2MYQ4YCZ09S" localSheetId="29" hidden="1">#REF!</definedName>
    <definedName name="BExONRQ1BAA4F3TXP2MYQ4YCZ09S" localSheetId="33" hidden="1">#REF!</definedName>
    <definedName name="BExONRQ1BAA4F3TXP2MYQ4YCZ09S" localSheetId="31" hidden="1">#REF!</definedName>
    <definedName name="BExONRQ1BAA4F3TXP2MYQ4YCZ09S" localSheetId="32" hidden="1">#REF!</definedName>
    <definedName name="BExONRQ1BAA4F3TXP2MYQ4YCZ09S" hidden="1">#REF!</definedName>
    <definedName name="BExOO1WWIZSGB0YTGKESB45TSVMZ" localSheetId="30" hidden="1">#REF!</definedName>
    <definedName name="BExOO1WWIZSGB0YTGKESB45TSVMZ" localSheetId="29" hidden="1">#REF!</definedName>
    <definedName name="BExOO1WWIZSGB0YTGKESB45TSVMZ" localSheetId="33" hidden="1">#REF!</definedName>
    <definedName name="BExOO1WWIZSGB0YTGKESB45TSVMZ" localSheetId="31" hidden="1">#REF!</definedName>
    <definedName name="BExOO1WWIZSGB0YTGKESB45TSVMZ" localSheetId="32" hidden="1">#REF!</definedName>
    <definedName name="BExOO1WWIZSGB0YTGKESB45TSVMZ" hidden="1">#REF!</definedName>
    <definedName name="BExOO4B8FPAFYPHCTYTX37P1TQM5" localSheetId="30" hidden="1">#REF!</definedName>
    <definedName name="BExOO4B8FPAFYPHCTYTX37P1TQM5" localSheetId="29" hidden="1">#REF!</definedName>
    <definedName name="BExOO4B8FPAFYPHCTYTX37P1TQM5" localSheetId="33" hidden="1">#REF!</definedName>
    <definedName name="BExOO4B8FPAFYPHCTYTX37P1TQM5" localSheetId="31" hidden="1">#REF!</definedName>
    <definedName name="BExOO4B8FPAFYPHCTYTX37P1TQM5" localSheetId="32" hidden="1">#REF!</definedName>
    <definedName name="BExOO4B8FPAFYPHCTYTX37P1TQM5" hidden="1">#REF!</definedName>
    <definedName name="BExOOIULUDOJRMYABWV5CCL906X6" localSheetId="30" hidden="1">#REF!</definedName>
    <definedName name="BExOOIULUDOJRMYABWV5CCL906X6" localSheetId="29" hidden="1">#REF!</definedName>
    <definedName name="BExOOIULUDOJRMYABWV5CCL906X6" localSheetId="33" hidden="1">#REF!</definedName>
    <definedName name="BExOOIULUDOJRMYABWV5CCL906X6" localSheetId="31" hidden="1">#REF!</definedName>
    <definedName name="BExOOIULUDOJRMYABWV5CCL906X6" localSheetId="32" hidden="1">#REF!</definedName>
    <definedName name="BExOOIULUDOJRMYABWV5CCL906X6" hidden="1">#REF!</definedName>
    <definedName name="BExOOL3HATZ9UBIEYGP11DB5AVPM" localSheetId="30" hidden="1">#REF!</definedName>
    <definedName name="BExOOL3HATZ9UBIEYGP11DB5AVPM" localSheetId="29" hidden="1">#REF!</definedName>
    <definedName name="BExOOL3HATZ9UBIEYGP11DB5AVPM" localSheetId="33" hidden="1">#REF!</definedName>
    <definedName name="BExOOL3HATZ9UBIEYGP11DB5AVPM" localSheetId="31" hidden="1">#REF!</definedName>
    <definedName name="BExOOL3HATZ9UBIEYGP11DB5AVPM" localSheetId="32" hidden="1">#REF!</definedName>
    <definedName name="BExOOL3HATZ9UBIEYGP11DB5AVPM" hidden="1">#REF!</definedName>
    <definedName name="BExOOTN0KTXJCL7E476XBN1CJ553" localSheetId="30" hidden="1">#REF!</definedName>
    <definedName name="BExOOTN0KTXJCL7E476XBN1CJ553" localSheetId="29" hidden="1">#REF!</definedName>
    <definedName name="BExOOTN0KTXJCL7E476XBN1CJ553" localSheetId="33" hidden="1">#REF!</definedName>
    <definedName name="BExOOTN0KTXJCL7E476XBN1CJ553" localSheetId="31" hidden="1">#REF!</definedName>
    <definedName name="BExOOTN0KTXJCL7E476XBN1CJ553" localSheetId="32" hidden="1">#REF!</definedName>
    <definedName name="BExOOTN0KTXJCL7E476XBN1CJ553" hidden="1">#REF!</definedName>
    <definedName name="BExOP9DEBV5W5P4Q25J3XCJBP5S9" localSheetId="30" hidden="1">#REF!</definedName>
    <definedName name="BExOP9DEBV5W5P4Q25J3XCJBP5S9" localSheetId="29" hidden="1">#REF!</definedName>
    <definedName name="BExOP9DEBV5W5P4Q25J3XCJBP5S9" localSheetId="33" hidden="1">#REF!</definedName>
    <definedName name="BExOP9DEBV5W5P4Q25J3XCJBP5S9" localSheetId="31" hidden="1">#REF!</definedName>
    <definedName name="BExOP9DEBV5W5P4Q25J3XCJBP5S9" localSheetId="32" hidden="1">#REF!</definedName>
    <definedName name="BExOP9DEBV5W5P4Q25J3XCJBP5S9" hidden="1">#REF!</definedName>
    <definedName name="BExOPFNYRBL0BFM23LZBJTADNOE4" localSheetId="30" hidden="1">#REF!</definedName>
    <definedName name="BExOPFNYRBL0BFM23LZBJTADNOE4" localSheetId="29" hidden="1">#REF!</definedName>
    <definedName name="BExOPFNYRBL0BFM23LZBJTADNOE4" localSheetId="33" hidden="1">#REF!</definedName>
    <definedName name="BExOPFNYRBL0BFM23LZBJTADNOE4" localSheetId="31" hidden="1">#REF!</definedName>
    <definedName name="BExOPFNYRBL0BFM23LZBJTADNOE4" localSheetId="32" hidden="1">#REF!</definedName>
    <definedName name="BExOPFNYRBL0BFM23LZBJTADNOE4" hidden="1">#REF!</definedName>
    <definedName name="BExOPINVFSIZMCVT9YGT2AODVCX3" localSheetId="30" hidden="1">#REF!</definedName>
    <definedName name="BExOPINVFSIZMCVT9YGT2AODVCX3" localSheetId="29" hidden="1">#REF!</definedName>
    <definedName name="BExOPINVFSIZMCVT9YGT2AODVCX3" localSheetId="33" hidden="1">#REF!</definedName>
    <definedName name="BExOPINVFSIZMCVT9YGT2AODVCX3" localSheetId="31" hidden="1">#REF!</definedName>
    <definedName name="BExOPINVFSIZMCVT9YGT2AODVCX3" localSheetId="32" hidden="1">#REF!</definedName>
    <definedName name="BExOPINVFSIZMCVT9YGT2AODVCX3" hidden="1">#REF!</definedName>
    <definedName name="BExOPRYCV0ZGFK141XFKB8OH3RS8" localSheetId="30" hidden="1">#REF!</definedName>
    <definedName name="BExOPRYCV0ZGFK141XFKB8OH3RS8" localSheetId="29" hidden="1">#REF!</definedName>
    <definedName name="BExOPRYCV0ZGFK141XFKB8OH3RS8" localSheetId="33" hidden="1">#REF!</definedName>
    <definedName name="BExOPRYCV0ZGFK141XFKB8OH3RS8" localSheetId="31" hidden="1">#REF!</definedName>
    <definedName name="BExOPRYCV0ZGFK141XFKB8OH3RS8" localSheetId="32" hidden="1">#REF!</definedName>
    <definedName name="BExOPRYCV0ZGFK141XFKB8OH3RS8" hidden="1">#REF!</definedName>
    <definedName name="BExOQ1JN4SAC44RTMZIGHSW023WA" localSheetId="30" hidden="1">#REF!</definedName>
    <definedName name="BExOQ1JN4SAC44RTMZIGHSW023WA" localSheetId="29" hidden="1">#REF!</definedName>
    <definedName name="BExOQ1JN4SAC44RTMZIGHSW023WA" localSheetId="33" hidden="1">#REF!</definedName>
    <definedName name="BExOQ1JN4SAC44RTMZIGHSW023WA" localSheetId="31" hidden="1">#REF!</definedName>
    <definedName name="BExOQ1JN4SAC44RTMZIGHSW023WA" localSheetId="32" hidden="1">#REF!</definedName>
    <definedName name="BExOQ1JN4SAC44RTMZIGHSW023WA" hidden="1">#REF!</definedName>
    <definedName name="BExOQ256YMF115DJL3KBPNKABJ90" localSheetId="30" hidden="1">#REF!</definedName>
    <definedName name="BExOQ256YMF115DJL3KBPNKABJ90" localSheetId="29" hidden="1">#REF!</definedName>
    <definedName name="BExOQ256YMF115DJL3KBPNKABJ90" localSheetId="33" hidden="1">#REF!</definedName>
    <definedName name="BExOQ256YMF115DJL3KBPNKABJ90" localSheetId="31" hidden="1">#REF!</definedName>
    <definedName name="BExOQ256YMF115DJL3KBPNKABJ90" localSheetId="32" hidden="1">#REF!</definedName>
    <definedName name="BExOQ256YMF115DJL3KBPNKABJ90" hidden="1">#REF!</definedName>
    <definedName name="BExQ19DEUOLC11IW32E2AMVZLFF1" localSheetId="30" hidden="1">#REF!</definedName>
    <definedName name="BExQ19DEUOLC11IW32E2AMVZLFF1" localSheetId="29" hidden="1">#REF!</definedName>
    <definedName name="BExQ19DEUOLC11IW32E2AMVZLFF1" localSheetId="33" hidden="1">#REF!</definedName>
    <definedName name="BExQ19DEUOLC11IW32E2AMVZLFF1" localSheetId="31" hidden="1">#REF!</definedName>
    <definedName name="BExQ19DEUOLC11IW32E2AMVZLFF1" localSheetId="32" hidden="1">#REF!</definedName>
    <definedName name="BExQ19DEUOLC11IW32E2AMVZLFF1" hidden="1">#REF!</definedName>
    <definedName name="BExQ1B64N703E6S94EWJVLDALIPY" localSheetId="30" hidden="1">#REF!</definedName>
    <definedName name="BExQ1B64N703E6S94EWJVLDALIPY" localSheetId="29" hidden="1">#REF!</definedName>
    <definedName name="BExQ1B64N703E6S94EWJVLDALIPY" localSheetId="33" hidden="1">#REF!</definedName>
    <definedName name="BExQ1B64N703E6S94EWJVLDALIPY" localSheetId="31" hidden="1">#REF!</definedName>
    <definedName name="BExQ1B64N703E6S94EWJVLDALIPY" localSheetId="32" hidden="1">#REF!</definedName>
    <definedName name="BExQ1B64N703E6S94EWJVLDALIPY" hidden="1">#REF!</definedName>
    <definedName name="BExQ1FD6KISGYU1JWEQ4G243ZPVD" localSheetId="30" hidden="1">#REF!</definedName>
    <definedName name="BExQ1FD6KISGYU1JWEQ4G243ZPVD" localSheetId="29" hidden="1">#REF!</definedName>
    <definedName name="BExQ1FD6KISGYU1JWEQ4G243ZPVD" localSheetId="33" hidden="1">#REF!</definedName>
    <definedName name="BExQ1FD6KISGYU1JWEQ4G243ZPVD" localSheetId="31" hidden="1">#REF!</definedName>
    <definedName name="BExQ1FD6KISGYU1JWEQ4G243ZPVD" localSheetId="32" hidden="1">#REF!</definedName>
    <definedName name="BExQ1FD6KISGYU1JWEQ4G243ZPVD" hidden="1">#REF!</definedName>
    <definedName name="BExQ29C73XR33S3668YYSYZAIHTG" localSheetId="30" hidden="1">#REF!</definedName>
    <definedName name="BExQ29C73XR33S3668YYSYZAIHTG" localSheetId="29" hidden="1">#REF!</definedName>
    <definedName name="BExQ29C73XR33S3668YYSYZAIHTG" localSheetId="33" hidden="1">#REF!</definedName>
    <definedName name="BExQ29C73XR33S3668YYSYZAIHTG" localSheetId="31" hidden="1">#REF!</definedName>
    <definedName name="BExQ29C73XR33S3668YYSYZAIHTG" localSheetId="32" hidden="1">#REF!</definedName>
    <definedName name="BExQ29C73XR33S3668YYSYZAIHTG" hidden="1">#REF!</definedName>
    <definedName name="BExQ2FS228IUDUP2023RA1D4AO4C" localSheetId="30" hidden="1">#REF!</definedName>
    <definedName name="BExQ2FS228IUDUP2023RA1D4AO4C" localSheetId="29" hidden="1">#REF!</definedName>
    <definedName name="BExQ2FS228IUDUP2023RA1D4AO4C" localSheetId="33" hidden="1">#REF!</definedName>
    <definedName name="BExQ2FS228IUDUP2023RA1D4AO4C" localSheetId="31" hidden="1">#REF!</definedName>
    <definedName name="BExQ2FS228IUDUP2023RA1D4AO4C" localSheetId="32" hidden="1">#REF!</definedName>
    <definedName name="BExQ2FS228IUDUP2023RA1D4AO4C" hidden="1">#REF!</definedName>
    <definedName name="BExQ2L0XYWLY9VPZWXYYFRIRQRJ1" localSheetId="30" hidden="1">#REF!</definedName>
    <definedName name="BExQ2L0XYWLY9VPZWXYYFRIRQRJ1" localSheetId="29" hidden="1">#REF!</definedName>
    <definedName name="BExQ2L0XYWLY9VPZWXYYFRIRQRJ1" localSheetId="33" hidden="1">#REF!</definedName>
    <definedName name="BExQ2L0XYWLY9VPZWXYYFRIRQRJ1" localSheetId="31" hidden="1">#REF!</definedName>
    <definedName name="BExQ2L0XYWLY9VPZWXYYFRIRQRJ1" localSheetId="32" hidden="1">#REF!</definedName>
    <definedName name="BExQ2L0XYWLY9VPZWXYYFRIRQRJ1" hidden="1">#REF!</definedName>
    <definedName name="BExQ2M841F5Z1BQYR8DG5FKK0LIU" localSheetId="30" hidden="1">#REF!</definedName>
    <definedName name="BExQ2M841F5Z1BQYR8DG5FKK0LIU" localSheetId="29" hidden="1">#REF!</definedName>
    <definedName name="BExQ2M841F5Z1BQYR8DG5FKK0LIU" localSheetId="33" hidden="1">#REF!</definedName>
    <definedName name="BExQ2M841F5Z1BQYR8DG5FKK0LIU" localSheetId="31" hidden="1">#REF!</definedName>
    <definedName name="BExQ2M841F5Z1BQYR8DG5FKK0LIU" localSheetId="32" hidden="1">#REF!</definedName>
    <definedName name="BExQ2M841F5Z1BQYR8DG5FKK0LIU" hidden="1">#REF!</definedName>
    <definedName name="BExQ2PTKQZDKP3GMQTKXB30RWFCS" localSheetId="30" hidden="1">#REF!</definedName>
    <definedName name="BExQ2PTKQZDKP3GMQTKXB30RWFCS" localSheetId="29" hidden="1">#REF!</definedName>
    <definedName name="BExQ2PTKQZDKP3GMQTKXB30RWFCS" localSheetId="33" hidden="1">#REF!</definedName>
    <definedName name="BExQ2PTKQZDKP3GMQTKXB30RWFCS" localSheetId="31" hidden="1">#REF!</definedName>
    <definedName name="BExQ2PTKQZDKP3GMQTKXB30RWFCS" localSheetId="32" hidden="1">#REF!</definedName>
    <definedName name="BExQ2PTKQZDKP3GMQTKXB30RWFCS" hidden="1">#REF!</definedName>
    <definedName name="BExQ2WPRJLIC5HFJU0YB6J8DMHUX" localSheetId="30" hidden="1">#REF!</definedName>
    <definedName name="BExQ2WPRJLIC5HFJU0YB6J8DMHUX" localSheetId="29" hidden="1">#REF!</definedName>
    <definedName name="BExQ2WPRJLIC5HFJU0YB6J8DMHUX" localSheetId="33" hidden="1">#REF!</definedName>
    <definedName name="BExQ2WPRJLIC5HFJU0YB6J8DMHUX" localSheetId="31" hidden="1">#REF!</definedName>
    <definedName name="BExQ2WPRJLIC5HFJU0YB6J8DMHUX" localSheetId="32" hidden="1">#REF!</definedName>
    <definedName name="BExQ2WPRJLIC5HFJU0YB6J8DMHUX" hidden="1">#REF!</definedName>
    <definedName name="BExQ2WV3FIJVOT8YL66N8GLC8FFU" localSheetId="30" hidden="1">#REF!</definedName>
    <definedName name="BExQ2WV3FIJVOT8YL66N8GLC8FFU" localSheetId="29" hidden="1">#REF!</definedName>
    <definedName name="BExQ2WV3FIJVOT8YL66N8GLC8FFU" localSheetId="33" hidden="1">#REF!</definedName>
    <definedName name="BExQ2WV3FIJVOT8YL66N8GLC8FFU" localSheetId="31" hidden="1">#REF!</definedName>
    <definedName name="BExQ2WV3FIJVOT8YL66N8GLC8FFU" localSheetId="32" hidden="1">#REF!</definedName>
    <definedName name="BExQ2WV3FIJVOT8YL66N8GLC8FFU" hidden="1">#REF!</definedName>
    <definedName name="BExQ300G8I8TK45A0MVHV15422EU" localSheetId="30" hidden="1">#REF!</definedName>
    <definedName name="BExQ300G8I8TK45A0MVHV15422EU" localSheetId="29" hidden="1">#REF!</definedName>
    <definedName name="BExQ300G8I8TK45A0MVHV15422EU" localSheetId="33" hidden="1">#REF!</definedName>
    <definedName name="BExQ300G8I8TK45A0MVHV15422EU" localSheetId="31" hidden="1">#REF!</definedName>
    <definedName name="BExQ300G8I8TK45A0MVHV15422EU" localSheetId="32" hidden="1">#REF!</definedName>
    <definedName name="BExQ300G8I8TK45A0MVHV15422EU" hidden="1">#REF!</definedName>
    <definedName name="BExQ36LSR6BWHS68GRXLIS2OISJ4" localSheetId="30" hidden="1">#REF!</definedName>
    <definedName name="BExQ36LSR6BWHS68GRXLIS2OISJ4" localSheetId="29" hidden="1">#REF!</definedName>
    <definedName name="BExQ36LSR6BWHS68GRXLIS2OISJ4" localSheetId="33" hidden="1">#REF!</definedName>
    <definedName name="BExQ36LSR6BWHS68GRXLIS2OISJ4" localSheetId="31" hidden="1">#REF!</definedName>
    <definedName name="BExQ36LSR6BWHS68GRXLIS2OISJ4" localSheetId="32" hidden="1">#REF!</definedName>
    <definedName name="BExQ36LSR6BWHS68GRXLIS2OISJ4" hidden="1">#REF!</definedName>
    <definedName name="BExQ39R28MXSG2SEV956F0KZ20AN" localSheetId="30" hidden="1">#REF!</definedName>
    <definedName name="BExQ39R28MXSG2SEV956F0KZ20AN" localSheetId="29" hidden="1">#REF!</definedName>
    <definedName name="BExQ39R28MXSG2SEV956F0KZ20AN" localSheetId="33" hidden="1">#REF!</definedName>
    <definedName name="BExQ39R28MXSG2SEV956F0KZ20AN" localSheetId="31" hidden="1">#REF!</definedName>
    <definedName name="BExQ39R28MXSG2SEV956F0KZ20AN" localSheetId="32" hidden="1">#REF!</definedName>
    <definedName name="BExQ39R28MXSG2SEV956F0KZ20AN" hidden="1">#REF!</definedName>
    <definedName name="BExQ3D1P3M5Z3HLMEZ17E0BLEE4U" localSheetId="30" hidden="1">#REF!</definedName>
    <definedName name="BExQ3D1P3M5Z3HLMEZ17E0BLEE4U" localSheetId="29" hidden="1">#REF!</definedName>
    <definedName name="BExQ3D1P3M5Z3HLMEZ17E0BLEE4U" localSheetId="33" hidden="1">#REF!</definedName>
    <definedName name="BExQ3D1P3M5Z3HLMEZ17E0BLEE4U" localSheetId="31" hidden="1">#REF!</definedName>
    <definedName name="BExQ3D1P3M5Z3HLMEZ17E0BLEE4U" localSheetId="32" hidden="1">#REF!</definedName>
    <definedName name="BExQ3D1P3M5Z3HLMEZ17E0BLEE4U" hidden="1">#REF!</definedName>
    <definedName name="BExQ3O4W7QF8BOXTUT4IOGF6YKUD" localSheetId="30" hidden="1">#REF!</definedName>
    <definedName name="BExQ3O4W7QF8BOXTUT4IOGF6YKUD" localSheetId="29" hidden="1">#REF!</definedName>
    <definedName name="BExQ3O4W7QF8BOXTUT4IOGF6YKUD" localSheetId="33" hidden="1">#REF!</definedName>
    <definedName name="BExQ3O4W7QF8BOXTUT4IOGF6YKUD" localSheetId="31" hidden="1">#REF!</definedName>
    <definedName name="BExQ3O4W7QF8BOXTUT4IOGF6YKUD" localSheetId="32" hidden="1">#REF!</definedName>
    <definedName name="BExQ3O4W7QF8BOXTUT4IOGF6YKUD" hidden="1">#REF!</definedName>
    <definedName name="BExQ3P1C6Q7WNXVWP1SKFV74A9XW" localSheetId="30" hidden="1">#REF!</definedName>
    <definedName name="BExQ3P1C6Q7WNXVWP1SKFV74A9XW" localSheetId="29" hidden="1">#REF!</definedName>
    <definedName name="BExQ3P1C6Q7WNXVWP1SKFV74A9XW" localSheetId="33" hidden="1">#REF!</definedName>
    <definedName name="BExQ3P1C6Q7WNXVWP1SKFV74A9XW" localSheetId="31" hidden="1">#REF!</definedName>
    <definedName name="BExQ3P1C6Q7WNXVWP1SKFV74A9XW" localSheetId="32" hidden="1">#REF!</definedName>
    <definedName name="BExQ3P1C6Q7WNXVWP1SKFV74A9XW" hidden="1">#REF!</definedName>
    <definedName name="BExQ3PXOWSN8561ZR8IEY8ZASI3B" localSheetId="30" hidden="1">#REF!</definedName>
    <definedName name="BExQ3PXOWSN8561ZR8IEY8ZASI3B" localSheetId="29" hidden="1">#REF!</definedName>
    <definedName name="BExQ3PXOWSN8561ZR8IEY8ZASI3B" localSheetId="33" hidden="1">#REF!</definedName>
    <definedName name="BExQ3PXOWSN8561ZR8IEY8ZASI3B" localSheetId="31" hidden="1">#REF!</definedName>
    <definedName name="BExQ3PXOWSN8561ZR8IEY8ZASI3B" localSheetId="32" hidden="1">#REF!</definedName>
    <definedName name="BExQ3PXOWSN8561ZR8IEY8ZASI3B" hidden="1">#REF!</definedName>
    <definedName name="BExQ3TZF04IPY0B0UG9CQQ5736UA" localSheetId="30" hidden="1">#REF!</definedName>
    <definedName name="BExQ3TZF04IPY0B0UG9CQQ5736UA" localSheetId="29" hidden="1">#REF!</definedName>
    <definedName name="BExQ3TZF04IPY0B0UG9CQQ5736UA" localSheetId="33" hidden="1">#REF!</definedName>
    <definedName name="BExQ3TZF04IPY0B0UG9CQQ5736UA" localSheetId="31" hidden="1">#REF!</definedName>
    <definedName name="BExQ3TZF04IPY0B0UG9CQQ5736UA" localSheetId="32" hidden="1">#REF!</definedName>
    <definedName name="BExQ3TZF04IPY0B0UG9CQQ5736UA" hidden="1">#REF!</definedName>
    <definedName name="BExQ42IU9MNDYLODP41DL6YTZMAR" localSheetId="30" hidden="1">#REF!</definedName>
    <definedName name="BExQ42IU9MNDYLODP41DL6YTZMAR" localSheetId="29" hidden="1">#REF!</definedName>
    <definedName name="BExQ42IU9MNDYLODP41DL6YTZMAR" localSheetId="33" hidden="1">#REF!</definedName>
    <definedName name="BExQ42IU9MNDYLODP41DL6YTZMAR" localSheetId="31" hidden="1">#REF!</definedName>
    <definedName name="BExQ42IU9MNDYLODP41DL6YTZMAR" localSheetId="32" hidden="1">#REF!</definedName>
    <definedName name="BExQ42IU9MNDYLODP41DL6YTZMAR" hidden="1">#REF!</definedName>
    <definedName name="BExQ452HF7N1HYPXJXQ8WD6SOWUV" localSheetId="30" hidden="1">#REF!</definedName>
    <definedName name="BExQ452HF7N1HYPXJXQ8WD6SOWUV" localSheetId="29" hidden="1">#REF!</definedName>
    <definedName name="BExQ452HF7N1HYPXJXQ8WD6SOWUV" localSheetId="33" hidden="1">#REF!</definedName>
    <definedName name="BExQ452HF7N1HYPXJXQ8WD6SOWUV" localSheetId="31" hidden="1">#REF!</definedName>
    <definedName name="BExQ452HF7N1HYPXJXQ8WD6SOWUV" localSheetId="32" hidden="1">#REF!</definedName>
    <definedName name="BExQ452HF7N1HYPXJXQ8WD6SOWUV" hidden="1">#REF!</definedName>
    <definedName name="BExQ499KBJ5W7A1G293A0K14EVQB" localSheetId="30" hidden="1">#REF!</definedName>
    <definedName name="BExQ499KBJ5W7A1G293A0K14EVQB" localSheetId="29" hidden="1">#REF!</definedName>
    <definedName name="BExQ499KBJ5W7A1G293A0K14EVQB" localSheetId="33" hidden="1">#REF!</definedName>
    <definedName name="BExQ499KBJ5W7A1G293A0K14EVQB" localSheetId="31" hidden="1">#REF!</definedName>
    <definedName name="BExQ499KBJ5W7A1G293A0K14EVQB" localSheetId="32" hidden="1">#REF!</definedName>
    <definedName name="BExQ499KBJ5W7A1G293A0K14EVQB" hidden="1">#REF!</definedName>
    <definedName name="BExQ4BD1KFBH38OHAL5MCU0ULFK5" localSheetId="30" hidden="1">#REF!</definedName>
    <definedName name="BExQ4BD1KFBH38OHAL5MCU0ULFK5" localSheetId="29" hidden="1">#REF!</definedName>
    <definedName name="BExQ4BD1KFBH38OHAL5MCU0ULFK5" localSheetId="33" hidden="1">#REF!</definedName>
    <definedName name="BExQ4BD1KFBH38OHAL5MCU0ULFK5" localSheetId="31" hidden="1">#REF!</definedName>
    <definedName name="BExQ4BD1KFBH38OHAL5MCU0ULFK5" localSheetId="32" hidden="1">#REF!</definedName>
    <definedName name="BExQ4BD1KFBH38OHAL5MCU0ULFK5" hidden="1">#REF!</definedName>
    <definedName name="BExQ4BTBSHPHVEDRCXC2ROW8PLFC" localSheetId="30" hidden="1">#REF!</definedName>
    <definedName name="BExQ4BTBSHPHVEDRCXC2ROW8PLFC" localSheetId="29" hidden="1">#REF!</definedName>
    <definedName name="BExQ4BTBSHPHVEDRCXC2ROW8PLFC" localSheetId="33" hidden="1">#REF!</definedName>
    <definedName name="BExQ4BTBSHPHVEDRCXC2ROW8PLFC" localSheetId="31" hidden="1">#REF!</definedName>
    <definedName name="BExQ4BTBSHPHVEDRCXC2ROW8PLFC" localSheetId="32" hidden="1">#REF!</definedName>
    <definedName name="BExQ4BTBSHPHVEDRCXC2ROW8PLFC" hidden="1">#REF!</definedName>
    <definedName name="BExQ4C450O5COV2FXTTYDK5N2KQA" localSheetId="30" hidden="1">#REF!</definedName>
    <definedName name="BExQ4C450O5COV2FXTTYDK5N2KQA" localSheetId="29" hidden="1">#REF!</definedName>
    <definedName name="BExQ4C450O5COV2FXTTYDK5N2KQA" localSheetId="33" hidden="1">#REF!</definedName>
    <definedName name="BExQ4C450O5COV2FXTTYDK5N2KQA" localSheetId="31" hidden="1">#REF!</definedName>
    <definedName name="BExQ4C450O5COV2FXTTYDK5N2KQA" localSheetId="32" hidden="1">#REF!</definedName>
    <definedName name="BExQ4C450O5COV2FXTTYDK5N2KQA" hidden="1">#REF!</definedName>
    <definedName name="BExQ4DGKF54SRKQUTUT4B1CZSS62" localSheetId="30" hidden="1">#REF!</definedName>
    <definedName name="BExQ4DGKF54SRKQUTUT4B1CZSS62" localSheetId="29" hidden="1">#REF!</definedName>
    <definedName name="BExQ4DGKF54SRKQUTUT4B1CZSS62" localSheetId="33" hidden="1">#REF!</definedName>
    <definedName name="BExQ4DGKF54SRKQUTUT4B1CZSS62" localSheetId="31" hidden="1">#REF!</definedName>
    <definedName name="BExQ4DGKF54SRKQUTUT4B1CZSS62" localSheetId="32" hidden="1">#REF!</definedName>
    <definedName name="BExQ4DGKF54SRKQUTUT4B1CZSS62" hidden="1">#REF!</definedName>
    <definedName name="BExQ4T74LQ5PYTV1MUQUW75A4BDY" localSheetId="30" hidden="1">#REF!</definedName>
    <definedName name="BExQ4T74LQ5PYTV1MUQUW75A4BDY" localSheetId="29" hidden="1">#REF!</definedName>
    <definedName name="BExQ4T74LQ5PYTV1MUQUW75A4BDY" localSheetId="33" hidden="1">#REF!</definedName>
    <definedName name="BExQ4T74LQ5PYTV1MUQUW75A4BDY" localSheetId="31" hidden="1">#REF!</definedName>
    <definedName name="BExQ4T74LQ5PYTV1MUQUW75A4BDY" localSheetId="32" hidden="1">#REF!</definedName>
    <definedName name="BExQ4T74LQ5PYTV1MUQUW75A4BDY" hidden="1">#REF!</definedName>
    <definedName name="BExQ4WHRO68FAPTPO9P7TAXFYHKS" localSheetId="30" hidden="1">#REF!</definedName>
    <definedName name="BExQ4WHRO68FAPTPO9P7TAXFYHKS" localSheetId="29" hidden="1">#REF!</definedName>
    <definedName name="BExQ4WHRO68FAPTPO9P7TAXFYHKS" localSheetId="33" hidden="1">#REF!</definedName>
    <definedName name="BExQ4WHRO68FAPTPO9P7TAXFYHKS" localSheetId="31" hidden="1">#REF!</definedName>
    <definedName name="BExQ4WHRO68FAPTPO9P7TAXFYHKS" localSheetId="32" hidden="1">#REF!</definedName>
    <definedName name="BExQ4WHRO68FAPTPO9P7TAXFYHKS" hidden="1">#REF!</definedName>
    <definedName name="BExQ4XJHD7EJCNH7S1MJDZJ2MNWG" localSheetId="30" hidden="1">#REF!</definedName>
    <definedName name="BExQ4XJHD7EJCNH7S1MJDZJ2MNWG" localSheetId="29" hidden="1">#REF!</definedName>
    <definedName name="BExQ4XJHD7EJCNH7S1MJDZJ2MNWG" localSheetId="33" hidden="1">#REF!</definedName>
    <definedName name="BExQ4XJHD7EJCNH7S1MJDZJ2MNWG" localSheetId="31" hidden="1">#REF!</definedName>
    <definedName name="BExQ4XJHD7EJCNH7S1MJDZJ2MNWG" localSheetId="32" hidden="1">#REF!</definedName>
    <definedName name="BExQ4XJHD7EJCNH7S1MJDZJ2MNWG" hidden="1">#REF!</definedName>
    <definedName name="BExQ5039ZCEWBUJHU682G4S89J03" localSheetId="30" hidden="1">#REF!</definedName>
    <definedName name="BExQ5039ZCEWBUJHU682G4S89J03" localSheetId="29" hidden="1">#REF!</definedName>
    <definedName name="BExQ5039ZCEWBUJHU682G4S89J03" localSheetId="33" hidden="1">#REF!</definedName>
    <definedName name="BExQ5039ZCEWBUJHU682G4S89J03" localSheetId="31" hidden="1">#REF!</definedName>
    <definedName name="BExQ5039ZCEWBUJHU682G4S89J03" localSheetId="32" hidden="1">#REF!</definedName>
    <definedName name="BExQ5039ZCEWBUJHU682G4S89J03" hidden="1">#REF!</definedName>
    <definedName name="BExQ56Z9W6YHZHRXOFFI8EFA7CDI" localSheetId="30" hidden="1">#REF!</definedName>
    <definedName name="BExQ56Z9W6YHZHRXOFFI8EFA7CDI" localSheetId="29" hidden="1">#REF!</definedName>
    <definedName name="BExQ56Z9W6YHZHRXOFFI8EFA7CDI" localSheetId="33" hidden="1">#REF!</definedName>
    <definedName name="BExQ56Z9W6YHZHRXOFFI8EFA7CDI" localSheetId="31" hidden="1">#REF!</definedName>
    <definedName name="BExQ56Z9W6YHZHRXOFFI8EFA7CDI" localSheetId="32" hidden="1">#REF!</definedName>
    <definedName name="BExQ56Z9W6YHZHRXOFFI8EFA7CDI" hidden="1">#REF!</definedName>
    <definedName name="BExQ5HBKOSKLKU79SB66K114JCX1" localSheetId="30" hidden="1">#REF!</definedName>
    <definedName name="BExQ5HBKOSKLKU79SB66K114JCX1" localSheetId="29" hidden="1">#REF!</definedName>
    <definedName name="BExQ5HBKOSKLKU79SB66K114JCX1" localSheetId="33" hidden="1">#REF!</definedName>
    <definedName name="BExQ5HBKOSKLKU79SB66K114JCX1" localSheetId="31" hidden="1">#REF!</definedName>
    <definedName name="BExQ5HBKOSKLKU79SB66K114JCX1" localSheetId="32" hidden="1">#REF!</definedName>
    <definedName name="BExQ5HBKOSKLKU79SB66K114JCX1" hidden="1">#REF!</definedName>
    <definedName name="BExQ5KX3Z668H1KUCKZ9J24HUQ1F" localSheetId="30" hidden="1">#REF!</definedName>
    <definedName name="BExQ5KX3Z668H1KUCKZ9J24HUQ1F" localSheetId="29" hidden="1">#REF!</definedName>
    <definedName name="BExQ5KX3Z668H1KUCKZ9J24HUQ1F" localSheetId="33" hidden="1">#REF!</definedName>
    <definedName name="BExQ5KX3Z668H1KUCKZ9J24HUQ1F" localSheetId="31" hidden="1">#REF!</definedName>
    <definedName name="BExQ5KX3Z668H1KUCKZ9J24HUQ1F" localSheetId="32" hidden="1">#REF!</definedName>
    <definedName name="BExQ5KX3Z668H1KUCKZ9J24HUQ1F" hidden="1">#REF!</definedName>
    <definedName name="BExQ5SPMSOCJYLAY20NB5A6O32RE" localSheetId="30" hidden="1">#REF!</definedName>
    <definedName name="BExQ5SPMSOCJYLAY20NB5A6O32RE" localSheetId="29" hidden="1">#REF!</definedName>
    <definedName name="BExQ5SPMSOCJYLAY20NB5A6O32RE" localSheetId="33" hidden="1">#REF!</definedName>
    <definedName name="BExQ5SPMSOCJYLAY20NB5A6O32RE" localSheetId="31" hidden="1">#REF!</definedName>
    <definedName name="BExQ5SPMSOCJYLAY20NB5A6O32RE" localSheetId="32" hidden="1">#REF!</definedName>
    <definedName name="BExQ5SPMSOCJYLAY20NB5A6O32RE" hidden="1">#REF!</definedName>
    <definedName name="BExQ5UICMGTMK790KTLK49MAGXRC" localSheetId="30" hidden="1">#REF!</definedName>
    <definedName name="BExQ5UICMGTMK790KTLK49MAGXRC" localSheetId="29" hidden="1">#REF!</definedName>
    <definedName name="BExQ5UICMGTMK790KTLK49MAGXRC" localSheetId="33" hidden="1">#REF!</definedName>
    <definedName name="BExQ5UICMGTMK790KTLK49MAGXRC" localSheetId="31" hidden="1">#REF!</definedName>
    <definedName name="BExQ5UICMGTMK790KTLK49MAGXRC" localSheetId="32" hidden="1">#REF!</definedName>
    <definedName name="BExQ5UICMGTMK790KTLK49MAGXRC" hidden="1">#REF!</definedName>
    <definedName name="BExQ5YUUK9FD0QGTY4WD0W90O7OL" localSheetId="30" hidden="1">#REF!</definedName>
    <definedName name="BExQ5YUUK9FD0QGTY4WD0W90O7OL" localSheetId="29" hidden="1">#REF!</definedName>
    <definedName name="BExQ5YUUK9FD0QGTY4WD0W90O7OL" localSheetId="33" hidden="1">#REF!</definedName>
    <definedName name="BExQ5YUUK9FD0QGTY4WD0W90O7OL" localSheetId="31" hidden="1">#REF!</definedName>
    <definedName name="BExQ5YUUK9FD0QGTY4WD0W90O7OL" localSheetId="32" hidden="1">#REF!</definedName>
    <definedName name="BExQ5YUUK9FD0QGTY4WD0W90O7OL" hidden="1">#REF!</definedName>
    <definedName name="BExQ63793YQ9BH7JLCNRIATIGTRG" localSheetId="30" hidden="1">#REF!</definedName>
    <definedName name="BExQ63793YQ9BH7JLCNRIATIGTRG" localSheetId="29" hidden="1">#REF!</definedName>
    <definedName name="BExQ63793YQ9BH7JLCNRIATIGTRG" localSheetId="33" hidden="1">#REF!</definedName>
    <definedName name="BExQ63793YQ9BH7JLCNRIATIGTRG" localSheetId="31" hidden="1">#REF!</definedName>
    <definedName name="BExQ63793YQ9BH7JLCNRIATIGTRG" localSheetId="32" hidden="1">#REF!</definedName>
    <definedName name="BExQ63793YQ9BH7JLCNRIATIGTRG" hidden="1">#REF!</definedName>
    <definedName name="BExQ69N4YHD5065I53ZIWVB76HBS" localSheetId="30" hidden="1">#REF!</definedName>
    <definedName name="BExQ69N4YHD5065I53ZIWVB76HBS" localSheetId="29" hidden="1">#REF!</definedName>
    <definedName name="BExQ69N4YHD5065I53ZIWVB76HBS" localSheetId="33" hidden="1">#REF!</definedName>
    <definedName name="BExQ69N4YHD5065I53ZIWVB76HBS" localSheetId="31" hidden="1">#REF!</definedName>
    <definedName name="BExQ69N4YHD5065I53ZIWVB76HBS" localSheetId="32" hidden="1">#REF!</definedName>
    <definedName name="BExQ69N4YHD5065I53ZIWVB76HBS" hidden="1">#REF!</definedName>
    <definedName name="BExQ6CN1EF2UPZ57ZYMGK8TUJQSS" localSheetId="30" hidden="1">#REF!</definedName>
    <definedName name="BExQ6CN1EF2UPZ57ZYMGK8TUJQSS" localSheetId="29" hidden="1">#REF!</definedName>
    <definedName name="BExQ6CN1EF2UPZ57ZYMGK8TUJQSS" localSheetId="33" hidden="1">#REF!</definedName>
    <definedName name="BExQ6CN1EF2UPZ57ZYMGK8TUJQSS" localSheetId="31" hidden="1">#REF!</definedName>
    <definedName name="BExQ6CN1EF2UPZ57ZYMGK8TUJQSS" localSheetId="32" hidden="1">#REF!</definedName>
    <definedName name="BExQ6CN1EF2UPZ57ZYMGK8TUJQSS" hidden="1">#REF!</definedName>
    <definedName name="BExQ6M2YXJ8AMRJF3QGHC40ADAHZ" localSheetId="30" hidden="1">#REF!</definedName>
    <definedName name="BExQ6M2YXJ8AMRJF3QGHC40ADAHZ" localSheetId="29" hidden="1">#REF!</definedName>
    <definedName name="BExQ6M2YXJ8AMRJF3QGHC40ADAHZ" localSheetId="33" hidden="1">#REF!</definedName>
    <definedName name="BExQ6M2YXJ8AMRJF3QGHC40ADAHZ" localSheetId="31" hidden="1">#REF!</definedName>
    <definedName name="BExQ6M2YXJ8AMRJF3QGHC40ADAHZ" localSheetId="32" hidden="1">#REF!</definedName>
    <definedName name="BExQ6M2YXJ8AMRJF3QGHC40ADAHZ" hidden="1">#REF!</definedName>
    <definedName name="BExQ6M8B0X44N9TV56ATUVHGDI00" localSheetId="30" hidden="1">#REF!</definedName>
    <definedName name="BExQ6M8B0X44N9TV56ATUVHGDI00" localSheetId="29" hidden="1">#REF!</definedName>
    <definedName name="BExQ6M8B0X44N9TV56ATUVHGDI00" localSheetId="33" hidden="1">#REF!</definedName>
    <definedName name="BExQ6M8B0X44N9TV56ATUVHGDI00" localSheetId="31" hidden="1">#REF!</definedName>
    <definedName name="BExQ6M8B0X44N9TV56ATUVHGDI00" localSheetId="32" hidden="1">#REF!</definedName>
    <definedName name="BExQ6M8B0X44N9TV56ATUVHGDI00" hidden="1">#REF!</definedName>
    <definedName name="BExQ6POH065GV0I74XXVD0VUPBJW" localSheetId="30" hidden="1">#REF!</definedName>
    <definedName name="BExQ6POH065GV0I74XXVD0VUPBJW" localSheetId="29" hidden="1">#REF!</definedName>
    <definedName name="BExQ6POH065GV0I74XXVD0VUPBJW" localSheetId="33" hidden="1">#REF!</definedName>
    <definedName name="BExQ6POH065GV0I74XXVD0VUPBJW" localSheetId="31" hidden="1">#REF!</definedName>
    <definedName name="BExQ6POH065GV0I74XXVD0VUPBJW" localSheetId="32" hidden="1">#REF!</definedName>
    <definedName name="BExQ6POH065GV0I74XXVD0VUPBJW" hidden="1">#REF!</definedName>
    <definedName name="BExQ6WV9KPSMXPPLGZ3KK4WNYTHU" localSheetId="30" hidden="1">#REF!</definedName>
    <definedName name="BExQ6WV9KPSMXPPLGZ3KK4WNYTHU" localSheetId="29" hidden="1">#REF!</definedName>
    <definedName name="BExQ6WV9KPSMXPPLGZ3KK4WNYTHU" localSheetId="33" hidden="1">#REF!</definedName>
    <definedName name="BExQ6WV9KPSMXPPLGZ3KK4WNYTHU" localSheetId="31" hidden="1">#REF!</definedName>
    <definedName name="BExQ6WV9KPSMXPPLGZ3KK4WNYTHU" localSheetId="32" hidden="1">#REF!</definedName>
    <definedName name="BExQ6WV9KPSMXPPLGZ3KK4WNYTHU" hidden="1">#REF!</definedName>
    <definedName name="BExQ783XTMM2A9I3UKCFWJH1PP2N" localSheetId="30" hidden="1">#REF!</definedName>
    <definedName name="BExQ783XTMM2A9I3UKCFWJH1PP2N" localSheetId="29" hidden="1">#REF!</definedName>
    <definedName name="BExQ783XTMM2A9I3UKCFWJH1PP2N" localSheetId="33" hidden="1">#REF!</definedName>
    <definedName name="BExQ783XTMM2A9I3UKCFWJH1PP2N" localSheetId="31" hidden="1">#REF!</definedName>
    <definedName name="BExQ783XTMM2A9I3UKCFWJH1PP2N" localSheetId="32" hidden="1">#REF!</definedName>
    <definedName name="BExQ783XTMM2A9I3UKCFWJH1PP2N" hidden="1">#REF!</definedName>
    <definedName name="BExQ79LX01ZPQB8EGD1ZHR2VK2H3" localSheetId="30" hidden="1">#REF!</definedName>
    <definedName name="BExQ79LX01ZPQB8EGD1ZHR2VK2H3" localSheetId="29" hidden="1">#REF!</definedName>
    <definedName name="BExQ79LX01ZPQB8EGD1ZHR2VK2H3" localSheetId="33" hidden="1">#REF!</definedName>
    <definedName name="BExQ79LX01ZPQB8EGD1ZHR2VK2H3" localSheetId="31" hidden="1">#REF!</definedName>
    <definedName name="BExQ79LX01ZPQB8EGD1ZHR2VK2H3" localSheetId="32" hidden="1">#REF!</definedName>
    <definedName name="BExQ79LX01ZPQB8EGD1ZHR2VK2H3" hidden="1">#REF!</definedName>
    <definedName name="BExQ7B3V9MGDK2OIJ61XXFBFLJFZ" localSheetId="30" hidden="1">#REF!</definedName>
    <definedName name="BExQ7B3V9MGDK2OIJ61XXFBFLJFZ" localSheetId="29" hidden="1">#REF!</definedName>
    <definedName name="BExQ7B3V9MGDK2OIJ61XXFBFLJFZ" localSheetId="33" hidden="1">#REF!</definedName>
    <definedName name="BExQ7B3V9MGDK2OIJ61XXFBFLJFZ" localSheetId="31" hidden="1">#REF!</definedName>
    <definedName name="BExQ7B3V9MGDK2OIJ61XXFBFLJFZ" localSheetId="32" hidden="1">#REF!</definedName>
    <definedName name="BExQ7B3V9MGDK2OIJ61XXFBFLJFZ" hidden="1">#REF!</definedName>
    <definedName name="BExQ7CB046NVPF9ZXDGA7OXOLSLX" localSheetId="30" hidden="1">#REF!</definedName>
    <definedName name="BExQ7CB046NVPF9ZXDGA7OXOLSLX" localSheetId="29" hidden="1">#REF!</definedName>
    <definedName name="BExQ7CB046NVPF9ZXDGA7OXOLSLX" localSheetId="33" hidden="1">#REF!</definedName>
    <definedName name="BExQ7CB046NVPF9ZXDGA7OXOLSLX" localSheetId="31" hidden="1">#REF!</definedName>
    <definedName name="BExQ7CB046NVPF9ZXDGA7OXOLSLX" localSheetId="32" hidden="1">#REF!</definedName>
    <definedName name="BExQ7CB046NVPF9ZXDGA7OXOLSLX" hidden="1">#REF!</definedName>
    <definedName name="BExQ7IWDCGGOO1HTJ97YGO1CK3R9" localSheetId="30" hidden="1">#REF!</definedName>
    <definedName name="BExQ7IWDCGGOO1HTJ97YGO1CK3R9" localSheetId="29" hidden="1">#REF!</definedName>
    <definedName name="BExQ7IWDCGGOO1HTJ97YGO1CK3R9" localSheetId="33" hidden="1">#REF!</definedName>
    <definedName name="BExQ7IWDCGGOO1HTJ97YGO1CK3R9" localSheetId="31" hidden="1">#REF!</definedName>
    <definedName name="BExQ7IWDCGGOO1HTJ97YGO1CK3R9" localSheetId="32" hidden="1">#REF!</definedName>
    <definedName name="BExQ7IWDCGGOO1HTJ97YGO1CK3R9" hidden="1">#REF!</definedName>
    <definedName name="BExQ7JNFIEGS2HKNBALH3Q2N5G7Z" localSheetId="30" hidden="1">#REF!</definedName>
    <definedName name="BExQ7JNFIEGS2HKNBALH3Q2N5G7Z" localSheetId="29" hidden="1">#REF!</definedName>
    <definedName name="BExQ7JNFIEGS2HKNBALH3Q2N5G7Z" localSheetId="33" hidden="1">#REF!</definedName>
    <definedName name="BExQ7JNFIEGS2HKNBALH3Q2N5G7Z" localSheetId="31" hidden="1">#REF!</definedName>
    <definedName name="BExQ7JNFIEGS2HKNBALH3Q2N5G7Z" localSheetId="32" hidden="1">#REF!</definedName>
    <definedName name="BExQ7JNFIEGS2HKNBALH3Q2N5G7Z" hidden="1">#REF!</definedName>
    <definedName name="BExQ7MY3U2Z1IZ71U5LJUD00VVB4" localSheetId="30" hidden="1">#REF!</definedName>
    <definedName name="BExQ7MY3U2Z1IZ71U5LJUD00VVB4" localSheetId="29" hidden="1">#REF!</definedName>
    <definedName name="BExQ7MY3U2Z1IZ71U5LJUD00VVB4" localSheetId="33" hidden="1">#REF!</definedName>
    <definedName name="BExQ7MY3U2Z1IZ71U5LJUD00VVB4" localSheetId="31" hidden="1">#REF!</definedName>
    <definedName name="BExQ7MY3U2Z1IZ71U5LJUD00VVB4" localSheetId="32" hidden="1">#REF!</definedName>
    <definedName name="BExQ7MY3U2Z1IZ71U5LJUD00VVB4" hidden="1">#REF!</definedName>
    <definedName name="BExQ7XL2Q1GVUFL1F9KK0K0EXMWG" localSheetId="30" hidden="1">#REF!</definedName>
    <definedName name="BExQ7XL2Q1GVUFL1F9KK0K0EXMWG" localSheetId="29" hidden="1">#REF!</definedName>
    <definedName name="BExQ7XL2Q1GVUFL1F9KK0K0EXMWG" localSheetId="33" hidden="1">#REF!</definedName>
    <definedName name="BExQ7XL2Q1GVUFL1F9KK0K0EXMWG" localSheetId="31" hidden="1">#REF!</definedName>
    <definedName name="BExQ7XL2Q1GVUFL1F9KK0K0EXMWG" localSheetId="32" hidden="1">#REF!</definedName>
    <definedName name="BExQ7XL2Q1GVUFL1F9KK0K0EXMWG" hidden="1">#REF!</definedName>
    <definedName name="BExQ8469L3ZRZ3KYZPYMSJIDL7Y5" localSheetId="30" hidden="1">#REF!</definedName>
    <definedName name="BExQ8469L3ZRZ3KYZPYMSJIDL7Y5" localSheetId="29" hidden="1">#REF!</definedName>
    <definedName name="BExQ8469L3ZRZ3KYZPYMSJIDL7Y5" localSheetId="33" hidden="1">#REF!</definedName>
    <definedName name="BExQ8469L3ZRZ3KYZPYMSJIDL7Y5" localSheetId="31" hidden="1">#REF!</definedName>
    <definedName name="BExQ8469L3ZRZ3KYZPYMSJIDL7Y5" localSheetId="32" hidden="1">#REF!</definedName>
    <definedName name="BExQ8469L3ZRZ3KYZPYMSJIDL7Y5" hidden="1">#REF!</definedName>
    <definedName name="BExQ84MJB94HL3BWRN50M4NCB6Z0" localSheetId="30" hidden="1">#REF!</definedName>
    <definedName name="BExQ84MJB94HL3BWRN50M4NCB6Z0" localSheetId="29" hidden="1">#REF!</definedName>
    <definedName name="BExQ84MJB94HL3BWRN50M4NCB6Z0" localSheetId="33" hidden="1">#REF!</definedName>
    <definedName name="BExQ84MJB94HL3BWRN50M4NCB6Z0" localSheetId="31" hidden="1">#REF!</definedName>
    <definedName name="BExQ84MJB94HL3BWRN50M4NCB6Z0" localSheetId="32" hidden="1">#REF!</definedName>
    <definedName name="BExQ84MJB94HL3BWRN50M4NCB6Z0" hidden="1">#REF!</definedName>
    <definedName name="BExQ8583ZE00NW7T9OF11OT9IA14" localSheetId="30" hidden="1">#REF!</definedName>
    <definedName name="BExQ8583ZE00NW7T9OF11OT9IA14" localSheetId="29" hidden="1">#REF!</definedName>
    <definedName name="BExQ8583ZE00NW7T9OF11OT9IA14" localSheetId="33" hidden="1">#REF!</definedName>
    <definedName name="BExQ8583ZE00NW7T9OF11OT9IA14" localSheetId="31" hidden="1">#REF!</definedName>
    <definedName name="BExQ8583ZE00NW7T9OF11OT9IA14" localSheetId="32" hidden="1">#REF!</definedName>
    <definedName name="BExQ8583ZE00NW7T9OF11OT9IA14" hidden="1">#REF!</definedName>
    <definedName name="BExQ8A0RPE3IMIFIZLUE7KD2N21W" localSheetId="30" hidden="1">#REF!</definedName>
    <definedName name="BExQ8A0RPE3IMIFIZLUE7KD2N21W" localSheetId="29" hidden="1">#REF!</definedName>
    <definedName name="BExQ8A0RPE3IMIFIZLUE7KD2N21W" localSheetId="33" hidden="1">#REF!</definedName>
    <definedName name="BExQ8A0RPE3IMIFIZLUE7KD2N21W" localSheetId="31" hidden="1">#REF!</definedName>
    <definedName name="BExQ8A0RPE3IMIFIZLUE7KD2N21W" localSheetId="32" hidden="1">#REF!</definedName>
    <definedName name="BExQ8A0RPE3IMIFIZLUE7KD2N21W" hidden="1">#REF!</definedName>
    <definedName name="BExQ8ABK6H1ADV2R2OYT8NFFYG2N" localSheetId="30" hidden="1">#REF!</definedName>
    <definedName name="BExQ8ABK6H1ADV2R2OYT8NFFYG2N" localSheetId="29" hidden="1">#REF!</definedName>
    <definedName name="BExQ8ABK6H1ADV2R2OYT8NFFYG2N" localSheetId="33" hidden="1">#REF!</definedName>
    <definedName name="BExQ8ABK6H1ADV2R2OYT8NFFYG2N" localSheetId="31" hidden="1">#REF!</definedName>
    <definedName name="BExQ8ABK6H1ADV2R2OYT8NFFYG2N" localSheetId="32" hidden="1">#REF!</definedName>
    <definedName name="BExQ8ABK6H1ADV2R2OYT8NFFYG2N" hidden="1">#REF!</definedName>
    <definedName name="BExQ8DM90XJ6GCJIK9LC5O82I2TJ" localSheetId="30" hidden="1">#REF!</definedName>
    <definedName name="BExQ8DM90XJ6GCJIK9LC5O82I2TJ" localSheetId="29" hidden="1">#REF!</definedName>
    <definedName name="BExQ8DM90XJ6GCJIK9LC5O82I2TJ" localSheetId="33" hidden="1">#REF!</definedName>
    <definedName name="BExQ8DM90XJ6GCJIK9LC5O82I2TJ" localSheetId="31" hidden="1">#REF!</definedName>
    <definedName name="BExQ8DM90XJ6GCJIK9LC5O82I2TJ" localSheetId="32" hidden="1">#REF!</definedName>
    <definedName name="BExQ8DM90XJ6GCJIK9LC5O82I2TJ" hidden="1">#REF!</definedName>
    <definedName name="BExQ8G0K46ZORA0QVQTDI7Z8LXGF" localSheetId="30" hidden="1">#REF!</definedName>
    <definedName name="BExQ8G0K46ZORA0QVQTDI7Z8LXGF" localSheetId="29" hidden="1">#REF!</definedName>
    <definedName name="BExQ8G0K46ZORA0QVQTDI7Z8LXGF" localSheetId="33" hidden="1">#REF!</definedName>
    <definedName name="BExQ8G0K46ZORA0QVQTDI7Z8LXGF" localSheetId="31" hidden="1">#REF!</definedName>
    <definedName name="BExQ8G0K46ZORA0QVQTDI7Z8LXGF" localSheetId="32" hidden="1">#REF!</definedName>
    <definedName name="BExQ8G0K46ZORA0QVQTDI7Z8LXGF" hidden="1">#REF!</definedName>
    <definedName name="BExQ8O3WEU8HNTTGKTW5T0QSKCLP" localSheetId="30" hidden="1">#REF!</definedName>
    <definedName name="BExQ8O3WEU8HNTTGKTW5T0QSKCLP" localSheetId="29" hidden="1">#REF!</definedName>
    <definedName name="BExQ8O3WEU8HNTTGKTW5T0QSKCLP" localSheetId="33" hidden="1">#REF!</definedName>
    <definedName name="BExQ8O3WEU8HNTTGKTW5T0QSKCLP" localSheetId="31" hidden="1">#REF!</definedName>
    <definedName name="BExQ8O3WEU8HNTTGKTW5T0QSKCLP" localSheetId="32" hidden="1">#REF!</definedName>
    <definedName name="BExQ8O3WEU8HNTTGKTW5T0QSKCLP" hidden="1">#REF!</definedName>
    <definedName name="BExQ8ZCEDBOBJA3D9LDP5TU2WYGR" localSheetId="30" hidden="1">#REF!</definedName>
    <definedName name="BExQ8ZCEDBOBJA3D9LDP5TU2WYGR" localSheetId="29" hidden="1">#REF!</definedName>
    <definedName name="BExQ8ZCEDBOBJA3D9LDP5TU2WYGR" localSheetId="33" hidden="1">#REF!</definedName>
    <definedName name="BExQ8ZCEDBOBJA3D9LDP5TU2WYGR" localSheetId="31" hidden="1">#REF!</definedName>
    <definedName name="BExQ8ZCEDBOBJA3D9LDP5TU2WYGR" localSheetId="32" hidden="1">#REF!</definedName>
    <definedName name="BExQ8ZCEDBOBJA3D9LDP5TU2WYGR" hidden="1">#REF!</definedName>
    <definedName name="BExQ94LAW6MAQBWY25WTBFV5PPZJ" localSheetId="30" hidden="1">#REF!</definedName>
    <definedName name="BExQ94LAW6MAQBWY25WTBFV5PPZJ" localSheetId="29" hidden="1">#REF!</definedName>
    <definedName name="BExQ94LAW6MAQBWY25WTBFV5PPZJ" localSheetId="33" hidden="1">#REF!</definedName>
    <definedName name="BExQ94LAW6MAQBWY25WTBFV5PPZJ" localSheetId="31" hidden="1">#REF!</definedName>
    <definedName name="BExQ94LAW6MAQBWY25WTBFV5PPZJ" localSheetId="32" hidden="1">#REF!</definedName>
    <definedName name="BExQ94LAW6MAQBWY25WTBFV5PPZJ" hidden="1">#REF!</definedName>
    <definedName name="BExQ97QIPOSSRK978N8P234Y1XA4" localSheetId="30" hidden="1">#REF!</definedName>
    <definedName name="BExQ97QIPOSSRK978N8P234Y1XA4" localSheetId="29" hidden="1">#REF!</definedName>
    <definedName name="BExQ97QIPOSSRK978N8P234Y1XA4" localSheetId="33" hidden="1">#REF!</definedName>
    <definedName name="BExQ97QIPOSSRK978N8P234Y1XA4" localSheetId="31" hidden="1">#REF!</definedName>
    <definedName name="BExQ97QIPOSSRK978N8P234Y1XA4" localSheetId="32" hidden="1">#REF!</definedName>
    <definedName name="BExQ97QIPOSSRK978N8P234Y1XA4" hidden="1">#REF!</definedName>
    <definedName name="BExQ9E6FBAXTHGF3RXANFIA77GXP" localSheetId="30" hidden="1">#REF!</definedName>
    <definedName name="BExQ9E6FBAXTHGF3RXANFIA77GXP" localSheetId="29" hidden="1">#REF!</definedName>
    <definedName name="BExQ9E6FBAXTHGF3RXANFIA77GXP" localSheetId="33" hidden="1">#REF!</definedName>
    <definedName name="BExQ9E6FBAXTHGF3RXANFIA77GXP" localSheetId="31" hidden="1">#REF!</definedName>
    <definedName name="BExQ9E6FBAXTHGF3RXANFIA77GXP" localSheetId="32" hidden="1">#REF!</definedName>
    <definedName name="BExQ9E6FBAXTHGF3RXANFIA77GXP" hidden="1">#REF!</definedName>
    <definedName name="BExQ9F2YH4UUCCMQITJ475B3S3NP" localSheetId="30" hidden="1">#REF!</definedName>
    <definedName name="BExQ9F2YH4UUCCMQITJ475B3S3NP" localSheetId="29" hidden="1">#REF!</definedName>
    <definedName name="BExQ9F2YH4UUCCMQITJ475B3S3NP" localSheetId="33" hidden="1">#REF!</definedName>
    <definedName name="BExQ9F2YH4UUCCMQITJ475B3S3NP" localSheetId="31" hidden="1">#REF!</definedName>
    <definedName name="BExQ9F2YH4UUCCMQITJ475B3S3NP" localSheetId="32" hidden="1">#REF!</definedName>
    <definedName name="BExQ9F2YH4UUCCMQITJ475B3S3NP" hidden="1">#REF!</definedName>
    <definedName name="BExQ9KX9734KIAK7IMRLHCPYDHO2" localSheetId="30" hidden="1">#REF!</definedName>
    <definedName name="BExQ9KX9734KIAK7IMRLHCPYDHO2" localSheetId="29" hidden="1">#REF!</definedName>
    <definedName name="BExQ9KX9734KIAK7IMRLHCPYDHO2" localSheetId="33" hidden="1">#REF!</definedName>
    <definedName name="BExQ9KX9734KIAK7IMRLHCPYDHO2" localSheetId="31" hidden="1">#REF!</definedName>
    <definedName name="BExQ9KX9734KIAK7IMRLHCPYDHO2" localSheetId="32" hidden="1">#REF!</definedName>
    <definedName name="BExQ9KX9734KIAK7IMRLHCPYDHO2" hidden="1">#REF!</definedName>
    <definedName name="BExQ9L81FF4I7816VTPFBDWVU4CW" localSheetId="30" hidden="1">#REF!</definedName>
    <definedName name="BExQ9L81FF4I7816VTPFBDWVU4CW" localSheetId="29" hidden="1">#REF!</definedName>
    <definedName name="BExQ9L81FF4I7816VTPFBDWVU4CW" localSheetId="33" hidden="1">#REF!</definedName>
    <definedName name="BExQ9L81FF4I7816VTPFBDWVU4CW" localSheetId="31" hidden="1">#REF!</definedName>
    <definedName name="BExQ9L81FF4I7816VTPFBDWVU4CW" localSheetId="32" hidden="1">#REF!</definedName>
    <definedName name="BExQ9L81FF4I7816VTPFBDWVU4CW" hidden="1">#REF!</definedName>
    <definedName name="BExQ9M4E2ACZOWWWP1JJIQO8AHUM" localSheetId="30" hidden="1">#REF!</definedName>
    <definedName name="BExQ9M4E2ACZOWWWP1JJIQO8AHUM" localSheetId="29" hidden="1">#REF!</definedName>
    <definedName name="BExQ9M4E2ACZOWWWP1JJIQO8AHUM" localSheetId="33" hidden="1">#REF!</definedName>
    <definedName name="BExQ9M4E2ACZOWWWP1JJIQO8AHUM" localSheetId="31" hidden="1">#REF!</definedName>
    <definedName name="BExQ9M4E2ACZOWWWP1JJIQO8AHUM" localSheetId="32" hidden="1">#REF!</definedName>
    <definedName name="BExQ9M4E2ACZOWWWP1JJIQO8AHUM" hidden="1">#REF!</definedName>
    <definedName name="BExQ9UTANMJCK7LJ4OQMD6F2Q01L" localSheetId="30" hidden="1">#REF!</definedName>
    <definedName name="BExQ9UTANMJCK7LJ4OQMD6F2Q01L" localSheetId="29" hidden="1">#REF!</definedName>
    <definedName name="BExQ9UTANMJCK7LJ4OQMD6F2Q01L" localSheetId="33" hidden="1">#REF!</definedName>
    <definedName name="BExQ9UTANMJCK7LJ4OQMD6F2Q01L" localSheetId="31" hidden="1">#REF!</definedName>
    <definedName name="BExQ9UTANMJCK7LJ4OQMD6F2Q01L" localSheetId="32" hidden="1">#REF!</definedName>
    <definedName name="BExQ9UTANMJCK7LJ4OQMD6F2Q01L" hidden="1">#REF!</definedName>
    <definedName name="BExQ9ZLYHWABXAA9NJDW8ZS0UQ9P" localSheetId="30" hidden="1">#REF!</definedName>
    <definedName name="BExQ9ZLYHWABXAA9NJDW8ZS0UQ9P" localSheetId="29" hidden="1">#REF!</definedName>
    <definedName name="BExQ9ZLYHWABXAA9NJDW8ZS0UQ9P" localSheetId="33" hidden="1">#REF!</definedName>
    <definedName name="BExQ9ZLYHWABXAA9NJDW8ZS0UQ9P" localSheetId="31" hidden="1">#REF!</definedName>
    <definedName name="BExQ9ZLYHWABXAA9NJDW8ZS0UQ9P" localSheetId="32" hidden="1">#REF!</definedName>
    <definedName name="BExQ9ZLYHWABXAA9NJDW8ZS0UQ9P" hidden="1">#REF!</definedName>
    <definedName name="BExQA324HSCK40ENJUT9CS9EC71B" localSheetId="30" hidden="1">#REF!</definedName>
    <definedName name="BExQA324HSCK40ENJUT9CS9EC71B" localSheetId="29" hidden="1">#REF!</definedName>
    <definedName name="BExQA324HSCK40ENJUT9CS9EC71B" localSheetId="33" hidden="1">#REF!</definedName>
    <definedName name="BExQA324HSCK40ENJUT9CS9EC71B" localSheetId="31" hidden="1">#REF!</definedName>
    <definedName name="BExQA324HSCK40ENJUT9CS9EC71B" localSheetId="32" hidden="1">#REF!</definedName>
    <definedName name="BExQA324HSCK40ENJUT9CS9EC71B" hidden="1">#REF!</definedName>
    <definedName name="BExQA55GY0STSNBWQCWN8E31ZXCS" localSheetId="30" hidden="1">#REF!</definedName>
    <definedName name="BExQA55GY0STSNBWQCWN8E31ZXCS" localSheetId="29" hidden="1">#REF!</definedName>
    <definedName name="BExQA55GY0STSNBWQCWN8E31ZXCS" localSheetId="33" hidden="1">#REF!</definedName>
    <definedName name="BExQA55GY0STSNBWQCWN8E31ZXCS" localSheetId="31" hidden="1">#REF!</definedName>
    <definedName name="BExQA55GY0STSNBWQCWN8E31ZXCS" localSheetId="32" hidden="1">#REF!</definedName>
    <definedName name="BExQA55GY0STSNBWQCWN8E31ZXCS" hidden="1">#REF!</definedName>
    <definedName name="BExQA61UD9LW9IZZI15009QBYXDB" localSheetId="30" hidden="1">#REF!</definedName>
    <definedName name="BExQA61UD9LW9IZZI15009QBYXDB" localSheetId="29" hidden="1">#REF!</definedName>
    <definedName name="BExQA61UD9LW9IZZI15009QBYXDB" localSheetId="33" hidden="1">#REF!</definedName>
    <definedName name="BExQA61UD9LW9IZZI15009QBYXDB" localSheetId="31" hidden="1">#REF!</definedName>
    <definedName name="BExQA61UD9LW9IZZI15009QBYXDB" localSheetId="32" hidden="1">#REF!</definedName>
    <definedName name="BExQA61UD9LW9IZZI15009QBYXDB" hidden="1">#REF!</definedName>
    <definedName name="BExQA9HZIN9XEMHEEVHT99UU9Z82" localSheetId="30" hidden="1">#REF!</definedName>
    <definedName name="BExQA9HZIN9XEMHEEVHT99UU9Z82" localSheetId="29" hidden="1">#REF!</definedName>
    <definedName name="BExQA9HZIN9XEMHEEVHT99UU9Z82" localSheetId="33" hidden="1">#REF!</definedName>
    <definedName name="BExQA9HZIN9XEMHEEVHT99UU9Z82" localSheetId="31" hidden="1">#REF!</definedName>
    <definedName name="BExQA9HZIN9XEMHEEVHT99UU9Z82" localSheetId="32" hidden="1">#REF!</definedName>
    <definedName name="BExQA9HZIN9XEMHEEVHT99UU9Z82" hidden="1">#REF!</definedName>
    <definedName name="BExQAELFYH92K8CJL155181UDORO" localSheetId="30" hidden="1">#REF!</definedName>
    <definedName name="BExQAELFYH92K8CJL155181UDORO" localSheetId="29" hidden="1">#REF!</definedName>
    <definedName name="BExQAELFYH92K8CJL155181UDORO" localSheetId="33" hidden="1">#REF!</definedName>
    <definedName name="BExQAELFYH92K8CJL155181UDORO" localSheetId="31" hidden="1">#REF!</definedName>
    <definedName name="BExQAELFYH92K8CJL155181UDORO" localSheetId="32" hidden="1">#REF!</definedName>
    <definedName name="BExQAELFYH92K8CJL155181UDORO" hidden="1">#REF!</definedName>
    <definedName name="BExQAG8PP8R5NJKNQD1U4QOSD6X5" localSheetId="30" hidden="1">#REF!</definedName>
    <definedName name="BExQAG8PP8R5NJKNQD1U4QOSD6X5" localSheetId="29" hidden="1">#REF!</definedName>
    <definedName name="BExQAG8PP8R5NJKNQD1U4QOSD6X5" localSheetId="33" hidden="1">#REF!</definedName>
    <definedName name="BExQAG8PP8R5NJKNQD1U4QOSD6X5" localSheetId="31" hidden="1">#REF!</definedName>
    <definedName name="BExQAG8PP8R5NJKNQD1U4QOSD6X5" localSheetId="32" hidden="1">#REF!</definedName>
    <definedName name="BExQAG8PP8R5NJKNQD1U4QOSD6X5" hidden="1">#REF!</definedName>
    <definedName name="BExQAV2UZGBOD5HPX09L6I6C1DUN" localSheetId="30" hidden="1">#REF!</definedName>
    <definedName name="BExQAV2UZGBOD5HPX09L6I6C1DUN" localSheetId="29" hidden="1">#REF!</definedName>
    <definedName name="BExQAV2UZGBOD5HPX09L6I6C1DUN" localSheetId="33" hidden="1">#REF!</definedName>
    <definedName name="BExQAV2UZGBOD5HPX09L6I6C1DUN" localSheetId="31" hidden="1">#REF!</definedName>
    <definedName name="BExQAV2UZGBOD5HPX09L6I6C1DUN" localSheetId="32" hidden="1">#REF!</definedName>
    <definedName name="BExQAV2UZGBOD5HPX09L6I6C1DUN" hidden="1">#REF!</definedName>
    <definedName name="BExQB1O90BE87AJX252NG5VQKC5P" localSheetId="30" hidden="1">#REF!</definedName>
    <definedName name="BExQB1O90BE87AJX252NG5VQKC5P" localSheetId="29" hidden="1">#REF!</definedName>
    <definedName name="BExQB1O90BE87AJX252NG5VQKC5P" localSheetId="33" hidden="1">#REF!</definedName>
    <definedName name="BExQB1O90BE87AJX252NG5VQKC5P" localSheetId="31" hidden="1">#REF!</definedName>
    <definedName name="BExQB1O90BE87AJX252NG5VQKC5P" localSheetId="32" hidden="1">#REF!</definedName>
    <definedName name="BExQB1O90BE87AJX252NG5VQKC5P" hidden="1">#REF!</definedName>
    <definedName name="BExQBDICMZTSA1X73TMHNO4JSFLN" localSheetId="30" hidden="1">#REF!</definedName>
    <definedName name="BExQBDICMZTSA1X73TMHNO4JSFLN" localSheetId="29" hidden="1">#REF!</definedName>
    <definedName name="BExQBDICMZTSA1X73TMHNO4JSFLN" localSheetId="33" hidden="1">#REF!</definedName>
    <definedName name="BExQBDICMZTSA1X73TMHNO4JSFLN" localSheetId="31" hidden="1">#REF!</definedName>
    <definedName name="BExQBDICMZTSA1X73TMHNO4JSFLN" localSheetId="32" hidden="1">#REF!</definedName>
    <definedName name="BExQBDICMZTSA1X73TMHNO4JSFLN" hidden="1">#REF!</definedName>
    <definedName name="BExQBEER6CRCRPSSL61S0OMH57ZA" localSheetId="30" hidden="1">#REF!</definedName>
    <definedName name="BExQBEER6CRCRPSSL61S0OMH57ZA" localSheetId="29" hidden="1">#REF!</definedName>
    <definedName name="BExQBEER6CRCRPSSL61S0OMH57ZA" localSheetId="33" hidden="1">#REF!</definedName>
    <definedName name="BExQBEER6CRCRPSSL61S0OMH57ZA" localSheetId="31" hidden="1">#REF!</definedName>
    <definedName name="BExQBEER6CRCRPSSL61S0OMH57ZA" localSheetId="32" hidden="1">#REF!</definedName>
    <definedName name="BExQBEER6CRCRPSSL61S0OMH57ZA" hidden="1">#REF!</definedName>
    <definedName name="BExQBIGGY5TXI2FJVVZSLZ0LTZYH" localSheetId="30" hidden="1">#REF!</definedName>
    <definedName name="BExQBIGGY5TXI2FJVVZSLZ0LTZYH" localSheetId="29" hidden="1">#REF!</definedName>
    <definedName name="BExQBIGGY5TXI2FJVVZSLZ0LTZYH" localSheetId="33" hidden="1">#REF!</definedName>
    <definedName name="BExQBIGGY5TXI2FJVVZSLZ0LTZYH" localSheetId="31" hidden="1">#REF!</definedName>
    <definedName name="BExQBIGGY5TXI2FJVVZSLZ0LTZYH" localSheetId="32" hidden="1">#REF!</definedName>
    <definedName name="BExQBIGGY5TXI2FJVVZSLZ0LTZYH" hidden="1">#REF!</definedName>
    <definedName name="BExQBM1RUSIQ85LLMM2159BYDPIP" localSheetId="30" hidden="1">#REF!</definedName>
    <definedName name="BExQBM1RUSIQ85LLMM2159BYDPIP" localSheetId="29" hidden="1">#REF!</definedName>
    <definedName name="BExQBM1RUSIQ85LLMM2159BYDPIP" localSheetId="33" hidden="1">#REF!</definedName>
    <definedName name="BExQBM1RUSIQ85LLMM2159BYDPIP" localSheetId="31" hidden="1">#REF!</definedName>
    <definedName name="BExQBM1RUSIQ85LLMM2159BYDPIP" localSheetId="32" hidden="1">#REF!</definedName>
    <definedName name="BExQBM1RUSIQ85LLMM2159BYDPIP" hidden="1">#REF!</definedName>
    <definedName name="BExQBPSOZ47V81YAEURP0NQJNTJH" localSheetId="30" hidden="1">#REF!</definedName>
    <definedName name="BExQBPSOZ47V81YAEURP0NQJNTJH" localSheetId="29" hidden="1">#REF!</definedName>
    <definedName name="BExQBPSOZ47V81YAEURP0NQJNTJH" localSheetId="33" hidden="1">#REF!</definedName>
    <definedName name="BExQBPSOZ47V81YAEURP0NQJNTJH" localSheetId="31" hidden="1">#REF!</definedName>
    <definedName name="BExQBPSOZ47V81YAEURP0NQJNTJH" localSheetId="32" hidden="1">#REF!</definedName>
    <definedName name="BExQBPSOZ47V81YAEURP0NQJNTJH" hidden="1">#REF!</definedName>
    <definedName name="BExQC5TWT21CGBKD0IHAXTIN2QB8" localSheetId="30" hidden="1">#REF!</definedName>
    <definedName name="BExQC5TWT21CGBKD0IHAXTIN2QB8" localSheetId="29" hidden="1">#REF!</definedName>
    <definedName name="BExQC5TWT21CGBKD0IHAXTIN2QB8" localSheetId="33" hidden="1">#REF!</definedName>
    <definedName name="BExQC5TWT21CGBKD0IHAXTIN2QB8" localSheetId="31" hidden="1">#REF!</definedName>
    <definedName name="BExQC5TWT21CGBKD0IHAXTIN2QB8" localSheetId="32" hidden="1">#REF!</definedName>
    <definedName name="BExQC5TWT21CGBKD0IHAXTIN2QB8" hidden="1">#REF!</definedName>
    <definedName name="BExQC94JL9F5GW4S8DQCAF4WB2DA" localSheetId="30" hidden="1">#REF!</definedName>
    <definedName name="BExQC94JL9F5GW4S8DQCAF4WB2DA" localSheetId="29" hidden="1">#REF!</definedName>
    <definedName name="BExQC94JL9F5GW4S8DQCAF4WB2DA" localSheetId="33" hidden="1">#REF!</definedName>
    <definedName name="BExQC94JL9F5GW4S8DQCAF4WB2DA" localSheetId="31" hidden="1">#REF!</definedName>
    <definedName name="BExQC94JL9F5GW4S8DQCAF4WB2DA" localSheetId="32" hidden="1">#REF!</definedName>
    <definedName name="BExQC94JL9F5GW4S8DQCAF4WB2DA" hidden="1">#REF!</definedName>
    <definedName name="BExQCKTD8AT0824LGWREXM1B5D1X" localSheetId="30" hidden="1">#REF!</definedName>
    <definedName name="BExQCKTD8AT0824LGWREXM1B5D1X" localSheetId="29" hidden="1">#REF!</definedName>
    <definedName name="BExQCKTD8AT0824LGWREXM1B5D1X" localSheetId="33" hidden="1">#REF!</definedName>
    <definedName name="BExQCKTD8AT0824LGWREXM1B5D1X" localSheetId="31" hidden="1">#REF!</definedName>
    <definedName name="BExQCKTD8AT0824LGWREXM1B5D1X" localSheetId="32" hidden="1">#REF!</definedName>
    <definedName name="BExQCKTD8AT0824LGWREXM1B5D1X" hidden="1">#REF!</definedName>
    <definedName name="BExQCMGMV0DK2DKLJ8FU4HLC44JZ" localSheetId="30" hidden="1">#REF!</definedName>
    <definedName name="BExQCMGMV0DK2DKLJ8FU4HLC44JZ" localSheetId="29" hidden="1">#REF!</definedName>
    <definedName name="BExQCMGMV0DK2DKLJ8FU4HLC44JZ" localSheetId="33" hidden="1">#REF!</definedName>
    <definedName name="BExQCMGMV0DK2DKLJ8FU4HLC44JZ" localSheetId="31" hidden="1">#REF!</definedName>
    <definedName name="BExQCMGMV0DK2DKLJ8FU4HLC44JZ" localSheetId="32" hidden="1">#REF!</definedName>
    <definedName name="BExQCMGMV0DK2DKLJ8FU4HLC44JZ" hidden="1">#REF!</definedName>
    <definedName name="BExQD276B4XEL34XNUL51QWBXAV2" localSheetId="30" hidden="1">#REF!</definedName>
    <definedName name="BExQD276B4XEL34XNUL51QWBXAV2" localSheetId="29" hidden="1">#REF!</definedName>
    <definedName name="BExQD276B4XEL34XNUL51QWBXAV2" localSheetId="33" hidden="1">#REF!</definedName>
    <definedName name="BExQD276B4XEL34XNUL51QWBXAV2" localSheetId="31" hidden="1">#REF!</definedName>
    <definedName name="BExQD276B4XEL34XNUL51QWBXAV2" localSheetId="32" hidden="1">#REF!</definedName>
    <definedName name="BExQD276B4XEL34XNUL51QWBXAV2" hidden="1">#REF!</definedName>
    <definedName name="BExQD571YWOXKR2SX85K5MKQ0AO2" localSheetId="30" hidden="1">#REF!</definedName>
    <definedName name="BExQD571YWOXKR2SX85K5MKQ0AO2" localSheetId="29" hidden="1">#REF!</definedName>
    <definedName name="BExQD571YWOXKR2SX85K5MKQ0AO2" localSheetId="33" hidden="1">#REF!</definedName>
    <definedName name="BExQD571YWOXKR2SX85K5MKQ0AO2" localSheetId="31" hidden="1">#REF!</definedName>
    <definedName name="BExQD571YWOXKR2SX85K5MKQ0AO2" localSheetId="32" hidden="1">#REF!</definedName>
    <definedName name="BExQD571YWOXKR2SX85K5MKQ0AO2" hidden="1">#REF!</definedName>
    <definedName name="BExQDB6VCHN8PNX8EA6JNIEQ2JC2" localSheetId="30" hidden="1">#REF!</definedName>
    <definedName name="BExQDB6VCHN8PNX8EA6JNIEQ2JC2" localSheetId="29" hidden="1">#REF!</definedName>
    <definedName name="BExQDB6VCHN8PNX8EA6JNIEQ2JC2" localSheetId="33" hidden="1">#REF!</definedName>
    <definedName name="BExQDB6VCHN8PNX8EA6JNIEQ2JC2" localSheetId="31" hidden="1">#REF!</definedName>
    <definedName name="BExQDB6VCHN8PNX8EA6JNIEQ2JC2" localSheetId="32" hidden="1">#REF!</definedName>
    <definedName name="BExQDB6VCHN8PNX8EA6JNIEQ2JC2" hidden="1">#REF!</definedName>
    <definedName name="BExQDE1B6U2Q9B73KBENABP71YM1" localSheetId="30" hidden="1">#REF!</definedName>
    <definedName name="BExQDE1B6U2Q9B73KBENABP71YM1" localSheetId="29" hidden="1">#REF!</definedName>
    <definedName name="BExQDE1B6U2Q9B73KBENABP71YM1" localSheetId="33" hidden="1">#REF!</definedName>
    <definedName name="BExQDE1B6U2Q9B73KBENABP71YM1" localSheetId="31" hidden="1">#REF!</definedName>
    <definedName name="BExQDE1B6U2Q9B73KBENABP71YM1" localSheetId="32" hidden="1">#REF!</definedName>
    <definedName name="BExQDE1B6U2Q9B73KBENABP71YM1" hidden="1">#REF!</definedName>
    <definedName name="BExQDGQCN7ZW41QDUHOBJUGQAX40" localSheetId="30" hidden="1">#REF!</definedName>
    <definedName name="BExQDGQCN7ZW41QDUHOBJUGQAX40" localSheetId="29" hidden="1">#REF!</definedName>
    <definedName name="BExQDGQCN7ZW41QDUHOBJUGQAX40" localSheetId="33" hidden="1">#REF!</definedName>
    <definedName name="BExQDGQCN7ZW41QDUHOBJUGQAX40" localSheetId="31" hidden="1">#REF!</definedName>
    <definedName name="BExQDGQCN7ZW41QDUHOBJUGQAX40" localSheetId="32" hidden="1">#REF!</definedName>
    <definedName name="BExQDGQCN7ZW41QDUHOBJUGQAX40" hidden="1">#REF!</definedName>
    <definedName name="BExQEC7BRIJ30PTU3UPFOIP2HPE3" localSheetId="30" hidden="1">#REF!</definedName>
    <definedName name="BExQEC7BRIJ30PTU3UPFOIP2HPE3" localSheetId="29" hidden="1">#REF!</definedName>
    <definedName name="BExQEC7BRIJ30PTU3UPFOIP2HPE3" localSheetId="33" hidden="1">#REF!</definedName>
    <definedName name="BExQEC7BRIJ30PTU3UPFOIP2HPE3" localSheetId="31" hidden="1">#REF!</definedName>
    <definedName name="BExQEC7BRIJ30PTU3UPFOIP2HPE3" localSheetId="32" hidden="1">#REF!</definedName>
    <definedName name="BExQEC7BRIJ30PTU3UPFOIP2HPE3" hidden="1">#REF!</definedName>
    <definedName name="BExQEMUA4HEFM4OVO8M8MA8PIAW1" localSheetId="30" hidden="1">#REF!</definedName>
    <definedName name="BExQEMUA4HEFM4OVO8M8MA8PIAW1" localSheetId="29" hidden="1">#REF!</definedName>
    <definedName name="BExQEMUA4HEFM4OVO8M8MA8PIAW1" localSheetId="33" hidden="1">#REF!</definedName>
    <definedName name="BExQEMUA4HEFM4OVO8M8MA8PIAW1" localSheetId="31" hidden="1">#REF!</definedName>
    <definedName name="BExQEMUA4HEFM4OVO8M8MA8PIAW1" localSheetId="32" hidden="1">#REF!</definedName>
    <definedName name="BExQEMUA4HEFM4OVO8M8MA8PIAW1" hidden="1">#REF!</definedName>
    <definedName name="BExQEQ4XZQFIKUXNU9H7WE7AMZ1U" localSheetId="30" hidden="1">#REF!</definedName>
    <definedName name="BExQEQ4XZQFIKUXNU9H7WE7AMZ1U" localSheetId="29" hidden="1">#REF!</definedName>
    <definedName name="BExQEQ4XZQFIKUXNU9H7WE7AMZ1U" localSheetId="33" hidden="1">#REF!</definedName>
    <definedName name="BExQEQ4XZQFIKUXNU9H7WE7AMZ1U" localSheetId="31" hidden="1">#REF!</definedName>
    <definedName name="BExQEQ4XZQFIKUXNU9H7WE7AMZ1U" localSheetId="32" hidden="1">#REF!</definedName>
    <definedName name="BExQEQ4XZQFIKUXNU9H7WE7AMZ1U" hidden="1">#REF!</definedName>
    <definedName name="BExQER6SCY14X1OMTNN07BA0BGKN" localSheetId="30" hidden="1">#REF!</definedName>
    <definedName name="BExQER6SCY14X1OMTNN07BA0BGKN" localSheetId="29" hidden="1">#REF!</definedName>
    <definedName name="BExQER6SCY14X1OMTNN07BA0BGKN" localSheetId="33" hidden="1">#REF!</definedName>
    <definedName name="BExQER6SCY14X1OMTNN07BA0BGKN" localSheetId="31" hidden="1">#REF!</definedName>
    <definedName name="BExQER6SCY14X1OMTNN07BA0BGKN" localSheetId="32" hidden="1">#REF!</definedName>
    <definedName name="BExQER6SCY14X1OMTNN07BA0BGKN" hidden="1">#REF!</definedName>
    <definedName name="BExQF1OEB07CRAP6ALNNMJNJ3P2D" localSheetId="30" hidden="1">#REF!</definedName>
    <definedName name="BExQF1OEB07CRAP6ALNNMJNJ3P2D" localSheetId="29" hidden="1">#REF!</definedName>
    <definedName name="BExQF1OEB07CRAP6ALNNMJNJ3P2D" localSheetId="33" hidden="1">#REF!</definedName>
    <definedName name="BExQF1OEB07CRAP6ALNNMJNJ3P2D" localSheetId="31" hidden="1">#REF!</definedName>
    <definedName name="BExQF1OEB07CRAP6ALNNMJNJ3P2D" localSheetId="32" hidden="1">#REF!</definedName>
    <definedName name="BExQF1OEB07CRAP6ALNNMJNJ3P2D" hidden="1">#REF!</definedName>
    <definedName name="BExQF9X2AQPFJZTCHTU5PTTR0JAH" localSheetId="30" hidden="1">#REF!</definedName>
    <definedName name="BExQF9X2AQPFJZTCHTU5PTTR0JAH" localSheetId="29" hidden="1">#REF!</definedName>
    <definedName name="BExQF9X2AQPFJZTCHTU5PTTR0JAH" localSheetId="33" hidden="1">#REF!</definedName>
    <definedName name="BExQF9X2AQPFJZTCHTU5PTTR0JAH" localSheetId="31" hidden="1">#REF!</definedName>
    <definedName name="BExQF9X2AQPFJZTCHTU5PTTR0JAH" localSheetId="32" hidden="1">#REF!</definedName>
    <definedName name="BExQF9X2AQPFJZTCHTU5PTTR0JAH" hidden="1">#REF!</definedName>
    <definedName name="BExQFC0M9KKFMQKPLPEO2RQDB7MM" localSheetId="30" hidden="1">#REF!</definedName>
    <definedName name="BExQFC0M9KKFMQKPLPEO2RQDB7MM" localSheetId="29" hidden="1">#REF!</definedName>
    <definedName name="BExQFC0M9KKFMQKPLPEO2RQDB7MM" localSheetId="33" hidden="1">#REF!</definedName>
    <definedName name="BExQFC0M9KKFMQKPLPEO2RQDB7MM" localSheetId="31" hidden="1">#REF!</definedName>
    <definedName name="BExQFC0M9KKFMQKPLPEO2RQDB7MM" localSheetId="32" hidden="1">#REF!</definedName>
    <definedName name="BExQFC0M9KKFMQKPLPEO2RQDB7MM" hidden="1">#REF!</definedName>
    <definedName name="BExQFEEV7627R8TYZCM28C6V6WHE" localSheetId="30" hidden="1">#REF!</definedName>
    <definedName name="BExQFEEV7627R8TYZCM28C6V6WHE" localSheetId="29" hidden="1">#REF!</definedName>
    <definedName name="BExQFEEV7627R8TYZCM28C6V6WHE" localSheetId="33" hidden="1">#REF!</definedName>
    <definedName name="BExQFEEV7627R8TYZCM28C6V6WHE" localSheetId="31" hidden="1">#REF!</definedName>
    <definedName name="BExQFEEV7627R8TYZCM28C6V6WHE" localSheetId="32" hidden="1">#REF!</definedName>
    <definedName name="BExQFEEV7627R8TYZCM28C6V6WHE" hidden="1">#REF!</definedName>
    <definedName name="BExQFEK8NUD04X2OBRA275ADPSDL" localSheetId="30" hidden="1">#REF!</definedName>
    <definedName name="BExQFEK8NUD04X2OBRA275ADPSDL" localSheetId="29" hidden="1">#REF!</definedName>
    <definedName name="BExQFEK8NUD04X2OBRA275ADPSDL" localSheetId="33" hidden="1">#REF!</definedName>
    <definedName name="BExQFEK8NUD04X2OBRA275ADPSDL" localSheetId="31" hidden="1">#REF!</definedName>
    <definedName name="BExQFEK8NUD04X2OBRA275ADPSDL" localSheetId="32" hidden="1">#REF!</definedName>
    <definedName name="BExQFEK8NUD04X2OBRA275ADPSDL" hidden="1">#REF!</definedName>
    <definedName name="BExQFGYIWDR4W0YF7XR6E4EWWJ02" localSheetId="30" hidden="1">#REF!</definedName>
    <definedName name="BExQFGYIWDR4W0YF7XR6E4EWWJ02" localSheetId="29" hidden="1">#REF!</definedName>
    <definedName name="BExQFGYIWDR4W0YF7XR6E4EWWJ02" localSheetId="33" hidden="1">#REF!</definedName>
    <definedName name="BExQFGYIWDR4W0YF7XR6E4EWWJ02" localSheetId="31" hidden="1">#REF!</definedName>
    <definedName name="BExQFGYIWDR4W0YF7XR6E4EWWJ02" localSheetId="32" hidden="1">#REF!</definedName>
    <definedName name="BExQFGYIWDR4W0YF7XR6E4EWWJ02" hidden="1">#REF!</definedName>
    <definedName name="BExQFPNFKA36IAPS22LAUMBDI4KE" localSheetId="30" hidden="1">#REF!</definedName>
    <definedName name="BExQFPNFKA36IAPS22LAUMBDI4KE" localSheetId="29" hidden="1">#REF!</definedName>
    <definedName name="BExQFPNFKA36IAPS22LAUMBDI4KE" localSheetId="33" hidden="1">#REF!</definedName>
    <definedName name="BExQFPNFKA36IAPS22LAUMBDI4KE" localSheetId="31" hidden="1">#REF!</definedName>
    <definedName name="BExQFPNFKA36IAPS22LAUMBDI4KE" localSheetId="32" hidden="1">#REF!</definedName>
    <definedName name="BExQFPNFKA36IAPS22LAUMBDI4KE" hidden="1">#REF!</definedName>
    <definedName name="BExQFPSWEMA8WBUZ4WK20LR13VSU" localSheetId="30" hidden="1">#REF!</definedName>
    <definedName name="BExQFPSWEMA8WBUZ4WK20LR13VSU" localSheetId="29" hidden="1">#REF!</definedName>
    <definedName name="BExQFPSWEMA8WBUZ4WK20LR13VSU" localSheetId="33" hidden="1">#REF!</definedName>
    <definedName name="BExQFPSWEMA8WBUZ4WK20LR13VSU" localSheetId="31" hidden="1">#REF!</definedName>
    <definedName name="BExQFPSWEMA8WBUZ4WK20LR13VSU" localSheetId="32" hidden="1">#REF!</definedName>
    <definedName name="BExQFPSWEMA8WBUZ4WK20LR13VSU" hidden="1">#REF!</definedName>
    <definedName name="BExQFVSPOSCCPF1TLJPIWYWYB8A9" localSheetId="30" hidden="1">#REF!</definedName>
    <definedName name="BExQFVSPOSCCPF1TLJPIWYWYB8A9" localSheetId="29" hidden="1">#REF!</definedName>
    <definedName name="BExQFVSPOSCCPF1TLJPIWYWYB8A9" localSheetId="33" hidden="1">#REF!</definedName>
    <definedName name="BExQFVSPOSCCPF1TLJPIWYWYB8A9" localSheetId="31" hidden="1">#REF!</definedName>
    <definedName name="BExQFVSPOSCCPF1TLJPIWYWYB8A9" localSheetId="32" hidden="1">#REF!</definedName>
    <definedName name="BExQFVSPOSCCPF1TLJPIWYWYB8A9" hidden="1">#REF!</definedName>
    <definedName name="BExQFWJQXNQAW6LUMOEDS6KMJMYL" localSheetId="30" hidden="1">#REF!</definedName>
    <definedName name="BExQFWJQXNQAW6LUMOEDS6KMJMYL" localSheetId="29" hidden="1">#REF!</definedName>
    <definedName name="BExQFWJQXNQAW6LUMOEDS6KMJMYL" localSheetId="33" hidden="1">#REF!</definedName>
    <definedName name="BExQFWJQXNQAW6LUMOEDS6KMJMYL" localSheetId="31" hidden="1">#REF!</definedName>
    <definedName name="BExQFWJQXNQAW6LUMOEDS6KMJMYL" localSheetId="32" hidden="1">#REF!</definedName>
    <definedName name="BExQFWJQXNQAW6LUMOEDS6KMJMYL" hidden="1">#REF!</definedName>
    <definedName name="BExQG8TYRD2G42UA5ZPCRLNKUDMX" localSheetId="30" hidden="1">#REF!</definedName>
    <definedName name="BExQG8TYRD2G42UA5ZPCRLNKUDMX" localSheetId="29" hidden="1">#REF!</definedName>
    <definedName name="BExQG8TYRD2G42UA5ZPCRLNKUDMX" localSheetId="33" hidden="1">#REF!</definedName>
    <definedName name="BExQG8TYRD2G42UA5ZPCRLNKUDMX" localSheetId="31" hidden="1">#REF!</definedName>
    <definedName name="BExQG8TYRD2G42UA5ZPCRLNKUDMX" localSheetId="32" hidden="1">#REF!</definedName>
    <definedName name="BExQG8TYRD2G42UA5ZPCRLNKUDMX" hidden="1">#REF!</definedName>
    <definedName name="BExQGO48J9MPCDQ96RBB9UN9AIGT" localSheetId="30" hidden="1">#REF!</definedName>
    <definedName name="BExQGO48J9MPCDQ96RBB9UN9AIGT" localSheetId="29" hidden="1">#REF!</definedName>
    <definedName name="BExQGO48J9MPCDQ96RBB9UN9AIGT" localSheetId="33" hidden="1">#REF!</definedName>
    <definedName name="BExQGO48J9MPCDQ96RBB9UN9AIGT" localSheetId="31" hidden="1">#REF!</definedName>
    <definedName name="BExQGO48J9MPCDQ96RBB9UN9AIGT" localSheetId="32" hidden="1">#REF!</definedName>
    <definedName name="BExQGO48J9MPCDQ96RBB9UN9AIGT" hidden="1">#REF!</definedName>
    <definedName name="BExQGSBB6MJWDW7AYWA0MSFTXKRR" localSheetId="30" hidden="1">#REF!</definedName>
    <definedName name="BExQGSBB6MJWDW7AYWA0MSFTXKRR" localSheetId="29" hidden="1">#REF!</definedName>
    <definedName name="BExQGSBB6MJWDW7AYWA0MSFTXKRR" localSheetId="33" hidden="1">#REF!</definedName>
    <definedName name="BExQGSBB6MJWDW7AYWA0MSFTXKRR" localSheetId="31" hidden="1">#REF!</definedName>
    <definedName name="BExQGSBB6MJWDW7AYWA0MSFTXKRR" localSheetId="32" hidden="1">#REF!</definedName>
    <definedName name="BExQGSBB6MJWDW7AYWA0MSFTXKRR" hidden="1">#REF!</definedName>
    <definedName name="BExQH0UURAJ13AVO5UI04HSRGVYW" localSheetId="30" hidden="1">#REF!</definedName>
    <definedName name="BExQH0UURAJ13AVO5UI04HSRGVYW" localSheetId="29" hidden="1">#REF!</definedName>
    <definedName name="BExQH0UURAJ13AVO5UI04HSRGVYW" localSheetId="33" hidden="1">#REF!</definedName>
    <definedName name="BExQH0UURAJ13AVO5UI04HSRGVYW" localSheetId="31" hidden="1">#REF!</definedName>
    <definedName name="BExQH0UURAJ13AVO5UI04HSRGVYW" localSheetId="32" hidden="1">#REF!</definedName>
    <definedName name="BExQH0UURAJ13AVO5UI04HSRGVYW" hidden="1">#REF!</definedName>
    <definedName name="BExQH6ZZY0NR8SE48PSI9D0CU1TC" localSheetId="30" hidden="1">#REF!</definedName>
    <definedName name="BExQH6ZZY0NR8SE48PSI9D0CU1TC" localSheetId="29" hidden="1">#REF!</definedName>
    <definedName name="BExQH6ZZY0NR8SE48PSI9D0CU1TC" localSheetId="33" hidden="1">#REF!</definedName>
    <definedName name="BExQH6ZZY0NR8SE48PSI9D0CU1TC" localSheetId="31" hidden="1">#REF!</definedName>
    <definedName name="BExQH6ZZY0NR8SE48PSI9D0CU1TC" localSheetId="32" hidden="1">#REF!</definedName>
    <definedName name="BExQH6ZZY0NR8SE48PSI9D0CU1TC" hidden="1">#REF!</definedName>
    <definedName name="BExQH9P2MCXAJOVEO4GFQT6MNW22" localSheetId="30" hidden="1">#REF!</definedName>
    <definedName name="BExQH9P2MCXAJOVEO4GFQT6MNW22" localSheetId="29" hidden="1">#REF!</definedName>
    <definedName name="BExQH9P2MCXAJOVEO4GFQT6MNW22" localSheetId="33" hidden="1">#REF!</definedName>
    <definedName name="BExQH9P2MCXAJOVEO4GFQT6MNW22" localSheetId="31" hidden="1">#REF!</definedName>
    <definedName name="BExQH9P2MCXAJOVEO4GFQT6MNW22" localSheetId="32" hidden="1">#REF!</definedName>
    <definedName name="BExQH9P2MCXAJOVEO4GFQT6MNW22" hidden="1">#REF!</definedName>
    <definedName name="BExQHCZSBYUY8OKKJXFYWKBBM6AH" localSheetId="30" hidden="1">#REF!</definedName>
    <definedName name="BExQHCZSBYUY8OKKJXFYWKBBM6AH" localSheetId="29" hidden="1">#REF!</definedName>
    <definedName name="BExQHCZSBYUY8OKKJXFYWKBBM6AH" localSheetId="33" hidden="1">#REF!</definedName>
    <definedName name="BExQHCZSBYUY8OKKJXFYWKBBM6AH" localSheetId="31" hidden="1">#REF!</definedName>
    <definedName name="BExQHCZSBYUY8OKKJXFYWKBBM6AH" localSheetId="32" hidden="1">#REF!</definedName>
    <definedName name="BExQHCZSBYUY8OKKJXFYWKBBM6AH" hidden="1">#REF!</definedName>
    <definedName name="BExQHFOV0QGAI4RJOIWQI7D7IQCW" localSheetId="30" hidden="1">#REF!</definedName>
    <definedName name="BExQHFOV0QGAI4RJOIWQI7D7IQCW" localSheetId="29" hidden="1">#REF!</definedName>
    <definedName name="BExQHFOV0QGAI4RJOIWQI7D7IQCW" localSheetId="33" hidden="1">#REF!</definedName>
    <definedName name="BExQHFOV0QGAI4RJOIWQI7D7IQCW" localSheetId="31" hidden="1">#REF!</definedName>
    <definedName name="BExQHFOV0QGAI4RJOIWQI7D7IQCW" localSheetId="32" hidden="1">#REF!</definedName>
    <definedName name="BExQHFOV0QGAI4RJOIWQI7D7IQCW" hidden="1">#REF!</definedName>
    <definedName name="BExQHPKXZ1K33V2F90NZIQRZYIAW" localSheetId="30" hidden="1">#REF!</definedName>
    <definedName name="BExQHPKXZ1K33V2F90NZIQRZYIAW" localSheetId="29" hidden="1">#REF!</definedName>
    <definedName name="BExQHPKXZ1K33V2F90NZIQRZYIAW" localSheetId="33" hidden="1">#REF!</definedName>
    <definedName name="BExQHPKXZ1K33V2F90NZIQRZYIAW" localSheetId="31" hidden="1">#REF!</definedName>
    <definedName name="BExQHPKXZ1K33V2F90NZIQRZYIAW" localSheetId="32" hidden="1">#REF!</definedName>
    <definedName name="BExQHPKXZ1K33V2F90NZIQRZYIAW" hidden="1">#REF!</definedName>
    <definedName name="BExQHVF9KD06AG2RXUQJ9X4PVGX4" localSheetId="30" hidden="1">#REF!</definedName>
    <definedName name="BExQHVF9KD06AG2RXUQJ9X4PVGX4" localSheetId="29" hidden="1">#REF!</definedName>
    <definedName name="BExQHVF9KD06AG2RXUQJ9X4PVGX4" localSheetId="33" hidden="1">#REF!</definedName>
    <definedName name="BExQHVF9KD06AG2RXUQJ9X4PVGX4" localSheetId="31" hidden="1">#REF!</definedName>
    <definedName name="BExQHVF9KD06AG2RXUQJ9X4PVGX4" localSheetId="32" hidden="1">#REF!</definedName>
    <definedName name="BExQHVF9KD06AG2RXUQJ9X4PVGX4" hidden="1">#REF!</definedName>
    <definedName name="BExQHZBHVN2L4HC7ACTR73T5OCV0" localSheetId="30" hidden="1">#REF!</definedName>
    <definedName name="BExQHZBHVN2L4HC7ACTR73T5OCV0" localSheetId="29" hidden="1">#REF!</definedName>
    <definedName name="BExQHZBHVN2L4HC7ACTR73T5OCV0" localSheetId="33" hidden="1">#REF!</definedName>
    <definedName name="BExQHZBHVN2L4HC7ACTR73T5OCV0" localSheetId="31" hidden="1">#REF!</definedName>
    <definedName name="BExQHZBHVN2L4HC7ACTR73T5OCV0" localSheetId="32" hidden="1">#REF!</definedName>
    <definedName name="BExQHZBHVN2L4HC7ACTR73T5OCV0" hidden="1">#REF!</definedName>
    <definedName name="BExQI85V9TNLDJT5LTRZS10Y26SG" localSheetId="30" hidden="1">#REF!</definedName>
    <definedName name="BExQI85V9TNLDJT5LTRZS10Y26SG" localSheetId="29" hidden="1">#REF!</definedName>
    <definedName name="BExQI85V9TNLDJT5LTRZS10Y26SG" localSheetId="33" hidden="1">#REF!</definedName>
    <definedName name="BExQI85V9TNLDJT5LTRZS10Y26SG" localSheetId="31" hidden="1">#REF!</definedName>
    <definedName name="BExQI85V9TNLDJT5LTRZS10Y26SG" localSheetId="32" hidden="1">#REF!</definedName>
    <definedName name="BExQI85V9TNLDJT5LTRZS10Y26SG" hidden="1">#REF!</definedName>
    <definedName name="BExQIAPKHVEV8CU1L3TTHJW67FJ5" localSheetId="30" hidden="1">#REF!</definedName>
    <definedName name="BExQIAPKHVEV8CU1L3TTHJW67FJ5" localSheetId="29" hidden="1">#REF!</definedName>
    <definedName name="BExQIAPKHVEV8CU1L3TTHJW67FJ5" localSheetId="33" hidden="1">#REF!</definedName>
    <definedName name="BExQIAPKHVEV8CU1L3TTHJW67FJ5" localSheetId="31" hidden="1">#REF!</definedName>
    <definedName name="BExQIAPKHVEV8CU1L3TTHJW67FJ5" localSheetId="32" hidden="1">#REF!</definedName>
    <definedName name="BExQIAPKHVEV8CU1L3TTHJW67FJ5" hidden="1">#REF!</definedName>
    <definedName name="BExQIBB4I3Z6AUU0HYV1DHRS13M4" localSheetId="30" hidden="1">#REF!</definedName>
    <definedName name="BExQIBB4I3Z6AUU0HYV1DHRS13M4" localSheetId="29" hidden="1">#REF!</definedName>
    <definedName name="BExQIBB4I3Z6AUU0HYV1DHRS13M4" localSheetId="33" hidden="1">#REF!</definedName>
    <definedName name="BExQIBB4I3Z6AUU0HYV1DHRS13M4" localSheetId="31" hidden="1">#REF!</definedName>
    <definedName name="BExQIBB4I3Z6AUU0HYV1DHRS13M4" localSheetId="32" hidden="1">#REF!</definedName>
    <definedName name="BExQIBB4I3Z6AUU0HYV1DHRS13M4" hidden="1">#REF!</definedName>
    <definedName name="BExQIBWPAXU7HJZLKGJZY3EB7MIS" localSheetId="30" hidden="1">#REF!</definedName>
    <definedName name="BExQIBWPAXU7HJZLKGJZY3EB7MIS" localSheetId="29" hidden="1">#REF!</definedName>
    <definedName name="BExQIBWPAXU7HJZLKGJZY3EB7MIS" localSheetId="33" hidden="1">#REF!</definedName>
    <definedName name="BExQIBWPAXU7HJZLKGJZY3EB7MIS" localSheetId="31" hidden="1">#REF!</definedName>
    <definedName name="BExQIBWPAXU7HJZLKGJZY3EB7MIS" localSheetId="32" hidden="1">#REF!</definedName>
    <definedName name="BExQIBWPAXU7HJZLKGJZY3EB7MIS" hidden="1">#REF!</definedName>
    <definedName name="BExQIOXY0XCWC3IR2YU7YCZZEHU8" localSheetId="30" hidden="1">#REF!</definedName>
    <definedName name="BExQIOXY0XCWC3IR2YU7YCZZEHU8" localSheetId="29" hidden="1">#REF!</definedName>
    <definedName name="BExQIOXY0XCWC3IR2YU7YCZZEHU8" localSheetId="33" hidden="1">#REF!</definedName>
    <definedName name="BExQIOXY0XCWC3IR2YU7YCZZEHU8" localSheetId="31" hidden="1">#REF!</definedName>
    <definedName name="BExQIOXY0XCWC3IR2YU7YCZZEHU8" localSheetId="32" hidden="1">#REF!</definedName>
    <definedName name="BExQIOXY0XCWC3IR2YU7YCZZEHU8" hidden="1">#REF!</definedName>
    <definedName name="BExQIS8O6R36CI01XRY9ISM99TW9" localSheetId="30" hidden="1">#REF!</definedName>
    <definedName name="BExQIS8O6R36CI01XRY9ISM99TW9" localSheetId="29" hidden="1">#REF!</definedName>
    <definedName name="BExQIS8O6R36CI01XRY9ISM99TW9" localSheetId="33" hidden="1">#REF!</definedName>
    <definedName name="BExQIS8O6R36CI01XRY9ISM99TW9" localSheetId="31" hidden="1">#REF!</definedName>
    <definedName name="BExQIS8O6R36CI01XRY9ISM99TW9" localSheetId="32" hidden="1">#REF!</definedName>
    <definedName name="BExQIS8O6R36CI01XRY9ISM99TW9" hidden="1">#REF!</definedName>
    <definedName name="BExQIVJB9MJ25NDUHTCVMSODJY2C" localSheetId="30" hidden="1">#REF!</definedName>
    <definedName name="BExQIVJB9MJ25NDUHTCVMSODJY2C" localSheetId="29" hidden="1">#REF!</definedName>
    <definedName name="BExQIVJB9MJ25NDUHTCVMSODJY2C" localSheetId="33" hidden="1">#REF!</definedName>
    <definedName name="BExQIVJB9MJ25NDUHTCVMSODJY2C" localSheetId="31" hidden="1">#REF!</definedName>
    <definedName name="BExQIVJB9MJ25NDUHTCVMSODJY2C" localSheetId="32" hidden="1">#REF!</definedName>
    <definedName name="BExQIVJB9MJ25NDUHTCVMSODJY2C" hidden="1">#REF!</definedName>
    <definedName name="BExQJBF7LAX128WR7VTMJC88ZLPG" localSheetId="30" hidden="1">#REF!</definedName>
    <definedName name="BExQJBF7LAX128WR7VTMJC88ZLPG" localSheetId="29" hidden="1">#REF!</definedName>
    <definedName name="BExQJBF7LAX128WR7VTMJC88ZLPG" localSheetId="33" hidden="1">#REF!</definedName>
    <definedName name="BExQJBF7LAX128WR7VTMJC88ZLPG" localSheetId="31" hidden="1">#REF!</definedName>
    <definedName name="BExQJBF7LAX128WR7VTMJC88ZLPG" localSheetId="32" hidden="1">#REF!</definedName>
    <definedName name="BExQJBF7LAX128WR7VTMJC88ZLPG" hidden="1">#REF!</definedName>
    <definedName name="BExQJEVCKX6KZHNCLYXY7D0MX5KN" localSheetId="30" hidden="1">#REF!</definedName>
    <definedName name="BExQJEVCKX6KZHNCLYXY7D0MX5KN" localSheetId="29" hidden="1">#REF!</definedName>
    <definedName name="BExQJEVCKX6KZHNCLYXY7D0MX5KN" localSheetId="33" hidden="1">#REF!</definedName>
    <definedName name="BExQJEVCKX6KZHNCLYXY7D0MX5KN" localSheetId="31" hidden="1">#REF!</definedName>
    <definedName name="BExQJEVCKX6KZHNCLYXY7D0MX5KN" localSheetId="32" hidden="1">#REF!</definedName>
    <definedName name="BExQJEVCKX6KZHNCLYXY7D0MX5KN" hidden="1">#REF!</definedName>
    <definedName name="BExQJJYSDX8B0J1QGF2HL071KKA3" localSheetId="30" hidden="1">#REF!</definedName>
    <definedName name="BExQJJYSDX8B0J1QGF2HL071KKA3" localSheetId="29" hidden="1">#REF!</definedName>
    <definedName name="BExQJJYSDX8B0J1QGF2HL071KKA3" localSheetId="33" hidden="1">#REF!</definedName>
    <definedName name="BExQJJYSDX8B0J1QGF2HL071KKA3" localSheetId="31" hidden="1">#REF!</definedName>
    <definedName name="BExQJJYSDX8B0J1QGF2HL071KKA3" localSheetId="32" hidden="1">#REF!</definedName>
    <definedName name="BExQJJYSDX8B0J1QGF2HL071KKA3" hidden="1">#REF!</definedName>
    <definedName name="BExQJZP5TNEYH4UHP3AY9ZNFK806" localSheetId="30" hidden="1">#REF!</definedName>
    <definedName name="BExQJZP5TNEYH4UHP3AY9ZNFK806" localSheetId="29" hidden="1">#REF!</definedName>
    <definedName name="BExQJZP5TNEYH4UHP3AY9ZNFK806" localSheetId="33" hidden="1">#REF!</definedName>
    <definedName name="BExQJZP5TNEYH4UHP3AY9ZNFK806" localSheetId="31" hidden="1">#REF!</definedName>
    <definedName name="BExQJZP5TNEYH4UHP3AY9ZNFK806" localSheetId="32" hidden="1">#REF!</definedName>
    <definedName name="BExQJZP5TNEYH4UHP3AY9ZNFK806" hidden="1">#REF!</definedName>
    <definedName name="BExQK1HV6SQQ7CP8H8IUKI9TYXTD" localSheetId="30" hidden="1">#REF!</definedName>
    <definedName name="BExQK1HV6SQQ7CP8H8IUKI9TYXTD" localSheetId="29" hidden="1">#REF!</definedName>
    <definedName name="BExQK1HV6SQQ7CP8H8IUKI9TYXTD" localSheetId="33" hidden="1">#REF!</definedName>
    <definedName name="BExQK1HV6SQQ7CP8H8IUKI9TYXTD" localSheetId="31" hidden="1">#REF!</definedName>
    <definedName name="BExQK1HV6SQQ7CP8H8IUKI9TYXTD" localSheetId="32" hidden="1">#REF!</definedName>
    <definedName name="BExQK1HV6SQQ7CP8H8IUKI9TYXTD" hidden="1">#REF!</definedName>
    <definedName name="BExQK3LE5CSBW1E4H4KHW548FL2R" localSheetId="30" hidden="1">#REF!</definedName>
    <definedName name="BExQK3LE5CSBW1E4H4KHW548FL2R" localSheetId="29" hidden="1">#REF!</definedName>
    <definedName name="BExQK3LE5CSBW1E4H4KHW548FL2R" localSheetId="33" hidden="1">#REF!</definedName>
    <definedName name="BExQK3LE5CSBW1E4H4KHW548FL2R" localSheetId="31" hidden="1">#REF!</definedName>
    <definedName name="BExQK3LE5CSBW1E4H4KHW548FL2R" localSheetId="32" hidden="1">#REF!</definedName>
    <definedName name="BExQK3LE5CSBW1E4H4KHW548FL2R" hidden="1">#REF!</definedName>
    <definedName name="BExQKBDXVXL3OGLH2QJ5OIT7XKFO" localSheetId="30" hidden="1">#REF!</definedName>
    <definedName name="BExQKBDXVXL3OGLH2QJ5OIT7XKFO" localSheetId="29" hidden="1">#REF!</definedName>
    <definedName name="BExQKBDXVXL3OGLH2QJ5OIT7XKFO" localSheetId="33" hidden="1">#REF!</definedName>
    <definedName name="BExQKBDXVXL3OGLH2QJ5OIT7XKFO" localSheetId="31" hidden="1">#REF!</definedName>
    <definedName name="BExQKBDXVXL3OGLH2QJ5OIT7XKFO" localSheetId="32" hidden="1">#REF!</definedName>
    <definedName name="BExQKBDXVXL3OGLH2QJ5OIT7XKFO" hidden="1">#REF!</definedName>
    <definedName name="BExQKG6LD6PLNDGNGO9DJXY865BR" localSheetId="30" hidden="1">#REF!</definedName>
    <definedName name="BExQKG6LD6PLNDGNGO9DJXY865BR" localSheetId="29" hidden="1">#REF!</definedName>
    <definedName name="BExQKG6LD6PLNDGNGO9DJXY865BR" localSheetId="33" hidden="1">#REF!</definedName>
    <definedName name="BExQKG6LD6PLNDGNGO9DJXY865BR" localSheetId="31" hidden="1">#REF!</definedName>
    <definedName name="BExQKG6LD6PLNDGNGO9DJXY865BR" localSheetId="32" hidden="1">#REF!</definedName>
    <definedName name="BExQKG6LD6PLNDGNGO9DJXY865BR" hidden="1">#REF!</definedName>
    <definedName name="BExQLE1TOW3A287TQB0AVWENT8O1" localSheetId="30" hidden="1">#REF!</definedName>
    <definedName name="BExQLE1TOW3A287TQB0AVWENT8O1" localSheetId="29" hidden="1">#REF!</definedName>
    <definedName name="BExQLE1TOW3A287TQB0AVWENT8O1" localSheetId="33" hidden="1">#REF!</definedName>
    <definedName name="BExQLE1TOW3A287TQB0AVWENT8O1" localSheetId="31" hidden="1">#REF!</definedName>
    <definedName name="BExQLE1TOW3A287TQB0AVWENT8O1" localSheetId="32" hidden="1">#REF!</definedName>
    <definedName name="BExQLE1TOW3A287TQB0AVWENT8O1" hidden="1">#REF!</definedName>
    <definedName name="BExRYOYB4A3E5F6MTROY69LR0PMG" localSheetId="30" hidden="1">#REF!</definedName>
    <definedName name="BExRYOYB4A3E5F6MTROY69LR0PMG" localSheetId="29" hidden="1">#REF!</definedName>
    <definedName name="BExRYOYB4A3E5F6MTROY69LR0PMG" localSheetId="33" hidden="1">#REF!</definedName>
    <definedName name="BExRYOYB4A3E5F6MTROY69LR0PMG" localSheetId="31" hidden="1">#REF!</definedName>
    <definedName name="BExRYOYB4A3E5F6MTROY69LR0PMG" localSheetId="32" hidden="1">#REF!</definedName>
    <definedName name="BExRYOYB4A3E5F6MTROY69LR0PMG" hidden="1">#REF!</definedName>
    <definedName name="BExRYZLA9EW71H4SXQR525S72LLP" localSheetId="30" hidden="1">#REF!</definedName>
    <definedName name="BExRYZLA9EW71H4SXQR525S72LLP" localSheetId="29" hidden="1">#REF!</definedName>
    <definedName name="BExRYZLA9EW71H4SXQR525S72LLP" localSheetId="33" hidden="1">#REF!</definedName>
    <definedName name="BExRYZLA9EW71H4SXQR525S72LLP" localSheetId="31" hidden="1">#REF!</definedName>
    <definedName name="BExRYZLA9EW71H4SXQR525S72LLP" localSheetId="32" hidden="1">#REF!</definedName>
    <definedName name="BExRYZLA9EW71H4SXQR525S72LLP" hidden="1">#REF!</definedName>
    <definedName name="BExRZ66M8G9FQ0VFP077QSZBSOA5" localSheetId="30" hidden="1">#REF!</definedName>
    <definedName name="BExRZ66M8G9FQ0VFP077QSZBSOA5" localSheetId="29" hidden="1">#REF!</definedName>
    <definedName name="BExRZ66M8G9FQ0VFP077QSZBSOA5" localSheetId="33" hidden="1">#REF!</definedName>
    <definedName name="BExRZ66M8G9FQ0VFP077QSZBSOA5" localSheetId="31" hidden="1">#REF!</definedName>
    <definedName name="BExRZ66M8G9FQ0VFP077QSZBSOA5" localSheetId="32" hidden="1">#REF!</definedName>
    <definedName name="BExRZ66M8G9FQ0VFP077QSZBSOA5" hidden="1">#REF!</definedName>
    <definedName name="BExRZ8FMQQL46I8AQWU17LRNZD5T" localSheetId="30" hidden="1">#REF!</definedName>
    <definedName name="BExRZ8FMQQL46I8AQWU17LRNZD5T" localSheetId="29" hidden="1">#REF!</definedName>
    <definedName name="BExRZ8FMQQL46I8AQWU17LRNZD5T" localSheetId="33" hidden="1">#REF!</definedName>
    <definedName name="BExRZ8FMQQL46I8AQWU17LRNZD5T" localSheetId="31" hidden="1">#REF!</definedName>
    <definedName name="BExRZ8FMQQL46I8AQWU17LRNZD5T" localSheetId="32" hidden="1">#REF!</definedName>
    <definedName name="BExRZ8FMQQL46I8AQWU17LRNZD5T" hidden="1">#REF!</definedName>
    <definedName name="BExRZIRRIXRUMZ5GOO95S7460BMP" localSheetId="30" hidden="1">#REF!</definedName>
    <definedName name="BExRZIRRIXRUMZ5GOO95S7460BMP" localSheetId="29" hidden="1">#REF!</definedName>
    <definedName name="BExRZIRRIXRUMZ5GOO95S7460BMP" localSheetId="33" hidden="1">#REF!</definedName>
    <definedName name="BExRZIRRIXRUMZ5GOO95S7460BMP" localSheetId="31" hidden="1">#REF!</definedName>
    <definedName name="BExRZIRRIXRUMZ5GOO95S7460BMP" localSheetId="32" hidden="1">#REF!</definedName>
    <definedName name="BExRZIRRIXRUMZ5GOO95S7460BMP" hidden="1">#REF!</definedName>
    <definedName name="BExRZK9RAHMM0ZLTNSK7A4LDC42D" localSheetId="30" hidden="1">#REF!</definedName>
    <definedName name="BExRZK9RAHMM0ZLTNSK7A4LDC42D" localSheetId="29" hidden="1">#REF!</definedName>
    <definedName name="BExRZK9RAHMM0ZLTNSK7A4LDC42D" localSheetId="33" hidden="1">#REF!</definedName>
    <definedName name="BExRZK9RAHMM0ZLTNSK7A4LDC42D" localSheetId="31" hidden="1">#REF!</definedName>
    <definedName name="BExRZK9RAHMM0ZLTNSK7A4LDC42D" localSheetId="32" hidden="1">#REF!</definedName>
    <definedName name="BExRZK9RAHMM0ZLTNSK7A4LDC42D" hidden="1">#REF!</definedName>
    <definedName name="BExRZOGSR69INI6GAEPHDWSNK5Q4" localSheetId="30" hidden="1">#REF!</definedName>
    <definedName name="BExRZOGSR69INI6GAEPHDWSNK5Q4" localSheetId="29" hidden="1">#REF!</definedName>
    <definedName name="BExRZOGSR69INI6GAEPHDWSNK5Q4" localSheetId="33" hidden="1">#REF!</definedName>
    <definedName name="BExRZOGSR69INI6GAEPHDWSNK5Q4" localSheetId="31" hidden="1">#REF!</definedName>
    <definedName name="BExRZOGSR69INI6GAEPHDWSNK5Q4" localSheetId="32" hidden="1">#REF!</definedName>
    <definedName name="BExRZOGSR69INI6GAEPHDWSNK5Q4" hidden="1">#REF!</definedName>
    <definedName name="BExRZR5WZUCLMUGYW9940SFXW5E8" localSheetId="30" hidden="1">#REF!</definedName>
    <definedName name="BExRZR5WZUCLMUGYW9940SFXW5E8" localSheetId="29" hidden="1">#REF!</definedName>
    <definedName name="BExRZR5WZUCLMUGYW9940SFXW5E8" localSheetId="33" hidden="1">#REF!</definedName>
    <definedName name="BExRZR5WZUCLMUGYW9940SFXW5E8" localSheetId="31" hidden="1">#REF!</definedName>
    <definedName name="BExRZR5WZUCLMUGYW9940SFXW5E8" localSheetId="32" hidden="1">#REF!</definedName>
    <definedName name="BExRZR5WZUCLMUGYW9940SFXW5E8" hidden="1">#REF!</definedName>
    <definedName name="BExS0ASQBKRTPDWFK0KUDFOS9LE5" localSheetId="30" hidden="1">#REF!</definedName>
    <definedName name="BExS0ASQBKRTPDWFK0KUDFOS9LE5" localSheetId="29" hidden="1">#REF!</definedName>
    <definedName name="BExS0ASQBKRTPDWFK0KUDFOS9LE5" localSheetId="33" hidden="1">#REF!</definedName>
    <definedName name="BExS0ASQBKRTPDWFK0KUDFOS9LE5" localSheetId="31" hidden="1">#REF!</definedName>
    <definedName name="BExS0ASQBKRTPDWFK0KUDFOS9LE5" localSheetId="32" hidden="1">#REF!</definedName>
    <definedName name="BExS0ASQBKRTPDWFK0KUDFOS9LE5" hidden="1">#REF!</definedName>
    <definedName name="BExS0GHQUF6YT0RU3TKDEO8CSJYB" localSheetId="30" hidden="1">#REF!</definedName>
    <definedName name="BExS0GHQUF6YT0RU3TKDEO8CSJYB" localSheetId="29" hidden="1">#REF!</definedName>
    <definedName name="BExS0GHQUF6YT0RU3TKDEO8CSJYB" localSheetId="33" hidden="1">#REF!</definedName>
    <definedName name="BExS0GHQUF6YT0RU3TKDEO8CSJYB" localSheetId="31" hidden="1">#REF!</definedName>
    <definedName name="BExS0GHQUF6YT0RU3TKDEO8CSJYB" localSheetId="32" hidden="1">#REF!</definedName>
    <definedName name="BExS0GHQUF6YT0RU3TKDEO8CSJYB" hidden="1">#REF!</definedName>
    <definedName name="BExS0K8IHC45I78DMZBOJ1P13KQA" localSheetId="30" hidden="1">#REF!</definedName>
    <definedName name="BExS0K8IHC45I78DMZBOJ1P13KQA" localSheetId="29" hidden="1">#REF!</definedName>
    <definedName name="BExS0K8IHC45I78DMZBOJ1P13KQA" localSheetId="33" hidden="1">#REF!</definedName>
    <definedName name="BExS0K8IHC45I78DMZBOJ1P13KQA" localSheetId="31" hidden="1">#REF!</definedName>
    <definedName name="BExS0K8IHC45I78DMZBOJ1P13KQA" localSheetId="32" hidden="1">#REF!</definedName>
    <definedName name="BExS0K8IHC45I78DMZBOJ1P13KQA" hidden="1">#REF!</definedName>
    <definedName name="BExS152B2LFCRAUHSLI5T6QRNII0" localSheetId="30" hidden="1">#REF!</definedName>
    <definedName name="BExS152B2LFCRAUHSLI5T6QRNII0" localSheetId="29" hidden="1">#REF!</definedName>
    <definedName name="BExS152B2LFCRAUHSLI5T6QRNII0" localSheetId="33" hidden="1">#REF!</definedName>
    <definedName name="BExS152B2LFCRAUHSLI5T6QRNII0" localSheetId="31" hidden="1">#REF!</definedName>
    <definedName name="BExS152B2LFCRAUHSLI5T6QRNII0" localSheetId="32" hidden="1">#REF!</definedName>
    <definedName name="BExS152B2LFCRAUHSLI5T6QRNII0" hidden="1">#REF!</definedName>
    <definedName name="BExS15IJV0WW662NXQUVT3FGP4ST" localSheetId="30" hidden="1">#REF!</definedName>
    <definedName name="BExS15IJV0WW662NXQUVT3FGP4ST" localSheetId="29" hidden="1">#REF!</definedName>
    <definedName name="BExS15IJV0WW662NXQUVT3FGP4ST" localSheetId="33" hidden="1">#REF!</definedName>
    <definedName name="BExS15IJV0WW662NXQUVT3FGP4ST" localSheetId="31" hidden="1">#REF!</definedName>
    <definedName name="BExS15IJV0WW662NXQUVT3FGP4ST" localSheetId="32" hidden="1">#REF!</definedName>
    <definedName name="BExS15IJV0WW662NXQUVT3FGP4ST" hidden="1">#REF!</definedName>
    <definedName name="BExS194110MR25BYJI3CJ2EGZ8XT" localSheetId="30" hidden="1">#REF!</definedName>
    <definedName name="BExS194110MR25BYJI3CJ2EGZ8XT" localSheetId="29" hidden="1">#REF!</definedName>
    <definedName name="BExS194110MR25BYJI3CJ2EGZ8XT" localSheetId="33" hidden="1">#REF!</definedName>
    <definedName name="BExS194110MR25BYJI3CJ2EGZ8XT" localSheetId="31" hidden="1">#REF!</definedName>
    <definedName name="BExS194110MR25BYJI3CJ2EGZ8XT" localSheetId="32" hidden="1">#REF!</definedName>
    <definedName name="BExS194110MR25BYJI3CJ2EGZ8XT" hidden="1">#REF!</definedName>
    <definedName name="BExS1BNVGNSGD4EP90QL8WXYWZ66" localSheetId="30" hidden="1">#REF!</definedName>
    <definedName name="BExS1BNVGNSGD4EP90QL8WXYWZ66" localSheetId="29" hidden="1">#REF!</definedName>
    <definedName name="BExS1BNVGNSGD4EP90QL8WXYWZ66" localSheetId="33" hidden="1">#REF!</definedName>
    <definedName name="BExS1BNVGNSGD4EP90QL8WXYWZ66" localSheetId="31" hidden="1">#REF!</definedName>
    <definedName name="BExS1BNVGNSGD4EP90QL8WXYWZ66" localSheetId="32" hidden="1">#REF!</definedName>
    <definedName name="BExS1BNVGNSGD4EP90QL8WXYWZ66" hidden="1">#REF!</definedName>
    <definedName name="BExS1C3Y8H82GSR9WA30OGFWBM1H" localSheetId="30" hidden="1">#REF!</definedName>
    <definedName name="BExS1C3Y8H82GSR9WA30OGFWBM1H" localSheetId="29" hidden="1">#REF!</definedName>
    <definedName name="BExS1C3Y8H82GSR9WA30OGFWBM1H" localSheetId="33" hidden="1">#REF!</definedName>
    <definedName name="BExS1C3Y8H82GSR9WA30OGFWBM1H" localSheetId="31" hidden="1">#REF!</definedName>
    <definedName name="BExS1C3Y8H82GSR9WA30OGFWBM1H" localSheetId="32" hidden="1">#REF!</definedName>
    <definedName name="BExS1C3Y8H82GSR9WA30OGFWBM1H" hidden="1">#REF!</definedName>
    <definedName name="BExS1UE39N6NCND7MAARSBWXS6HU" localSheetId="30" hidden="1">#REF!</definedName>
    <definedName name="BExS1UE39N6NCND7MAARSBWXS6HU" localSheetId="29" hidden="1">#REF!</definedName>
    <definedName name="BExS1UE39N6NCND7MAARSBWXS6HU" localSheetId="33" hidden="1">#REF!</definedName>
    <definedName name="BExS1UE39N6NCND7MAARSBWXS6HU" localSheetId="31" hidden="1">#REF!</definedName>
    <definedName name="BExS1UE39N6NCND7MAARSBWXS6HU" localSheetId="32" hidden="1">#REF!</definedName>
    <definedName name="BExS1UE39N6NCND7MAARSBWXS6HU" hidden="1">#REF!</definedName>
    <definedName name="BExS226HTWL5WVC76MP5A1IBI8WD" localSheetId="30" hidden="1">#REF!</definedName>
    <definedName name="BExS226HTWL5WVC76MP5A1IBI8WD" localSheetId="29" hidden="1">#REF!</definedName>
    <definedName name="BExS226HTWL5WVC76MP5A1IBI8WD" localSheetId="33" hidden="1">#REF!</definedName>
    <definedName name="BExS226HTWL5WVC76MP5A1IBI8WD" localSheetId="31" hidden="1">#REF!</definedName>
    <definedName name="BExS226HTWL5WVC76MP5A1IBI8WD" localSheetId="32" hidden="1">#REF!</definedName>
    <definedName name="BExS226HTWL5WVC76MP5A1IBI8WD" hidden="1">#REF!</definedName>
    <definedName name="BExS26OI2QNNAH2WMDD95Z400048" localSheetId="30" hidden="1">#REF!</definedName>
    <definedName name="BExS26OI2QNNAH2WMDD95Z400048" localSheetId="29" hidden="1">#REF!</definedName>
    <definedName name="BExS26OI2QNNAH2WMDD95Z400048" localSheetId="33" hidden="1">#REF!</definedName>
    <definedName name="BExS26OI2QNNAH2WMDD95Z400048" localSheetId="31" hidden="1">#REF!</definedName>
    <definedName name="BExS26OI2QNNAH2WMDD95Z400048" localSheetId="32" hidden="1">#REF!</definedName>
    <definedName name="BExS26OI2QNNAH2WMDD95Z400048" hidden="1">#REF!</definedName>
    <definedName name="BExS2DF6B4ZUF3VZLI4G6LJ3BF38" localSheetId="30" hidden="1">#REF!</definedName>
    <definedName name="BExS2DF6B4ZUF3VZLI4G6LJ3BF38" localSheetId="29" hidden="1">#REF!</definedName>
    <definedName name="BExS2DF6B4ZUF3VZLI4G6LJ3BF38" localSheetId="33" hidden="1">#REF!</definedName>
    <definedName name="BExS2DF6B4ZUF3VZLI4G6LJ3BF38" localSheetId="31" hidden="1">#REF!</definedName>
    <definedName name="BExS2DF6B4ZUF3VZLI4G6LJ3BF38" localSheetId="32" hidden="1">#REF!</definedName>
    <definedName name="BExS2DF6B4ZUF3VZLI4G6LJ3BF38" hidden="1">#REF!</definedName>
    <definedName name="BExS2M9EEBB317JCCF5HMQGXRX11" localSheetId="30" hidden="1">#REF!</definedName>
    <definedName name="BExS2M9EEBB317JCCF5HMQGXRX11" localSheetId="29" hidden="1">#REF!</definedName>
    <definedName name="BExS2M9EEBB317JCCF5HMQGXRX11" localSheetId="33" hidden="1">#REF!</definedName>
    <definedName name="BExS2M9EEBB317JCCF5HMQGXRX11" localSheetId="31" hidden="1">#REF!</definedName>
    <definedName name="BExS2M9EEBB317JCCF5HMQGXRX11" localSheetId="32" hidden="1">#REF!</definedName>
    <definedName name="BExS2M9EEBB317JCCF5HMQGXRX11" hidden="1">#REF!</definedName>
    <definedName name="BExS2QB5FS5LYTFYO4BROTWG3OV5" localSheetId="30" hidden="1">#REF!</definedName>
    <definedName name="BExS2QB5FS5LYTFYO4BROTWG3OV5" localSheetId="29" hidden="1">#REF!</definedName>
    <definedName name="BExS2QB5FS5LYTFYO4BROTWG3OV5" localSheetId="33" hidden="1">#REF!</definedName>
    <definedName name="BExS2QB5FS5LYTFYO4BROTWG3OV5" localSheetId="31" hidden="1">#REF!</definedName>
    <definedName name="BExS2QB5FS5LYTFYO4BROTWG3OV5" localSheetId="32" hidden="1">#REF!</definedName>
    <definedName name="BExS2QB5FS5LYTFYO4BROTWG3OV5" hidden="1">#REF!</definedName>
    <definedName name="BExS2TLU1HONYV6S3ZD9T12D7CIG" localSheetId="30" hidden="1">#REF!</definedName>
    <definedName name="BExS2TLU1HONYV6S3ZD9T12D7CIG" localSheetId="29" hidden="1">#REF!</definedName>
    <definedName name="BExS2TLU1HONYV6S3ZD9T12D7CIG" localSheetId="33" hidden="1">#REF!</definedName>
    <definedName name="BExS2TLU1HONYV6S3ZD9T12D7CIG" localSheetId="31" hidden="1">#REF!</definedName>
    <definedName name="BExS2TLU1HONYV6S3ZD9T12D7CIG" localSheetId="32" hidden="1">#REF!</definedName>
    <definedName name="BExS2TLU1HONYV6S3ZD9T12D7CIG" hidden="1">#REF!</definedName>
    <definedName name="BExS318UV9I2FXPQQWUKKX00QLPJ" localSheetId="30" hidden="1">#REF!</definedName>
    <definedName name="BExS318UV9I2FXPQQWUKKX00QLPJ" localSheetId="29" hidden="1">#REF!</definedName>
    <definedName name="BExS318UV9I2FXPQQWUKKX00QLPJ" localSheetId="33" hidden="1">#REF!</definedName>
    <definedName name="BExS318UV9I2FXPQQWUKKX00QLPJ" localSheetId="31" hidden="1">#REF!</definedName>
    <definedName name="BExS318UV9I2FXPQQWUKKX00QLPJ" localSheetId="32" hidden="1">#REF!</definedName>
    <definedName name="BExS318UV9I2FXPQQWUKKX00QLPJ" hidden="1">#REF!</definedName>
    <definedName name="BExS3LBS0SMTHALVM4NRI1BAV1NP" localSheetId="30" hidden="1">#REF!</definedName>
    <definedName name="BExS3LBS0SMTHALVM4NRI1BAV1NP" localSheetId="29" hidden="1">#REF!</definedName>
    <definedName name="BExS3LBS0SMTHALVM4NRI1BAV1NP" localSheetId="33" hidden="1">#REF!</definedName>
    <definedName name="BExS3LBS0SMTHALVM4NRI1BAV1NP" localSheetId="31" hidden="1">#REF!</definedName>
    <definedName name="BExS3LBS0SMTHALVM4NRI1BAV1NP" localSheetId="32" hidden="1">#REF!</definedName>
    <definedName name="BExS3LBS0SMTHALVM4NRI1BAV1NP" hidden="1">#REF!</definedName>
    <definedName name="BExS3MTQ75VBXDGEBURP6YT8RROE" localSheetId="30" hidden="1">#REF!</definedName>
    <definedName name="BExS3MTQ75VBXDGEBURP6YT8RROE" localSheetId="29" hidden="1">#REF!</definedName>
    <definedName name="BExS3MTQ75VBXDGEBURP6YT8RROE" localSheetId="33" hidden="1">#REF!</definedName>
    <definedName name="BExS3MTQ75VBXDGEBURP6YT8RROE" localSheetId="31" hidden="1">#REF!</definedName>
    <definedName name="BExS3MTQ75VBXDGEBURP6YT8RROE" localSheetId="32" hidden="1">#REF!</definedName>
    <definedName name="BExS3MTQ75VBXDGEBURP6YT8RROE" hidden="1">#REF!</definedName>
    <definedName name="BExS3OMGYO0DFN5186UFKEXZ2RX3" localSheetId="30" hidden="1">#REF!</definedName>
    <definedName name="BExS3OMGYO0DFN5186UFKEXZ2RX3" localSheetId="29" hidden="1">#REF!</definedName>
    <definedName name="BExS3OMGYO0DFN5186UFKEXZ2RX3" localSheetId="33" hidden="1">#REF!</definedName>
    <definedName name="BExS3OMGYO0DFN5186UFKEXZ2RX3" localSheetId="31" hidden="1">#REF!</definedName>
    <definedName name="BExS3OMGYO0DFN5186UFKEXZ2RX3" localSheetId="32" hidden="1">#REF!</definedName>
    <definedName name="BExS3OMGYO0DFN5186UFKEXZ2RX3" hidden="1">#REF!</definedName>
    <definedName name="BExS3SDERJ27OER67TIGOVZU13A2" localSheetId="30" hidden="1">#REF!</definedName>
    <definedName name="BExS3SDERJ27OER67TIGOVZU13A2" localSheetId="29" hidden="1">#REF!</definedName>
    <definedName name="BExS3SDERJ27OER67TIGOVZU13A2" localSheetId="33" hidden="1">#REF!</definedName>
    <definedName name="BExS3SDERJ27OER67TIGOVZU13A2" localSheetId="31" hidden="1">#REF!</definedName>
    <definedName name="BExS3SDERJ27OER67TIGOVZU13A2" localSheetId="32" hidden="1">#REF!</definedName>
    <definedName name="BExS3SDERJ27OER67TIGOVZU13A2" hidden="1">#REF!</definedName>
    <definedName name="BExS3SO72MX0MIJWTUHQ67F0AGYF" localSheetId="30" hidden="1">#REF!</definedName>
    <definedName name="BExS3SO72MX0MIJWTUHQ67F0AGYF" localSheetId="29" hidden="1">#REF!</definedName>
    <definedName name="BExS3SO72MX0MIJWTUHQ67F0AGYF" localSheetId="33" hidden="1">#REF!</definedName>
    <definedName name="BExS3SO72MX0MIJWTUHQ67F0AGYF" localSheetId="31" hidden="1">#REF!</definedName>
    <definedName name="BExS3SO72MX0MIJWTUHQ67F0AGYF" localSheetId="32" hidden="1">#REF!</definedName>
    <definedName name="BExS3SO72MX0MIJWTUHQ67F0AGYF" hidden="1">#REF!</definedName>
    <definedName name="BExS46R5WDNU5KL04FKY5LHJUCB8" localSheetId="30" hidden="1">#REF!</definedName>
    <definedName name="BExS46R5WDNU5KL04FKY5LHJUCB8" localSheetId="29" hidden="1">#REF!</definedName>
    <definedName name="BExS46R5WDNU5KL04FKY5LHJUCB8" localSheetId="33" hidden="1">#REF!</definedName>
    <definedName name="BExS46R5WDNU5KL04FKY5LHJUCB8" localSheetId="31" hidden="1">#REF!</definedName>
    <definedName name="BExS46R5WDNU5KL04FKY5LHJUCB8" localSheetId="32" hidden="1">#REF!</definedName>
    <definedName name="BExS46R5WDNU5KL04FKY5LHJUCB8" hidden="1">#REF!</definedName>
    <definedName name="BExS4ASWKM93XA275AXHYP8AG6SU" localSheetId="30" hidden="1">#REF!</definedName>
    <definedName name="BExS4ASWKM93XA275AXHYP8AG6SU" localSheetId="29" hidden="1">#REF!</definedName>
    <definedName name="BExS4ASWKM93XA275AXHYP8AG6SU" localSheetId="33" hidden="1">#REF!</definedName>
    <definedName name="BExS4ASWKM93XA275AXHYP8AG6SU" localSheetId="31" hidden="1">#REF!</definedName>
    <definedName name="BExS4ASWKM93XA275AXHYP8AG6SU" localSheetId="32" hidden="1">#REF!</definedName>
    <definedName name="BExS4ASWKM93XA275AXHYP8AG6SU" hidden="1">#REF!</definedName>
    <definedName name="BExS4JN3Y6SVBKILQK0R9HS45Y52" localSheetId="30" hidden="1">#REF!</definedName>
    <definedName name="BExS4JN3Y6SVBKILQK0R9HS45Y52" localSheetId="29" hidden="1">#REF!</definedName>
    <definedName name="BExS4JN3Y6SVBKILQK0R9HS45Y52" localSheetId="33" hidden="1">#REF!</definedName>
    <definedName name="BExS4JN3Y6SVBKILQK0R9HS45Y52" localSheetId="31" hidden="1">#REF!</definedName>
    <definedName name="BExS4JN3Y6SVBKILQK0R9HS45Y52" localSheetId="32" hidden="1">#REF!</definedName>
    <definedName name="BExS4JN3Y6SVBKILQK0R9HS45Y52" hidden="1">#REF!</definedName>
    <definedName name="BExS4P6S41O6Z6BED77U3GD9PNH1" localSheetId="30" hidden="1">#REF!</definedName>
    <definedName name="BExS4P6S41O6Z6BED77U3GD9PNH1" localSheetId="29" hidden="1">#REF!</definedName>
    <definedName name="BExS4P6S41O6Z6BED77U3GD9PNH1" localSheetId="33" hidden="1">#REF!</definedName>
    <definedName name="BExS4P6S41O6Z6BED77U3GD9PNH1" localSheetId="31" hidden="1">#REF!</definedName>
    <definedName name="BExS4P6S41O6Z6BED77U3GD9PNH1" localSheetId="32" hidden="1">#REF!</definedName>
    <definedName name="BExS4P6S41O6Z6BED77U3GD9PNH1" hidden="1">#REF!</definedName>
    <definedName name="BExS51H0N51UT0FZOPZRCF1GU063" localSheetId="30" hidden="1">#REF!</definedName>
    <definedName name="BExS51H0N51UT0FZOPZRCF1GU063" localSheetId="29" hidden="1">#REF!</definedName>
    <definedName name="BExS51H0N51UT0FZOPZRCF1GU063" localSheetId="33" hidden="1">#REF!</definedName>
    <definedName name="BExS51H0N51UT0FZOPZRCF1GU063" localSheetId="31" hidden="1">#REF!</definedName>
    <definedName name="BExS51H0N51UT0FZOPZRCF1GU063" localSheetId="32" hidden="1">#REF!</definedName>
    <definedName name="BExS51H0N51UT0FZOPZRCF1GU063" hidden="1">#REF!</definedName>
    <definedName name="BExS54X72TJFC41FJK72MLRR2OO7" localSheetId="30" hidden="1">#REF!</definedName>
    <definedName name="BExS54X72TJFC41FJK72MLRR2OO7" localSheetId="29" hidden="1">#REF!</definedName>
    <definedName name="BExS54X72TJFC41FJK72MLRR2OO7" localSheetId="33" hidden="1">#REF!</definedName>
    <definedName name="BExS54X72TJFC41FJK72MLRR2OO7" localSheetId="31" hidden="1">#REF!</definedName>
    <definedName name="BExS54X72TJFC41FJK72MLRR2OO7" localSheetId="32" hidden="1">#REF!</definedName>
    <definedName name="BExS54X72TJFC41FJK72MLRR2OO7" hidden="1">#REF!</definedName>
    <definedName name="BExS59F0PA1V2ZC7S5TN6IT41SXP" localSheetId="30" hidden="1">#REF!</definedName>
    <definedName name="BExS59F0PA1V2ZC7S5TN6IT41SXP" localSheetId="29" hidden="1">#REF!</definedName>
    <definedName name="BExS59F0PA1V2ZC7S5TN6IT41SXP" localSheetId="33" hidden="1">#REF!</definedName>
    <definedName name="BExS59F0PA1V2ZC7S5TN6IT41SXP" localSheetId="31" hidden="1">#REF!</definedName>
    <definedName name="BExS59F0PA1V2ZC7S5TN6IT41SXP" localSheetId="32" hidden="1">#REF!</definedName>
    <definedName name="BExS59F0PA1V2ZC7S5TN6IT41SXP" hidden="1">#REF!</definedName>
    <definedName name="BExS5DRER9US6NXY9ATYT41KZII3" localSheetId="30" hidden="1">#REF!</definedName>
    <definedName name="BExS5DRER9US6NXY9ATYT41KZII3" localSheetId="29" hidden="1">#REF!</definedName>
    <definedName name="BExS5DRER9US6NXY9ATYT41KZII3" localSheetId="33" hidden="1">#REF!</definedName>
    <definedName name="BExS5DRER9US6NXY9ATYT41KZII3" localSheetId="31" hidden="1">#REF!</definedName>
    <definedName name="BExS5DRER9US6NXY9ATYT41KZII3" localSheetId="32" hidden="1">#REF!</definedName>
    <definedName name="BExS5DRER9US6NXY9ATYT41KZII3" hidden="1">#REF!</definedName>
    <definedName name="BExS5L3TGB8JVW9ROYWTKYTUPW27" localSheetId="30" hidden="1">#REF!</definedName>
    <definedName name="BExS5L3TGB8JVW9ROYWTKYTUPW27" localSheetId="29" hidden="1">#REF!</definedName>
    <definedName name="BExS5L3TGB8JVW9ROYWTKYTUPW27" localSheetId="33" hidden="1">#REF!</definedName>
    <definedName name="BExS5L3TGB8JVW9ROYWTKYTUPW27" localSheetId="31" hidden="1">#REF!</definedName>
    <definedName name="BExS5L3TGB8JVW9ROYWTKYTUPW27" localSheetId="32" hidden="1">#REF!</definedName>
    <definedName name="BExS5L3TGB8JVW9ROYWTKYTUPW27" hidden="1">#REF!</definedName>
    <definedName name="BExS6GKQ96EHVLYWNJDWXZXUZW90" localSheetId="30" hidden="1">#REF!</definedName>
    <definedName name="BExS6GKQ96EHVLYWNJDWXZXUZW90" localSheetId="29" hidden="1">#REF!</definedName>
    <definedName name="BExS6GKQ96EHVLYWNJDWXZXUZW90" localSheetId="33" hidden="1">#REF!</definedName>
    <definedName name="BExS6GKQ96EHVLYWNJDWXZXUZW90" localSheetId="31" hidden="1">#REF!</definedName>
    <definedName name="BExS6GKQ96EHVLYWNJDWXZXUZW90" localSheetId="32" hidden="1">#REF!</definedName>
    <definedName name="BExS6GKQ96EHVLYWNJDWXZXUZW90" hidden="1">#REF!</definedName>
    <definedName name="BExS6ITKSZFRR01YD5B0F676SYN7" localSheetId="30" hidden="1">#REF!</definedName>
    <definedName name="BExS6ITKSZFRR01YD5B0F676SYN7" localSheetId="29" hidden="1">#REF!</definedName>
    <definedName name="BExS6ITKSZFRR01YD5B0F676SYN7" localSheetId="33" hidden="1">#REF!</definedName>
    <definedName name="BExS6ITKSZFRR01YD5B0F676SYN7" localSheetId="31" hidden="1">#REF!</definedName>
    <definedName name="BExS6ITKSZFRR01YD5B0F676SYN7" localSheetId="32" hidden="1">#REF!</definedName>
    <definedName name="BExS6ITKSZFRR01YD5B0F676SYN7" hidden="1">#REF!</definedName>
    <definedName name="BExS6N0LI574IAC89EFW6CLTCQ33" localSheetId="30" hidden="1">#REF!</definedName>
    <definedName name="BExS6N0LI574IAC89EFW6CLTCQ33" localSheetId="29" hidden="1">#REF!</definedName>
    <definedName name="BExS6N0LI574IAC89EFW6CLTCQ33" localSheetId="33" hidden="1">#REF!</definedName>
    <definedName name="BExS6N0LI574IAC89EFW6CLTCQ33" localSheetId="31" hidden="1">#REF!</definedName>
    <definedName name="BExS6N0LI574IAC89EFW6CLTCQ33" localSheetId="32" hidden="1">#REF!</definedName>
    <definedName name="BExS6N0LI574IAC89EFW6CLTCQ33" hidden="1">#REF!</definedName>
    <definedName name="BExS6WRDBF3ST86ZOBBUL3GTCR11" localSheetId="30" hidden="1">#REF!</definedName>
    <definedName name="BExS6WRDBF3ST86ZOBBUL3GTCR11" localSheetId="29" hidden="1">#REF!</definedName>
    <definedName name="BExS6WRDBF3ST86ZOBBUL3GTCR11" localSheetId="33" hidden="1">#REF!</definedName>
    <definedName name="BExS6WRDBF3ST86ZOBBUL3GTCR11" localSheetId="31" hidden="1">#REF!</definedName>
    <definedName name="BExS6WRDBF3ST86ZOBBUL3GTCR11" localSheetId="32" hidden="1">#REF!</definedName>
    <definedName name="BExS6WRDBF3ST86ZOBBUL3GTCR11" hidden="1">#REF!</definedName>
    <definedName name="BExS6XNRKR0C3MTA0LV5B60UB908" localSheetId="30" hidden="1">#REF!</definedName>
    <definedName name="BExS6XNRKR0C3MTA0LV5B60UB908" localSheetId="29" hidden="1">#REF!</definedName>
    <definedName name="BExS6XNRKR0C3MTA0LV5B60UB908" localSheetId="33" hidden="1">#REF!</definedName>
    <definedName name="BExS6XNRKR0C3MTA0LV5B60UB908" localSheetId="31" hidden="1">#REF!</definedName>
    <definedName name="BExS6XNRKR0C3MTA0LV5B60UB908" localSheetId="32" hidden="1">#REF!</definedName>
    <definedName name="BExS6XNRKR0C3MTA0LV5B60UB908" hidden="1">#REF!</definedName>
    <definedName name="BExS7TKQYLRZGM93UY3ZJZJBQNFJ" localSheetId="30" hidden="1">#REF!</definedName>
    <definedName name="BExS7TKQYLRZGM93UY3ZJZJBQNFJ" localSheetId="29" hidden="1">#REF!</definedName>
    <definedName name="BExS7TKQYLRZGM93UY3ZJZJBQNFJ" localSheetId="33" hidden="1">#REF!</definedName>
    <definedName name="BExS7TKQYLRZGM93UY3ZJZJBQNFJ" localSheetId="31" hidden="1">#REF!</definedName>
    <definedName name="BExS7TKQYLRZGM93UY3ZJZJBQNFJ" localSheetId="32" hidden="1">#REF!</definedName>
    <definedName name="BExS7TKQYLRZGM93UY3ZJZJBQNFJ" hidden="1">#REF!</definedName>
    <definedName name="BExS7Y2LNGVHSIBKC7C3R6X4LDR6" localSheetId="30" hidden="1">#REF!</definedName>
    <definedName name="BExS7Y2LNGVHSIBKC7C3R6X4LDR6" localSheetId="29" hidden="1">#REF!</definedName>
    <definedName name="BExS7Y2LNGVHSIBKC7C3R6X4LDR6" localSheetId="33" hidden="1">#REF!</definedName>
    <definedName name="BExS7Y2LNGVHSIBKC7C3R6X4LDR6" localSheetId="31" hidden="1">#REF!</definedName>
    <definedName name="BExS7Y2LNGVHSIBKC7C3R6X4LDR6" localSheetId="32" hidden="1">#REF!</definedName>
    <definedName name="BExS7Y2LNGVHSIBKC7C3R6X4LDR6" hidden="1">#REF!</definedName>
    <definedName name="BExS81TE0EY44Y3W2M4Z4MGNP5OM" localSheetId="30" hidden="1">#REF!</definedName>
    <definedName name="BExS81TE0EY44Y3W2M4Z4MGNP5OM" localSheetId="29" hidden="1">#REF!</definedName>
    <definedName name="BExS81TE0EY44Y3W2M4Z4MGNP5OM" localSheetId="33" hidden="1">#REF!</definedName>
    <definedName name="BExS81TE0EY44Y3W2M4Z4MGNP5OM" localSheetId="31" hidden="1">#REF!</definedName>
    <definedName name="BExS81TE0EY44Y3W2M4Z4MGNP5OM" localSheetId="32" hidden="1">#REF!</definedName>
    <definedName name="BExS81TE0EY44Y3W2M4Z4MGNP5OM" hidden="1">#REF!</definedName>
    <definedName name="BExS81YPDZDVJJVS15HV2HDXAC3Y" localSheetId="30" hidden="1">#REF!</definedName>
    <definedName name="BExS81YPDZDVJJVS15HV2HDXAC3Y" localSheetId="29" hidden="1">#REF!</definedName>
    <definedName name="BExS81YPDZDVJJVS15HV2HDXAC3Y" localSheetId="33" hidden="1">#REF!</definedName>
    <definedName name="BExS81YPDZDVJJVS15HV2HDXAC3Y" localSheetId="31" hidden="1">#REF!</definedName>
    <definedName name="BExS81YPDZDVJJVS15HV2HDXAC3Y" localSheetId="32" hidden="1">#REF!</definedName>
    <definedName name="BExS81YPDZDVJJVS15HV2HDXAC3Y" hidden="1">#REF!</definedName>
    <definedName name="BExS82PRVNUTEKQZS56YT2DVF6C2" localSheetId="30" hidden="1">#REF!</definedName>
    <definedName name="BExS82PRVNUTEKQZS56YT2DVF6C2" localSheetId="29" hidden="1">#REF!</definedName>
    <definedName name="BExS82PRVNUTEKQZS56YT2DVF6C2" localSheetId="33" hidden="1">#REF!</definedName>
    <definedName name="BExS82PRVNUTEKQZS56YT2DVF6C2" localSheetId="31" hidden="1">#REF!</definedName>
    <definedName name="BExS82PRVNUTEKQZS56YT2DVF6C2" localSheetId="32" hidden="1">#REF!</definedName>
    <definedName name="BExS82PRVNUTEKQZS56YT2DVF6C2" hidden="1">#REF!</definedName>
    <definedName name="BExS83BCZ5SC4AH5U8UY07OA9OZH" localSheetId="30" hidden="1">#REF!</definedName>
    <definedName name="BExS83BCZ5SC4AH5U8UY07OA9OZH" localSheetId="29" hidden="1">#REF!</definedName>
    <definedName name="BExS83BCZ5SC4AH5U8UY07OA9OZH" localSheetId="33" hidden="1">#REF!</definedName>
    <definedName name="BExS83BCZ5SC4AH5U8UY07OA9OZH" localSheetId="31" hidden="1">#REF!</definedName>
    <definedName name="BExS83BCZ5SC4AH5U8UY07OA9OZH" localSheetId="32" hidden="1">#REF!</definedName>
    <definedName name="BExS83BCZ5SC4AH5U8UY07OA9OZH" hidden="1">#REF!</definedName>
    <definedName name="BExS8BPG5A0GR5AO1U951NDGGR0L" localSheetId="30" hidden="1">#REF!</definedName>
    <definedName name="BExS8BPG5A0GR5AO1U951NDGGR0L" localSheetId="29" hidden="1">#REF!</definedName>
    <definedName name="BExS8BPG5A0GR5AO1U951NDGGR0L" localSheetId="33" hidden="1">#REF!</definedName>
    <definedName name="BExS8BPG5A0GR5AO1U951NDGGR0L" localSheetId="31" hidden="1">#REF!</definedName>
    <definedName name="BExS8BPG5A0GR5AO1U951NDGGR0L" localSheetId="32" hidden="1">#REF!</definedName>
    <definedName name="BExS8BPG5A0GR5AO1U951NDGGR0L" hidden="1">#REF!</definedName>
    <definedName name="BExS8GSUS17UY50TEM2AWF36BR9Z" localSheetId="30" hidden="1">#REF!</definedName>
    <definedName name="BExS8GSUS17UY50TEM2AWF36BR9Z" localSheetId="29" hidden="1">#REF!</definedName>
    <definedName name="BExS8GSUS17UY50TEM2AWF36BR9Z" localSheetId="33" hidden="1">#REF!</definedName>
    <definedName name="BExS8GSUS17UY50TEM2AWF36BR9Z" localSheetId="31" hidden="1">#REF!</definedName>
    <definedName name="BExS8GSUS17UY50TEM2AWF36BR9Z" localSheetId="32" hidden="1">#REF!</definedName>
    <definedName name="BExS8GSUS17UY50TEM2AWF36BR9Z" hidden="1">#REF!</definedName>
    <definedName name="BExS8HJRBVG0XI6PWA9KTMJZMQXK" localSheetId="30" hidden="1">#REF!</definedName>
    <definedName name="BExS8HJRBVG0XI6PWA9KTMJZMQXK" localSheetId="29" hidden="1">#REF!</definedName>
    <definedName name="BExS8HJRBVG0XI6PWA9KTMJZMQXK" localSheetId="33" hidden="1">#REF!</definedName>
    <definedName name="BExS8HJRBVG0XI6PWA9KTMJZMQXK" localSheetId="31" hidden="1">#REF!</definedName>
    <definedName name="BExS8HJRBVG0XI6PWA9KTMJZMQXK" localSheetId="32" hidden="1">#REF!</definedName>
    <definedName name="BExS8HJRBVG0XI6PWA9KTMJZMQXK" hidden="1">#REF!</definedName>
    <definedName name="BExS8M1LZ8SY0YQR8RS979PZNEK7" localSheetId="30" hidden="1">#REF!</definedName>
    <definedName name="BExS8M1LZ8SY0YQR8RS979PZNEK7" localSheetId="29" hidden="1">#REF!</definedName>
    <definedName name="BExS8M1LZ8SY0YQR8RS979PZNEK7" localSheetId="33" hidden="1">#REF!</definedName>
    <definedName name="BExS8M1LZ8SY0YQR8RS979PZNEK7" localSheetId="31" hidden="1">#REF!</definedName>
    <definedName name="BExS8M1LZ8SY0YQR8RS979PZNEK7" localSheetId="32" hidden="1">#REF!</definedName>
    <definedName name="BExS8M1LZ8SY0YQR8RS979PZNEK7" hidden="1">#REF!</definedName>
    <definedName name="BExS8R51C8RM2FS6V6IRTYO9GA4A" localSheetId="30" hidden="1">#REF!</definedName>
    <definedName name="BExS8R51C8RM2FS6V6IRTYO9GA4A" localSheetId="29" hidden="1">#REF!</definedName>
    <definedName name="BExS8R51C8RM2FS6V6IRTYO9GA4A" localSheetId="33" hidden="1">#REF!</definedName>
    <definedName name="BExS8R51C8RM2FS6V6IRTYO9GA4A" localSheetId="31" hidden="1">#REF!</definedName>
    <definedName name="BExS8R51C8RM2FS6V6IRTYO9GA4A" localSheetId="32" hidden="1">#REF!</definedName>
    <definedName name="BExS8R51C8RM2FS6V6IRTYO9GA4A" hidden="1">#REF!</definedName>
    <definedName name="BExS8WDX408F60MH1X9B9UZ2H4R7" localSheetId="30" hidden="1">#REF!</definedName>
    <definedName name="BExS8WDX408F60MH1X9B9UZ2H4R7" localSheetId="29" hidden="1">#REF!</definedName>
    <definedName name="BExS8WDX408F60MH1X9B9UZ2H4R7" localSheetId="33" hidden="1">#REF!</definedName>
    <definedName name="BExS8WDX408F60MH1X9B9UZ2H4R7" localSheetId="31" hidden="1">#REF!</definedName>
    <definedName name="BExS8WDX408F60MH1X9B9UZ2H4R7" localSheetId="32" hidden="1">#REF!</definedName>
    <definedName name="BExS8WDX408F60MH1X9B9UZ2H4R7" hidden="1">#REF!</definedName>
    <definedName name="BExS8Z2W2QEC3MH0BZIYLDFQNUIP" localSheetId="30" hidden="1">#REF!</definedName>
    <definedName name="BExS8Z2W2QEC3MH0BZIYLDFQNUIP" localSheetId="29" hidden="1">#REF!</definedName>
    <definedName name="BExS8Z2W2QEC3MH0BZIYLDFQNUIP" localSheetId="33" hidden="1">#REF!</definedName>
    <definedName name="BExS8Z2W2QEC3MH0BZIYLDFQNUIP" localSheetId="31" hidden="1">#REF!</definedName>
    <definedName name="BExS8Z2W2QEC3MH0BZIYLDFQNUIP" localSheetId="32" hidden="1">#REF!</definedName>
    <definedName name="BExS8Z2W2QEC3MH0BZIYLDFQNUIP" hidden="1">#REF!</definedName>
    <definedName name="BExS92DKGRFFCIA9C0IXDOLO57EP" localSheetId="30" hidden="1">#REF!</definedName>
    <definedName name="BExS92DKGRFFCIA9C0IXDOLO57EP" localSheetId="29" hidden="1">#REF!</definedName>
    <definedName name="BExS92DKGRFFCIA9C0IXDOLO57EP" localSheetId="33" hidden="1">#REF!</definedName>
    <definedName name="BExS92DKGRFFCIA9C0IXDOLO57EP" localSheetId="31" hidden="1">#REF!</definedName>
    <definedName name="BExS92DKGRFFCIA9C0IXDOLO57EP" localSheetId="32" hidden="1">#REF!</definedName>
    <definedName name="BExS92DKGRFFCIA9C0IXDOLO57EP" hidden="1">#REF!</definedName>
    <definedName name="BExS98OB4321YCHLCQ022PXKTT2W" localSheetId="30" hidden="1">#REF!</definedName>
    <definedName name="BExS98OB4321YCHLCQ022PXKTT2W" localSheetId="29" hidden="1">#REF!</definedName>
    <definedName name="BExS98OB4321YCHLCQ022PXKTT2W" localSheetId="33" hidden="1">#REF!</definedName>
    <definedName name="BExS98OB4321YCHLCQ022PXKTT2W" localSheetId="31" hidden="1">#REF!</definedName>
    <definedName name="BExS98OB4321YCHLCQ022PXKTT2W" localSheetId="32" hidden="1">#REF!</definedName>
    <definedName name="BExS98OB4321YCHLCQ022PXKTT2W" hidden="1">#REF!</definedName>
    <definedName name="BExS9C9N8GFISC6HUERJ0EI06GB2" localSheetId="30" hidden="1">#REF!</definedName>
    <definedName name="BExS9C9N8GFISC6HUERJ0EI06GB2" localSheetId="29" hidden="1">#REF!</definedName>
    <definedName name="BExS9C9N8GFISC6HUERJ0EI06GB2" localSheetId="33" hidden="1">#REF!</definedName>
    <definedName name="BExS9C9N8GFISC6HUERJ0EI06GB2" localSheetId="31" hidden="1">#REF!</definedName>
    <definedName name="BExS9C9N8GFISC6HUERJ0EI06GB2" localSheetId="32" hidden="1">#REF!</definedName>
    <definedName name="BExS9C9N8GFISC6HUERJ0EI06GB2" hidden="1">#REF!</definedName>
    <definedName name="BExS9DX13CACP3J8JDREK30JB1SQ" localSheetId="30" hidden="1">#REF!</definedName>
    <definedName name="BExS9DX13CACP3J8JDREK30JB1SQ" localSheetId="29" hidden="1">#REF!</definedName>
    <definedName name="BExS9DX13CACP3J8JDREK30JB1SQ" localSheetId="33" hidden="1">#REF!</definedName>
    <definedName name="BExS9DX13CACP3J8JDREK30JB1SQ" localSheetId="31" hidden="1">#REF!</definedName>
    <definedName name="BExS9DX13CACP3J8JDREK30JB1SQ" localSheetId="32" hidden="1">#REF!</definedName>
    <definedName name="BExS9DX13CACP3J8JDREK30JB1SQ" hidden="1">#REF!</definedName>
    <definedName name="BExS9FPRS2KRRCS33SE6WFNF5GYL" localSheetId="30" hidden="1">#REF!</definedName>
    <definedName name="BExS9FPRS2KRRCS33SE6WFNF5GYL" localSheetId="29" hidden="1">#REF!</definedName>
    <definedName name="BExS9FPRS2KRRCS33SE6WFNF5GYL" localSheetId="33" hidden="1">#REF!</definedName>
    <definedName name="BExS9FPRS2KRRCS33SE6WFNF5GYL" localSheetId="31" hidden="1">#REF!</definedName>
    <definedName name="BExS9FPRS2KRRCS33SE6WFNF5GYL" localSheetId="32" hidden="1">#REF!</definedName>
    <definedName name="BExS9FPRS2KRRCS33SE6WFNF5GYL" hidden="1">#REF!</definedName>
    <definedName name="BExS9WI0A6PSEB8N9GPXF2Z7MWHM" localSheetId="30" hidden="1">#REF!</definedName>
    <definedName name="BExS9WI0A6PSEB8N9GPXF2Z7MWHM" localSheetId="29" hidden="1">#REF!</definedName>
    <definedName name="BExS9WI0A6PSEB8N9GPXF2Z7MWHM" localSheetId="33" hidden="1">#REF!</definedName>
    <definedName name="BExS9WI0A6PSEB8N9GPXF2Z7MWHM" localSheetId="31" hidden="1">#REF!</definedName>
    <definedName name="BExS9WI0A6PSEB8N9GPXF2Z7MWHM" localSheetId="32" hidden="1">#REF!</definedName>
    <definedName name="BExS9WI0A6PSEB8N9GPXF2Z7MWHM" hidden="1">#REF!</definedName>
    <definedName name="BExSA3UAYIM7AIKM2HAKV7FF3W6S" localSheetId="30" hidden="1">#REF!</definedName>
    <definedName name="BExSA3UAYIM7AIKM2HAKV7FF3W6S" localSheetId="29" hidden="1">#REF!</definedName>
    <definedName name="BExSA3UAYIM7AIKM2HAKV7FF3W6S" localSheetId="33" hidden="1">#REF!</definedName>
    <definedName name="BExSA3UAYIM7AIKM2HAKV7FF3W6S" localSheetId="31" hidden="1">#REF!</definedName>
    <definedName name="BExSA3UAYIM7AIKM2HAKV7FF3W6S" localSheetId="32" hidden="1">#REF!</definedName>
    <definedName name="BExSA3UAYIM7AIKM2HAKV7FF3W6S" hidden="1">#REF!</definedName>
    <definedName name="BExSA5HP306TN9XJS0TU619DLRR7" localSheetId="30" hidden="1">#REF!</definedName>
    <definedName name="BExSA5HP306TN9XJS0TU619DLRR7" localSheetId="29" hidden="1">#REF!</definedName>
    <definedName name="BExSA5HP306TN9XJS0TU619DLRR7" localSheetId="33" hidden="1">#REF!</definedName>
    <definedName name="BExSA5HP306TN9XJS0TU619DLRR7" localSheetId="31" hidden="1">#REF!</definedName>
    <definedName name="BExSA5HP306TN9XJS0TU619DLRR7" localSheetId="32" hidden="1">#REF!</definedName>
    <definedName name="BExSA5HP306TN9XJS0TU619DLRR7" hidden="1">#REF!</definedName>
    <definedName name="BExSAAVWQOOIA6B3JHQVGP08HFEM" localSheetId="30" hidden="1">#REF!</definedName>
    <definedName name="BExSAAVWQOOIA6B3JHQVGP08HFEM" localSheetId="29" hidden="1">#REF!</definedName>
    <definedName name="BExSAAVWQOOIA6B3JHQVGP08HFEM" localSheetId="33" hidden="1">#REF!</definedName>
    <definedName name="BExSAAVWQOOIA6B3JHQVGP08HFEM" localSheetId="31" hidden="1">#REF!</definedName>
    <definedName name="BExSAAVWQOOIA6B3JHQVGP08HFEM" localSheetId="32" hidden="1">#REF!</definedName>
    <definedName name="BExSAAVWQOOIA6B3JHQVGP08HFEM" hidden="1">#REF!</definedName>
    <definedName name="BExSAFJ3IICU2M7QPVE4ARYMXZKX" localSheetId="30" hidden="1">#REF!</definedName>
    <definedName name="BExSAFJ3IICU2M7QPVE4ARYMXZKX" localSheetId="29" hidden="1">#REF!</definedName>
    <definedName name="BExSAFJ3IICU2M7QPVE4ARYMXZKX" localSheetId="33" hidden="1">#REF!</definedName>
    <definedName name="BExSAFJ3IICU2M7QPVE4ARYMXZKX" localSheetId="31" hidden="1">#REF!</definedName>
    <definedName name="BExSAFJ3IICU2M7QPVE4ARYMXZKX" localSheetId="32" hidden="1">#REF!</definedName>
    <definedName name="BExSAFJ3IICU2M7QPVE4ARYMXZKX" hidden="1">#REF!</definedName>
    <definedName name="BExSAH6ID8OHX379UXVNGFO8J6KQ" localSheetId="30" hidden="1">#REF!</definedName>
    <definedName name="BExSAH6ID8OHX379UXVNGFO8J6KQ" localSheetId="29" hidden="1">#REF!</definedName>
    <definedName name="BExSAH6ID8OHX379UXVNGFO8J6KQ" localSheetId="33" hidden="1">#REF!</definedName>
    <definedName name="BExSAH6ID8OHX379UXVNGFO8J6KQ" localSheetId="31" hidden="1">#REF!</definedName>
    <definedName name="BExSAH6ID8OHX379UXVNGFO8J6KQ" localSheetId="32" hidden="1">#REF!</definedName>
    <definedName name="BExSAH6ID8OHX379UXVNGFO8J6KQ" hidden="1">#REF!</definedName>
    <definedName name="BExSAQBHIXGQRNIRGCJMBXUPCZQA" localSheetId="30" hidden="1">#REF!</definedName>
    <definedName name="BExSAQBHIXGQRNIRGCJMBXUPCZQA" localSheetId="29" hidden="1">#REF!</definedName>
    <definedName name="BExSAQBHIXGQRNIRGCJMBXUPCZQA" localSheetId="33" hidden="1">#REF!</definedName>
    <definedName name="BExSAQBHIXGQRNIRGCJMBXUPCZQA" localSheetId="31" hidden="1">#REF!</definedName>
    <definedName name="BExSAQBHIXGQRNIRGCJMBXUPCZQA" localSheetId="32" hidden="1">#REF!</definedName>
    <definedName name="BExSAQBHIXGQRNIRGCJMBXUPCZQA" hidden="1">#REF!</definedName>
    <definedName name="BExSAUTCT4P7JP57NOR9MTX33QJZ" localSheetId="30" hidden="1">#REF!</definedName>
    <definedName name="BExSAUTCT4P7JP57NOR9MTX33QJZ" localSheetId="29" hidden="1">#REF!</definedName>
    <definedName name="BExSAUTCT4P7JP57NOR9MTX33QJZ" localSheetId="33" hidden="1">#REF!</definedName>
    <definedName name="BExSAUTCT4P7JP57NOR9MTX33QJZ" localSheetId="31" hidden="1">#REF!</definedName>
    <definedName name="BExSAUTCT4P7JP57NOR9MTX33QJZ" localSheetId="32" hidden="1">#REF!</definedName>
    <definedName name="BExSAUTCT4P7JP57NOR9MTX33QJZ" hidden="1">#REF!</definedName>
    <definedName name="BExSAY9CA9TFXQ9M9FBJRGJO9T9E" localSheetId="30" hidden="1">#REF!</definedName>
    <definedName name="BExSAY9CA9TFXQ9M9FBJRGJO9T9E" localSheetId="29" hidden="1">#REF!</definedName>
    <definedName name="BExSAY9CA9TFXQ9M9FBJRGJO9T9E" localSheetId="33" hidden="1">#REF!</definedName>
    <definedName name="BExSAY9CA9TFXQ9M9FBJRGJO9T9E" localSheetId="31" hidden="1">#REF!</definedName>
    <definedName name="BExSAY9CA9TFXQ9M9FBJRGJO9T9E" localSheetId="32" hidden="1">#REF!</definedName>
    <definedName name="BExSAY9CA9TFXQ9M9FBJRGJO9T9E" hidden="1">#REF!</definedName>
    <definedName name="BExSB4JYKQ3MINI7RAYK5M8BLJDC" localSheetId="30" hidden="1">#REF!</definedName>
    <definedName name="BExSB4JYKQ3MINI7RAYK5M8BLJDC" localSheetId="29" hidden="1">#REF!</definedName>
    <definedName name="BExSB4JYKQ3MINI7RAYK5M8BLJDC" localSheetId="33" hidden="1">#REF!</definedName>
    <definedName name="BExSB4JYKQ3MINI7RAYK5M8BLJDC" localSheetId="31" hidden="1">#REF!</definedName>
    <definedName name="BExSB4JYKQ3MINI7RAYK5M8BLJDC" localSheetId="32" hidden="1">#REF!</definedName>
    <definedName name="BExSB4JYKQ3MINI7RAYK5M8BLJDC" hidden="1">#REF!</definedName>
    <definedName name="BExSBDP2Z2OADQDOK0RV91A7FA6C" localSheetId="30" hidden="1">#REF!</definedName>
    <definedName name="BExSBDP2Z2OADQDOK0RV91A7FA6C" localSheetId="29" hidden="1">#REF!</definedName>
    <definedName name="BExSBDP2Z2OADQDOK0RV91A7FA6C" localSheetId="33" hidden="1">#REF!</definedName>
    <definedName name="BExSBDP2Z2OADQDOK0RV91A7FA6C" localSheetId="31" hidden="1">#REF!</definedName>
    <definedName name="BExSBDP2Z2OADQDOK0RV91A7FA6C" localSheetId="32" hidden="1">#REF!</definedName>
    <definedName name="BExSBDP2Z2OADQDOK0RV91A7FA6C" hidden="1">#REF!</definedName>
    <definedName name="BExSBMOS41ZRLWYLOU29V6Y7YORR" localSheetId="30" hidden="1">#REF!</definedName>
    <definedName name="BExSBMOS41ZRLWYLOU29V6Y7YORR" localSheetId="29" hidden="1">#REF!</definedName>
    <definedName name="BExSBMOS41ZRLWYLOU29V6Y7YORR" localSheetId="33" hidden="1">#REF!</definedName>
    <definedName name="BExSBMOS41ZRLWYLOU29V6Y7YORR" localSheetId="31" hidden="1">#REF!</definedName>
    <definedName name="BExSBMOS41ZRLWYLOU29V6Y7YORR" localSheetId="32" hidden="1">#REF!</definedName>
    <definedName name="BExSBMOS41ZRLWYLOU29V6Y7YORR" hidden="1">#REF!</definedName>
    <definedName name="BExSBRBXXQMBU1TYDW1BXTEVEPRU" localSheetId="30" hidden="1">#REF!</definedName>
    <definedName name="BExSBRBXXQMBU1TYDW1BXTEVEPRU" localSheetId="29" hidden="1">#REF!</definedName>
    <definedName name="BExSBRBXXQMBU1TYDW1BXTEVEPRU" localSheetId="33" hidden="1">#REF!</definedName>
    <definedName name="BExSBRBXXQMBU1TYDW1BXTEVEPRU" localSheetId="31" hidden="1">#REF!</definedName>
    <definedName name="BExSBRBXXQMBU1TYDW1BXTEVEPRU" localSheetId="32" hidden="1">#REF!</definedName>
    <definedName name="BExSBRBXXQMBU1TYDW1BXTEVEPRU" hidden="1">#REF!</definedName>
    <definedName name="BExSC54998WTZ21DSL0R8UN0Y9JH" localSheetId="30" hidden="1">#REF!</definedName>
    <definedName name="BExSC54998WTZ21DSL0R8UN0Y9JH" localSheetId="29" hidden="1">#REF!</definedName>
    <definedName name="BExSC54998WTZ21DSL0R8UN0Y9JH" localSheetId="33" hidden="1">#REF!</definedName>
    <definedName name="BExSC54998WTZ21DSL0R8UN0Y9JH" localSheetId="31" hidden="1">#REF!</definedName>
    <definedName name="BExSC54998WTZ21DSL0R8UN0Y9JH" localSheetId="32" hidden="1">#REF!</definedName>
    <definedName name="BExSC54998WTZ21DSL0R8UN0Y9JH" hidden="1">#REF!</definedName>
    <definedName name="BExSC60N7WR9PJSNC9B7ORCX9NGY" localSheetId="30" hidden="1">#REF!</definedName>
    <definedName name="BExSC60N7WR9PJSNC9B7ORCX9NGY" localSheetId="29" hidden="1">#REF!</definedName>
    <definedName name="BExSC60N7WR9PJSNC9B7ORCX9NGY" localSheetId="33" hidden="1">#REF!</definedName>
    <definedName name="BExSC60N7WR9PJSNC9B7ORCX9NGY" localSheetId="31" hidden="1">#REF!</definedName>
    <definedName name="BExSC60N7WR9PJSNC9B7ORCX9NGY" localSheetId="32" hidden="1">#REF!</definedName>
    <definedName name="BExSC60N7WR9PJSNC9B7ORCX9NGY" hidden="1">#REF!</definedName>
    <definedName name="BExSCC0FG3IPRLA929NT7DBX3PC7" localSheetId="30" hidden="1">#REF!</definedName>
    <definedName name="BExSCC0FG3IPRLA929NT7DBX3PC7" localSheetId="29" hidden="1">#REF!</definedName>
    <definedName name="BExSCC0FG3IPRLA929NT7DBX3PC7" localSheetId="33" hidden="1">#REF!</definedName>
    <definedName name="BExSCC0FG3IPRLA929NT7DBX3PC7" localSheetId="31" hidden="1">#REF!</definedName>
    <definedName name="BExSCC0FG3IPRLA929NT7DBX3PC7" localSheetId="32" hidden="1">#REF!</definedName>
    <definedName name="BExSCC0FG3IPRLA929NT7DBX3PC7" hidden="1">#REF!</definedName>
    <definedName name="BExSCE99EZTILTTCE4NJJF96OYYM" localSheetId="30" hidden="1">#REF!</definedName>
    <definedName name="BExSCE99EZTILTTCE4NJJF96OYYM" localSheetId="29" hidden="1">#REF!</definedName>
    <definedName name="BExSCE99EZTILTTCE4NJJF96OYYM" localSheetId="33" hidden="1">#REF!</definedName>
    <definedName name="BExSCE99EZTILTTCE4NJJF96OYYM" localSheetId="31" hidden="1">#REF!</definedName>
    <definedName name="BExSCE99EZTILTTCE4NJJF96OYYM" localSheetId="32" hidden="1">#REF!</definedName>
    <definedName name="BExSCE99EZTILTTCE4NJJF96OYYM" hidden="1">#REF!</definedName>
    <definedName name="BExSCHUQZ2HFEWS54X67DIS8OSXZ" localSheetId="30" hidden="1">#REF!</definedName>
    <definedName name="BExSCHUQZ2HFEWS54X67DIS8OSXZ" localSheetId="29" hidden="1">#REF!</definedName>
    <definedName name="BExSCHUQZ2HFEWS54X67DIS8OSXZ" localSheetId="33" hidden="1">#REF!</definedName>
    <definedName name="BExSCHUQZ2HFEWS54X67DIS8OSXZ" localSheetId="31" hidden="1">#REF!</definedName>
    <definedName name="BExSCHUQZ2HFEWS54X67DIS8OSXZ" localSheetId="32" hidden="1">#REF!</definedName>
    <definedName name="BExSCHUQZ2HFEWS54X67DIS8OSXZ" hidden="1">#REF!</definedName>
    <definedName name="BExSCOG41SKKG4GYU76WRWW1CTE6" localSheetId="30" hidden="1">#REF!</definedName>
    <definedName name="BExSCOG41SKKG4GYU76WRWW1CTE6" localSheetId="29" hidden="1">#REF!</definedName>
    <definedName name="BExSCOG41SKKG4GYU76WRWW1CTE6" localSheetId="33" hidden="1">#REF!</definedName>
    <definedName name="BExSCOG41SKKG4GYU76WRWW1CTE6" localSheetId="31" hidden="1">#REF!</definedName>
    <definedName name="BExSCOG41SKKG4GYU76WRWW1CTE6" localSheetId="32" hidden="1">#REF!</definedName>
    <definedName name="BExSCOG41SKKG4GYU76WRWW1CTE6" hidden="1">#REF!</definedName>
    <definedName name="BExSCVC9P86YVFMRKKUVRV29MZXZ" localSheetId="30" hidden="1">#REF!</definedName>
    <definedName name="BExSCVC9P86YVFMRKKUVRV29MZXZ" localSheetId="29" hidden="1">#REF!</definedName>
    <definedName name="BExSCVC9P86YVFMRKKUVRV29MZXZ" localSheetId="33" hidden="1">#REF!</definedName>
    <definedName name="BExSCVC9P86YVFMRKKUVRV29MZXZ" localSheetId="31" hidden="1">#REF!</definedName>
    <definedName name="BExSCVC9P86YVFMRKKUVRV29MZXZ" localSheetId="32" hidden="1">#REF!</definedName>
    <definedName name="BExSCVC9P86YVFMRKKUVRV29MZXZ" hidden="1">#REF!</definedName>
    <definedName name="BExSD233CH4MU9ZMGNRF97ZV7KWU" localSheetId="30" hidden="1">#REF!</definedName>
    <definedName name="BExSD233CH4MU9ZMGNRF97ZV7KWU" localSheetId="29" hidden="1">#REF!</definedName>
    <definedName name="BExSD233CH4MU9ZMGNRF97ZV7KWU" localSheetId="33" hidden="1">#REF!</definedName>
    <definedName name="BExSD233CH4MU9ZMGNRF97ZV7KWU" localSheetId="31" hidden="1">#REF!</definedName>
    <definedName name="BExSD233CH4MU9ZMGNRF97ZV7KWU" localSheetId="32" hidden="1">#REF!</definedName>
    <definedName name="BExSD233CH4MU9ZMGNRF97ZV7KWU" hidden="1">#REF!</definedName>
    <definedName name="BExSD2U0F3BN6IN9N4R2DTTJG15H" localSheetId="30" hidden="1">#REF!</definedName>
    <definedName name="BExSD2U0F3BN6IN9N4R2DTTJG15H" localSheetId="29" hidden="1">#REF!</definedName>
    <definedName name="BExSD2U0F3BN6IN9N4R2DTTJG15H" localSheetId="33" hidden="1">#REF!</definedName>
    <definedName name="BExSD2U0F3BN6IN9N4R2DTTJG15H" localSheetId="31" hidden="1">#REF!</definedName>
    <definedName name="BExSD2U0F3BN6IN9N4R2DTTJG15H" localSheetId="32" hidden="1">#REF!</definedName>
    <definedName name="BExSD2U0F3BN6IN9N4R2DTTJG15H" hidden="1">#REF!</definedName>
    <definedName name="BExSD6A6NY15YSMFH51ST6XJY429" localSheetId="30" hidden="1">#REF!</definedName>
    <definedName name="BExSD6A6NY15YSMFH51ST6XJY429" localSheetId="29" hidden="1">#REF!</definedName>
    <definedName name="BExSD6A6NY15YSMFH51ST6XJY429" localSheetId="33" hidden="1">#REF!</definedName>
    <definedName name="BExSD6A6NY15YSMFH51ST6XJY429" localSheetId="31" hidden="1">#REF!</definedName>
    <definedName name="BExSD6A6NY15YSMFH51ST6XJY429" localSheetId="32" hidden="1">#REF!</definedName>
    <definedName name="BExSD6A6NY15YSMFH51ST6XJY429" hidden="1">#REF!</definedName>
    <definedName name="BExSD9VH6PF6RQ135VOEE08YXPAW" localSheetId="30" hidden="1">#REF!</definedName>
    <definedName name="BExSD9VH6PF6RQ135VOEE08YXPAW" localSheetId="29" hidden="1">#REF!</definedName>
    <definedName name="BExSD9VH6PF6RQ135VOEE08YXPAW" localSheetId="33" hidden="1">#REF!</definedName>
    <definedName name="BExSD9VH6PF6RQ135VOEE08YXPAW" localSheetId="31" hidden="1">#REF!</definedName>
    <definedName name="BExSD9VH6PF6RQ135VOEE08YXPAW" localSheetId="32" hidden="1">#REF!</definedName>
    <definedName name="BExSD9VH6PF6RQ135VOEE08YXPAW" hidden="1">#REF!</definedName>
    <definedName name="BExSDP5Y04WWMX2WWRITWOX8R5I9" localSheetId="30" hidden="1">#REF!</definedName>
    <definedName name="BExSDP5Y04WWMX2WWRITWOX8R5I9" localSheetId="29" hidden="1">#REF!</definedName>
    <definedName name="BExSDP5Y04WWMX2WWRITWOX8R5I9" localSheetId="33" hidden="1">#REF!</definedName>
    <definedName name="BExSDP5Y04WWMX2WWRITWOX8R5I9" localSheetId="31" hidden="1">#REF!</definedName>
    <definedName name="BExSDP5Y04WWMX2WWRITWOX8R5I9" localSheetId="32" hidden="1">#REF!</definedName>
    <definedName name="BExSDP5Y04WWMX2WWRITWOX8R5I9" hidden="1">#REF!</definedName>
    <definedName name="BExSDSGM203BJTNS9MKCBX453HMD" localSheetId="30" hidden="1">#REF!</definedName>
    <definedName name="BExSDSGM203BJTNS9MKCBX453HMD" localSheetId="29" hidden="1">#REF!</definedName>
    <definedName name="BExSDSGM203BJTNS9MKCBX453HMD" localSheetId="33" hidden="1">#REF!</definedName>
    <definedName name="BExSDSGM203BJTNS9MKCBX453HMD" localSheetId="31" hidden="1">#REF!</definedName>
    <definedName name="BExSDSGM203BJTNS9MKCBX453HMD" localSheetId="32" hidden="1">#REF!</definedName>
    <definedName name="BExSDSGM203BJTNS9MKCBX453HMD" hidden="1">#REF!</definedName>
    <definedName name="BExSDT20XUFXTDM37M148AXAP7HN" localSheetId="30" hidden="1">#REF!</definedName>
    <definedName name="BExSDT20XUFXTDM37M148AXAP7HN" localSheetId="29" hidden="1">#REF!</definedName>
    <definedName name="BExSDT20XUFXTDM37M148AXAP7HN" localSheetId="33" hidden="1">#REF!</definedName>
    <definedName name="BExSDT20XUFXTDM37M148AXAP7HN" localSheetId="31" hidden="1">#REF!</definedName>
    <definedName name="BExSDT20XUFXTDM37M148AXAP7HN" localSheetId="32" hidden="1">#REF!</definedName>
    <definedName name="BExSDT20XUFXTDM37M148AXAP7HN" hidden="1">#REF!</definedName>
    <definedName name="BExSEEHK1VLWD7JBV9SVVVIKQZ3I" localSheetId="30" hidden="1">#REF!</definedName>
    <definedName name="BExSEEHK1VLWD7JBV9SVVVIKQZ3I" localSheetId="29" hidden="1">#REF!</definedName>
    <definedName name="BExSEEHK1VLWD7JBV9SVVVIKQZ3I" localSheetId="33" hidden="1">#REF!</definedName>
    <definedName name="BExSEEHK1VLWD7JBV9SVVVIKQZ3I" localSheetId="31" hidden="1">#REF!</definedName>
    <definedName name="BExSEEHK1VLWD7JBV9SVVVIKQZ3I" localSheetId="32" hidden="1">#REF!</definedName>
    <definedName name="BExSEEHK1VLWD7JBV9SVVVIKQZ3I" hidden="1">#REF!</definedName>
    <definedName name="BExSEJKZLX37P3V33TRTFJ30BFRK" localSheetId="30" hidden="1">#REF!</definedName>
    <definedName name="BExSEJKZLX37P3V33TRTFJ30BFRK" localSheetId="29" hidden="1">#REF!</definedName>
    <definedName name="BExSEJKZLX37P3V33TRTFJ30BFRK" localSheetId="33" hidden="1">#REF!</definedName>
    <definedName name="BExSEJKZLX37P3V33TRTFJ30BFRK" localSheetId="31" hidden="1">#REF!</definedName>
    <definedName name="BExSEJKZLX37P3V33TRTFJ30BFRK" localSheetId="32" hidden="1">#REF!</definedName>
    <definedName name="BExSEJKZLX37P3V33TRTFJ30BFRK" hidden="1">#REF!</definedName>
    <definedName name="BExSEP9UVOAI6TMXKNK587PQ3328" localSheetId="30" hidden="1">#REF!</definedName>
    <definedName name="BExSEP9UVOAI6TMXKNK587PQ3328" localSheetId="29" hidden="1">#REF!</definedName>
    <definedName name="BExSEP9UVOAI6TMXKNK587PQ3328" localSheetId="33" hidden="1">#REF!</definedName>
    <definedName name="BExSEP9UVOAI6TMXKNK587PQ3328" localSheetId="31" hidden="1">#REF!</definedName>
    <definedName name="BExSEP9UVOAI6TMXKNK587PQ3328" localSheetId="32" hidden="1">#REF!</definedName>
    <definedName name="BExSEP9UVOAI6TMXKNK587PQ3328" hidden="1">#REF!</definedName>
    <definedName name="BExSF07QFLZCO4P6K6QF05XG7PH1" localSheetId="30" hidden="1">#REF!</definedName>
    <definedName name="BExSF07QFLZCO4P6K6QF05XG7PH1" localSheetId="29" hidden="1">#REF!</definedName>
    <definedName name="BExSF07QFLZCO4P6K6QF05XG7PH1" localSheetId="33" hidden="1">#REF!</definedName>
    <definedName name="BExSF07QFLZCO4P6K6QF05XG7PH1" localSheetId="31" hidden="1">#REF!</definedName>
    <definedName name="BExSF07QFLZCO4P6K6QF05XG7PH1" localSheetId="32" hidden="1">#REF!</definedName>
    <definedName name="BExSF07QFLZCO4P6K6QF05XG7PH1" hidden="1">#REF!</definedName>
    <definedName name="BExSFELNPJYUZX393PKWKNNZYV1N" localSheetId="30" hidden="1">#REF!</definedName>
    <definedName name="BExSFELNPJYUZX393PKWKNNZYV1N" localSheetId="29" hidden="1">#REF!</definedName>
    <definedName name="BExSFELNPJYUZX393PKWKNNZYV1N" localSheetId="33" hidden="1">#REF!</definedName>
    <definedName name="BExSFELNPJYUZX393PKWKNNZYV1N" localSheetId="31" hidden="1">#REF!</definedName>
    <definedName name="BExSFELNPJYUZX393PKWKNNZYV1N" localSheetId="32" hidden="1">#REF!</definedName>
    <definedName name="BExSFELNPJYUZX393PKWKNNZYV1N" hidden="1">#REF!</definedName>
    <definedName name="BExSFJ8ZAGQ63A4MVMZRQWLVRGQ5" localSheetId="30" hidden="1">#REF!</definedName>
    <definedName name="BExSFJ8ZAGQ63A4MVMZRQWLVRGQ5" localSheetId="29" hidden="1">#REF!</definedName>
    <definedName name="BExSFJ8ZAGQ63A4MVMZRQWLVRGQ5" localSheetId="33" hidden="1">#REF!</definedName>
    <definedName name="BExSFJ8ZAGQ63A4MVMZRQWLVRGQ5" localSheetId="31" hidden="1">#REF!</definedName>
    <definedName name="BExSFJ8ZAGQ63A4MVMZRQWLVRGQ5" localSheetId="32" hidden="1">#REF!</definedName>
    <definedName name="BExSFJ8ZAGQ63A4MVMZRQWLVRGQ5" hidden="1">#REF!</definedName>
    <definedName name="BExSFKQRST2S9KXWWLCXYLKSF4G1" localSheetId="30" hidden="1">#REF!</definedName>
    <definedName name="BExSFKQRST2S9KXWWLCXYLKSF4G1" localSheetId="29" hidden="1">#REF!</definedName>
    <definedName name="BExSFKQRST2S9KXWWLCXYLKSF4G1" localSheetId="33" hidden="1">#REF!</definedName>
    <definedName name="BExSFKQRST2S9KXWWLCXYLKSF4G1" localSheetId="31" hidden="1">#REF!</definedName>
    <definedName name="BExSFKQRST2S9KXWWLCXYLKSF4G1" localSheetId="32" hidden="1">#REF!</definedName>
    <definedName name="BExSFKQRST2S9KXWWLCXYLKSF4G1" hidden="1">#REF!</definedName>
    <definedName name="BExSFYDRRTAZVPXRWUF5PDQ97WFF" localSheetId="30" hidden="1">#REF!</definedName>
    <definedName name="BExSFYDRRTAZVPXRWUF5PDQ97WFF" localSheetId="29" hidden="1">#REF!</definedName>
    <definedName name="BExSFYDRRTAZVPXRWUF5PDQ97WFF" localSheetId="33" hidden="1">#REF!</definedName>
    <definedName name="BExSFYDRRTAZVPXRWUF5PDQ97WFF" localSheetId="31" hidden="1">#REF!</definedName>
    <definedName name="BExSFYDRRTAZVPXRWUF5PDQ97WFF" localSheetId="32" hidden="1">#REF!</definedName>
    <definedName name="BExSFYDRRTAZVPXRWUF5PDQ97WFF" hidden="1">#REF!</definedName>
    <definedName name="BExSFZVPFTXA3F0IJ2NGH1GXX9R7" localSheetId="30" hidden="1">#REF!</definedName>
    <definedName name="BExSFZVPFTXA3F0IJ2NGH1GXX9R7" localSheetId="29" hidden="1">#REF!</definedName>
    <definedName name="BExSFZVPFTXA3F0IJ2NGH1GXX9R7" localSheetId="33" hidden="1">#REF!</definedName>
    <definedName name="BExSFZVPFTXA3F0IJ2NGH1GXX9R7" localSheetId="31" hidden="1">#REF!</definedName>
    <definedName name="BExSFZVPFTXA3F0IJ2NGH1GXX9R7" localSheetId="32" hidden="1">#REF!</definedName>
    <definedName name="BExSFZVPFTXA3F0IJ2NGH1GXX9R7" hidden="1">#REF!</definedName>
    <definedName name="BExSG90Q4ZUU2IPGDYOM169NJV9S" localSheetId="30" hidden="1">#REF!</definedName>
    <definedName name="BExSG90Q4ZUU2IPGDYOM169NJV9S" localSheetId="29" hidden="1">#REF!</definedName>
    <definedName name="BExSG90Q4ZUU2IPGDYOM169NJV9S" localSheetId="33" hidden="1">#REF!</definedName>
    <definedName name="BExSG90Q4ZUU2IPGDYOM169NJV9S" localSheetId="31" hidden="1">#REF!</definedName>
    <definedName name="BExSG90Q4ZUU2IPGDYOM169NJV9S" localSheetId="32" hidden="1">#REF!</definedName>
    <definedName name="BExSG90Q4ZUU2IPGDYOM169NJV9S" hidden="1">#REF!</definedName>
    <definedName name="BExSG9X3DU845PNXYJGGLBQY2UHG" localSheetId="30" hidden="1">#REF!</definedName>
    <definedName name="BExSG9X3DU845PNXYJGGLBQY2UHG" localSheetId="29" hidden="1">#REF!</definedName>
    <definedName name="BExSG9X3DU845PNXYJGGLBQY2UHG" localSheetId="33" hidden="1">#REF!</definedName>
    <definedName name="BExSG9X3DU845PNXYJGGLBQY2UHG" localSheetId="31" hidden="1">#REF!</definedName>
    <definedName name="BExSG9X3DU845PNXYJGGLBQY2UHG" localSheetId="32" hidden="1">#REF!</definedName>
    <definedName name="BExSG9X3DU845PNXYJGGLBQY2UHG" hidden="1">#REF!</definedName>
    <definedName name="BExSGE45J27MDUUNXW7Z8Q33UAON" localSheetId="30" hidden="1">#REF!</definedName>
    <definedName name="BExSGE45J27MDUUNXW7Z8Q33UAON" localSheetId="29" hidden="1">#REF!</definedName>
    <definedName name="BExSGE45J27MDUUNXW7Z8Q33UAON" localSheetId="33" hidden="1">#REF!</definedName>
    <definedName name="BExSGE45J27MDUUNXW7Z8Q33UAON" localSheetId="31" hidden="1">#REF!</definedName>
    <definedName name="BExSGE45J27MDUUNXW7Z8Q33UAON" localSheetId="32" hidden="1">#REF!</definedName>
    <definedName name="BExSGE45J27MDUUNXW7Z8Q33UAON" hidden="1">#REF!</definedName>
    <definedName name="BExSGE9LY91Q0URHB4YAMX0UAMYI" localSheetId="30" hidden="1">#REF!</definedName>
    <definedName name="BExSGE9LY91Q0URHB4YAMX0UAMYI" localSheetId="29" hidden="1">#REF!</definedName>
    <definedName name="BExSGE9LY91Q0URHB4YAMX0UAMYI" localSheetId="33" hidden="1">#REF!</definedName>
    <definedName name="BExSGE9LY91Q0URHB4YAMX0UAMYI" localSheetId="31" hidden="1">#REF!</definedName>
    <definedName name="BExSGE9LY91Q0URHB4YAMX0UAMYI" localSheetId="32" hidden="1">#REF!</definedName>
    <definedName name="BExSGE9LY91Q0URHB4YAMX0UAMYI" hidden="1">#REF!</definedName>
    <definedName name="BExSGLB2URTLBCKBB4Y885W925F2" localSheetId="30" hidden="1">#REF!</definedName>
    <definedName name="BExSGLB2URTLBCKBB4Y885W925F2" localSheetId="29" hidden="1">#REF!</definedName>
    <definedName name="BExSGLB2URTLBCKBB4Y885W925F2" localSheetId="33" hidden="1">#REF!</definedName>
    <definedName name="BExSGLB2URTLBCKBB4Y885W925F2" localSheetId="31" hidden="1">#REF!</definedName>
    <definedName name="BExSGLB2URTLBCKBB4Y885W925F2" localSheetId="32" hidden="1">#REF!</definedName>
    <definedName name="BExSGLB2URTLBCKBB4Y885W925F2" hidden="1">#REF!</definedName>
    <definedName name="BExSGOAYG73SFWOPAQV80P710GID" localSheetId="30" hidden="1">#REF!</definedName>
    <definedName name="BExSGOAYG73SFWOPAQV80P710GID" localSheetId="29" hidden="1">#REF!</definedName>
    <definedName name="BExSGOAYG73SFWOPAQV80P710GID" localSheetId="33" hidden="1">#REF!</definedName>
    <definedName name="BExSGOAYG73SFWOPAQV80P710GID" localSheetId="31" hidden="1">#REF!</definedName>
    <definedName name="BExSGOAYG73SFWOPAQV80P710GID" localSheetId="32" hidden="1">#REF!</definedName>
    <definedName name="BExSGOAYG73SFWOPAQV80P710GID" hidden="1">#REF!</definedName>
    <definedName name="BExSGOWJHRW7FWKLO2EHUOOGHNAF" localSheetId="30" hidden="1">#REF!</definedName>
    <definedName name="BExSGOWJHRW7FWKLO2EHUOOGHNAF" localSheetId="29" hidden="1">#REF!</definedName>
    <definedName name="BExSGOWJHRW7FWKLO2EHUOOGHNAF" localSheetId="33" hidden="1">#REF!</definedName>
    <definedName name="BExSGOWJHRW7FWKLO2EHUOOGHNAF" localSheetId="31" hidden="1">#REF!</definedName>
    <definedName name="BExSGOWJHRW7FWKLO2EHUOOGHNAF" localSheetId="32" hidden="1">#REF!</definedName>
    <definedName name="BExSGOWJHRW7FWKLO2EHUOOGHNAF" hidden="1">#REF!</definedName>
    <definedName name="BExSGOWJTAP41ZV5Q23H7MI9C76W" localSheetId="30" hidden="1">#REF!</definedName>
    <definedName name="BExSGOWJTAP41ZV5Q23H7MI9C76W" localSheetId="29" hidden="1">#REF!</definedName>
    <definedName name="BExSGOWJTAP41ZV5Q23H7MI9C76W" localSheetId="33" hidden="1">#REF!</definedName>
    <definedName name="BExSGOWJTAP41ZV5Q23H7MI9C76W" localSheetId="31" hidden="1">#REF!</definedName>
    <definedName name="BExSGOWJTAP41ZV5Q23H7MI9C76W" localSheetId="32" hidden="1">#REF!</definedName>
    <definedName name="BExSGOWJTAP41ZV5Q23H7MI9C76W" hidden="1">#REF!</definedName>
    <definedName name="BExSGR5JQVX2HQ0PKCGZNSSUM1RV" localSheetId="30" hidden="1">#REF!</definedName>
    <definedName name="BExSGR5JQVX2HQ0PKCGZNSSUM1RV" localSheetId="29" hidden="1">#REF!</definedName>
    <definedName name="BExSGR5JQVX2HQ0PKCGZNSSUM1RV" localSheetId="33" hidden="1">#REF!</definedName>
    <definedName name="BExSGR5JQVX2HQ0PKCGZNSSUM1RV" localSheetId="31" hidden="1">#REF!</definedName>
    <definedName name="BExSGR5JQVX2HQ0PKCGZNSSUM1RV" localSheetId="32" hidden="1">#REF!</definedName>
    <definedName name="BExSGR5JQVX2HQ0PKCGZNSSUM1RV" hidden="1">#REF!</definedName>
    <definedName name="BExSGVHX69GJZHD99DKE4RZ042B1" localSheetId="30" hidden="1">#REF!</definedName>
    <definedName name="BExSGVHX69GJZHD99DKE4RZ042B1" localSheetId="29" hidden="1">#REF!</definedName>
    <definedName name="BExSGVHX69GJZHD99DKE4RZ042B1" localSheetId="33" hidden="1">#REF!</definedName>
    <definedName name="BExSGVHX69GJZHD99DKE4RZ042B1" localSheetId="31" hidden="1">#REF!</definedName>
    <definedName name="BExSGVHX69GJZHD99DKE4RZ042B1" localSheetId="32" hidden="1">#REF!</definedName>
    <definedName name="BExSGVHX69GJZHD99DKE4RZ042B1" hidden="1">#REF!</definedName>
    <definedName name="BExSGZJO4J4ZO04E2N2ECVYS9DEZ" localSheetId="30" hidden="1">#REF!</definedName>
    <definedName name="BExSGZJO4J4ZO04E2N2ECVYS9DEZ" localSheetId="29" hidden="1">#REF!</definedName>
    <definedName name="BExSGZJO4J4ZO04E2N2ECVYS9DEZ" localSheetId="33" hidden="1">#REF!</definedName>
    <definedName name="BExSGZJO4J4ZO04E2N2ECVYS9DEZ" localSheetId="31" hidden="1">#REF!</definedName>
    <definedName name="BExSGZJO4J4ZO04E2N2ECVYS9DEZ" localSheetId="32" hidden="1">#REF!</definedName>
    <definedName name="BExSGZJO4J4ZO04E2N2ECVYS9DEZ" hidden="1">#REF!</definedName>
    <definedName name="BExSHAHFHS7MMNJR8JPVABRGBVIT" localSheetId="30" hidden="1">#REF!</definedName>
    <definedName name="BExSHAHFHS7MMNJR8JPVABRGBVIT" localSheetId="29" hidden="1">#REF!</definedName>
    <definedName name="BExSHAHFHS7MMNJR8JPVABRGBVIT" localSheetId="33" hidden="1">#REF!</definedName>
    <definedName name="BExSHAHFHS7MMNJR8JPVABRGBVIT" localSheetId="31" hidden="1">#REF!</definedName>
    <definedName name="BExSHAHFHS7MMNJR8JPVABRGBVIT" localSheetId="32" hidden="1">#REF!</definedName>
    <definedName name="BExSHAHFHS7MMNJR8JPVABRGBVIT" hidden="1">#REF!</definedName>
    <definedName name="BExSHGH88QZWW4RNAX4YKAZ5JEBL" localSheetId="30" hidden="1">#REF!</definedName>
    <definedName name="BExSHGH88QZWW4RNAX4YKAZ5JEBL" localSheetId="29" hidden="1">#REF!</definedName>
    <definedName name="BExSHGH88QZWW4RNAX4YKAZ5JEBL" localSheetId="33" hidden="1">#REF!</definedName>
    <definedName name="BExSHGH88QZWW4RNAX4YKAZ5JEBL" localSheetId="31" hidden="1">#REF!</definedName>
    <definedName name="BExSHGH88QZWW4RNAX4YKAZ5JEBL" localSheetId="32" hidden="1">#REF!</definedName>
    <definedName name="BExSHGH88QZWW4RNAX4YKAZ5JEBL" hidden="1">#REF!</definedName>
    <definedName name="BExSHOKK1OO3CX9Z28C58E5J1D9W" localSheetId="30" hidden="1">#REF!</definedName>
    <definedName name="BExSHOKK1OO3CX9Z28C58E5J1D9W" localSheetId="29" hidden="1">#REF!</definedName>
    <definedName name="BExSHOKK1OO3CX9Z28C58E5J1D9W" localSheetId="33" hidden="1">#REF!</definedName>
    <definedName name="BExSHOKK1OO3CX9Z28C58E5J1D9W" localSheetId="31" hidden="1">#REF!</definedName>
    <definedName name="BExSHOKK1OO3CX9Z28C58E5J1D9W" localSheetId="32" hidden="1">#REF!</definedName>
    <definedName name="BExSHOKK1OO3CX9Z28C58E5J1D9W" hidden="1">#REF!</definedName>
    <definedName name="BExSHQD8KYLTQGDXIRKCHQQ7MKIH" localSheetId="30" hidden="1">#REF!</definedName>
    <definedName name="BExSHQD8KYLTQGDXIRKCHQQ7MKIH" localSheetId="29" hidden="1">#REF!</definedName>
    <definedName name="BExSHQD8KYLTQGDXIRKCHQQ7MKIH" localSheetId="33" hidden="1">#REF!</definedName>
    <definedName name="BExSHQD8KYLTQGDXIRKCHQQ7MKIH" localSheetId="31" hidden="1">#REF!</definedName>
    <definedName name="BExSHQD8KYLTQGDXIRKCHQQ7MKIH" localSheetId="32" hidden="1">#REF!</definedName>
    <definedName name="BExSHQD8KYLTQGDXIRKCHQQ7MKIH" hidden="1">#REF!</definedName>
    <definedName name="BExSHVGPIAHXI97UBLI9G4I4M29F" localSheetId="30" hidden="1">#REF!</definedName>
    <definedName name="BExSHVGPIAHXI97UBLI9G4I4M29F" localSheetId="29" hidden="1">#REF!</definedName>
    <definedName name="BExSHVGPIAHXI97UBLI9G4I4M29F" localSheetId="33" hidden="1">#REF!</definedName>
    <definedName name="BExSHVGPIAHXI97UBLI9G4I4M29F" localSheetId="31" hidden="1">#REF!</definedName>
    <definedName name="BExSHVGPIAHXI97UBLI9G4I4M29F" localSheetId="32" hidden="1">#REF!</definedName>
    <definedName name="BExSHVGPIAHXI97UBLI9G4I4M29F" hidden="1">#REF!</definedName>
    <definedName name="BExSI0K2YL3HTCQAD8A7TR4QCUR6" localSheetId="30" hidden="1">#REF!</definedName>
    <definedName name="BExSI0K2YL3HTCQAD8A7TR4QCUR6" localSheetId="29" hidden="1">#REF!</definedName>
    <definedName name="BExSI0K2YL3HTCQAD8A7TR4QCUR6" localSheetId="33" hidden="1">#REF!</definedName>
    <definedName name="BExSI0K2YL3HTCQAD8A7TR4QCUR6" localSheetId="31" hidden="1">#REF!</definedName>
    <definedName name="BExSI0K2YL3HTCQAD8A7TR4QCUR6" localSheetId="32" hidden="1">#REF!</definedName>
    <definedName name="BExSI0K2YL3HTCQAD8A7TR4QCUR6" hidden="1">#REF!</definedName>
    <definedName name="BExSIFUDNRWXWIWNGCCFOOD8WIAZ" localSheetId="30" hidden="1">#REF!</definedName>
    <definedName name="BExSIFUDNRWXWIWNGCCFOOD8WIAZ" localSheetId="29" hidden="1">#REF!</definedName>
    <definedName name="BExSIFUDNRWXWIWNGCCFOOD8WIAZ" localSheetId="33" hidden="1">#REF!</definedName>
    <definedName name="BExSIFUDNRWXWIWNGCCFOOD8WIAZ" localSheetId="31" hidden="1">#REF!</definedName>
    <definedName name="BExSIFUDNRWXWIWNGCCFOOD8WIAZ" localSheetId="32" hidden="1">#REF!</definedName>
    <definedName name="BExSIFUDNRWXWIWNGCCFOOD8WIAZ" hidden="1">#REF!</definedName>
    <definedName name="BExTTZNS2PBCR93C9IUW49UZ4I6T" localSheetId="30" hidden="1">#REF!</definedName>
    <definedName name="BExTTZNS2PBCR93C9IUW49UZ4I6T" localSheetId="29" hidden="1">#REF!</definedName>
    <definedName name="BExTTZNS2PBCR93C9IUW49UZ4I6T" localSheetId="33" hidden="1">#REF!</definedName>
    <definedName name="BExTTZNS2PBCR93C9IUW49UZ4I6T" localSheetId="31" hidden="1">#REF!</definedName>
    <definedName name="BExTTZNS2PBCR93C9IUW49UZ4I6T" localSheetId="32" hidden="1">#REF!</definedName>
    <definedName name="BExTTZNS2PBCR93C9IUW49UZ4I6T" hidden="1">#REF!</definedName>
    <definedName name="BExTU2YFQ25JQ6MEMRHHN66VLTPJ" localSheetId="30" hidden="1">#REF!</definedName>
    <definedName name="BExTU2YFQ25JQ6MEMRHHN66VLTPJ" localSheetId="29" hidden="1">#REF!</definedName>
    <definedName name="BExTU2YFQ25JQ6MEMRHHN66VLTPJ" localSheetId="33" hidden="1">#REF!</definedName>
    <definedName name="BExTU2YFQ25JQ6MEMRHHN66VLTPJ" localSheetId="31" hidden="1">#REF!</definedName>
    <definedName name="BExTU2YFQ25JQ6MEMRHHN66VLTPJ" localSheetId="32" hidden="1">#REF!</definedName>
    <definedName name="BExTU2YFQ25JQ6MEMRHHN66VLTPJ" hidden="1">#REF!</definedName>
    <definedName name="BExTU75IOII1V5O0C9X2VAYYVJUG" localSheetId="30" hidden="1">#REF!</definedName>
    <definedName name="BExTU75IOII1V5O0C9X2VAYYVJUG" localSheetId="29" hidden="1">#REF!</definedName>
    <definedName name="BExTU75IOII1V5O0C9X2VAYYVJUG" localSheetId="33" hidden="1">#REF!</definedName>
    <definedName name="BExTU75IOII1V5O0C9X2VAYYVJUG" localSheetId="31" hidden="1">#REF!</definedName>
    <definedName name="BExTU75IOII1V5O0C9X2VAYYVJUG" localSheetId="32" hidden="1">#REF!</definedName>
    <definedName name="BExTU75IOII1V5O0C9X2VAYYVJUG" hidden="1">#REF!</definedName>
    <definedName name="BExTUA5F7V4LUIIAM17J3A8XF3JE" localSheetId="30" hidden="1">#REF!</definedName>
    <definedName name="BExTUA5F7V4LUIIAM17J3A8XF3JE" localSheetId="29" hidden="1">#REF!</definedName>
    <definedName name="BExTUA5F7V4LUIIAM17J3A8XF3JE" localSheetId="33" hidden="1">#REF!</definedName>
    <definedName name="BExTUA5F7V4LUIIAM17J3A8XF3JE" localSheetId="31" hidden="1">#REF!</definedName>
    <definedName name="BExTUA5F7V4LUIIAM17J3A8XF3JE" localSheetId="32" hidden="1">#REF!</definedName>
    <definedName name="BExTUA5F7V4LUIIAM17J3A8XF3JE" hidden="1">#REF!</definedName>
    <definedName name="BExTUJ53ANGZ3H1KDK4CR4Q0OD6P" localSheetId="30" hidden="1">#REF!</definedName>
    <definedName name="BExTUJ53ANGZ3H1KDK4CR4Q0OD6P" localSheetId="29" hidden="1">#REF!</definedName>
    <definedName name="BExTUJ53ANGZ3H1KDK4CR4Q0OD6P" localSheetId="33" hidden="1">#REF!</definedName>
    <definedName name="BExTUJ53ANGZ3H1KDK4CR4Q0OD6P" localSheetId="31" hidden="1">#REF!</definedName>
    <definedName name="BExTUJ53ANGZ3H1KDK4CR4Q0OD6P" localSheetId="32" hidden="1">#REF!</definedName>
    <definedName name="BExTUJ53ANGZ3H1KDK4CR4Q0OD6P" hidden="1">#REF!</definedName>
    <definedName name="BExTUKXSZBM7C57G6NGLWGU4WOHY" localSheetId="30" hidden="1">#REF!</definedName>
    <definedName name="BExTUKXSZBM7C57G6NGLWGU4WOHY" localSheetId="29" hidden="1">#REF!</definedName>
    <definedName name="BExTUKXSZBM7C57G6NGLWGU4WOHY" localSheetId="33" hidden="1">#REF!</definedName>
    <definedName name="BExTUKXSZBM7C57G6NGLWGU4WOHY" localSheetId="31" hidden="1">#REF!</definedName>
    <definedName name="BExTUKXSZBM7C57G6NGLWGU4WOHY" localSheetId="32" hidden="1">#REF!</definedName>
    <definedName name="BExTUKXSZBM7C57G6NGLWGU4WOHY" hidden="1">#REF!</definedName>
    <definedName name="BExTUSQCFFYZCDNHWHADBC2E1ZP1" localSheetId="30" hidden="1">#REF!</definedName>
    <definedName name="BExTUSQCFFYZCDNHWHADBC2E1ZP1" localSheetId="29" hidden="1">#REF!</definedName>
    <definedName name="BExTUSQCFFYZCDNHWHADBC2E1ZP1" localSheetId="33" hidden="1">#REF!</definedName>
    <definedName name="BExTUSQCFFYZCDNHWHADBC2E1ZP1" localSheetId="31" hidden="1">#REF!</definedName>
    <definedName name="BExTUSQCFFYZCDNHWHADBC2E1ZP1" localSheetId="32" hidden="1">#REF!</definedName>
    <definedName name="BExTUSQCFFYZCDNHWHADBC2E1ZP1" hidden="1">#REF!</definedName>
    <definedName name="BExTUVFGOJEYS28JURA5KHQFDU5J" localSheetId="30" hidden="1">#REF!</definedName>
    <definedName name="BExTUVFGOJEYS28JURA5KHQFDU5J" localSheetId="29" hidden="1">#REF!</definedName>
    <definedName name="BExTUVFGOJEYS28JURA5KHQFDU5J" localSheetId="33" hidden="1">#REF!</definedName>
    <definedName name="BExTUVFGOJEYS28JURA5KHQFDU5J" localSheetId="31" hidden="1">#REF!</definedName>
    <definedName name="BExTUVFGOJEYS28JURA5KHQFDU5J" localSheetId="32" hidden="1">#REF!</definedName>
    <definedName name="BExTUVFGOJEYS28JURA5KHQFDU5J" hidden="1">#REF!</definedName>
    <definedName name="BExTUW10U40QCYGHM5NJ3YR1O5SP" localSheetId="30" hidden="1">#REF!</definedName>
    <definedName name="BExTUW10U40QCYGHM5NJ3YR1O5SP" localSheetId="29" hidden="1">#REF!</definedName>
    <definedName name="BExTUW10U40QCYGHM5NJ3YR1O5SP" localSheetId="33" hidden="1">#REF!</definedName>
    <definedName name="BExTUW10U40QCYGHM5NJ3YR1O5SP" localSheetId="31" hidden="1">#REF!</definedName>
    <definedName name="BExTUW10U40QCYGHM5NJ3YR1O5SP" localSheetId="32" hidden="1">#REF!</definedName>
    <definedName name="BExTUW10U40QCYGHM5NJ3YR1O5SP" hidden="1">#REF!</definedName>
    <definedName name="BExTUWXFQHINU66YG82BI20ATMB5" localSheetId="30" hidden="1">#REF!</definedName>
    <definedName name="BExTUWXFQHINU66YG82BI20ATMB5" localSheetId="29" hidden="1">#REF!</definedName>
    <definedName name="BExTUWXFQHINU66YG82BI20ATMB5" localSheetId="33" hidden="1">#REF!</definedName>
    <definedName name="BExTUWXFQHINU66YG82BI20ATMB5" localSheetId="31" hidden="1">#REF!</definedName>
    <definedName name="BExTUWXFQHINU66YG82BI20ATMB5" localSheetId="32" hidden="1">#REF!</definedName>
    <definedName name="BExTUWXFQHINU66YG82BI20ATMB5" hidden="1">#REF!</definedName>
    <definedName name="BExTUY9WNSJ91GV8CP0SKJTEIV82" localSheetId="30" hidden="1">#REF!</definedName>
    <definedName name="BExTUY9WNSJ91GV8CP0SKJTEIV82" localSheetId="29" hidden="1">#REF!</definedName>
    <definedName name="BExTUY9WNSJ91GV8CP0SKJTEIV82" localSheetId="33" hidden="1">#REF!</definedName>
    <definedName name="BExTUY9WNSJ91GV8CP0SKJTEIV82" localSheetId="31" hidden="1">#REF!</definedName>
    <definedName name="BExTUY9WNSJ91GV8CP0SKJTEIV82" localSheetId="32" hidden="1">#REF!</definedName>
    <definedName name="BExTUY9WNSJ91GV8CP0SKJTEIV82" hidden="1">#REF!</definedName>
    <definedName name="BExTV67VIM8PV6KO253M4DUBJQLC" localSheetId="30" hidden="1">#REF!</definedName>
    <definedName name="BExTV67VIM8PV6KO253M4DUBJQLC" localSheetId="29" hidden="1">#REF!</definedName>
    <definedName name="BExTV67VIM8PV6KO253M4DUBJQLC" localSheetId="33" hidden="1">#REF!</definedName>
    <definedName name="BExTV67VIM8PV6KO253M4DUBJQLC" localSheetId="31" hidden="1">#REF!</definedName>
    <definedName name="BExTV67VIM8PV6KO253M4DUBJQLC" localSheetId="32" hidden="1">#REF!</definedName>
    <definedName name="BExTV67VIM8PV6KO253M4DUBJQLC" hidden="1">#REF!</definedName>
    <definedName name="BExTVELZCF2YA5L6F23BYZZR6WHF" localSheetId="30" hidden="1">#REF!</definedName>
    <definedName name="BExTVELZCF2YA5L6F23BYZZR6WHF" localSheetId="29" hidden="1">#REF!</definedName>
    <definedName name="BExTVELZCF2YA5L6F23BYZZR6WHF" localSheetId="33" hidden="1">#REF!</definedName>
    <definedName name="BExTVELZCF2YA5L6F23BYZZR6WHF" localSheetId="31" hidden="1">#REF!</definedName>
    <definedName name="BExTVELZCF2YA5L6F23BYZZR6WHF" localSheetId="32" hidden="1">#REF!</definedName>
    <definedName name="BExTVELZCF2YA5L6F23BYZZR6WHF" hidden="1">#REF!</definedName>
    <definedName name="BExTVGPIQZ99YFXUC8OONUX5BD42" localSheetId="30" hidden="1">#REF!</definedName>
    <definedName name="BExTVGPIQZ99YFXUC8OONUX5BD42" localSheetId="29" hidden="1">#REF!</definedName>
    <definedName name="BExTVGPIQZ99YFXUC8OONUX5BD42" localSheetId="33" hidden="1">#REF!</definedName>
    <definedName name="BExTVGPIQZ99YFXUC8OONUX5BD42" localSheetId="31" hidden="1">#REF!</definedName>
    <definedName name="BExTVGPIQZ99YFXUC8OONUX5BD42" localSheetId="32" hidden="1">#REF!</definedName>
    <definedName name="BExTVGPIQZ99YFXUC8OONUX5BD42" hidden="1">#REF!</definedName>
    <definedName name="BExTVUN5MGEV0QOW06347J1ERK47" localSheetId="30" hidden="1">#REF!</definedName>
    <definedName name="BExTVUN5MGEV0QOW06347J1ERK47" localSheetId="29" hidden="1">#REF!</definedName>
    <definedName name="BExTVUN5MGEV0QOW06347J1ERK47" localSheetId="33" hidden="1">#REF!</definedName>
    <definedName name="BExTVUN5MGEV0QOW06347J1ERK47" localSheetId="31" hidden="1">#REF!</definedName>
    <definedName name="BExTVUN5MGEV0QOW06347J1ERK47" localSheetId="32" hidden="1">#REF!</definedName>
    <definedName name="BExTVUN5MGEV0QOW06347J1ERK47" hidden="1">#REF!</definedName>
    <definedName name="BExTVZQLP9VFLEYQ9280W13X7E8K" localSheetId="30" hidden="1">#REF!</definedName>
    <definedName name="BExTVZQLP9VFLEYQ9280W13X7E8K" localSheetId="29" hidden="1">#REF!</definedName>
    <definedName name="BExTVZQLP9VFLEYQ9280W13X7E8K" localSheetId="33" hidden="1">#REF!</definedName>
    <definedName name="BExTVZQLP9VFLEYQ9280W13X7E8K" localSheetId="31" hidden="1">#REF!</definedName>
    <definedName name="BExTVZQLP9VFLEYQ9280W13X7E8K" localSheetId="32" hidden="1">#REF!</definedName>
    <definedName name="BExTVZQLP9VFLEYQ9280W13X7E8K" hidden="1">#REF!</definedName>
    <definedName name="BExTW24WPC4LJ4QWVHFCT9OZRTFB" localSheetId="30" hidden="1">#REF!</definedName>
    <definedName name="BExTW24WPC4LJ4QWVHFCT9OZRTFB" localSheetId="29" hidden="1">#REF!</definedName>
    <definedName name="BExTW24WPC4LJ4QWVHFCT9OZRTFB" localSheetId="33" hidden="1">#REF!</definedName>
    <definedName name="BExTW24WPC4LJ4QWVHFCT9OZRTFB" localSheetId="31" hidden="1">#REF!</definedName>
    <definedName name="BExTW24WPC4LJ4QWVHFCT9OZRTFB" localSheetId="32" hidden="1">#REF!</definedName>
    <definedName name="BExTW24WPC4LJ4QWVHFCT9OZRTFB" hidden="1">#REF!</definedName>
    <definedName name="BExTWB4LA1PODQOH4LDTHQKBN16K" localSheetId="30" hidden="1">#REF!</definedName>
    <definedName name="BExTWB4LA1PODQOH4LDTHQKBN16K" localSheetId="29" hidden="1">#REF!</definedName>
    <definedName name="BExTWB4LA1PODQOH4LDTHQKBN16K" localSheetId="33" hidden="1">#REF!</definedName>
    <definedName name="BExTWB4LA1PODQOH4LDTHQKBN16K" localSheetId="31" hidden="1">#REF!</definedName>
    <definedName name="BExTWB4LA1PODQOH4LDTHQKBN16K" localSheetId="32" hidden="1">#REF!</definedName>
    <definedName name="BExTWB4LA1PODQOH4LDTHQKBN16K" hidden="1">#REF!</definedName>
    <definedName name="BExTWI0Q8AWXUA3ZN7I5V3QK2KM1" localSheetId="30" hidden="1">#REF!</definedName>
    <definedName name="BExTWI0Q8AWXUA3ZN7I5V3QK2KM1" localSheetId="29" hidden="1">#REF!</definedName>
    <definedName name="BExTWI0Q8AWXUA3ZN7I5V3QK2KM1" localSheetId="33" hidden="1">#REF!</definedName>
    <definedName name="BExTWI0Q8AWXUA3ZN7I5V3QK2KM1" localSheetId="31" hidden="1">#REF!</definedName>
    <definedName name="BExTWI0Q8AWXUA3ZN7I5V3QK2KM1" localSheetId="32" hidden="1">#REF!</definedName>
    <definedName name="BExTWI0Q8AWXUA3ZN7I5V3QK2KM1" hidden="1">#REF!</definedName>
    <definedName name="BExTWJTIA3WUW1PUWXAOP9O8NKLZ" localSheetId="30" hidden="1">#REF!</definedName>
    <definedName name="BExTWJTIA3WUW1PUWXAOP9O8NKLZ" localSheetId="29" hidden="1">#REF!</definedName>
    <definedName name="BExTWJTIA3WUW1PUWXAOP9O8NKLZ" localSheetId="33" hidden="1">#REF!</definedName>
    <definedName name="BExTWJTIA3WUW1PUWXAOP9O8NKLZ" localSheetId="31" hidden="1">#REF!</definedName>
    <definedName name="BExTWJTIA3WUW1PUWXAOP9O8NKLZ" localSheetId="32" hidden="1">#REF!</definedName>
    <definedName name="BExTWJTIA3WUW1PUWXAOP9O8NKLZ" hidden="1">#REF!</definedName>
    <definedName name="BExTWW95OX07FNA01WF5MSSSFQLX" localSheetId="30" hidden="1">#REF!</definedName>
    <definedName name="BExTWW95OX07FNA01WF5MSSSFQLX" localSheetId="29" hidden="1">#REF!</definedName>
    <definedName name="BExTWW95OX07FNA01WF5MSSSFQLX" localSheetId="33" hidden="1">#REF!</definedName>
    <definedName name="BExTWW95OX07FNA01WF5MSSSFQLX" localSheetId="31" hidden="1">#REF!</definedName>
    <definedName name="BExTWW95OX07FNA01WF5MSSSFQLX" localSheetId="32" hidden="1">#REF!</definedName>
    <definedName name="BExTWW95OX07FNA01WF5MSSSFQLX" hidden="1">#REF!</definedName>
    <definedName name="BExTX476KI0RNB71XI5TYMANSGBG" localSheetId="30" hidden="1">#REF!</definedName>
    <definedName name="BExTX476KI0RNB71XI5TYMANSGBG" localSheetId="29" hidden="1">#REF!</definedName>
    <definedName name="BExTX476KI0RNB71XI5TYMANSGBG" localSheetId="33" hidden="1">#REF!</definedName>
    <definedName name="BExTX476KI0RNB71XI5TYMANSGBG" localSheetId="31" hidden="1">#REF!</definedName>
    <definedName name="BExTX476KI0RNB71XI5TYMANSGBG" localSheetId="32" hidden="1">#REF!</definedName>
    <definedName name="BExTX476KI0RNB71XI5TYMANSGBG" hidden="1">#REF!</definedName>
    <definedName name="BExTXJ6HBAIXMMWKZTJNFDYVZCAY" localSheetId="30" hidden="1">#REF!</definedName>
    <definedName name="BExTXJ6HBAIXMMWKZTJNFDYVZCAY" localSheetId="29" hidden="1">#REF!</definedName>
    <definedName name="BExTXJ6HBAIXMMWKZTJNFDYVZCAY" localSheetId="33" hidden="1">#REF!</definedName>
    <definedName name="BExTXJ6HBAIXMMWKZTJNFDYVZCAY" localSheetId="31" hidden="1">#REF!</definedName>
    <definedName name="BExTXJ6HBAIXMMWKZTJNFDYVZCAY" localSheetId="32" hidden="1">#REF!</definedName>
    <definedName name="BExTXJ6HBAIXMMWKZTJNFDYVZCAY" hidden="1">#REF!</definedName>
    <definedName name="BExTXT812NQT8GAEGH738U29BI0D" localSheetId="30" hidden="1">#REF!</definedName>
    <definedName name="BExTXT812NQT8GAEGH738U29BI0D" localSheetId="29" hidden="1">#REF!</definedName>
    <definedName name="BExTXT812NQT8GAEGH738U29BI0D" localSheetId="33" hidden="1">#REF!</definedName>
    <definedName name="BExTXT812NQT8GAEGH738U29BI0D" localSheetId="31" hidden="1">#REF!</definedName>
    <definedName name="BExTXT812NQT8GAEGH738U29BI0D" localSheetId="32" hidden="1">#REF!</definedName>
    <definedName name="BExTXT812NQT8GAEGH738U29BI0D" hidden="1">#REF!</definedName>
    <definedName name="BExTXWIP2TFPTQ76NHFOB72NICRZ" localSheetId="30" hidden="1">#REF!</definedName>
    <definedName name="BExTXWIP2TFPTQ76NHFOB72NICRZ" localSheetId="29" hidden="1">#REF!</definedName>
    <definedName name="BExTXWIP2TFPTQ76NHFOB72NICRZ" localSheetId="33" hidden="1">#REF!</definedName>
    <definedName name="BExTXWIP2TFPTQ76NHFOB72NICRZ" localSheetId="31" hidden="1">#REF!</definedName>
    <definedName name="BExTXWIP2TFPTQ76NHFOB72NICRZ" localSheetId="32" hidden="1">#REF!</definedName>
    <definedName name="BExTXWIP2TFPTQ76NHFOB72NICRZ" hidden="1">#REF!</definedName>
    <definedName name="BExTY5T62H651VC86QM4X7E28JVA" localSheetId="30" hidden="1">#REF!</definedName>
    <definedName name="BExTY5T62H651VC86QM4X7E28JVA" localSheetId="29" hidden="1">#REF!</definedName>
    <definedName name="BExTY5T62H651VC86QM4X7E28JVA" localSheetId="33" hidden="1">#REF!</definedName>
    <definedName name="BExTY5T62H651VC86QM4X7E28JVA" localSheetId="31" hidden="1">#REF!</definedName>
    <definedName name="BExTY5T62H651VC86QM4X7E28JVA" localSheetId="32" hidden="1">#REF!</definedName>
    <definedName name="BExTY5T62H651VC86QM4X7E28JVA" hidden="1">#REF!</definedName>
    <definedName name="BExTY75OODPQ9TH9PN2LAM75SSGE" localSheetId="30" hidden="1">#REF!</definedName>
    <definedName name="BExTY75OODPQ9TH9PN2LAM75SSGE" localSheetId="29" hidden="1">#REF!</definedName>
    <definedName name="BExTY75OODPQ9TH9PN2LAM75SSGE" localSheetId="33" hidden="1">#REF!</definedName>
    <definedName name="BExTY75OODPQ9TH9PN2LAM75SSGE" localSheetId="31" hidden="1">#REF!</definedName>
    <definedName name="BExTY75OODPQ9TH9PN2LAM75SSGE" localSheetId="32" hidden="1">#REF!</definedName>
    <definedName name="BExTY75OODPQ9TH9PN2LAM75SSGE" hidden="1">#REF!</definedName>
    <definedName name="BExTYHCJJ2NWRM1RV59FYR41534U" localSheetId="30" hidden="1">#REF!</definedName>
    <definedName name="BExTYHCJJ2NWRM1RV59FYR41534U" localSheetId="29" hidden="1">#REF!</definedName>
    <definedName name="BExTYHCJJ2NWRM1RV59FYR41534U" localSheetId="33" hidden="1">#REF!</definedName>
    <definedName name="BExTYHCJJ2NWRM1RV59FYR41534U" localSheetId="31" hidden="1">#REF!</definedName>
    <definedName name="BExTYHCJJ2NWRM1RV59FYR41534U" localSheetId="32" hidden="1">#REF!</definedName>
    <definedName name="BExTYHCJJ2NWRM1RV59FYR41534U" hidden="1">#REF!</definedName>
    <definedName name="BExTYKCEFJ83LZM95M1V7CSFQVEA" localSheetId="30" hidden="1">#REF!</definedName>
    <definedName name="BExTYKCEFJ83LZM95M1V7CSFQVEA" localSheetId="29" hidden="1">#REF!</definedName>
    <definedName name="BExTYKCEFJ83LZM95M1V7CSFQVEA" localSheetId="33" hidden="1">#REF!</definedName>
    <definedName name="BExTYKCEFJ83LZM95M1V7CSFQVEA" localSheetId="31" hidden="1">#REF!</definedName>
    <definedName name="BExTYKCEFJ83LZM95M1V7CSFQVEA" localSheetId="32" hidden="1">#REF!</definedName>
    <definedName name="BExTYKCEFJ83LZM95M1V7CSFQVEA" hidden="1">#REF!</definedName>
    <definedName name="BExTYPLA9N640MFRJJQPKXT7P88M" localSheetId="30" hidden="1">#REF!</definedName>
    <definedName name="BExTYPLA9N640MFRJJQPKXT7P88M" localSheetId="29" hidden="1">#REF!</definedName>
    <definedName name="BExTYPLA9N640MFRJJQPKXT7P88M" localSheetId="33" hidden="1">#REF!</definedName>
    <definedName name="BExTYPLA9N640MFRJJQPKXT7P88M" localSheetId="31" hidden="1">#REF!</definedName>
    <definedName name="BExTYPLA9N640MFRJJQPKXT7P88M" localSheetId="32" hidden="1">#REF!</definedName>
    <definedName name="BExTYPLA9N640MFRJJQPKXT7P88M" hidden="1">#REF!</definedName>
    <definedName name="BExTZ7F71SNTOX4LLZCK5R9VUMIJ" localSheetId="30" hidden="1">#REF!</definedName>
    <definedName name="BExTZ7F71SNTOX4LLZCK5R9VUMIJ" localSheetId="29" hidden="1">#REF!</definedName>
    <definedName name="BExTZ7F71SNTOX4LLZCK5R9VUMIJ" localSheetId="33" hidden="1">#REF!</definedName>
    <definedName name="BExTZ7F71SNTOX4LLZCK5R9VUMIJ" localSheetId="31" hidden="1">#REF!</definedName>
    <definedName name="BExTZ7F71SNTOX4LLZCK5R9VUMIJ" localSheetId="32" hidden="1">#REF!</definedName>
    <definedName name="BExTZ7F71SNTOX4LLZCK5R9VUMIJ" hidden="1">#REF!</definedName>
    <definedName name="BExTZ7Q0MCMUFR3T9GZZ9IB0AN8V" localSheetId="30" hidden="1">#REF!</definedName>
    <definedName name="BExTZ7Q0MCMUFR3T9GZZ9IB0AN8V" localSheetId="29" hidden="1">#REF!</definedName>
    <definedName name="BExTZ7Q0MCMUFR3T9GZZ9IB0AN8V" localSheetId="33" hidden="1">#REF!</definedName>
    <definedName name="BExTZ7Q0MCMUFR3T9GZZ9IB0AN8V" localSheetId="31" hidden="1">#REF!</definedName>
    <definedName name="BExTZ7Q0MCMUFR3T9GZZ9IB0AN8V" localSheetId="32" hidden="1">#REF!</definedName>
    <definedName name="BExTZ7Q0MCMUFR3T9GZZ9IB0AN8V" hidden="1">#REF!</definedName>
    <definedName name="BExTZ8X5G9S3PA4FPSNK7T69W7QT" localSheetId="30" hidden="1">#REF!</definedName>
    <definedName name="BExTZ8X5G9S3PA4FPSNK7T69W7QT" localSheetId="29" hidden="1">#REF!</definedName>
    <definedName name="BExTZ8X5G9S3PA4FPSNK7T69W7QT" localSheetId="33" hidden="1">#REF!</definedName>
    <definedName name="BExTZ8X5G9S3PA4FPSNK7T69W7QT" localSheetId="31" hidden="1">#REF!</definedName>
    <definedName name="BExTZ8X5G9S3PA4FPSNK7T69W7QT" localSheetId="32" hidden="1">#REF!</definedName>
    <definedName name="BExTZ8X5G9S3PA4FPSNK7T69W7QT" hidden="1">#REF!</definedName>
    <definedName name="BExTZ97Y0RMR8V5BI9F2H4MFB77O" localSheetId="30" hidden="1">#REF!</definedName>
    <definedName name="BExTZ97Y0RMR8V5BI9F2H4MFB77O" localSheetId="29" hidden="1">#REF!</definedName>
    <definedName name="BExTZ97Y0RMR8V5BI9F2H4MFB77O" localSheetId="33" hidden="1">#REF!</definedName>
    <definedName name="BExTZ97Y0RMR8V5BI9F2H4MFB77O" localSheetId="31" hidden="1">#REF!</definedName>
    <definedName name="BExTZ97Y0RMR8V5BI9F2H4MFB77O" localSheetId="32" hidden="1">#REF!</definedName>
    <definedName name="BExTZ97Y0RMR8V5BI9F2H4MFB77O" hidden="1">#REF!</definedName>
    <definedName name="BExTZEWYK9333QXI8CBZ3QYGJCY4" localSheetId="30" hidden="1">#REF!</definedName>
    <definedName name="BExTZEWYK9333QXI8CBZ3QYGJCY4" localSheetId="29" hidden="1">#REF!</definedName>
    <definedName name="BExTZEWYK9333QXI8CBZ3QYGJCY4" localSheetId="33" hidden="1">#REF!</definedName>
    <definedName name="BExTZEWYK9333QXI8CBZ3QYGJCY4" localSheetId="31" hidden="1">#REF!</definedName>
    <definedName name="BExTZEWYK9333QXI8CBZ3QYGJCY4" localSheetId="32" hidden="1">#REF!</definedName>
    <definedName name="BExTZEWYK9333QXI8CBZ3QYGJCY4" hidden="1">#REF!</definedName>
    <definedName name="BExTZK5PMCAXJL4DUIGL6H9Y8U4C" localSheetId="30" hidden="1">#REF!</definedName>
    <definedName name="BExTZK5PMCAXJL4DUIGL6H9Y8U4C" localSheetId="29" hidden="1">#REF!</definedName>
    <definedName name="BExTZK5PMCAXJL4DUIGL6H9Y8U4C" localSheetId="33" hidden="1">#REF!</definedName>
    <definedName name="BExTZK5PMCAXJL4DUIGL6H9Y8U4C" localSheetId="31" hidden="1">#REF!</definedName>
    <definedName name="BExTZK5PMCAXJL4DUIGL6H9Y8U4C" localSheetId="32" hidden="1">#REF!</definedName>
    <definedName name="BExTZK5PMCAXJL4DUIGL6H9Y8U4C" hidden="1">#REF!</definedName>
    <definedName name="BExTZKB6L5SXV5UN71YVTCBEIGWY" localSheetId="30" hidden="1">#REF!</definedName>
    <definedName name="BExTZKB6L5SXV5UN71YVTCBEIGWY" localSheetId="29" hidden="1">#REF!</definedName>
    <definedName name="BExTZKB6L5SXV5UN71YVTCBEIGWY" localSheetId="33" hidden="1">#REF!</definedName>
    <definedName name="BExTZKB6L5SXV5UN71YVTCBEIGWY" localSheetId="31" hidden="1">#REF!</definedName>
    <definedName name="BExTZKB6L5SXV5UN71YVTCBEIGWY" localSheetId="32" hidden="1">#REF!</definedName>
    <definedName name="BExTZKB6L5SXV5UN71YVTCBEIGWY" hidden="1">#REF!</definedName>
    <definedName name="BExTZLICVKK4NBJFEGL270GJ2VQO" localSheetId="30" hidden="1">#REF!</definedName>
    <definedName name="BExTZLICVKK4NBJFEGL270GJ2VQO" localSheetId="29" hidden="1">#REF!</definedName>
    <definedName name="BExTZLICVKK4NBJFEGL270GJ2VQO" localSheetId="33" hidden="1">#REF!</definedName>
    <definedName name="BExTZLICVKK4NBJFEGL270GJ2VQO" localSheetId="31" hidden="1">#REF!</definedName>
    <definedName name="BExTZLICVKK4NBJFEGL270GJ2VQO" localSheetId="32" hidden="1">#REF!</definedName>
    <definedName name="BExTZLICVKK4NBJFEGL270GJ2VQO" hidden="1">#REF!</definedName>
    <definedName name="BExTZO2596CBZKPI7YNA1QQNPAIJ" localSheetId="30" hidden="1">#REF!</definedName>
    <definedName name="BExTZO2596CBZKPI7YNA1QQNPAIJ" localSheetId="29" hidden="1">#REF!</definedName>
    <definedName name="BExTZO2596CBZKPI7YNA1QQNPAIJ" localSheetId="33" hidden="1">#REF!</definedName>
    <definedName name="BExTZO2596CBZKPI7YNA1QQNPAIJ" localSheetId="31" hidden="1">#REF!</definedName>
    <definedName name="BExTZO2596CBZKPI7YNA1QQNPAIJ" localSheetId="32" hidden="1">#REF!</definedName>
    <definedName name="BExTZO2596CBZKPI7YNA1QQNPAIJ" hidden="1">#REF!</definedName>
    <definedName name="BExTZY8TDV4U7FQL7O10G6VKWKPJ" localSheetId="30" hidden="1">#REF!</definedName>
    <definedName name="BExTZY8TDV4U7FQL7O10G6VKWKPJ" localSheetId="29" hidden="1">#REF!</definedName>
    <definedName name="BExTZY8TDV4U7FQL7O10G6VKWKPJ" localSheetId="33" hidden="1">#REF!</definedName>
    <definedName name="BExTZY8TDV4U7FQL7O10G6VKWKPJ" localSheetId="31" hidden="1">#REF!</definedName>
    <definedName name="BExTZY8TDV4U7FQL7O10G6VKWKPJ" localSheetId="32" hidden="1">#REF!</definedName>
    <definedName name="BExTZY8TDV4U7FQL7O10G6VKWKPJ" hidden="1">#REF!</definedName>
    <definedName name="BExU02QNT4LT7H9JPUC4FXTLVGZT" localSheetId="30" hidden="1">#REF!</definedName>
    <definedName name="BExU02QNT4LT7H9JPUC4FXTLVGZT" localSheetId="29" hidden="1">#REF!</definedName>
    <definedName name="BExU02QNT4LT7H9JPUC4FXTLVGZT" localSheetId="33" hidden="1">#REF!</definedName>
    <definedName name="BExU02QNT4LT7H9JPUC4FXTLVGZT" localSheetId="31" hidden="1">#REF!</definedName>
    <definedName name="BExU02QNT4LT7H9JPUC4FXTLVGZT" localSheetId="32" hidden="1">#REF!</definedName>
    <definedName name="BExU02QNT4LT7H9JPUC4FXTLVGZT" hidden="1">#REF!</definedName>
    <definedName name="BExU0BFJJQO1HJZKI14QGOQ6JROO" localSheetId="30" hidden="1">#REF!</definedName>
    <definedName name="BExU0BFJJQO1HJZKI14QGOQ6JROO" localSheetId="29" hidden="1">#REF!</definedName>
    <definedName name="BExU0BFJJQO1HJZKI14QGOQ6JROO" localSheetId="33" hidden="1">#REF!</definedName>
    <definedName name="BExU0BFJJQO1HJZKI14QGOQ6JROO" localSheetId="31" hidden="1">#REF!</definedName>
    <definedName name="BExU0BFJJQO1HJZKI14QGOQ6JROO" localSheetId="32" hidden="1">#REF!</definedName>
    <definedName name="BExU0BFJJQO1HJZKI14QGOQ6JROO" hidden="1">#REF!</definedName>
    <definedName name="BExU0FH5WTGW8MRFUFMDDSMJ6YQ5" localSheetId="30" hidden="1">#REF!</definedName>
    <definedName name="BExU0FH5WTGW8MRFUFMDDSMJ6YQ5" localSheetId="29" hidden="1">#REF!</definedName>
    <definedName name="BExU0FH5WTGW8MRFUFMDDSMJ6YQ5" localSheetId="33" hidden="1">#REF!</definedName>
    <definedName name="BExU0FH5WTGW8MRFUFMDDSMJ6YQ5" localSheetId="31" hidden="1">#REF!</definedName>
    <definedName name="BExU0FH5WTGW8MRFUFMDDSMJ6YQ5" localSheetId="32" hidden="1">#REF!</definedName>
    <definedName name="BExU0FH5WTGW8MRFUFMDDSMJ6YQ5" hidden="1">#REF!</definedName>
    <definedName name="BExU0GDOIL9U33QGU9ZU3YX3V1I4" localSheetId="30" hidden="1">#REF!</definedName>
    <definedName name="BExU0GDOIL9U33QGU9ZU3YX3V1I4" localSheetId="29" hidden="1">#REF!</definedName>
    <definedName name="BExU0GDOIL9U33QGU9ZU3YX3V1I4" localSheetId="33" hidden="1">#REF!</definedName>
    <definedName name="BExU0GDOIL9U33QGU9ZU3YX3V1I4" localSheetId="31" hidden="1">#REF!</definedName>
    <definedName name="BExU0GDOIL9U33QGU9ZU3YX3V1I4" localSheetId="32" hidden="1">#REF!</definedName>
    <definedName name="BExU0GDOIL9U33QGU9ZU3YX3V1I4" hidden="1">#REF!</definedName>
    <definedName name="BExU0HKTO8WJDQDWRTUK5TETM3HS" localSheetId="30" hidden="1">#REF!</definedName>
    <definedName name="BExU0HKTO8WJDQDWRTUK5TETM3HS" localSheetId="29" hidden="1">#REF!</definedName>
    <definedName name="BExU0HKTO8WJDQDWRTUK5TETM3HS" localSheetId="33" hidden="1">#REF!</definedName>
    <definedName name="BExU0HKTO8WJDQDWRTUK5TETM3HS" localSheetId="31" hidden="1">#REF!</definedName>
    <definedName name="BExU0HKTO8WJDQDWRTUK5TETM3HS" localSheetId="32" hidden="1">#REF!</definedName>
    <definedName name="BExU0HKTO8WJDQDWRTUK5TETM3HS" hidden="1">#REF!</definedName>
    <definedName name="BExU0MTJQPE041ZN7H8UKGV6MZT7" localSheetId="30" hidden="1">#REF!</definedName>
    <definedName name="BExU0MTJQPE041ZN7H8UKGV6MZT7" localSheetId="29" hidden="1">#REF!</definedName>
    <definedName name="BExU0MTJQPE041ZN7H8UKGV6MZT7" localSheetId="33" hidden="1">#REF!</definedName>
    <definedName name="BExU0MTJQPE041ZN7H8UKGV6MZT7" localSheetId="31" hidden="1">#REF!</definedName>
    <definedName name="BExU0MTJQPE041ZN7H8UKGV6MZT7" localSheetId="32" hidden="1">#REF!</definedName>
    <definedName name="BExU0MTJQPE041ZN7H8UKGV6MZT7" hidden="1">#REF!</definedName>
    <definedName name="BExU0ZUUFYHLUK4M4E8GLGIBBNT0" localSheetId="30" hidden="1">#REF!</definedName>
    <definedName name="BExU0ZUUFYHLUK4M4E8GLGIBBNT0" localSheetId="29" hidden="1">#REF!</definedName>
    <definedName name="BExU0ZUUFYHLUK4M4E8GLGIBBNT0" localSheetId="33" hidden="1">#REF!</definedName>
    <definedName name="BExU0ZUUFYHLUK4M4E8GLGIBBNT0" localSheetId="31" hidden="1">#REF!</definedName>
    <definedName name="BExU0ZUUFYHLUK4M4E8GLGIBBNT0" localSheetId="32" hidden="1">#REF!</definedName>
    <definedName name="BExU0ZUUFYHLUK4M4E8GLGIBBNT0" hidden="1">#REF!</definedName>
    <definedName name="BExU147D6RPG6ZVTSXRKFSVRHSBG" localSheetId="30" hidden="1">#REF!</definedName>
    <definedName name="BExU147D6RPG6ZVTSXRKFSVRHSBG" localSheetId="29" hidden="1">#REF!</definedName>
    <definedName name="BExU147D6RPG6ZVTSXRKFSVRHSBG" localSheetId="33" hidden="1">#REF!</definedName>
    <definedName name="BExU147D6RPG6ZVTSXRKFSVRHSBG" localSheetId="31" hidden="1">#REF!</definedName>
    <definedName name="BExU147D6RPG6ZVTSXRKFSVRHSBG" localSheetId="32" hidden="1">#REF!</definedName>
    <definedName name="BExU147D6RPG6ZVTSXRKFSVRHSBG" hidden="1">#REF!</definedName>
    <definedName name="BExU16R10W1SOAPNG4CDJ01T7JRE" localSheetId="30" hidden="1">#REF!</definedName>
    <definedName name="BExU16R10W1SOAPNG4CDJ01T7JRE" localSheetId="29" hidden="1">#REF!</definedName>
    <definedName name="BExU16R10W1SOAPNG4CDJ01T7JRE" localSheetId="33" hidden="1">#REF!</definedName>
    <definedName name="BExU16R10W1SOAPNG4CDJ01T7JRE" localSheetId="31" hidden="1">#REF!</definedName>
    <definedName name="BExU16R10W1SOAPNG4CDJ01T7JRE" localSheetId="32" hidden="1">#REF!</definedName>
    <definedName name="BExU16R10W1SOAPNG4CDJ01T7JRE" hidden="1">#REF!</definedName>
    <definedName name="BExU17CKOR3GNIHDNVLH9L1IOJS9" localSheetId="30" hidden="1">#REF!</definedName>
    <definedName name="BExU17CKOR3GNIHDNVLH9L1IOJS9" localSheetId="29" hidden="1">#REF!</definedName>
    <definedName name="BExU17CKOR3GNIHDNVLH9L1IOJS9" localSheetId="33" hidden="1">#REF!</definedName>
    <definedName name="BExU17CKOR3GNIHDNVLH9L1IOJS9" localSheetId="31" hidden="1">#REF!</definedName>
    <definedName name="BExU17CKOR3GNIHDNVLH9L1IOJS9" localSheetId="32" hidden="1">#REF!</definedName>
    <definedName name="BExU17CKOR3GNIHDNVLH9L1IOJS9" hidden="1">#REF!</definedName>
    <definedName name="BExU1GXUTLRPJN4MRINLAPHSZQFG" localSheetId="30" hidden="1">#REF!</definedName>
    <definedName name="BExU1GXUTLRPJN4MRINLAPHSZQFG" localSheetId="29" hidden="1">#REF!</definedName>
    <definedName name="BExU1GXUTLRPJN4MRINLAPHSZQFG" localSheetId="33" hidden="1">#REF!</definedName>
    <definedName name="BExU1GXUTLRPJN4MRINLAPHSZQFG" localSheetId="31" hidden="1">#REF!</definedName>
    <definedName name="BExU1GXUTLRPJN4MRINLAPHSZQFG" localSheetId="32" hidden="1">#REF!</definedName>
    <definedName name="BExU1GXUTLRPJN4MRINLAPHSZQFG" hidden="1">#REF!</definedName>
    <definedName name="BExU1IL9AOHFO85BZB6S60DK3N8H" localSheetId="30" hidden="1">#REF!</definedName>
    <definedName name="BExU1IL9AOHFO85BZB6S60DK3N8H" localSheetId="29" hidden="1">#REF!</definedName>
    <definedName name="BExU1IL9AOHFO85BZB6S60DK3N8H" localSheetId="33" hidden="1">#REF!</definedName>
    <definedName name="BExU1IL9AOHFO85BZB6S60DK3N8H" localSheetId="31" hidden="1">#REF!</definedName>
    <definedName name="BExU1IL9AOHFO85BZB6S60DK3N8H" localSheetId="32" hidden="1">#REF!</definedName>
    <definedName name="BExU1IL9AOHFO85BZB6S60DK3N8H" hidden="1">#REF!</definedName>
    <definedName name="BExU1NOPS09CLFZL1O31RAF9BQNQ" localSheetId="30" hidden="1">#REF!</definedName>
    <definedName name="BExU1NOPS09CLFZL1O31RAF9BQNQ" localSheetId="29" hidden="1">#REF!</definedName>
    <definedName name="BExU1NOPS09CLFZL1O31RAF9BQNQ" localSheetId="33" hidden="1">#REF!</definedName>
    <definedName name="BExU1NOPS09CLFZL1O31RAF9BQNQ" localSheetId="31" hidden="1">#REF!</definedName>
    <definedName name="BExU1NOPS09CLFZL1O31RAF9BQNQ" localSheetId="32" hidden="1">#REF!</definedName>
    <definedName name="BExU1NOPS09CLFZL1O31RAF9BQNQ" hidden="1">#REF!</definedName>
    <definedName name="BExU1PH9MOEX1JZVZ3D5M9DXB191" localSheetId="30" hidden="1">#REF!</definedName>
    <definedName name="BExU1PH9MOEX1JZVZ3D5M9DXB191" localSheetId="29" hidden="1">#REF!</definedName>
    <definedName name="BExU1PH9MOEX1JZVZ3D5M9DXB191" localSheetId="33" hidden="1">#REF!</definedName>
    <definedName name="BExU1PH9MOEX1JZVZ3D5M9DXB191" localSheetId="31" hidden="1">#REF!</definedName>
    <definedName name="BExU1PH9MOEX1JZVZ3D5M9DXB191" localSheetId="32" hidden="1">#REF!</definedName>
    <definedName name="BExU1PH9MOEX1JZVZ3D5M9DXB191" hidden="1">#REF!</definedName>
    <definedName name="BExU1QZEEKJA35IMEOLOJ3ODX0ZA" localSheetId="30" hidden="1">#REF!</definedName>
    <definedName name="BExU1QZEEKJA35IMEOLOJ3ODX0ZA" localSheetId="29" hidden="1">#REF!</definedName>
    <definedName name="BExU1QZEEKJA35IMEOLOJ3ODX0ZA" localSheetId="33" hidden="1">#REF!</definedName>
    <definedName name="BExU1QZEEKJA35IMEOLOJ3ODX0ZA" localSheetId="31" hidden="1">#REF!</definedName>
    <definedName name="BExU1QZEEKJA35IMEOLOJ3ODX0ZA" localSheetId="32" hidden="1">#REF!</definedName>
    <definedName name="BExU1QZEEKJA35IMEOLOJ3ODX0ZA" hidden="1">#REF!</definedName>
    <definedName name="BExU1VRURIWWVJ95O40WA23LMTJD" localSheetId="30" hidden="1">#REF!</definedName>
    <definedName name="BExU1VRURIWWVJ95O40WA23LMTJD" localSheetId="29" hidden="1">#REF!</definedName>
    <definedName name="BExU1VRURIWWVJ95O40WA23LMTJD" localSheetId="33" hidden="1">#REF!</definedName>
    <definedName name="BExU1VRURIWWVJ95O40WA23LMTJD" localSheetId="31" hidden="1">#REF!</definedName>
    <definedName name="BExU1VRURIWWVJ95O40WA23LMTJD" localSheetId="32" hidden="1">#REF!</definedName>
    <definedName name="BExU1VRURIWWVJ95O40WA23LMTJD" hidden="1">#REF!</definedName>
    <definedName name="BExU21H0SMSOMI5C8WR1OU4ZZW4Q" localSheetId="30" hidden="1">#REF!</definedName>
    <definedName name="BExU21H0SMSOMI5C8WR1OU4ZZW4Q" localSheetId="29" hidden="1">#REF!</definedName>
    <definedName name="BExU21H0SMSOMI5C8WR1OU4ZZW4Q" localSheetId="33" hidden="1">#REF!</definedName>
    <definedName name="BExU21H0SMSOMI5C8WR1OU4ZZW4Q" localSheetId="31" hidden="1">#REF!</definedName>
    <definedName name="BExU21H0SMSOMI5C8WR1OU4ZZW4Q" localSheetId="32" hidden="1">#REF!</definedName>
    <definedName name="BExU21H0SMSOMI5C8WR1OU4ZZW4Q" hidden="1">#REF!</definedName>
    <definedName name="BExU2M5CK6XK55UIHDVYRXJJJRI4" localSheetId="30" hidden="1">#REF!</definedName>
    <definedName name="BExU2M5CK6XK55UIHDVYRXJJJRI4" localSheetId="29" hidden="1">#REF!</definedName>
    <definedName name="BExU2M5CK6XK55UIHDVYRXJJJRI4" localSheetId="33" hidden="1">#REF!</definedName>
    <definedName name="BExU2M5CK6XK55UIHDVYRXJJJRI4" localSheetId="31" hidden="1">#REF!</definedName>
    <definedName name="BExU2M5CK6XK55UIHDVYRXJJJRI4" localSheetId="32" hidden="1">#REF!</definedName>
    <definedName name="BExU2M5CK6XK55UIHDVYRXJJJRI4" hidden="1">#REF!</definedName>
    <definedName name="BExU2TXVT25ZTOFQAF6CM53Z1RLF" localSheetId="30" hidden="1">#REF!</definedName>
    <definedName name="BExU2TXVT25ZTOFQAF6CM53Z1RLF" localSheetId="29" hidden="1">#REF!</definedName>
    <definedName name="BExU2TXVT25ZTOFQAF6CM53Z1RLF" localSheetId="33" hidden="1">#REF!</definedName>
    <definedName name="BExU2TXVT25ZTOFQAF6CM53Z1RLF" localSheetId="31" hidden="1">#REF!</definedName>
    <definedName name="BExU2TXVT25ZTOFQAF6CM53Z1RLF" localSheetId="32" hidden="1">#REF!</definedName>
    <definedName name="BExU2TXVT25ZTOFQAF6CM53Z1RLF" hidden="1">#REF!</definedName>
    <definedName name="BExU2XZLYIU19G7358W5T9E87AFR" localSheetId="30" hidden="1">#REF!</definedName>
    <definedName name="BExU2XZLYIU19G7358W5T9E87AFR" localSheetId="29" hidden="1">#REF!</definedName>
    <definedName name="BExU2XZLYIU19G7358W5T9E87AFR" localSheetId="33" hidden="1">#REF!</definedName>
    <definedName name="BExU2XZLYIU19G7358W5T9E87AFR" localSheetId="31" hidden="1">#REF!</definedName>
    <definedName name="BExU2XZLYIU19G7358W5T9E87AFR" localSheetId="32" hidden="1">#REF!</definedName>
    <definedName name="BExU2XZLYIU19G7358W5T9E87AFR" hidden="1">#REF!</definedName>
    <definedName name="BExU3B66MCKJFSKT3HL8B5EJGVX0" localSheetId="30" hidden="1">#REF!</definedName>
    <definedName name="BExU3B66MCKJFSKT3HL8B5EJGVX0" localSheetId="29" hidden="1">#REF!</definedName>
    <definedName name="BExU3B66MCKJFSKT3HL8B5EJGVX0" localSheetId="33" hidden="1">#REF!</definedName>
    <definedName name="BExU3B66MCKJFSKT3HL8B5EJGVX0" localSheetId="31" hidden="1">#REF!</definedName>
    <definedName name="BExU3B66MCKJFSKT3HL8B5EJGVX0" localSheetId="32" hidden="1">#REF!</definedName>
    <definedName name="BExU3B66MCKJFSKT3HL8B5EJGVX0" hidden="1">#REF!</definedName>
    <definedName name="BExU3UNI9NR1RNZR07NSLSZMDOQQ" localSheetId="30" hidden="1">#REF!</definedName>
    <definedName name="BExU3UNI9NR1RNZR07NSLSZMDOQQ" localSheetId="29" hidden="1">#REF!</definedName>
    <definedName name="BExU3UNI9NR1RNZR07NSLSZMDOQQ" localSheetId="33" hidden="1">#REF!</definedName>
    <definedName name="BExU3UNI9NR1RNZR07NSLSZMDOQQ" localSheetId="31" hidden="1">#REF!</definedName>
    <definedName name="BExU3UNI9NR1RNZR07NSLSZMDOQQ" localSheetId="32" hidden="1">#REF!</definedName>
    <definedName name="BExU3UNI9NR1RNZR07NSLSZMDOQQ" hidden="1">#REF!</definedName>
    <definedName name="BExU401R18N6XKZKL7CNFOZQCM14" localSheetId="30" hidden="1">#REF!</definedName>
    <definedName name="BExU401R18N6XKZKL7CNFOZQCM14" localSheetId="29" hidden="1">#REF!</definedName>
    <definedName name="BExU401R18N6XKZKL7CNFOZQCM14" localSheetId="33" hidden="1">#REF!</definedName>
    <definedName name="BExU401R18N6XKZKL7CNFOZQCM14" localSheetId="31" hidden="1">#REF!</definedName>
    <definedName name="BExU401R18N6XKZKL7CNFOZQCM14" localSheetId="32" hidden="1">#REF!</definedName>
    <definedName name="BExU401R18N6XKZKL7CNFOZQCM14" hidden="1">#REF!</definedName>
    <definedName name="BExU42QVGY7TK39W1BIN6CDRG2OE" localSheetId="30" hidden="1">#REF!</definedName>
    <definedName name="BExU42QVGY7TK39W1BIN6CDRG2OE" localSheetId="29" hidden="1">#REF!</definedName>
    <definedName name="BExU42QVGY7TK39W1BIN6CDRG2OE" localSheetId="33" hidden="1">#REF!</definedName>
    <definedName name="BExU42QVGY7TK39W1BIN6CDRG2OE" localSheetId="31" hidden="1">#REF!</definedName>
    <definedName name="BExU42QVGY7TK39W1BIN6CDRG2OE" localSheetId="32" hidden="1">#REF!</definedName>
    <definedName name="BExU42QVGY7TK39W1BIN6CDRG2OE" hidden="1">#REF!</definedName>
    <definedName name="BExU44P2AEX6PD8VC4ISCROUCQSP" localSheetId="30" hidden="1">#REF!</definedName>
    <definedName name="BExU44P2AEX6PD8VC4ISCROUCQSP" localSheetId="29" hidden="1">#REF!</definedName>
    <definedName name="BExU44P2AEX6PD8VC4ISCROUCQSP" localSheetId="33" hidden="1">#REF!</definedName>
    <definedName name="BExU44P2AEX6PD8VC4ISCROUCQSP" localSheetId="31" hidden="1">#REF!</definedName>
    <definedName name="BExU44P2AEX6PD8VC4ISCROUCQSP" localSheetId="32" hidden="1">#REF!</definedName>
    <definedName name="BExU44P2AEX6PD8VC4ISCROUCQSP" hidden="1">#REF!</definedName>
    <definedName name="BExU47OZMS6TCWMEHHF0UCSFLLPI" localSheetId="30" hidden="1">#REF!</definedName>
    <definedName name="BExU47OZMS6TCWMEHHF0UCSFLLPI" localSheetId="29" hidden="1">#REF!</definedName>
    <definedName name="BExU47OZMS6TCWMEHHF0UCSFLLPI" localSheetId="33" hidden="1">#REF!</definedName>
    <definedName name="BExU47OZMS6TCWMEHHF0UCSFLLPI" localSheetId="31" hidden="1">#REF!</definedName>
    <definedName name="BExU47OZMS6TCWMEHHF0UCSFLLPI" localSheetId="32" hidden="1">#REF!</definedName>
    <definedName name="BExU47OZMS6TCWMEHHF0UCSFLLPI" hidden="1">#REF!</definedName>
    <definedName name="BExU4D36E8TXN0M8KSNGEAFYP4DQ" localSheetId="30" hidden="1">#REF!</definedName>
    <definedName name="BExU4D36E8TXN0M8KSNGEAFYP4DQ" localSheetId="29" hidden="1">#REF!</definedName>
    <definedName name="BExU4D36E8TXN0M8KSNGEAFYP4DQ" localSheetId="33" hidden="1">#REF!</definedName>
    <definedName name="BExU4D36E8TXN0M8KSNGEAFYP4DQ" localSheetId="31" hidden="1">#REF!</definedName>
    <definedName name="BExU4D36E8TXN0M8KSNGEAFYP4DQ" localSheetId="32" hidden="1">#REF!</definedName>
    <definedName name="BExU4D36E8TXN0M8KSNGEAFYP4DQ" hidden="1">#REF!</definedName>
    <definedName name="BExU4G31RRVLJ3AC6E1FNEFMXM3O" localSheetId="30" hidden="1">#REF!</definedName>
    <definedName name="BExU4G31RRVLJ3AC6E1FNEFMXM3O" localSheetId="29" hidden="1">#REF!</definedName>
    <definedName name="BExU4G31RRVLJ3AC6E1FNEFMXM3O" localSheetId="33" hidden="1">#REF!</definedName>
    <definedName name="BExU4G31RRVLJ3AC6E1FNEFMXM3O" localSheetId="31" hidden="1">#REF!</definedName>
    <definedName name="BExU4G31RRVLJ3AC6E1FNEFMXM3O" localSheetId="32" hidden="1">#REF!</definedName>
    <definedName name="BExU4G31RRVLJ3AC6E1FNEFMXM3O" hidden="1">#REF!</definedName>
    <definedName name="BExU4GDVLPUEWBA4MRYRTQAUNO7B" localSheetId="30" hidden="1">#REF!</definedName>
    <definedName name="BExU4GDVLPUEWBA4MRYRTQAUNO7B" localSheetId="29" hidden="1">#REF!</definedName>
    <definedName name="BExU4GDVLPUEWBA4MRYRTQAUNO7B" localSheetId="33" hidden="1">#REF!</definedName>
    <definedName name="BExU4GDVLPUEWBA4MRYRTQAUNO7B" localSheetId="31" hidden="1">#REF!</definedName>
    <definedName name="BExU4GDVLPUEWBA4MRYRTQAUNO7B" localSheetId="32" hidden="1">#REF!</definedName>
    <definedName name="BExU4GDVLPUEWBA4MRYRTQAUNO7B" hidden="1">#REF!</definedName>
    <definedName name="BExU4I148DA7PRCCISLWQ6ABXFK6" localSheetId="30" hidden="1">#REF!</definedName>
    <definedName name="BExU4I148DA7PRCCISLWQ6ABXFK6" localSheetId="29" hidden="1">#REF!</definedName>
    <definedName name="BExU4I148DA7PRCCISLWQ6ABXFK6" localSheetId="33" hidden="1">#REF!</definedName>
    <definedName name="BExU4I148DA7PRCCISLWQ6ABXFK6" localSheetId="31" hidden="1">#REF!</definedName>
    <definedName name="BExU4I148DA7PRCCISLWQ6ABXFK6" localSheetId="32" hidden="1">#REF!</definedName>
    <definedName name="BExU4I148DA7PRCCISLWQ6ABXFK6" hidden="1">#REF!</definedName>
    <definedName name="BExU4L101H2KQHVKCKQ4PBAWZV6K" localSheetId="30" hidden="1">#REF!</definedName>
    <definedName name="BExU4L101H2KQHVKCKQ4PBAWZV6K" localSheetId="29" hidden="1">#REF!</definedName>
    <definedName name="BExU4L101H2KQHVKCKQ4PBAWZV6K" localSheetId="33" hidden="1">#REF!</definedName>
    <definedName name="BExU4L101H2KQHVKCKQ4PBAWZV6K" localSheetId="31" hidden="1">#REF!</definedName>
    <definedName name="BExU4L101H2KQHVKCKQ4PBAWZV6K" localSheetId="32" hidden="1">#REF!</definedName>
    <definedName name="BExU4L101H2KQHVKCKQ4PBAWZV6K" hidden="1">#REF!</definedName>
    <definedName name="BExU4NA00RRRBGRT6TOB0MXZRCRZ" localSheetId="30" hidden="1">#REF!</definedName>
    <definedName name="BExU4NA00RRRBGRT6TOB0MXZRCRZ" localSheetId="29" hidden="1">#REF!</definedName>
    <definedName name="BExU4NA00RRRBGRT6TOB0MXZRCRZ" localSheetId="33" hidden="1">#REF!</definedName>
    <definedName name="BExU4NA00RRRBGRT6TOB0MXZRCRZ" localSheetId="31" hidden="1">#REF!</definedName>
    <definedName name="BExU4NA00RRRBGRT6TOB0MXZRCRZ" localSheetId="32" hidden="1">#REF!</definedName>
    <definedName name="BExU4NA00RRRBGRT6TOB0MXZRCRZ" hidden="1">#REF!</definedName>
    <definedName name="BExU51IFNZXPBDES28457LR8X60M" localSheetId="30" hidden="1">#REF!</definedName>
    <definedName name="BExU51IFNZXPBDES28457LR8X60M" localSheetId="29" hidden="1">#REF!</definedName>
    <definedName name="BExU51IFNZXPBDES28457LR8X60M" localSheetId="33" hidden="1">#REF!</definedName>
    <definedName name="BExU51IFNZXPBDES28457LR8X60M" localSheetId="31" hidden="1">#REF!</definedName>
    <definedName name="BExU51IFNZXPBDES28457LR8X60M" localSheetId="32" hidden="1">#REF!</definedName>
    <definedName name="BExU51IFNZXPBDES28457LR8X60M" hidden="1">#REF!</definedName>
    <definedName name="BExU529I6YHVOG83TJHWSILIQU1S" localSheetId="30" hidden="1">#REF!</definedName>
    <definedName name="BExU529I6YHVOG83TJHWSILIQU1S" localSheetId="29" hidden="1">#REF!</definedName>
    <definedName name="BExU529I6YHVOG83TJHWSILIQU1S" localSheetId="33" hidden="1">#REF!</definedName>
    <definedName name="BExU529I6YHVOG83TJHWSILIQU1S" localSheetId="31" hidden="1">#REF!</definedName>
    <definedName name="BExU529I6YHVOG83TJHWSILIQU1S" localSheetId="32" hidden="1">#REF!</definedName>
    <definedName name="BExU529I6YHVOG83TJHWSILIQU1S" hidden="1">#REF!</definedName>
    <definedName name="BExU57YCIKPRD8QWL6EU0YR3NG3J" localSheetId="30" hidden="1">#REF!</definedName>
    <definedName name="BExU57YCIKPRD8QWL6EU0YR3NG3J" localSheetId="29" hidden="1">#REF!</definedName>
    <definedName name="BExU57YCIKPRD8QWL6EU0YR3NG3J" localSheetId="33" hidden="1">#REF!</definedName>
    <definedName name="BExU57YCIKPRD8QWL6EU0YR3NG3J" localSheetId="31" hidden="1">#REF!</definedName>
    <definedName name="BExU57YCIKPRD8QWL6EU0YR3NG3J" localSheetId="32" hidden="1">#REF!</definedName>
    <definedName name="BExU57YCIKPRD8QWL6EU0YR3NG3J" hidden="1">#REF!</definedName>
    <definedName name="BExU5C5ECP95HGI1GW1V4ESUWRDF" localSheetId="30" hidden="1">#REF!</definedName>
    <definedName name="BExU5C5ECP95HGI1GW1V4ESUWRDF" localSheetId="29" hidden="1">#REF!</definedName>
    <definedName name="BExU5C5ECP95HGI1GW1V4ESUWRDF" localSheetId="33" hidden="1">#REF!</definedName>
    <definedName name="BExU5C5ECP95HGI1GW1V4ESUWRDF" localSheetId="31" hidden="1">#REF!</definedName>
    <definedName name="BExU5C5ECP95HGI1GW1V4ESUWRDF" localSheetId="32" hidden="1">#REF!</definedName>
    <definedName name="BExU5C5ECP95HGI1GW1V4ESUWRDF" hidden="1">#REF!</definedName>
    <definedName name="BExU5DSTBWXLN6E59B757KRWRI6E" localSheetId="30" hidden="1">#REF!</definedName>
    <definedName name="BExU5DSTBWXLN6E59B757KRWRI6E" localSheetId="29" hidden="1">#REF!</definedName>
    <definedName name="BExU5DSTBWXLN6E59B757KRWRI6E" localSheetId="33" hidden="1">#REF!</definedName>
    <definedName name="BExU5DSTBWXLN6E59B757KRWRI6E" localSheetId="31" hidden="1">#REF!</definedName>
    <definedName name="BExU5DSTBWXLN6E59B757KRWRI6E" localSheetId="32" hidden="1">#REF!</definedName>
    <definedName name="BExU5DSTBWXLN6E59B757KRWRI6E" hidden="1">#REF!</definedName>
    <definedName name="BExU5TDWM8NNDHYPQ7OQODTQ368A" localSheetId="30" hidden="1">#REF!</definedName>
    <definedName name="BExU5TDWM8NNDHYPQ7OQODTQ368A" localSheetId="29" hidden="1">#REF!</definedName>
    <definedName name="BExU5TDWM8NNDHYPQ7OQODTQ368A" localSheetId="33" hidden="1">#REF!</definedName>
    <definedName name="BExU5TDWM8NNDHYPQ7OQODTQ368A" localSheetId="31" hidden="1">#REF!</definedName>
    <definedName name="BExU5TDWM8NNDHYPQ7OQODTQ368A" localSheetId="32" hidden="1">#REF!</definedName>
    <definedName name="BExU5TDWM8NNDHYPQ7OQODTQ368A" hidden="1">#REF!</definedName>
    <definedName name="BExU5X4OX1V1XHS6WSSORVQPP6Z3" localSheetId="30" hidden="1">#REF!</definedName>
    <definedName name="BExU5X4OX1V1XHS6WSSORVQPP6Z3" localSheetId="29" hidden="1">#REF!</definedName>
    <definedName name="BExU5X4OX1V1XHS6WSSORVQPP6Z3" localSheetId="33" hidden="1">#REF!</definedName>
    <definedName name="BExU5X4OX1V1XHS6WSSORVQPP6Z3" localSheetId="31" hidden="1">#REF!</definedName>
    <definedName name="BExU5X4OX1V1XHS6WSSORVQPP6Z3" localSheetId="32" hidden="1">#REF!</definedName>
    <definedName name="BExU5X4OX1V1XHS6WSSORVQPP6Z3" hidden="1">#REF!</definedName>
    <definedName name="BExU5XVPARTFMRYHNUTBKDIL4UJN" localSheetId="30" hidden="1">#REF!</definedName>
    <definedName name="BExU5XVPARTFMRYHNUTBKDIL4UJN" localSheetId="29" hidden="1">#REF!</definedName>
    <definedName name="BExU5XVPARTFMRYHNUTBKDIL4UJN" localSheetId="33" hidden="1">#REF!</definedName>
    <definedName name="BExU5XVPARTFMRYHNUTBKDIL4UJN" localSheetId="31" hidden="1">#REF!</definedName>
    <definedName name="BExU5XVPARTFMRYHNUTBKDIL4UJN" localSheetId="32" hidden="1">#REF!</definedName>
    <definedName name="BExU5XVPARTFMRYHNUTBKDIL4UJN" hidden="1">#REF!</definedName>
    <definedName name="BExU62TO4YEWZIAYH86YE9UWC2P9" localSheetId="30" hidden="1">#REF!</definedName>
    <definedName name="BExU62TO4YEWZIAYH86YE9UWC2P9" localSheetId="29" hidden="1">#REF!</definedName>
    <definedName name="BExU62TO4YEWZIAYH86YE9UWC2P9" localSheetId="33" hidden="1">#REF!</definedName>
    <definedName name="BExU62TO4YEWZIAYH86YE9UWC2P9" localSheetId="31" hidden="1">#REF!</definedName>
    <definedName name="BExU62TO4YEWZIAYH86YE9UWC2P9" localSheetId="32" hidden="1">#REF!</definedName>
    <definedName name="BExU62TO4YEWZIAYH86YE9UWC2P9" hidden="1">#REF!</definedName>
    <definedName name="BExU66KMFBAP8JCVG9VM1RD1TNFF" localSheetId="30" hidden="1">#REF!</definedName>
    <definedName name="BExU66KMFBAP8JCVG9VM1RD1TNFF" localSheetId="29" hidden="1">#REF!</definedName>
    <definedName name="BExU66KMFBAP8JCVG9VM1RD1TNFF" localSheetId="33" hidden="1">#REF!</definedName>
    <definedName name="BExU66KMFBAP8JCVG9VM1RD1TNFF" localSheetId="31" hidden="1">#REF!</definedName>
    <definedName name="BExU66KMFBAP8JCVG9VM1RD1TNFF" localSheetId="32" hidden="1">#REF!</definedName>
    <definedName name="BExU66KMFBAP8JCVG9VM1RD1TNFF" hidden="1">#REF!</definedName>
    <definedName name="BExU68IOM3CB3TACNAE9565TW7SH" localSheetId="30" hidden="1">#REF!</definedName>
    <definedName name="BExU68IOM3CB3TACNAE9565TW7SH" localSheetId="29" hidden="1">#REF!</definedName>
    <definedName name="BExU68IOM3CB3TACNAE9565TW7SH" localSheetId="33" hidden="1">#REF!</definedName>
    <definedName name="BExU68IOM3CB3TACNAE9565TW7SH" localSheetId="31" hidden="1">#REF!</definedName>
    <definedName name="BExU68IOM3CB3TACNAE9565TW7SH" localSheetId="32" hidden="1">#REF!</definedName>
    <definedName name="BExU68IOM3CB3TACNAE9565TW7SH" hidden="1">#REF!</definedName>
    <definedName name="BExU6AM82KN21E82HMWVP3LWP9IL" localSheetId="30" hidden="1">#REF!</definedName>
    <definedName name="BExU6AM82KN21E82HMWVP3LWP9IL" localSheetId="29" hidden="1">#REF!</definedName>
    <definedName name="BExU6AM82KN21E82HMWVP3LWP9IL" localSheetId="33" hidden="1">#REF!</definedName>
    <definedName name="BExU6AM82KN21E82HMWVP3LWP9IL" localSheetId="31" hidden="1">#REF!</definedName>
    <definedName name="BExU6AM82KN21E82HMWVP3LWP9IL" localSheetId="32" hidden="1">#REF!</definedName>
    <definedName name="BExU6AM82KN21E82HMWVP3LWP9IL" hidden="1">#REF!</definedName>
    <definedName name="BExU6FEU1MRHU98R9YOJC5OKUJ6L" localSheetId="30" hidden="1">#REF!</definedName>
    <definedName name="BExU6FEU1MRHU98R9YOJC5OKUJ6L" localSheetId="29" hidden="1">#REF!</definedName>
    <definedName name="BExU6FEU1MRHU98R9YOJC5OKUJ6L" localSheetId="33" hidden="1">#REF!</definedName>
    <definedName name="BExU6FEU1MRHU98R9YOJC5OKUJ6L" localSheetId="31" hidden="1">#REF!</definedName>
    <definedName name="BExU6FEU1MRHU98R9YOJC5OKUJ6L" localSheetId="32" hidden="1">#REF!</definedName>
    <definedName name="BExU6FEU1MRHU98R9YOJC5OKUJ6L" hidden="1">#REF!</definedName>
    <definedName name="BExU6KIAJ663Y8W8QMU4HCF183DF" localSheetId="30" hidden="1">#REF!</definedName>
    <definedName name="BExU6KIAJ663Y8W8QMU4HCF183DF" localSheetId="29" hidden="1">#REF!</definedName>
    <definedName name="BExU6KIAJ663Y8W8QMU4HCF183DF" localSheetId="33" hidden="1">#REF!</definedName>
    <definedName name="BExU6KIAJ663Y8W8QMU4HCF183DF" localSheetId="31" hidden="1">#REF!</definedName>
    <definedName name="BExU6KIAJ663Y8W8QMU4HCF183DF" localSheetId="32" hidden="1">#REF!</definedName>
    <definedName name="BExU6KIAJ663Y8W8QMU4HCF183DF" hidden="1">#REF!</definedName>
    <definedName name="BExU6KT19B4PG6SHXFBGBPLM66KT" localSheetId="30" hidden="1">#REF!</definedName>
    <definedName name="BExU6KT19B4PG6SHXFBGBPLM66KT" localSheetId="29" hidden="1">#REF!</definedName>
    <definedName name="BExU6KT19B4PG6SHXFBGBPLM66KT" localSheetId="33" hidden="1">#REF!</definedName>
    <definedName name="BExU6KT19B4PG6SHXFBGBPLM66KT" localSheetId="31" hidden="1">#REF!</definedName>
    <definedName name="BExU6KT19B4PG6SHXFBGBPLM66KT" localSheetId="32" hidden="1">#REF!</definedName>
    <definedName name="BExU6KT19B4PG6SHXFBGBPLM66KT" hidden="1">#REF!</definedName>
    <definedName name="BExU6NCU3RR32UPO4ZISDKRMHDJT" localSheetId="30" hidden="1">#REF!</definedName>
    <definedName name="BExU6NCU3RR32UPO4ZISDKRMHDJT" localSheetId="29" hidden="1">#REF!</definedName>
    <definedName name="BExU6NCU3RR32UPO4ZISDKRMHDJT" localSheetId="33" hidden="1">#REF!</definedName>
    <definedName name="BExU6NCU3RR32UPO4ZISDKRMHDJT" localSheetId="31" hidden="1">#REF!</definedName>
    <definedName name="BExU6NCU3RR32UPO4ZISDKRMHDJT" localSheetId="32" hidden="1">#REF!</definedName>
    <definedName name="BExU6NCU3RR32UPO4ZISDKRMHDJT" hidden="1">#REF!</definedName>
    <definedName name="BExU6PAVKIOAIMQ9XQIHHF1SUAGO" localSheetId="30" hidden="1">#REF!</definedName>
    <definedName name="BExU6PAVKIOAIMQ9XQIHHF1SUAGO" localSheetId="29" hidden="1">#REF!</definedName>
    <definedName name="BExU6PAVKIOAIMQ9XQIHHF1SUAGO" localSheetId="33" hidden="1">#REF!</definedName>
    <definedName name="BExU6PAVKIOAIMQ9XQIHHF1SUAGO" localSheetId="31" hidden="1">#REF!</definedName>
    <definedName name="BExU6PAVKIOAIMQ9XQIHHF1SUAGO" localSheetId="32" hidden="1">#REF!</definedName>
    <definedName name="BExU6PAVKIOAIMQ9XQIHHF1SUAGO" hidden="1">#REF!</definedName>
    <definedName name="BExU6WXXC7SSQDMHSLUN5C2V4IYX" localSheetId="30" hidden="1">#REF!</definedName>
    <definedName name="BExU6WXXC7SSQDMHSLUN5C2V4IYX" localSheetId="29" hidden="1">#REF!</definedName>
    <definedName name="BExU6WXXC7SSQDMHSLUN5C2V4IYX" localSheetId="33" hidden="1">#REF!</definedName>
    <definedName name="BExU6WXXC7SSQDMHSLUN5C2V4IYX" localSheetId="31" hidden="1">#REF!</definedName>
    <definedName name="BExU6WXXC7SSQDMHSLUN5C2V4IYX" localSheetId="32" hidden="1">#REF!</definedName>
    <definedName name="BExU6WXXC7SSQDMHSLUN5C2V4IYX" hidden="1">#REF!</definedName>
    <definedName name="BExU73387E74XE8A9UKZLZNJYY65" localSheetId="30" hidden="1">#REF!</definedName>
    <definedName name="BExU73387E74XE8A9UKZLZNJYY65" localSheetId="29" hidden="1">#REF!</definedName>
    <definedName name="BExU73387E74XE8A9UKZLZNJYY65" localSheetId="33" hidden="1">#REF!</definedName>
    <definedName name="BExU73387E74XE8A9UKZLZNJYY65" localSheetId="31" hidden="1">#REF!</definedName>
    <definedName name="BExU73387E74XE8A9UKZLZNJYY65" localSheetId="32" hidden="1">#REF!</definedName>
    <definedName name="BExU73387E74XE8A9UKZLZNJYY65" hidden="1">#REF!</definedName>
    <definedName name="BExU76ZHCJM8I7VSICCMSTC33O6U" localSheetId="30" hidden="1">#REF!</definedName>
    <definedName name="BExU76ZHCJM8I7VSICCMSTC33O6U" localSheetId="29" hidden="1">#REF!</definedName>
    <definedName name="BExU76ZHCJM8I7VSICCMSTC33O6U" localSheetId="33" hidden="1">#REF!</definedName>
    <definedName name="BExU76ZHCJM8I7VSICCMSTC33O6U" localSheetId="31" hidden="1">#REF!</definedName>
    <definedName name="BExU76ZHCJM8I7VSICCMSTC33O6U" localSheetId="32" hidden="1">#REF!</definedName>
    <definedName name="BExU76ZHCJM8I7VSICCMSTC33O6U" hidden="1">#REF!</definedName>
    <definedName name="BExU7BBTUF8BQ42DSGM94X5TG5GF" localSheetId="30" hidden="1">#REF!</definedName>
    <definedName name="BExU7BBTUF8BQ42DSGM94X5TG5GF" localSheetId="29" hidden="1">#REF!</definedName>
    <definedName name="BExU7BBTUF8BQ42DSGM94X5TG5GF" localSheetId="33" hidden="1">#REF!</definedName>
    <definedName name="BExU7BBTUF8BQ42DSGM94X5TG5GF" localSheetId="31" hidden="1">#REF!</definedName>
    <definedName name="BExU7BBTUF8BQ42DSGM94X5TG5GF" localSheetId="32" hidden="1">#REF!</definedName>
    <definedName name="BExU7BBTUF8BQ42DSGM94X5TG5GF" hidden="1">#REF!</definedName>
    <definedName name="BExU7HH4EAHFQHT4AXKGWAWZP3I0" localSheetId="30" hidden="1">#REF!</definedName>
    <definedName name="BExU7HH4EAHFQHT4AXKGWAWZP3I0" localSheetId="29" hidden="1">#REF!</definedName>
    <definedName name="BExU7HH4EAHFQHT4AXKGWAWZP3I0" localSheetId="33" hidden="1">#REF!</definedName>
    <definedName name="BExU7HH4EAHFQHT4AXKGWAWZP3I0" localSheetId="31" hidden="1">#REF!</definedName>
    <definedName name="BExU7HH4EAHFQHT4AXKGWAWZP3I0" localSheetId="32" hidden="1">#REF!</definedName>
    <definedName name="BExU7HH4EAHFQHT4AXKGWAWZP3I0" hidden="1">#REF!</definedName>
    <definedName name="BExU7MF1ZVPDHOSMCAXOSYICHZ4I" localSheetId="30" hidden="1">#REF!</definedName>
    <definedName name="BExU7MF1ZVPDHOSMCAXOSYICHZ4I" localSheetId="29" hidden="1">#REF!</definedName>
    <definedName name="BExU7MF1ZVPDHOSMCAXOSYICHZ4I" localSheetId="33" hidden="1">#REF!</definedName>
    <definedName name="BExU7MF1ZVPDHOSMCAXOSYICHZ4I" localSheetId="31" hidden="1">#REF!</definedName>
    <definedName name="BExU7MF1ZVPDHOSMCAXOSYICHZ4I" localSheetId="32" hidden="1">#REF!</definedName>
    <definedName name="BExU7MF1ZVPDHOSMCAXOSYICHZ4I" hidden="1">#REF!</definedName>
    <definedName name="BExU7O2BJ6D5YCKEL6FD2EFCWYRX" localSheetId="30" hidden="1">#REF!</definedName>
    <definedName name="BExU7O2BJ6D5YCKEL6FD2EFCWYRX" localSheetId="29" hidden="1">#REF!</definedName>
    <definedName name="BExU7O2BJ6D5YCKEL6FD2EFCWYRX" localSheetId="33" hidden="1">#REF!</definedName>
    <definedName name="BExU7O2BJ6D5YCKEL6FD2EFCWYRX" localSheetId="31" hidden="1">#REF!</definedName>
    <definedName name="BExU7O2BJ6D5YCKEL6FD2EFCWYRX" localSheetId="32" hidden="1">#REF!</definedName>
    <definedName name="BExU7O2BJ6D5YCKEL6FD2EFCWYRX" hidden="1">#REF!</definedName>
    <definedName name="BExU7Q0JS9YIUKUPNSSAIDK2KJAV" localSheetId="30" hidden="1">#REF!</definedName>
    <definedName name="BExU7Q0JS9YIUKUPNSSAIDK2KJAV" localSheetId="29" hidden="1">#REF!</definedName>
    <definedName name="BExU7Q0JS9YIUKUPNSSAIDK2KJAV" localSheetId="33" hidden="1">#REF!</definedName>
    <definedName name="BExU7Q0JS9YIUKUPNSSAIDK2KJAV" localSheetId="31" hidden="1">#REF!</definedName>
    <definedName name="BExU7Q0JS9YIUKUPNSSAIDK2KJAV" localSheetId="32" hidden="1">#REF!</definedName>
    <definedName name="BExU7Q0JS9YIUKUPNSSAIDK2KJAV" hidden="1">#REF!</definedName>
    <definedName name="BExU7Y3V8MGCQCYKKB5A5VI81R8I" localSheetId="30" hidden="1">#REF!</definedName>
    <definedName name="BExU7Y3V8MGCQCYKKB5A5VI81R8I" localSheetId="29" hidden="1">#REF!</definedName>
    <definedName name="BExU7Y3V8MGCQCYKKB5A5VI81R8I" localSheetId="33" hidden="1">#REF!</definedName>
    <definedName name="BExU7Y3V8MGCQCYKKB5A5VI81R8I" localSheetId="31" hidden="1">#REF!</definedName>
    <definedName name="BExU7Y3V8MGCQCYKKB5A5VI81R8I" localSheetId="32" hidden="1">#REF!</definedName>
    <definedName name="BExU7Y3V8MGCQCYKKB5A5VI81R8I" hidden="1">#REF!</definedName>
    <definedName name="BExU80I6AE5OU7P7F5V7HWIZBJ4P" localSheetId="30" hidden="1">#REF!</definedName>
    <definedName name="BExU80I6AE5OU7P7F5V7HWIZBJ4P" localSheetId="29" hidden="1">#REF!</definedName>
    <definedName name="BExU80I6AE5OU7P7F5V7HWIZBJ4P" localSheetId="33" hidden="1">#REF!</definedName>
    <definedName name="BExU80I6AE5OU7P7F5V7HWIZBJ4P" localSheetId="31" hidden="1">#REF!</definedName>
    <definedName name="BExU80I6AE5OU7P7F5V7HWIZBJ4P" localSheetId="32" hidden="1">#REF!</definedName>
    <definedName name="BExU80I6AE5OU7P7F5V7HWIZBJ4P" hidden="1">#REF!</definedName>
    <definedName name="BExU86NB26MCPYIISZ36HADONGT2" localSheetId="30" hidden="1">#REF!</definedName>
    <definedName name="BExU86NB26MCPYIISZ36HADONGT2" localSheetId="29" hidden="1">#REF!</definedName>
    <definedName name="BExU86NB26MCPYIISZ36HADONGT2" localSheetId="33" hidden="1">#REF!</definedName>
    <definedName name="BExU86NB26MCPYIISZ36HADONGT2" localSheetId="31" hidden="1">#REF!</definedName>
    <definedName name="BExU86NB26MCPYIISZ36HADONGT2" localSheetId="32" hidden="1">#REF!</definedName>
    <definedName name="BExU86NB26MCPYIISZ36HADONGT2" hidden="1">#REF!</definedName>
    <definedName name="BExU885EZZNSZV3GP298UJ8LB7OL" localSheetId="30" hidden="1">#REF!</definedName>
    <definedName name="BExU885EZZNSZV3GP298UJ8LB7OL" localSheetId="29" hidden="1">#REF!</definedName>
    <definedName name="BExU885EZZNSZV3GP298UJ8LB7OL" localSheetId="33" hidden="1">#REF!</definedName>
    <definedName name="BExU885EZZNSZV3GP298UJ8LB7OL" localSheetId="31" hidden="1">#REF!</definedName>
    <definedName name="BExU885EZZNSZV3GP298UJ8LB7OL" localSheetId="32" hidden="1">#REF!</definedName>
    <definedName name="BExU885EZZNSZV3GP298UJ8LB7OL" hidden="1">#REF!</definedName>
    <definedName name="BExU8FSAUP9TUZ1NO9WXK80QPHWV" localSheetId="30" hidden="1">#REF!</definedName>
    <definedName name="BExU8FSAUP9TUZ1NO9WXK80QPHWV" localSheetId="29" hidden="1">#REF!</definedName>
    <definedName name="BExU8FSAUP9TUZ1NO9WXK80QPHWV" localSheetId="33" hidden="1">#REF!</definedName>
    <definedName name="BExU8FSAUP9TUZ1NO9WXK80QPHWV" localSheetId="31" hidden="1">#REF!</definedName>
    <definedName name="BExU8FSAUP9TUZ1NO9WXK80QPHWV" localSheetId="32" hidden="1">#REF!</definedName>
    <definedName name="BExU8FSAUP9TUZ1NO9WXK80QPHWV" hidden="1">#REF!</definedName>
    <definedName name="BExU8KFLAN778MBN93NYZB0FV30G" localSheetId="30" hidden="1">#REF!</definedName>
    <definedName name="BExU8KFLAN778MBN93NYZB0FV30G" localSheetId="29" hidden="1">#REF!</definedName>
    <definedName name="BExU8KFLAN778MBN93NYZB0FV30G" localSheetId="33" hidden="1">#REF!</definedName>
    <definedName name="BExU8KFLAN778MBN93NYZB0FV30G" localSheetId="31" hidden="1">#REF!</definedName>
    <definedName name="BExU8KFLAN778MBN93NYZB0FV30G" localSheetId="32" hidden="1">#REF!</definedName>
    <definedName name="BExU8KFLAN778MBN93NYZB0FV30G" hidden="1">#REF!</definedName>
    <definedName name="BExU8UX9JX3XLB47YZ8GFXE0V7R2" localSheetId="30" hidden="1">#REF!</definedName>
    <definedName name="BExU8UX9JX3XLB47YZ8GFXE0V7R2" localSheetId="29" hidden="1">#REF!</definedName>
    <definedName name="BExU8UX9JX3XLB47YZ8GFXE0V7R2" localSheetId="33" hidden="1">#REF!</definedName>
    <definedName name="BExU8UX9JX3XLB47YZ8GFXE0V7R2" localSheetId="31" hidden="1">#REF!</definedName>
    <definedName name="BExU8UX9JX3XLB47YZ8GFXE0V7R2" localSheetId="32" hidden="1">#REF!</definedName>
    <definedName name="BExU8UX9JX3XLB47YZ8GFXE0V7R2" hidden="1">#REF!</definedName>
    <definedName name="BExU91DC3DGKPZD6LTER2IRTF89C" localSheetId="30" hidden="1">#REF!</definedName>
    <definedName name="BExU91DC3DGKPZD6LTER2IRTF89C" localSheetId="29" hidden="1">#REF!</definedName>
    <definedName name="BExU91DC3DGKPZD6LTER2IRTF89C" localSheetId="33" hidden="1">#REF!</definedName>
    <definedName name="BExU91DC3DGKPZD6LTER2IRTF89C" localSheetId="31" hidden="1">#REF!</definedName>
    <definedName name="BExU91DC3DGKPZD6LTER2IRTF89C" localSheetId="32" hidden="1">#REF!</definedName>
    <definedName name="BExU91DC3DGKPZD6LTER2IRTF89C" hidden="1">#REF!</definedName>
    <definedName name="BExU96M1J7P9DZQ3S9H0C12KGYTW" localSheetId="30" hidden="1">#REF!</definedName>
    <definedName name="BExU96M1J7P9DZQ3S9H0C12KGYTW" localSheetId="29" hidden="1">#REF!</definedName>
    <definedName name="BExU96M1J7P9DZQ3S9H0C12KGYTW" localSheetId="33" hidden="1">#REF!</definedName>
    <definedName name="BExU96M1J7P9DZQ3S9H0C12KGYTW" localSheetId="31" hidden="1">#REF!</definedName>
    <definedName name="BExU96M1J7P9DZQ3S9H0C12KGYTW" localSheetId="32" hidden="1">#REF!</definedName>
    <definedName name="BExU96M1J7P9DZQ3S9H0C12KGYTW" hidden="1">#REF!</definedName>
    <definedName name="BExU9F05OR1GZ3057R6UL3WPEIYI" localSheetId="30" hidden="1">#REF!</definedName>
    <definedName name="BExU9F05OR1GZ3057R6UL3WPEIYI" localSheetId="29" hidden="1">#REF!</definedName>
    <definedName name="BExU9F05OR1GZ3057R6UL3WPEIYI" localSheetId="33" hidden="1">#REF!</definedName>
    <definedName name="BExU9F05OR1GZ3057R6UL3WPEIYI" localSheetId="31" hidden="1">#REF!</definedName>
    <definedName name="BExU9F05OR1GZ3057R6UL3WPEIYI" localSheetId="32" hidden="1">#REF!</definedName>
    <definedName name="BExU9F05OR1GZ3057R6UL3WPEIYI" hidden="1">#REF!</definedName>
    <definedName name="BExU9GCSO5YILIKG6VAHN13DL75K" localSheetId="30" hidden="1">#REF!</definedName>
    <definedName name="BExU9GCSO5YILIKG6VAHN13DL75K" localSheetId="29" hidden="1">#REF!</definedName>
    <definedName name="BExU9GCSO5YILIKG6VAHN13DL75K" localSheetId="33" hidden="1">#REF!</definedName>
    <definedName name="BExU9GCSO5YILIKG6VAHN13DL75K" localSheetId="31" hidden="1">#REF!</definedName>
    <definedName name="BExU9GCSO5YILIKG6VAHN13DL75K" localSheetId="32" hidden="1">#REF!</definedName>
    <definedName name="BExU9GCSO5YILIKG6VAHN13DL75K" hidden="1">#REF!</definedName>
    <definedName name="BExU9KJOZLO15N11MJVN782NFGJ0" localSheetId="30" hidden="1">#REF!</definedName>
    <definedName name="BExU9KJOZLO15N11MJVN782NFGJ0" localSheetId="29" hidden="1">#REF!</definedName>
    <definedName name="BExU9KJOZLO15N11MJVN782NFGJ0" localSheetId="33" hidden="1">#REF!</definedName>
    <definedName name="BExU9KJOZLO15N11MJVN782NFGJ0" localSheetId="31" hidden="1">#REF!</definedName>
    <definedName name="BExU9KJOZLO15N11MJVN782NFGJ0" localSheetId="32" hidden="1">#REF!</definedName>
    <definedName name="BExU9KJOZLO15N11MJVN782NFGJ0" hidden="1">#REF!</definedName>
    <definedName name="BExU9LG29XU2K1GNKRO4438JYQZE" localSheetId="30" hidden="1">#REF!</definedName>
    <definedName name="BExU9LG29XU2K1GNKRO4438JYQZE" localSheetId="29" hidden="1">#REF!</definedName>
    <definedName name="BExU9LG29XU2K1GNKRO4438JYQZE" localSheetId="33" hidden="1">#REF!</definedName>
    <definedName name="BExU9LG29XU2K1GNKRO4438JYQZE" localSheetId="31" hidden="1">#REF!</definedName>
    <definedName name="BExU9LG29XU2K1GNKRO4438JYQZE" localSheetId="32" hidden="1">#REF!</definedName>
    <definedName name="BExU9LG29XU2K1GNKRO4438JYQZE" hidden="1">#REF!</definedName>
    <definedName name="BExU9RW36I5Z6JIXUIUB3PJH86LT" localSheetId="30" hidden="1">#REF!</definedName>
    <definedName name="BExU9RW36I5Z6JIXUIUB3PJH86LT" localSheetId="29" hidden="1">#REF!</definedName>
    <definedName name="BExU9RW36I5Z6JIXUIUB3PJH86LT" localSheetId="33" hidden="1">#REF!</definedName>
    <definedName name="BExU9RW36I5Z6JIXUIUB3PJH86LT" localSheetId="31" hidden="1">#REF!</definedName>
    <definedName name="BExU9RW36I5Z6JIXUIUB3PJH86LT" localSheetId="32" hidden="1">#REF!</definedName>
    <definedName name="BExU9RW36I5Z6JIXUIUB3PJH86LT" hidden="1">#REF!</definedName>
    <definedName name="BExUA28AO7OWDG3H23Q0CL4B7BHW" localSheetId="30" hidden="1">#REF!</definedName>
    <definedName name="BExUA28AO7OWDG3H23Q0CL4B7BHW" localSheetId="29" hidden="1">#REF!</definedName>
    <definedName name="BExUA28AO7OWDG3H23Q0CL4B7BHW" localSheetId="33" hidden="1">#REF!</definedName>
    <definedName name="BExUA28AO7OWDG3H23Q0CL4B7BHW" localSheetId="31" hidden="1">#REF!</definedName>
    <definedName name="BExUA28AO7OWDG3H23Q0CL4B7BHW" localSheetId="32" hidden="1">#REF!</definedName>
    <definedName name="BExUA28AO7OWDG3H23Q0CL4B7BHW" hidden="1">#REF!</definedName>
    <definedName name="BExUA5O923FFNEBY8BPO1TU3QGBM" localSheetId="30" hidden="1">#REF!</definedName>
    <definedName name="BExUA5O923FFNEBY8BPO1TU3QGBM" localSheetId="29" hidden="1">#REF!</definedName>
    <definedName name="BExUA5O923FFNEBY8BPO1TU3QGBM" localSheetId="33" hidden="1">#REF!</definedName>
    <definedName name="BExUA5O923FFNEBY8BPO1TU3QGBM" localSheetId="31" hidden="1">#REF!</definedName>
    <definedName name="BExUA5O923FFNEBY8BPO1TU3QGBM" localSheetId="32" hidden="1">#REF!</definedName>
    <definedName name="BExUA5O923FFNEBY8BPO1TU3QGBM" hidden="1">#REF!</definedName>
    <definedName name="BExUA6Q4K25VH452AQ3ZIRBCMS61" localSheetId="30" hidden="1">#REF!</definedName>
    <definedName name="BExUA6Q4K25VH452AQ3ZIRBCMS61" localSheetId="29" hidden="1">#REF!</definedName>
    <definedName name="BExUA6Q4K25VH452AQ3ZIRBCMS61" localSheetId="33" hidden="1">#REF!</definedName>
    <definedName name="BExUA6Q4K25VH452AQ3ZIRBCMS61" localSheetId="31" hidden="1">#REF!</definedName>
    <definedName name="BExUA6Q4K25VH452AQ3ZIRBCMS61" localSheetId="32" hidden="1">#REF!</definedName>
    <definedName name="BExUA6Q4K25VH452AQ3ZIRBCMS61" hidden="1">#REF!</definedName>
    <definedName name="BExUA76F1Q6Y49TZ7MI8ZDHZESTK" localSheetId="30" hidden="1">#REF!</definedName>
    <definedName name="BExUA76F1Q6Y49TZ7MI8ZDHZESTK" localSheetId="29" hidden="1">#REF!</definedName>
    <definedName name="BExUA76F1Q6Y49TZ7MI8ZDHZESTK" localSheetId="33" hidden="1">#REF!</definedName>
    <definedName name="BExUA76F1Q6Y49TZ7MI8ZDHZESTK" localSheetId="31" hidden="1">#REF!</definedName>
    <definedName name="BExUA76F1Q6Y49TZ7MI8ZDHZESTK" localSheetId="32" hidden="1">#REF!</definedName>
    <definedName name="BExUA76F1Q6Y49TZ7MI8ZDHZESTK" hidden="1">#REF!</definedName>
    <definedName name="BExUAFV4JMBSM2SKBQL9NHL0NIBS" localSheetId="30" hidden="1">#REF!</definedName>
    <definedName name="BExUAFV4JMBSM2SKBQL9NHL0NIBS" localSheetId="29" hidden="1">#REF!</definedName>
    <definedName name="BExUAFV4JMBSM2SKBQL9NHL0NIBS" localSheetId="33" hidden="1">#REF!</definedName>
    <definedName name="BExUAFV4JMBSM2SKBQL9NHL0NIBS" localSheetId="31" hidden="1">#REF!</definedName>
    <definedName name="BExUAFV4JMBSM2SKBQL9NHL0NIBS" localSheetId="32" hidden="1">#REF!</definedName>
    <definedName name="BExUAFV4JMBSM2SKBQL9NHL0NIBS" hidden="1">#REF!</definedName>
    <definedName name="BExUAMWQODKBXMRH1QCMJLJBF8M7" localSheetId="30" hidden="1">#REF!</definedName>
    <definedName name="BExUAMWQODKBXMRH1QCMJLJBF8M7" localSheetId="29" hidden="1">#REF!</definedName>
    <definedName name="BExUAMWQODKBXMRH1QCMJLJBF8M7" localSheetId="33" hidden="1">#REF!</definedName>
    <definedName name="BExUAMWQODKBXMRH1QCMJLJBF8M7" localSheetId="31" hidden="1">#REF!</definedName>
    <definedName name="BExUAMWQODKBXMRH1QCMJLJBF8M7" localSheetId="32" hidden="1">#REF!</definedName>
    <definedName name="BExUAMWQODKBXMRH1QCMJLJBF8M7" hidden="1">#REF!</definedName>
    <definedName name="BExUAX8WS5OPVLCDXRGKTU2QMTFO" localSheetId="30" hidden="1">#REF!</definedName>
    <definedName name="BExUAX8WS5OPVLCDXRGKTU2QMTFO" localSheetId="29" hidden="1">#REF!</definedName>
    <definedName name="BExUAX8WS5OPVLCDXRGKTU2QMTFO" localSheetId="33" hidden="1">#REF!</definedName>
    <definedName name="BExUAX8WS5OPVLCDXRGKTU2QMTFO" localSheetId="31" hidden="1">#REF!</definedName>
    <definedName name="BExUAX8WS5OPVLCDXRGKTU2QMTFO" localSheetId="32" hidden="1">#REF!</definedName>
    <definedName name="BExUAX8WS5OPVLCDXRGKTU2QMTFO" hidden="1">#REF!</definedName>
    <definedName name="BExUB8HLEXSBVPZ5AXNQEK96F1N4" localSheetId="30" hidden="1">#REF!</definedName>
    <definedName name="BExUB8HLEXSBVPZ5AXNQEK96F1N4" localSheetId="29" hidden="1">#REF!</definedName>
    <definedName name="BExUB8HLEXSBVPZ5AXNQEK96F1N4" localSheetId="33" hidden="1">#REF!</definedName>
    <definedName name="BExUB8HLEXSBVPZ5AXNQEK96F1N4" localSheetId="31" hidden="1">#REF!</definedName>
    <definedName name="BExUB8HLEXSBVPZ5AXNQEK96F1N4" localSheetId="32" hidden="1">#REF!</definedName>
    <definedName name="BExUB8HLEXSBVPZ5AXNQEK96F1N4" hidden="1">#REF!</definedName>
    <definedName name="BExUBCDVZIEA7YT0LPSMHL5ZSERQ" localSheetId="30" hidden="1">#REF!</definedName>
    <definedName name="BExUBCDVZIEA7YT0LPSMHL5ZSERQ" localSheetId="29" hidden="1">#REF!</definedName>
    <definedName name="BExUBCDVZIEA7YT0LPSMHL5ZSERQ" localSheetId="33" hidden="1">#REF!</definedName>
    <definedName name="BExUBCDVZIEA7YT0LPSMHL5ZSERQ" localSheetId="31" hidden="1">#REF!</definedName>
    <definedName name="BExUBCDVZIEA7YT0LPSMHL5ZSERQ" localSheetId="32" hidden="1">#REF!</definedName>
    <definedName name="BExUBCDVZIEA7YT0LPSMHL5ZSERQ" hidden="1">#REF!</definedName>
    <definedName name="BExUBKXBUCN760QYU7Q8GESBWOQH" localSheetId="30" hidden="1">#REF!</definedName>
    <definedName name="BExUBKXBUCN760QYU7Q8GESBWOQH" localSheetId="29" hidden="1">#REF!</definedName>
    <definedName name="BExUBKXBUCN760QYU7Q8GESBWOQH" localSheetId="33" hidden="1">#REF!</definedName>
    <definedName name="BExUBKXBUCN760QYU7Q8GESBWOQH" localSheetId="31" hidden="1">#REF!</definedName>
    <definedName name="BExUBKXBUCN760QYU7Q8GESBWOQH" localSheetId="32" hidden="1">#REF!</definedName>
    <definedName name="BExUBKXBUCN760QYU7Q8GESBWOQH" hidden="1">#REF!</definedName>
    <definedName name="BExUBL83ED0P076RN9RJ8P1MZ299" localSheetId="30" hidden="1">#REF!</definedName>
    <definedName name="BExUBL83ED0P076RN9RJ8P1MZ299" localSheetId="29" hidden="1">#REF!</definedName>
    <definedName name="BExUBL83ED0P076RN9RJ8P1MZ299" localSheetId="33" hidden="1">#REF!</definedName>
    <definedName name="BExUBL83ED0P076RN9RJ8P1MZ299" localSheetId="31" hidden="1">#REF!</definedName>
    <definedName name="BExUBL83ED0P076RN9RJ8P1MZ299" localSheetId="32" hidden="1">#REF!</definedName>
    <definedName name="BExUBL83ED0P076RN9RJ8P1MZ299" hidden="1">#REF!</definedName>
    <definedName name="BExUC623BDYEODBN0N4DO6PJQ7NU" localSheetId="30" hidden="1">#REF!</definedName>
    <definedName name="BExUC623BDYEODBN0N4DO6PJQ7NU" localSheetId="29" hidden="1">#REF!</definedName>
    <definedName name="BExUC623BDYEODBN0N4DO6PJQ7NU" localSheetId="33" hidden="1">#REF!</definedName>
    <definedName name="BExUC623BDYEODBN0N4DO6PJQ7NU" localSheetId="31" hidden="1">#REF!</definedName>
    <definedName name="BExUC623BDYEODBN0N4DO6PJQ7NU" localSheetId="32" hidden="1">#REF!</definedName>
    <definedName name="BExUC623BDYEODBN0N4DO6PJQ7NU" hidden="1">#REF!</definedName>
    <definedName name="BExUC8WH8TCKBB5313JGYYQ1WFLT" localSheetId="30" hidden="1">#REF!</definedName>
    <definedName name="BExUC8WH8TCKBB5313JGYYQ1WFLT" localSheetId="29" hidden="1">#REF!</definedName>
    <definedName name="BExUC8WH8TCKBB5313JGYYQ1WFLT" localSheetId="33" hidden="1">#REF!</definedName>
    <definedName name="BExUC8WH8TCKBB5313JGYYQ1WFLT" localSheetId="31" hidden="1">#REF!</definedName>
    <definedName name="BExUC8WH8TCKBB5313JGYYQ1WFLT" localSheetId="32" hidden="1">#REF!</definedName>
    <definedName name="BExUC8WH8TCKBB5313JGYYQ1WFLT" hidden="1">#REF!</definedName>
    <definedName name="BExUCFCDK6SPH86I6STXX8X3WMC4" localSheetId="30" hidden="1">#REF!</definedName>
    <definedName name="BExUCFCDK6SPH86I6STXX8X3WMC4" localSheetId="29" hidden="1">#REF!</definedName>
    <definedName name="BExUCFCDK6SPH86I6STXX8X3WMC4" localSheetId="33" hidden="1">#REF!</definedName>
    <definedName name="BExUCFCDK6SPH86I6STXX8X3WMC4" localSheetId="31" hidden="1">#REF!</definedName>
    <definedName name="BExUCFCDK6SPH86I6STXX8X3WMC4" localSheetId="32" hidden="1">#REF!</definedName>
    <definedName name="BExUCFCDK6SPH86I6STXX8X3WMC4" hidden="1">#REF!</definedName>
    <definedName name="BExUCLC6AQ5KR6LXSAXV4QQ8ASVG" localSheetId="30" hidden="1">#REF!</definedName>
    <definedName name="BExUCLC6AQ5KR6LXSAXV4QQ8ASVG" localSheetId="29" hidden="1">#REF!</definedName>
    <definedName name="BExUCLC6AQ5KR6LXSAXV4QQ8ASVG" localSheetId="33" hidden="1">#REF!</definedName>
    <definedName name="BExUCLC6AQ5KR6LXSAXV4QQ8ASVG" localSheetId="31" hidden="1">#REF!</definedName>
    <definedName name="BExUCLC6AQ5KR6LXSAXV4QQ8ASVG" localSheetId="32" hidden="1">#REF!</definedName>
    <definedName name="BExUCLC6AQ5KR6LXSAXV4QQ8ASVG" hidden="1">#REF!</definedName>
    <definedName name="BExUD4IOJ12X3PJG5WXNNGDRCKAP" localSheetId="30" hidden="1">#REF!</definedName>
    <definedName name="BExUD4IOJ12X3PJG5WXNNGDRCKAP" localSheetId="29" hidden="1">#REF!</definedName>
    <definedName name="BExUD4IOJ12X3PJG5WXNNGDRCKAP" localSheetId="33" hidden="1">#REF!</definedName>
    <definedName name="BExUD4IOJ12X3PJG5WXNNGDRCKAP" localSheetId="31" hidden="1">#REF!</definedName>
    <definedName name="BExUD4IOJ12X3PJG5WXNNGDRCKAP" localSheetId="32" hidden="1">#REF!</definedName>
    <definedName name="BExUD4IOJ12X3PJG5WXNNGDRCKAP" hidden="1">#REF!</definedName>
    <definedName name="BExUD9WX9BWK72UWVSLYZJLAY5VY" localSheetId="30" hidden="1">#REF!</definedName>
    <definedName name="BExUD9WX9BWK72UWVSLYZJLAY5VY" localSheetId="29" hidden="1">#REF!</definedName>
    <definedName name="BExUD9WX9BWK72UWVSLYZJLAY5VY" localSheetId="33" hidden="1">#REF!</definedName>
    <definedName name="BExUD9WX9BWK72UWVSLYZJLAY5VY" localSheetId="31" hidden="1">#REF!</definedName>
    <definedName name="BExUD9WX9BWK72UWVSLYZJLAY5VY" localSheetId="32" hidden="1">#REF!</definedName>
    <definedName name="BExUD9WX9BWK72UWVSLYZJLAY5VY" hidden="1">#REF!</definedName>
    <definedName name="BExUDBEUJH9IACZDBL1VAUWPG0QW" localSheetId="30" hidden="1">#REF!</definedName>
    <definedName name="BExUDBEUJH9IACZDBL1VAUWPG0QW" localSheetId="29" hidden="1">#REF!</definedName>
    <definedName name="BExUDBEUJH9IACZDBL1VAUWPG0QW" localSheetId="33" hidden="1">#REF!</definedName>
    <definedName name="BExUDBEUJH9IACZDBL1VAUWPG0QW" localSheetId="31" hidden="1">#REF!</definedName>
    <definedName name="BExUDBEUJH9IACZDBL1VAUWPG0QW" localSheetId="32" hidden="1">#REF!</definedName>
    <definedName name="BExUDBEUJH9IACZDBL1VAUWPG0QW" hidden="1">#REF!</definedName>
    <definedName name="BExUDEV0CYVO7Y5IQQBEJ6FUY9S6" localSheetId="30" hidden="1">#REF!</definedName>
    <definedName name="BExUDEV0CYVO7Y5IQQBEJ6FUY9S6" localSheetId="29" hidden="1">#REF!</definedName>
    <definedName name="BExUDEV0CYVO7Y5IQQBEJ6FUY9S6" localSheetId="33" hidden="1">#REF!</definedName>
    <definedName name="BExUDEV0CYVO7Y5IQQBEJ6FUY9S6" localSheetId="31" hidden="1">#REF!</definedName>
    <definedName name="BExUDEV0CYVO7Y5IQQBEJ6FUY9S6" localSheetId="32" hidden="1">#REF!</definedName>
    <definedName name="BExUDEV0CYVO7Y5IQQBEJ6FUY9S6" hidden="1">#REF!</definedName>
    <definedName name="BExUDWOXQGIZW0EAIIYLQUPXF8YV" localSheetId="30" hidden="1">#REF!</definedName>
    <definedName name="BExUDWOXQGIZW0EAIIYLQUPXF8YV" localSheetId="29" hidden="1">#REF!</definedName>
    <definedName name="BExUDWOXQGIZW0EAIIYLQUPXF8YV" localSheetId="33" hidden="1">#REF!</definedName>
    <definedName name="BExUDWOXQGIZW0EAIIYLQUPXF8YV" localSheetId="31" hidden="1">#REF!</definedName>
    <definedName name="BExUDWOXQGIZW0EAIIYLQUPXF8YV" localSheetId="32" hidden="1">#REF!</definedName>
    <definedName name="BExUDWOXQGIZW0EAIIYLQUPXF8YV" hidden="1">#REF!</definedName>
    <definedName name="BExUDXAIC17W1FUU8Z10XUAVB7CS" localSheetId="30" hidden="1">#REF!</definedName>
    <definedName name="BExUDXAIC17W1FUU8Z10XUAVB7CS" localSheetId="29" hidden="1">#REF!</definedName>
    <definedName name="BExUDXAIC17W1FUU8Z10XUAVB7CS" localSheetId="33" hidden="1">#REF!</definedName>
    <definedName name="BExUDXAIC17W1FUU8Z10XUAVB7CS" localSheetId="31" hidden="1">#REF!</definedName>
    <definedName name="BExUDXAIC17W1FUU8Z10XUAVB7CS" localSheetId="32" hidden="1">#REF!</definedName>
    <definedName name="BExUDXAIC17W1FUU8Z10XUAVB7CS" hidden="1">#REF!</definedName>
    <definedName name="BExUE5OMY7OAJQ9WR8C8HG311ORP" localSheetId="30" hidden="1">#REF!</definedName>
    <definedName name="BExUE5OMY7OAJQ9WR8C8HG311ORP" localSheetId="29" hidden="1">#REF!</definedName>
    <definedName name="BExUE5OMY7OAJQ9WR8C8HG311ORP" localSheetId="33" hidden="1">#REF!</definedName>
    <definedName name="BExUE5OMY7OAJQ9WR8C8HG311ORP" localSheetId="31" hidden="1">#REF!</definedName>
    <definedName name="BExUE5OMY7OAJQ9WR8C8HG311ORP" localSheetId="32" hidden="1">#REF!</definedName>
    <definedName name="BExUE5OMY7OAJQ9WR8C8HG311ORP" hidden="1">#REF!</definedName>
    <definedName name="BExUEFKOQWXXGRNLAOJV2BJ66UB8" localSheetId="30" hidden="1">#REF!</definedName>
    <definedName name="BExUEFKOQWXXGRNLAOJV2BJ66UB8" localSheetId="29" hidden="1">#REF!</definedName>
    <definedName name="BExUEFKOQWXXGRNLAOJV2BJ66UB8" localSheetId="33" hidden="1">#REF!</definedName>
    <definedName name="BExUEFKOQWXXGRNLAOJV2BJ66UB8" localSheetId="31" hidden="1">#REF!</definedName>
    <definedName name="BExUEFKOQWXXGRNLAOJV2BJ66UB8" localSheetId="32" hidden="1">#REF!</definedName>
    <definedName name="BExUEFKOQWXXGRNLAOJV2BJ66UB8" hidden="1">#REF!</definedName>
    <definedName name="BExUEJGX3OQQP5KFRJSRCZ70EI9V" localSheetId="30" hidden="1">#REF!</definedName>
    <definedName name="BExUEJGX3OQQP5KFRJSRCZ70EI9V" localSheetId="29" hidden="1">#REF!</definedName>
    <definedName name="BExUEJGX3OQQP5KFRJSRCZ70EI9V" localSheetId="33" hidden="1">#REF!</definedName>
    <definedName name="BExUEJGX3OQQP5KFRJSRCZ70EI9V" localSheetId="31" hidden="1">#REF!</definedName>
    <definedName name="BExUEJGX3OQQP5KFRJSRCZ70EI9V" localSheetId="32" hidden="1">#REF!</definedName>
    <definedName name="BExUEJGX3OQQP5KFRJSRCZ70EI9V" hidden="1">#REF!</definedName>
    <definedName name="BExUEUK71DAJ2PW2K16KCC0BR5KX" localSheetId="30" hidden="1">#REF!</definedName>
    <definedName name="BExUEUK71DAJ2PW2K16KCC0BR5KX" localSheetId="29" hidden="1">#REF!</definedName>
    <definedName name="BExUEUK71DAJ2PW2K16KCC0BR5KX" localSheetId="33" hidden="1">#REF!</definedName>
    <definedName name="BExUEUK71DAJ2PW2K16KCC0BR5KX" localSheetId="31" hidden="1">#REF!</definedName>
    <definedName name="BExUEUK71DAJ2PW2K16KCC0BR5KX" localSheetId="32" hidden="1">#REF!</definedName>
    <definedName name="BExUEUK71DAJ2PW2K16KCC0BR5KX" hidden="1">#REF!</definedName>
    <definedName name="BExUEYR71COFS2X8PDNU21IPMQEU" localSheetId="30" hidden="1">#REF!</definedName>
    <definedName name="BExUEYR71COFS2X8PDNU21IPMQEU" localSheetId="29" hidden="1">#REF!</definedName>
    <definedName name="BExUEYR71COFS2X8PDNU21IPMQEU" localSheetId="33" hidden="1">#REF!</definedName>
    <definedName name="BExUEYR71COFS2X8PDNU21IPMQEU" localSheetId="31" hidden="1">#REF!</definedName>
    <definedName name="BExUEYR71COFS2X8PDNU21IPMQEU" localSheetId="32" hidden="1">#REF!</definedName>
    <definedName name="BExUEYR71COFS2X8PDNU21IPMQEU" hidden="1">#REF!</definedName>
    <definedName name="BExVPRLJ9I6RX45EDVFSQGCPJSOK" localSheetId="30" hidden="1">#REF!</definedName>
    <definedName name="BExVPRLJ9I6RX45EDVFSQGCPJSOK" localSheetId="29" hidden="1">#REF!</definedName>
    <definedName name="BExVPRLJ9I6RX45EDVFSQGCPJSOK" localSheetId="33" hidden="1">#REF!</definedName>
    <definedName name="BExVPRLJ9I6RX45EDVFSQGCPJSOK" localSheetId="31" hidden="1">#REF!</definedName>
    <definedName name="BExVPRLJ9I6RX45EDVFSQGCPJSOK" localSheetId="32" hidden="1">#REF!</definedName>
    <definedName name="BExVPRLJ9I6RX45EDVFSQGCPJSOK" hidden="1">#REF!</definedName>
    <definedName name="BExVQGRV2078INFSIKDXHCUT970C" localSheetId="30" hidden="1">#REF!</definedName>
    <definedName name="BExVQGRV2078INFSIKDXHCUT970C" localSheetId="29" hidden="1">#REF!</definedName>
    <definedName name="BExVQGRV2078INFSIKDXHCUT970C" localSheetId="33" hidden="1">#REF!</definedName>
    <definedName name="BExVQGRV2078INFSIKDXHCUT970C" localSheetId="31" hidden="1">#REF!</definedName>
    <definedName name="BExVQGRV2078INFSIKDXHCUT970C" localSheetId="32" hidden="1">#REF!</definedName>
    <definedName name="BExVQGRV2078INFSIKDXHCUT970C" hidden="1">#REF!</definedName>
    <definedName name="BExVRYPZZEC04CZSMU6G6SIJIN2K" localSheetId="30" hidden="1">#REF!</definedName>
    <definedName name="BExVRYPZZEC04CZSMU6G6SIJIN2K" localSheetId="29" hidden="1">#REF!</definedName>
    <definedName name="BExVRYPZZEC04CZSMU6G6SIJIN2K" localSheetId="33" hidden="1">#REF!</definedName>
    <definedName name="BExVRYPZZEC04CZSMU6G6SIJIN2K" localSheetId="31" hidden="1">#REF!</definedName>
    <definedName name="BExVRYPZZEC04CZSMU6G6SIJIN2K" localSheetId="32" hidden="1">#REF!</definedName>
    <definedName name="BExVRYPZZEC04CZSMU6G6SIJIN2K" hidden="1">#REF!</definedName>
    <definedName name="BExVS37UENT4FSIRKY7POQDMY0GY" localSheetId="30" hidden="1">#REF!</definedName>
    <definedName name="BExVS37UENT4FSIRKY7POQDMY0GY" localSheetId="29" hidden="1">#REF!</definedName>
    <definedName name="BExVS37UENT4FSIRKY7POQDMY0GY" localSheetId="33" hidden="1">#REF!</definedName>
    <definedName name="BExVS37UENT4FSIRKY7POQDMY0GY" localSheetId="31" hidden="1">#REF!</definedName>
    <definedName name="BExVS37UENT4FSIRKY7POQDMY0GY" localSheetId="32" hidden="1">#REF!</definedName>
    <definedName name="BExVS37UENT4FSIRKY7POQDMY0GY" hidden="1">#REF!</definedName>
    <definedName name="BExVSL787C8E4HFQZ2NVLT35I2XV" localSheetId="30" hidden="1">#REF!</definedName>
    <definedName name="BExVSL787C8E4HFQZ2NVLT35I2XV" localSheetId="29" hidden="1">#REF!</definedName>
    <definedName name="BExVSL787C8E4HFQZ2NVLT35I2XV" localSheetId="33" hidden="1">#REF!</definedName>
    <definedName name="BExVSL787C8E4HFQZ2NVLT35I2XV" localSheetId="31" hidden="1">#REF!</definedName>
    <definedName name="BExVSL787C8E4HFQZ2NVLT35I2XV" localSheetId="32" hidden="1">#REF!</definedName>
    <definedName name="BExVSL787C8E4HFQZ2NVLT35I2XV" hidden="1">#REF!</definedName>
    <definedName name="BExVSTFTVV14SFGHQUOJL5SQ5TX9" localSheetId="30" hidden="1">#REF!</definedName>
    <definedName name="BExVSTFTVV14SFGHQUOJL5SQ5TX9" localSheetId="29" hidden="1">#REF!</definedName>
    <definedName name="BExVSTFTVV14SFGHQUOJL5SQ5TX9" localSheetId="33" hidden="1">#REF!</definedName>
    <definedName name="BExVSTFTVV14SFGHQUOJL5SQ5TX9" localSheetId="31" hidden="1">#REF!</definedName>
    <definedName name="BExVSTFTVV14SFGHQUOJL5SQ5TX9" localSheetId="32" hidden="1">#REF!</definedName>
    <definedName name="BExVSTFTVV14SFGHQUOJL5SQ5TX9" hidden="1">#REF!</definedName>
    <definedName name="BExVT3MPE8LQ5JFN3HQIFKSQ80U4" localSheetId="30" hidden="1">#REF!</definedName>
    <definedName name="BExVT3MPE8LQ5JFN3HQIFKSQ80U4" localSheetId="29" hidden="1">#REF!</definedName>
    <definedName name="BExVT3MPE8LQ5JFN3HQIFKSQ80U4" localSheetId="33" hidden="1">#REF!</definedName>
    <definedName name="BExVT3MPE8LQ5JFN3HQIFKSQ80U4" localSheetId="31" hidden="1">#REF!</definedName>
    <definedName name="BExVT3MPE8LQ5JFN3HQIFKSQ80U4" localSheetId="32" hidden="1">#REF!</definedName>
    <definedName name="BExVT3MPE8LQ5JFN3HQIFKSQ80U4" hidden="1">#REF!</definedName>
    <definedName name="BExVT7TRK3NZHPME2TFBXOF1WBR9" localSheetId="30" hidden="1">#REF!</definedName>
    <definedName name="BExVT7TRK3NZHPME2TFBXOF1WBR9" localSheetId="29" hidden="1">#REF!</definedName>
    <definedName name="BExVT7TRK3NZHPME2TFBXOF1WBR9" localSheetId="33" hidden="1">#REF!</definedName>
    <definedName name="BExVT7TRK3NZHPME2TFBXOF1WBR9" localSheetId="31" hidden="1">#REF!</definedName>
    <definedName name="BExVT7TRK3NZHPME2TFBXOF1WBR9" localSheetId="32" hidden="1">#REF!</definedName>
    <definedName name="BExVT7TRK3NZHPME2TFBXOF1WBR9" hidden="1">#REF!</definedName>
    <definedName name="BExVT9H0R0T7WGQAAC0HABMG54YM" localSheetId="30" hidden="1">#REF!</definedName>
    <definedName name="BExVT9H0R0T7WGQAAC0HABMG54YM" localSheetId="29" hidden="1">#REF!</definedName>
    <definedName name="BExVT9H0R0T7WGQAAC0HABMG54YM" localSheetId="33" hidden="1">#REF!</definedName>
    <definedName name="BExVT9H0R0T7WGQAAC0HABMG54YM" localSheetId="31" hidden="1">#REF!</definedName>
    <definedName name="BExVT9H0R0T7WGQAAC0HABMG54YM" localSheetId="32" hidden="1">#REF!</definedName>
    <definedName name="BExVT9H0R0T7WGQAAC0HABMG54YM" hidden="1">#REF!</definedName>
    <definedName name="BExVTCMDDEDGLUIMUU6BSFHEWTOP" localSheetId="30" hidden="1">#REF!</definedName>
    <definedName name="BExVTCMDDEDGLUIMUU6BSFHEWTOP" localSheetId="29" hidden="1">#REF!</definedName>
    <definedName name="BExVTCMDDEDGLUIMUU6BSFHEWTOP" localSheetId="33" hidden="1">#REF!</definedName>
    <definedName name="BExVTCMDDEDGLUIMUU6BSFHEWTOP" localSheetId="31" hidden="1">#REF!</definedName>
    <definedName name="BExVTCMDDEDGLUIMUU6BSFHEWTOP" localSheetId="32" hidden="1">#REF!</definedName>
    <definedName name="BExVTCMDDEDGLUIMUU6BSFHEWTOP" hidden="1">#REF!</definedName>
    <definedName name="BExVTCMDQMLKRA2NQR72XU6Y54IK" localSheetId="30" hidden="1">#REF!</definedName>
    <definedName name="BExVTCMDQMLKRA2NQR72XU6Y54IK" localSheetId="29" hidden="1">#REF!</definedName>
    <definedName name="BExVTCMDQMLKRA2NQR72XU6Y54IK" localSheetId="33" hidden="1">#REF!</definedName>
    <definedName name="BExVTCMDQMLKRA2NQR72XU6Y54IK" localSheetId="31" hidden="1">#REF!</definedName>
    <definedName name="BExVTCMDQMLKRA2NQR72XU6Y54IK" localSheetId="32" hidden="1">#REF!</definedName>
    <definedName name="BExVTCMDQMLKRA2NQR72XU6Y54IK" hidden="1">#REF!</definedName>
    <definedName name="BExVTCRV8FQ5U9OYWWL44N6KFNHU" localSheetId="30" hidden="1">#REF!</definedName>
    <definedName name="BExVTCRV8FQ5U9OYWWL44N6KFNHU" localSheetId="29" hidden="1">#REF!</definedName>
    <definedName name="BExVTCRV8FQ5U9OYWWL44N6KFNHU" localSheetId="33" hidden="1">#REF!</definedName>
    <definedName name="BExVTCRV8FQ5U9OYWWL44N6KFNHU" localSheetId="31" hidden="1">#REF!</definedName>
    <definedName name="BExVTCRV8FQ5U9OYWWL44N6KFNHU" localSheetId="32" hidden="1">#REF!</definedName>
    <definedName name="BExVTCRV8FQ5U9OYWWL44N6KFNHU" hidden="1">#REF!</definedName>
    <definedName name="BExVTNESHPVG0A0KZ7BRX26MS0PF" localSheetId="30" hidden="1">#REF!</definedName>
    <definedName name="BExVTNESHPVG0A0KZ7BRX26MS0PF" localSheetId="29" hidden="1">#REF!</definedName>
    <definedName name="BExVTNESHPVG0A0KZ7BRX26MS0PF" localSheetId="33" hidden="1">#REF!</definedName>
    <definedName name="BExVTNESHPVG0A0KZ7BRX26MS0PF" localSheetId="31" hidden="1">#REF!</definedName>
    <definedName name="BExVTNESHPVG0A0KZ7BRX26MS0PF" localSheetId="32" hidden="1">#REF!</definedName>
    <definedName name="BExVTNESHPVG0A0KZ7BRX26MS0PF" hidden="1">#REF!</definedName>
    <definedName name="BExVTTJVTNRSBHBTUZ78WG2JM5MK" localSheetId="30" hidden="1">#REF!</definedName>
    <definedName name="BExVTTJVTNRSBHBTUZ78WG2JM5MK" localSheetId="29" hidden="1">#REF!</definedName>
    <definedName name="BExVTTJVTNRSBHBTUZ78WG2JM5MK" localSheetId="33" hidden="1">#REF!</definedName>
    <definedName name="BExVTTJVTNRSBHBTUZ78WG2JM5MK" localSheetId="31" hidden="1">#REF!</definedName>
    <definedName name="BExVTTJVTNRSBHBTUZ78WG2JM5MK" localSheetId="32" hidden="1">#REF!</definedName>
    <definedName name="BExVTTJVTNRSBHBTUZ78WG2JM5MK" hidden="1">#REF!</definedName>
    <definedName name="BExVTVY81W3DCLN3M92HOIU7WO1Y" localSheetId="30" hidden="1">#REF!</definedName>
    <definedName name="BExVTVY81W3DCLN3M92HOIU7WO1Y" localSheetId="29" hidden="1">#REF!</definedName>
    <definedName name="BExVTVY81W3DCLN3M92HOIU7WO1Y" localSheetId="33" hidden="1">#REF!</definedName>
    <definedName name="BExVTVY81W3DCLN3M92HOIU7WO1Y" localSheetId="31" hidden="1">#REF!</definedName>
    <definedName name="BExVTVY81W3DCLN3M92HOIU7WO1Y" localSheetId="32" hidden="1">#REF!</definedName>
    <definedName name="BExVTVY81W3DCLN3M92HOIU7WO1Y" hidden="1">#REF!</definedName>
    <definedName name="BExVTXLMYR87BC04D1ERALPUFVPG" localSheetId="30" hidden="1">#REF!</definedName>
    <definedName name="BExVTXLMYR87BC04D1ERALPUFVPG" localSheetId="29" hidden="1">#REF!</definedName>
    <definedName name="BExVTXLMYR87BC04D1ERALPUFVPG" localSheetId="33" hidden="1">#REF!</definedName>
    <definedName name="BExVTXLMYR87BC04D1ERALPUFVPG" localSheetId="31" hidden="1">#REF!</definedName>
    <definedName name="BExVTXLMYR87BC04D1ERALPUFVPG" localSheetId="32" hidden="1">#REF!</definedName>
    <definedName name="BExVTXLMYR87BC04D1ERALPUFVPG" hidden="1">#REF!</definedName>
    <definedName name="BExVUL9V3H8ZF6Y72LQBBN639YAA" localSheetId="30" hidden="1">#REF!</definedName>
    <definedName name="BExVUL9V3H8ZF6Y72LQBBN639YAA" localSheetId="29" hidden="1">#REF!</definedName>
    <definedName name="BExVUL9V3H8ZF6Y72LQBBN639YAA" localSheetId="33" hidden="1">#REF!</definedName>
    <definedName name="BExVUL9V3H8ZF6Y72LQBBN639YAA" localSheetId="31" hidden="1">#REF!</definedName>
    <definedName name="BExVUL9V3H8ZF6Y72LQBBN639YAA" localSheetId="32" hidden="1">#REF!</definedName>
    <definedName name="BExVUL9V3H8ZF6Y72LQBBN639YAA" hidden="1">#REF!</definedName>
    <definedName name="BExVUW2AJYKZRGKB07NSWA231P4I" localSheetId="30" hidden="1">#REF!</definedName>
    <definedName name="BExVUW2AJYKZRGKB07NSWA231P4I" localSheetId="29" hidden="1">#REF!</definedName>
    <definedName name="BExVUW2AJYKZRGKB07NSWA231P4I" localSheetId="33" hidden="1">#REF!</definedName>
    <definedName name="BExVUW2AJYKZRGKB07NSWA231P4I" localSheetId="31" hidden="1">#REF!</definedName>
    <definedName name="BExVUW2AJYKZRGKB07NSWA231P4I" localSheetId="32" hidden="1">#REF!</definedName>
    <definedName name="BExVUW2AJYKZRGKB07NSWA231P4I" hidden="1">#REF!</definedName>
    <definedName name="BExVV5T14N2HZIK7HQ4P2KG09U0J" localSheetId="30" hidden="1">#REF!</definedName>
    <definedName name="BExVV5T14N2HZIK7HQ4P2KG09U0J" localSheetId="29" hidden="1">#REF!</definedName>
    <definedName name="BExVV5T14N2HZIK7HQ4P2KG09U0J" localSheetId="33" hidden="1">#REF!</definedName>
    <definedName name="BExVV5T14N2HZIK7HQ4P2KG09U0J" localSheetId="31" hidden="1">#REF!</definedName>
    <definedName name="BExVV5T14N2HZIK7HQ4P2KG09U0J" localSheetId="32" hidden="1">#REF!</definedName>
    <definedName name="BExVV5T14N2HZIK7HQ4P2KG09U0J" hidden="1">#REF!</definedName>
    <definedName name="BExVV7R410VYLADLX9LNG63ID6H1" localSheetId="30" hidden="1">#REF!</definedName>
    <definedName name="BExVV7R410VYLADLX9LNG63ID6H1" localSheetId="29" hidden="1">#REF!</definedName>
    <definedName name="BExVV7R410VYLADLX9LNG63ID6H1" localSheetId="33" hidden="1">#REF!</definedName>
    <definedName name="BExVV7R410VYLADLX9LNG63ID6H1" localSheetId="31" hidden="1">#REF!</definedName>
    <definedName name="BExVV7R410VYLADLX9LNG63ID6H1" localSheetId="32" hidden="1">#REF!</definedName>
    <definedName name="BExVV7R410VYLADLX9LNG63ID6H1" hidden="1">#REF!</definedName>
    <definedName name="BExVVCEED4JEKF59OV0G3T4XFMFO" localSheetId="30" hidden="1">#REF!</definedName>
    <definedName name="BExVVCEED4JEKF59OV0G3T4XFMFO" localSheetId="29" hidden="1">#REF!</definedName>
    <definedName name="BExVVCEED4JEKF59OV0G3T4XFMFO" localSheetId="33" hidden="1">#REF!</definedName>
    <definedName name="BExVVCEED4JEKF59OV0G3T4XFMFO" localSheetId="31" hidden="1">#REF!</definedName>
    <definedName name="BExVVCEED4JEKF59OV0G3T4XFMFO" localSheetId="32" hidden="1">#REF!</definedName>
    <definedName name="BExVVCEED4JEKF59OV0G3T4XFMFO" hidden="1">#REF!</definedName>
    <definedName name="BExVVCUIF8T5S353SCXZIDJ3ND2X" localSheetId="30" hidden="1">#REF!</definedName>
    <definedName name="BExVVCUIF8T5S353SCXZIDJ3ND2X" localSheetId="29" hidden="1">#REF!</definedName>
    <definedName name="BExVVCUIF8T5S353SCXZIDJ3ND2X" localSheetId="33" hidden="1">#REF!</definedName>
    <definedName name="BExVVCUIF8T5S353SCXZIDJ3ND2X" localSheetId="31" hidden="1">#REF!</definedName>
    <definedName name="BExVVCUIF8T5S353SCXZIDJ3ND2X" localSheetId="32" hidden="1">#REF!</definedName>
    <definedName name="BExVVCUIF8T5S353SCXZIDJ3ND2X" hidden="1">#REF!</definedName>
    <definedName name="BExVVPFO2J7FMSRPD36909HN4BZJ" localSheetId="30" hidden="1">#REF!</definedName>
    <definedName name="BExVVPFO2J7FMSRPD36909HN4BZJ" localSheetId="29" hidden="1">#REF!</definedName>
    <definedName name="BExVVPFO2J7FMSRPD36909HN4BZJ" localSheetId="33" hidden="1">#REF!</definedName>
    <definedName name="BExVVPFO2J7FMSRPD36909HN4BZJ" localSheetId="31" hidden="1">#REF!</definedName>
    <definedName name="BExVVPFO2J7FMSRPD36909HN4BZJ" localSheetId="32" hidden="1">#REF!</definedName>
    <definedName name="BExVVPFO2J7FMSRPD36909HN4BZJ" hidden="1">#REF!</definedName>
    <definedName name="BExVVQ19AQ3VCARJOC38SF7OYE9Y" localSheetId="30" hidden="1">#REF!</definedName>
    <definedName name="BExVVQ19AQ3VCARJOC38SF7OYE9Y" localSheetId="29" hidden="1">#REF!</definedName>
    <definedName name="BExVVQ19AQ3VCARJOC38SF7OYE9Y" localSheetId="33" hidden="1">#REF!</definedName>
    <definedName name="BExVVQ19AQ3VCARJOC38SF7OYE9Y" localSheetId="31" hidden="1">#REF!</definedName>
    <definedName name="BExVVQ19AQ3VCARJOC38SF7OYE9Y" localSheetId="32" hidden="1">#REF!</definedName>
    <definedName name="BExVVQ19AQ3VCARJOC38SF7OYE9Y" hidden="1">#REF!</definedName>
    <definedName name="BExVVQ19TAECID45CS4HXT1RD3AQ" localSheetId="30" hidden="1">#REF!</definedName>
    <definedName name="BExVVQ19TAECID45CS4HXT1RD3AQ" localSheetId="29" hidden="1">#REF!</definedName>
    <definedName name="BExVVQ19TAECID45CS4HXT1RD3AQ" localSheetId="33" hidden="1">#REF!</definedName>
    <definedName name="BExVVQ19TAECID45CS4HXT1RD3AQ" localSheetId="31" hidden="1">#REF!</definedName>
    <definedName name="BExVVQ19TAECID45CS4HXT1RD3AQ" localSheetId="32" hidden="1">#REF!</definedName>
    <definedName name="BExVVQ19TAECID45CS4HXT1RD3AQ" hidden="1">#REF!</definedName>
    <definedName name="BExVW3YV5XGIVJ97UUPDJGJ2P15B" localSheetId="30" hidden="1">#REF!</definedName>
    <definedName name="BExVW3YV5XGIVJ97UUPDJGJ2P15B" localSheetId="29" hidden="1">#REF!</definedName>
    <definedName name="BExVW3YV5XGIVJ97UUPDJGJ2P15B" localSheetId="33" hidden="1">#REF!</definedName>
    <definedName name="BExVW3YV5XGIVJ97UUPDJGJ2P15B" localSheetId="31" hidden="1">#REF!</definedName>
    <definedName name="BExVW3YV5XGIVJ97UUPDJGJ2P15B" localSheetId="32" hidden="1">#REF!</definedName>
    <definedName name="BExVW3YV5XGIVJ97UUPDJGJ2P15B" hidden="1">#REF!</definedName>
    <definedName name="BExVW5X571GEYR5SCU1Z2DHKWM79" localSheetId="30" hidden="1">#REF!</definedName>
    <definedName name="BExVW5X571GEYR5SCU1Z2DHKWM79" localSheetId="29" hidden="1">#REF!</definedName>
    <definedName name="BExVW5X571GEYR5SCU1Z2DHKWM79" localSheetId="33" hidden="1">#REF!</definedName>
    <definedName name="BExVW5X571GEYR5SCU1Z2DHKWM79" localSheetId="31" hidden="1">#REF!</definedName>
    <definedName name="BExVW5X571GEYR5SCU1Z2DHKWM79" localSheetId="32" hidden="1">#REF!</definedName>
    <definedName name="BExVW5X571GEYR5SCU1Z2DHKWM79" hidden="1">#REF!</definedName>
    <definedName name="BExVW6YTKA098AF57M4PHNQ54XMH" localSheetId="30" hidden="1">#REF!</definedName>
    <definedName name="BExVW6YTKA098AF57M4PHNQ54XMH" localSheetId="29" hidden="1">#REF!</definedName>
    <definedName name="BExVW6YTKA098AF57M4PHNQ54XMH" localSheetId="33" hidden="1">#REF!</definedName>
    <definedName name="BExVW6YTKA098AF57M4PHNQ54XMH" localSheetId="31" hidden="1">#REF!</definedName>
    <definedName name="BExVW6YTKA098AF57M4PHNQ54XMH" localSheetId="32" hidden="1">#REF!</definedName>
    <definedName name="BExVW6YTKA098AF57M4PHNQ54XMH" hidden="1">#REF!</definedName>
    <definedName name="BExVWINKCH0V0NUWH363SMXAZE62" localSheetId="30" hidden="1">#REF!</definedName>
    <definedName name="BExVWINKCH0V0NUWH363SMXAZE62" localSheetId="29" hidden="1">#REF!</definedName>
    <definedName name="BExVWINKCH0V0NUWH363SMXAZE62" localSheetId="33" hidden="1">#REF!</definedName>
    <definedName name="BExVWINKCH0V0NUWH363SMXAZE62" localSheetId="31" hidden="1">#REF!</definedName>
    <definedName name="BExVWINKCH0V0NUWH363SMXAZE62" localSheetId="32" hidden="1">#REF!</definedName>
    <definedName name="BExVWINKCH0V0NUWH363SMXAZE62" hidden="1">#REF!</definedName>
    <definedName name="BExVWINKOF59YIFNMNMPRNA2BG3O" localSheetId="30" hidden="1">#REF!</definedName>
    <definedName name="BExVWINKOF59YIFNMNMPRNA2BG3O" localSheetId="29" hidden="1">#REF!</definedName>
    <definedName name="BExVWINKOF59YIFNMNMPRNA2BG3O" localSheetId="33" hidden="1">#REF!</definedName>
    <definedName name="BExVWINKOF59YIFNMNMPRNA2BG3O" localSheetId="31" hidden="1">#REF!</definedName>
    <definedName name="BExVWINKOF59YIFNMNMPRNA2BG3O" localSheetId="32" hidden="1">#REF!</definedName>
    <definedName name="BExVWINKOF59YIFNMNMPRNA2BG3O" hidden="1">#REF!</definedName>
    <definedName name="BExVWYE4J9PEDC47XT8UUJ9R0SQQ" localSheetId="30" hidden="1">#REF!</definedName>
    <definedName name="BExVWYE4J9PEDC47XT8UUJ9R0SQQ" localSheetId="29" hidden="1">#REF!</definedName>
    <definedName name="BExVWYE4J9PEDC47XT8UUJ9R0SQQ" localSheetId="33" hidden="1">#REF!</definedName>
    <definedName name="BExVWYE4J9PEDC47XT8UUJ9R0SQQ" localSheetId="31" hidden="1">#REF!</definedName>
    <definedName name="BExVWYE4J9PEDC47XT8UUJ9R0SQQ" localSheetId="32" hidden="1">#REF!</definedName>
    <definedName name="BExVWYE4J9PEDC47XT8UUJ9R0SQQ" hidden="1">#REF!</definedName>
    <definedName name="BExVWYU8EK669NP172GEIGCTVPPA" localSheetId="30" hidden="1">#REF!</definedName>
    <definedName name="BExVWYU8EK669NP172GEIGCTVPPA" localSheetId="29" hidden="1">#REF!</definedName>
    <definedName name="BExVWYU8EK669NP172GEIGCTVPPA" localSheetId="33" hidden="1">#REF!</definedName>
    <definedName name="BExVWYU8EK669NP172GEIGCTVPPA" localSheetId="31" hidden="1">#REF!</definedName>
    <definedName name="BExVWYU8EK669NP172GEIGCTVPPA" localSheetId="32" hidden="1">#REF!</definedName>
    <definedName name="BExVWYU8EK669NP172GEIGCTVPPA" hidden="1">#REF!</definedName>
    <definedName name="BExVX3MVJ0GHWPP1EL59ZQNKMX0B" localSheetId="30" hidden="1">#REF!</definedName>
    <definedName name="BExVX3MVJ0GHWPP1EL59ZQNKMX0B" localSheetId="29" hidden="1">#REF!</definedName>
    <definedName name="BExVX3MVJ0GHWPP1EL59ZQNKMX0B" localSheetId="33" hidden="1">#REF!</definedName>
    <definedName name="BExVX3MVJ0GHWPP1EL59ZQNKMX0B" localSheetId="31" hidden="1">#REF!</definedName>
    <definedName name="BExVX3MVJ0GHWPP1EL59ZQNKMX0B" localSheetId="32" hidden="1">#REF!</definedName>
    <definedName name="BExVX3MVJ0GHWPP1EL59ZQNKMX0B" hidden="1">#REF!</definedName>
    <definedName name="BExVX3XN2DRJKL8EDBIG58RYQ36R" localSheetId="30" hidden="1">#REF!</definedName>
    <definedName name="BExVX3XN2DRJKL8EDBIG58RYQ36R" localSheetId="29" hidden="1">#REF!</definedName>
    <definedName name="BExVX3XN2DRJKL8EDBIG58RYQ36R" localSheetId="33" hidden="1">#REF!</definedName>
    <definedName name="BExVX3XN2DRJKL8EDBIG58RYQ36R" localSheetId="31" hidden="1">#REF!</definedName>
    <definedName name="BExVX3XN2DRJKL8EDBIG58RYQ36R" localSheetId="32" hidden="1">#REF!</definedName>
    <definedName name="BExVX3XN2DRJKL8EDBIG58RYQ36R" hidden="1">#REF!</definedName>
    <definedName name="BExVXDZ63PUART77BBR5SI63TPC6" localSheetId="30" hidden="1">#REF!</definedName>
    <definedName name="BExVXDZ63PUART77BBR5SI63TPC6" localSheetId="29" hidden="1">#REF!</definedName>
    <definedName name="BExVXDZ63PUART77BBR5SI63TPC6" localSheetId="33" hidden="1">#REF!</definedName>
    <definedName name="BExVXDZ63PUART77BBR5SI63TPC6" localSheetId="31" hidden="1">#REF!</definedName>
    <definedName name="BExVXDZ63PUART77BBR5SI63TPC6" localSheetId="32" hidden="1">#REF!</definedName>
    <definedName name="BExVXDZ63PUART77BBR5SI63TPC6" hidden="1">#REF!</definedName>
    <definedName name="BExVXHKI6LFYMGWISMPACMO247HL" localSheetId="30" hidden="1">#REF!</definedName>
    <definedName name="BExVXHKI6LFYMGWISMPACMO247HL" localSheetId="29" hidden="1">#REF!</definedName>
    <definedName name="BExVXHKI6LFYMGWISMPACMO247HL" localSheetId="33" hidden="1">#REF!</definedName>
    <definedName name="BExVXHKI6LFYMGWISMPACMO247HL" localSheetId="31" hidden="1">#REF!</definedName>
    <definedName name="BExVXHKI6LFYMGWISMPACMO247HL" localSheetId="32" hidden="1">#REF!</definedName>
    <definedName name="BExVXHKI6LFYMGWISMPACMO247HL" hidden="1">#REF!</definedName>
    <definedName name="BExVXLX2BZ5EF2X6R41BTKRJR1NM" localSheetId="30" hidden="1">#REF!</definedName>
    <definedName name="BExVXLX2BZ5EF2X6R41BTKRJR1NM" localSheetId="29" hidden="1">#REF!</definedName>
    <definedName name="BExVXLX2BZ5EF2X6R41BTKRJR1NM" localSheetId="33" hidden="1">#REF!</definedName>
    <definedName name="BExVXLX2BZ5EF2X6R41BTKRJR1NM" localSheetId="31" hidden="1">#REF!</definedName>
    <definedName name="BExVXLX2BZ5EF2X6R41BTKRJR1NM" localSheetId="32" hidden="1">#REF!</definedName>
    <definedName name="BExVXLX2BZ5EF2X6R41BTKRJR1NM" hidden="1">#REF!</definedName>
    <definedName name="BExVXXLTJQWBNY5MK6MN9O7V36WS" localSheetId="30" hidden="1">#REF!</definedName>
    <definedName name="BExVXXLTJQWBNY5MK6MN9O7V36WS" localSheetId="29" hidden="1">#REF!</definedName>
    <definedName name="BExVXXLTJQWBNY5MK6MN9O7V36WS" localSheetId="33" hidden="1">#REF!</definedName>
    <definedName name="BExVXXLTJQWBNY5MK6MN9O7V36WS" localSheetId="31" hidden="1">#REF!</definedName>
    <definedName name="BExVXXLTJQWBNY5MK6MN9O7V36WS" localSheetId="32" hidden="1">#REF!</definedName>
    <definedName name="BExVXXLTJQWBNY5MK6MN9O7V36WS" hidden="1">#REF!</definedName>
    <definedName name="BExVY11V7U1SAY4QKYE0PBSPD7LW" localSheetId="30" hidden="1">#REF!</definedName>
    <definedName name="BExVY11V7U1SAY4QKYE0PBSPD7LW" localSheetId="29" hidden="1">#REF!</definedName>
    <definedName name="BExVY11V7U1SAY4QKYE0PBSPD7LW" localSheetId="33" hidden="1">#REF!</definedName>
    <definedName name="BExVY11V7U1SAY4QKYE0PBSPD7LW" localSheetId="31" hidden="1">#REF!</definedName>
    <definedName name="BExVY11V7U1SAY4QKYE0PBSPD7LW" localSheetId="32" hidden="1">#REF!</definedName>
    <definedName name="BExVY11V7U1SAY4QKYE0PBSPD7LW" hidden="1">#REF!</definedName>
    <definedName name="BExVY1SV37DL5YU59HS4IG3VBCP4" localSheetId="30" hidden="1">#REF!</definedName>
    <definedName name="BExVY1SV37DL5YU59HS4IG3VBCP4" localSheetId="29" hidden="1">#REF!</definedName>
    <definedName name="BExVY1SV37DL5YU59HS4IG3VBCP4" localSheetId="33" hidden="1">#REF!</definedName>
    <definedName name="BExVY1SV37DL5YU59HS4IG3VBCP4" localSheetId="31" hidden="1">#REF!</definedName>
    <definedName name="BExVY1SV37DL5YU59HS4IG3VBCP4" localSheetId="32" hidden="1">#REF!</definedName>
    <definedName name="BExVY1SV37DL5YU59HS4IG3VBCP4" hidden="1">#REF!</definedName>
    <definedName name="BExVY3WFGJKSQA08UF9NCMST928Y" localSheetId="30" hidden="1">#REF!</definedName>
    <definedName name="BExVY3WFGJKSQA08UF9NCMST928Y" localSheetId="29" hidden="1">#REF!</definedName>
    <definedName name="BExVY3WFGJKSQA08UF9NCMST928Y" localSheetId="33" hidden="1">#REF!</definedName>
    <definedName name="BExVY3WFGJKSQA08UF9NCMST928Y" localSheetId="31" hidden="1">#REF!</definedName>
    <definedName name="BExVY3WFGJKSQA08UF9NCMST928Y" localSheetId="32" hidden="1">#REF!</definedName>
    <definedName name="BExVY3WFGJKSQA08UF9NCMST928Y" hidden="1">#REF!</definedName>
    <definedName name="BExVY954UOEVQEIC5OFO4NEWVKAQ" localSheetId="30" hidden="1">#REF!</definedName>
    <definedName name="BExVY954UOEVQEIC5OFO4NEWVKAQ" localSheetId="29" hidden="1">#REF!</definedName>
    <definedName name="BExVY954UOEVQEIC5OFO4NEWVKAQ" localSheetId="33" hidden="1">#REF!</definedName>
    <definedName name="BExVY954UOEVQEIC5OFO4NEWVKAQ" localSheetId="31" hidden="1">#REF!</definedName>
    <definedName name="BExVY954UOEVQEIC5OFO4NEWVKAQ" localSheetId="32" hidden="1">#REF!</definedName>
    <definedName name="BExVY954UOEVQEIC5OFO4NEWVKAQ" hidden="1">#REF!</definedName>
    <definedName name="BExVYHDYIV5397LC02V4FEP8VD6W" localSheetId="30" hidden="1">#REF!</definedName>
    <definedName name="BExVYHDYIV5397LC02V4FEP8VD6W" localSheetId="29" hidden="1">#REF!</definedName>
    <definedName name="BExVYHDYIV5397LC02V4FEP8VD6W" localSheetId="33" hidden="1">#REF!</definedName>
    <definedName name="BExVYHDYIV5397LC02V4FEP8VD6W" localSheetId="31" hidden="1">#REF!</definedName>
    <definedName name="BExVYHDYIV5397LC02V4FEP8VD6W" localSheetId="32" hidden="1">#REF!</definedName>
    <definedName name="BExVYHDYIV5397LC02V4FEP8VD6W" hidden="1">#REF!</definedName>
    <definedName name="BExVYOVIZDA18YIQ0A30Q052PCAK" localSheetId="30" hidden="1">#REF!</definedName>
    <definedName name="BExVYOVIZDA18YIQ0A30Q052PCAK" localSheetId="29" hidden="1">#REF!</definedName>
    <definedName name="BExVYOVIZDA18YIQ0A30Q052PCAK" localSheetId="33" hidden="1">#REF!</definedName>
    <definedName name="BExVYOVIZDA18YIQ0A30Q052PCAK" localSheetId="31" hidden="1">#REF!</definedName>
    <definedName name="BExVYOVIZDA18YIQ0A30Q052PCAK" localSheetId="32" hidden="1">#REF!</definedName>
    <definedName name="BExVYOVIZDA18YIQ0A30Q052PCAK" hidden="1">#REF!</definedName>
    <definedName name="BExVYQIXPEM6J4JVP78BRHIC05PV" localSheetId="30" hidden="1">#REF!</definedName>
    <definedName name="BExVYQIXPEM6J4JVP78BRHIC05PV" localSheetId="29" hidden="1">#REF!</definedName>
    <definedName name="BExVYQIXPEM6J4JVP78BRHIC05PV" localSheetId="33" hidden="1">#REF!</definedName>
    <definedName name="BExVYQIXPEM6J4JVP78BRHIC05PV" localSheetId="31" hidden="1">#REF!</definedName>
    <definedName name="BExVYQIXPEM6J4JVP78BRHIC05PV" localSheetId="32" hidden="1">#REF!</definedName>
    <definedName name="BExVYQIXPEM6J4JVP78BRHIC05PV" hidden="1">#REF!</definedName>
    <definedName name="BExVYVGWN7SONLVDH9WJ2F1JS264" localSheetId="30" hidden="1">#REF!</definedName>
    <definedName name="BExVYVGWN7SONLVDH9WJ2F1JS264" localSheetId="29" hidden="1">#REF!</definedName>
    <definedName name="BExVYVGWN7SONLVDH9WJ2F1JS264" localSheetId="33" hidden="1">#REF!</definedName>
    <definedName name="BExVYVGWN7SONLVDH9WJ2F1JS264" localSheetId="31" hidden="1">#REF!</definedName>
    <definedName name="BExVYVGWN7SONLVDH9WJ2F1JS264" localSheetId="32" hidden="1">#REF!</definedName>
    <definedName name="BExVYVGWN7SONLVDH9WJ2F1JS264" hidden="1">#REF!</definedName>
    <definedName name="BExVZ9EO732IK6MNMG17Y1EFTJQC" localSheetId="30" hidden="1">#REF!</definedName>
    <definedName name="BExVZ9EO732IK6MNMG17Y1EFTJQC" localSheetId="29" hidden="1">#REF!</definedName>
    <definedName name="BExVZ9EO732IK6MNMG17Y1EFTJQC" localSheetId="33" hidden="1">#REF!</definedName>
    <definedName name="BExVZ9EO732IK6MNMG17Y1EFTJQC" localSheetId="31" hidden="1">#REF!</definedName>
    <definedName name="BExVZ9EO732IK6MNMG17Y1EFTJQC" localSheetId="32" hidden="1">#REF!</definedName>
    <definedName name="BExVZ9EO732IK6MNMG17Y1EFTJQC" hidden="1">#REF!</definedName>
    <definedName name="BExVZB1Y5J4UL2LKK0363EU7GIJ1" localSheetId="30" hidden="1">#REF!</definedName>
    <definedName name="BExVZB1Y5J4UL2LKK0363EU7GIJ1" localSheetId="29" hidden="1">#REF!</definedName>
    <definedName name="BExVZB1Y5J4UL2LKK0363EU7GIJ1" localSheetId="33" hidden="1">#REF!</definedName>
    <definedName name="BExVZB1Y5J4UL2LKK0363EU7GIJ1" localSheetId="31" hidden="1">#REF!</definedName>
    <definedName name="BExVZB1Y5J4UL2LKK0363EU7GIJ1" localSheetId="32" hidden="1">#REF!</definedName>
    <definedName name="BExVZB1Y5J4UL2LKK0363EU7GIJ1" hidden="1">#REF!</definedName>
    <definedName name="BExVZJQVO5LQ0BJH5JEN5NOBIAF6" localSheetId="30" hidden="1">#REF!</definedName>
    <definedName name="BExVZJQVO5LQ0BJH5JEN5NOBIAF6" localSheetId="29" hidden="1">#REF!</definedName>
    <definedName name="BExVZJQVO5LQ0BJH5JEN5NOBIAF6" localSheetId="33" hidden="1">#REF!</definedName>
    <definedName name="BExVZJQVO5LQ0BJH5JEN5NOBIAF6" localSheetId="31" hidden="1">#REF!</definedName>
    <definedName name="BExVZJQVO5LQ0BJH5JEN5NOBIAF6" localSheetId="32" hidden="1">#REF!</definedName>
    <definedName name="BExVZJQVO5LQ0BJH5JEN5NOBIAF6" hidden="1">#REF!</definedName>
    <definedName name="BExVZNXWS91RD7NXV5NE2R3C8WW7" localSheetId="30" hidden="1">#REF!</definedName>
    <definedName name="BExVZNXWS91RD7NXV5NE2R3C8WW7" localSheetId="29" hidden="1">#REF!</definedName>
    <definedName name="BExVZNXWS91RD7NXV5NE2R3C8WW7" localSheetId="33" hidden="1">#REF!</definedName>
    <definedName name="BExVZNXWS91RD7NXV5NE2R3C8WW7" localSheetId="31" hidden="1">#REF!</definedName>
    <definedName name="BExVZNXWS91RD7NXV5NE2R3C8WW7" localSheetId="32" hidden="1">#REF!</definedName>
    <definedName name="BExVZNXWS91RD7NXV5NE2R3C8WW7" hidden="1">#REF!</definedName>
    <definedName name="BExW0386REQRCQCVT9BCX80UPTRY" localSheetId="30" hidden="1">#REF!</definedName>
    <definedName name="BExW0386REQRCQCVT9BCX80UPTRY" localSheetId="29" hidden="1">#REF!</definedName>
    <definedName name="BExW0386REQRCQCVT9BCX80UPTRY" localSheetId="33" hidden="1">#REF!</definedName>
    <definedName name="BExW0386REQRCQCVT9BCX80UPTRY" localSheetId="31" hidden="1">#REF!</definedName>
    <definedName name="BExW0386REQRCQCVT9BCX80UPTRY" localSheetId="32" hidden="1">#REF!</definedName>
    <definedName name="BExW0386REQRCQCVT9BCX80UPTRY" hidden="1">#REF!</definedName>
    <definedName name="BExW06TN8V33ZDGM2WEEVYJM4DQD" localSheetId="30" hidden="1">#REF!</definedName>
    <definedName name="BExW06TN8V33ZDGM2WEEVYJM4DQD" localSheetId="29" hidden="1">#REF!</definedName>
    <definedName name="BExW06TN8V33ZDGM2WEEVYJM4DQD" localSheetId="33" hidden="1">#REF!</definedName>
    <definedName name="BExW06TN8V33ZDGM2WEEVYJM4DQD" localSheetId="31" hidden="1">#REF!</definedName>
    <definedName name="BExW06TN8V33ZDGM2WEEVYJM4DQD" localSheetId="32" hidden="1">#REF!</definedName>
    <definedName name="BExW06TN8V33ZDGM2WEEVYJM4DQD" hidden="1">#REF!</definedName>
    <definedName name="BExW0FYP4WXY71CYUG40SUBG9UWU" localSheetId="30" hidden="1">#REF!</definedName>
    <definedName name="BExW0FYP4WXY71CYUG40SUBG9UWU" localSheetId="29" hidden="1">#REF!</definedName>
    <definedName name="BExW0FYP4WXY71CYUG40SUBG9UWU" localSheetId="33" hidden="1">#REF!</definedName>
    <definedName name="BExW0FYP4WXY71CYUG40SUBG9UWU" localSheetId="31" hidden="1">#REF!</definedName>
    <definedName name="BExW0FYP4WXY71CYUG40SUBG9UWU" localSheetId="32" hidden="1">#REF!</definedName>
    <definedName name="BExW0FYP4WXY71CYUG40SUBG9UWU" hidden="1">#REF!</definedName>
    <definedName name="BExW0RI61B4VV0ARXTFVBAWRA1C5" localSheetId="30" hidden="1">#REF!</definedName>
    <definedName name="BExW0RI61B4VV0ARXTFVBAWRA1C5" localSheetId="29" hidden="1">#REF!</definedName>
    <definedName name="BExW0RI61B4VV0ARXTFVBAWRA1C5" localSheetId="33" hidden="1">#REF!</definedName>
    <definedName name="BExW0RI61B4VV0ARXTFVBAWRA1C5" localSheetId="31" hidden="1">#REF!</definedName>
    <definedName name="BExW0RI61B4VV0ARXTFVBAWRA1C5" localSheetId="32" hidden="1">#REF!</definedName>
    <definedName name="BExW0RI61B4VV0ARXTFVBAWRA1C5" hidden="1">#REF!</definedName>
    <definedName name="BExW1BVUYQTKMOR56MW7RVRX4L1L" localSheetId="30" hidden="1">#REF!</definedName>
    <definedName name="BExW1BVUYQTKMOR56MW7RVRX4L1L" localSheetId="29" hidden="1">#REF!</definedName>
    <definedName name="BExW1BVUYQTKMOR56MW7RVRX4L1L" localSheetId="33" hidden="1">#REF!</definedName>
    <definedName name="BExW1BVUYQTKMOR56MW7RVRX4L1L" localSheetId="31" hidden="1">#REF!</definedName>
    <definedName name="BExW1BVUYQTKMOR56MW7RVRX4L1L" localSheetId="32" hidden="1">#REF!</definedName>
    <definedName name="BExW1BVUYQTKMOR56MW7RVRX4L1L" hidden="1">#REF!</definedName>
    <definedName name="BExW1F1220628FOMTW5UAATHRJHK" localSheetId="30" hidden="1">#REF!</definedName>
    <definedName name="BExW1F1220628FOMTW5UAATHRJHK" localSheetId="29" hidden="1">#REF!</definedName>
    <definedName name="BExW1F1220628FOMTW5UAATHRJHK" localSheetId="33" hidden="1">#REF!</definedName>
    <definedName name="BExW1F1220628FOMTW5UAATHRJHK" localSheetId="31" hidden="1">#REF!</definedName>
    <definedName name="BExW1F1220628FOMTW5UAATHRJHK" localSheetId="32" hidden="1">#REF!</definedName>
    <definedName name="BExW1F1220628FOMTW5UAATHRJHK" hidden="1">#REF!</definedName>
    <definedName name="BExW1TKA0Z9OP2DTG50GZR5EG8C7" localSheetId="30" hidden="1">#REF!</definedName>
    <definedName name="BExW1TKA0Z9OP2DTG50GZR5EG8C7" localSheetId="29" hidden="1">#REF!</definedName>
    <definedName name="BExW1TKA0Z9OP2DTG50GZR5EG8C7" localSheetId="33" hidden="1">#REF!</definedName>
    <definedName name="BExW1TKA0Z9OP2DTG50GZR5EG8C7" localSheetId="31" hidden="1">#REF!</definedName>
    <definedName name="BExW1TKA0Z9OP2DTG50GZR5EG8C7" localSheetId="32" hidden="1">#REF!</definedName>
    <definedName name="BExW1TKA0Z9OP2DTG50GZR5EG8C7" hidden="1">#REF!</definedName>
    <definedName name="BExW1U0JLKQ094DW5MMOI8UHO09V" localSheetId="30" hidden="1">#REF!</definedName>
    <definedName name="BExW1U0JLKQ094DW5MMOI8UHO09V" localSheetId="29" hidden="1">#REF!</definedName>
    <definedName name="BExW1U0JLKQ094DW5MMOI8UHO09V" localSheetId="33" hidden="1">#REF!</definedName>
    <definedName name="BExW1U0JLKQ094DW5MMOI8UHO09V" localSheetId="31" hidden="1">#REF!</definedName>
    <definedName name="BExW1U0JLKQ094DW5MMOI8UHO09V" localSheetId="32" hidden="1">#REF!</definedName>
    <definedName name="BExW1U0JLKQ094DW5MMOI8UHO09V" hidden="1">#REF!</definedName>
    <definedName name="BExW283NP9D366XFPXLGSCI5UB0L" localSheetId="30" hidden="1">#REF!</definedName>
    <definedName name="BExW283NP9D366XFPXLGSCI5UB0L" localSheetId="29" hidden="1">#REF!</definedName>
    <definedName name="BExW283NP9D366XFPXLGSCI5UB0L" localSheetId="33" hidden="1">#REF!</definedName>
    <definedName name="BExW283NP9D366XFPXLGSCI5UB0L" localSheetId="31" hidden="1">#REF!</definedName>
    <definedName name="BExW283NP9D366XFPXLGSCI5UB0L" localSheetId="32" hidden="1">#REF!</definedName>
    <definedName name="BExW283NP9D366XFPXLGSCI5UB0L" hidden="1">#REF!</definedName>
    <definedName name="BExW2H3C8WJSBW5FGTFKVDVJC4CL" localSheetId="30" hidden="1">#REF!</definedName>
    <definedName name="BExW2H3C8WJSBW5FGTFKVDVJC4CL" localSheetId="29" hidden="1">#REF!</definedName>
    <definedName name="BExW2H3C8WJSBW5FGTFKVDVJC4CL" localSheetId="33" hidden="1">#REF!</definedName>
    <definedName name="BExW2H3C8WJSBW5FGTFKVDVJC4CL" localSheetId="31" hidden="1">#REF!</definedName>
    <definedName name="BExW2H3C8WJSBW5FGTFKVDVJC4CL" localSheetId="32" hidden="1">#REF!</definedName>
    <definedName name="BExW2H3C8WJSBW5FGTFKVDVJC4CL" hidden="1">#REF!</definedName>
    <definedName name="BExW2MSCKPGF5K3I7TL4KF5ISUOL" localSheetId="30" hidden="1">#REF!</definedName>
    <definedName name="BExW2MSCKPGF5K3I7TL4KF5ISUOL" localSheetId="29" hidden="1">#REF!</definedName>
    <definedName name="BExW2MSCKPGF5K3I7TL4KF5ISUOL" localSheetId="33" hidden="1">#REF!</definedName>
    <definedName name="BExW2MSCKPGF5K3I7TL4KF5ISUOL" localSheetId="31" hidden="1">#REF!</definedName>
    <definedName name="BExW2MSCKPGF5K3I7TL4KF5ISUOL" localSheetId="32" hidden="1">#REF!</definedName>
    <definedName name="BExW2MSCKPGF5K3I7TL4KF5ISUOL" hidden="1">#REF!</definedName>
    <definedName name="BExW2SMO90FU9W8DVVES6Q4E6BZR" localSheetId="30" hidden="1">#REF!</definedName>
    <definedName name="BExW2SMO90FU9W8DVVES6Q4E6BZR" localSheetId="29" hidden="1">#REF!</definedName>
    <definedName name="BExW2SMO90FU9W8DVVES6Q4E6BZR" localSheetId="33" hidden="1">#REF!</definedName>
    <definedName name="BExW2SMO90FU9W8DVVES6Q4E6BZR" localSheetId="31" hidden="1">#REF!</definedName>
    <definedName name="BExW2SMO90FU9W8DVVES6Q4E6BZR" localSheetId="32" hidden="1">#REF!</definedName>
    <definedName name="BExW2SMO90FU9W8DVVES6Q4E6BZR" hidden="1">#REF!</definedName>
    <definedName name="BExW36V9N91OHCUMGWJQL3I5P4JK" localSheetId="30" hidden="1">#REF!</definedName>
    <definedName name="BExW36V9N91OHCUMGWJQL3I5P4JK" localSheetId="29" hidden="1">#REF!</definedName>
    <definedName name="BExW36V9N91OHCUMGWJQL3I5P4JK" localSheetId="33" hidden="1">#REF!</definedName>
    <definedName name="BExW36V9N91OHCUMGWJQL3I5P4JK" localSheetId="31" hidden="1">#REF!</definedName>
    <definedName name="BExW36V9N91OHCUMGWJQL3I5P4JK" localSheetId="32" hidden="1">#REF!</definedName>
    <definedName name="BExW36V9N91OHCUMGWJQL3I5P4JK" hidden="1">#REF!</definedName>
    <definedName name="BExW3EIBA1J9Q9NA9VCGZGRS8WV7" localSheetId="30" hidden="1">#REF!</definedName>
    <definedName name="BExW3EIBA1J9Q9NA9VCGZGRS8WV7" localSheetId="29" hidden="1">#REF!</definedName>
    <definedName name="BExW3EIBA1J9Q9NA9VCGZGRS8WV7" localSheetId="33" hidden="1">#REF!</definedName>
    <definedName name="BExW3EIBA1J9Q9NA9VCGZGRS8WV7" localSheetId="31" hidden="1">#REF!</definedName>
    <definedName name="BExW3EIBA1J9Q9NA9VCGZGRS8WV7" localSheetId="32" hidden="1">#REF!</definedName>
    <definedName name="BExW3EIBA1J9Q9NA9VCGZGRS8WV7" hidden="1">#REF!</definedName>
    <definedName name="BExW3FEO8FI8N6AGQKYEG4SQVJWB" localSheetId="30" hidden="1">#REF!</definedName>
    <definedName name="BExW3FEO8FI8N6AGQKYEG4SQVJWB" localSheetId="29" hidden="1">#REF!</definedName>
    <definedName name="BExW3FEO8FI8N6AGQKYEG4SQVJWB" localSheetId="33" hidden="1">#REF!</definedName>
    <definedName name="BExW3FEO8FI8N6AGQKYEG4SQVJWB" localSheetId="31" hidden="1">#REF!</definedName>
    <definedName name="BExW3FEO8FI8N6AGQKYEG4SQVJWB" localSheetId="32" hidden="1">#REF!</definedName>
    <definedName name="BExW3FEO8FI8N6AGQKYEG4SQVJWB" hidden="1">#REF!</definedName>
    <definedName name="BExW3GB28STOMJUSZEIA7YKYNS4Y" localSheetId="30" hidden="1">#REF!</definedName>
    <definedName name="BExW3GB28STOMJUSZEIA7YKYNS4Y" localSheetId="29" hidden="1">#REF!</definedName>
    <definedName name="BExW3GB28STOMJUSZEIA7YKYNS4Y" localSheetId="33" hidden="1">#REF!</definedName>
    <definedName name="BExW3GB28STOMJUSZEIA7YKYNS4Y" localSheetId="31" hidden="1">#REF!</definedName>
    <definedName name="BExW3GB28STOMJUSZEIA7YKYNS4Y" localSheetId="32" hidden="1">#REF!</definedName>
    <definedName name="BExW3GB28STOMJUSZEIA7YKYNS4Y" hidden="1">#REF!</definedName>
    <definedName name="BExW3T1K638HT5E0Y8MMK108P5JT" localSheetId="30" hidden="1">#REF!</definedName>
    <definedName name="BExW3T1K638HT5E0Y8MMK108P5JT" localSheetId="29" hidden="1">#REF!</definedName>
    <definedName name="BExW3T1K638HT5E0Y8MMK108P5JT" localSheetId="33" hidden="1">#REF!</definedName>
    <definedName name="BExW3T1K638HT5E0Y8MMK108P5JT" localSheetId="31" hidden="1">#REF!</definedName>
    <definedName name="BExW3T1K638HT5E0Y8MMK108P5JT" localSheetId="32" hidden="1">#REF!</definedName>
    <definedName name="BExW3T1K638HT5E0Y8MMK108P5JT" hidden="1">#REF!</definedName>
    <definedName name="BExW4217ZHL9VO39POSTJOD090WU" localSheetId="30" hidden="1">#REF!</definedName>
    <definedName name="BExW4217ZHL9VO39POSTJOD090WU" localSheetId="29" hidden="1">#REF!</definedName>
    <definedName name="BExW4217ZHL9VO39POSTJOD090WU" localSheetId="33" hidden="1">#REF!</definedName>
    <definedName name="BExW4217ZHL9VO39POSTJOD090WU" localSheetId="31" hidden="1">#REF!</definedName>
    <definedName name="BExW4217ZHL9VO39POSTJOD090WU" localSheetId="32" hidden="1">#REF!</definedName>
    <definedName name="BExW4217ZHL9VO39POSTJOD090WU" hidden="1">#REF!</definedName>
    <definedName name="BExW4GPW71EBF8XPS2QGVQHBCDX3" localSheetId="30" hidden="1">#REF!</definedName>
    <definedName name="BExW4GPW71EBF8XPS2QGVQHBCDX3" localSheetId="29" hidden="1">#REF!</definedName>
    <definedName name="BExW4GPW71EBF8XPS2QGVQHBCDX3" localSheetId="33" hidden="1">#REF!</definedName>
    <definedName name="BExW4GPW71EBF8XPS2QGVQHBCDX3" localSheetId="31" hidden="1">#REF!</definedName>
    <definedName name="BExW4GPW71EBF8XPS2QGVQHBCDX3" localSheetId="32" hidden="1">#REF!</definedName>
    <definedName name="BExW4GPW71EBF8XPS2QGVQHBCDX3" hidden="1">#REF!</definedName>
    <definedName name="BExW4JKC5837JBPCOJV337ZVYYY3" localSheetId="30" hidden="1">#REF!</definedName>
    <definedName name="BExW4JKC5837JBPCOJV337ZVYYY3" localSheetId="29" hidden="1">#REF!</definedName>
    <definedName name="BExW4JKC5837JBPCOJV337ZVYYY3" localSheetId="33" hidden="1">#REF!</definedName>
    <definedName name="BExW4JKC5837JBPCOJV337ZVYYY3" localSheetId="31" hidden="1">#REF!</definedName>
    <definedName name="BExW4JKC5837JBPCOJV337ZVYYY3" localSheetId="32" hidden="1">#REF!</definedName>
    <definedName name="BExW4JKC5837JBPCOJV337ZVYYY3" hidden="1">#REF!</definedName>
    <definedName name="BExW4O7OTLW35ROCKZDRAYW9H5Q7" localSheetId="30" hidden="1">#REF!</definedName>
    <definedName name="BExW4O7OTLW35ROCKZDRAYW9H5Q7" localSheetId="29" hidden="1">#REF!</definedName>
    <definedName name="BExW4O7OTLW35ROCKZDRAYW9H5Q7" localSheetId="33" hidden="1">#REF!</definedName>
    <definedName name="BExW4O7OTLW35ROCKZDRAYW9H5Q7" localSheetId="31" hidden="1">#REF!</definedName>
    <definedName name="BExW4O7OTLW35ROCKZDRAYW9H5Q7" localSheetId="32" hidden="1">#REF!</definedName>
    <definedName name="BExW4O7OTLW35ROCKZDRAYW9H5Q7" hidden="1">#REF!</definedName>
    <definedName name="BExW4QR9FV9MP5K610THBSM51RYO" localSheetId="30" hidden="1">#REF!</definedName>
    <definedName name="BExW4QR9FV9MP5K610THBSM51RYO" localSheetId="29" hidden="1">#REF!</definedName>
    <definedName name="BExW4QR9FV9MP5K610THBSM51RYO" localSheetId="33" hidden="1">#REF!</definedName>
    <definedName name="BExW4QR9FV9MP5K610THBSM51RYO" localSheetId="31" hidden="1">#REF!</definedName>
    <definedName name="BExW4QR9FV9MP5K610THBSM51RYO" localSheetId="32" hidden="1">#REF!</definedName>
    <definedName name="BExW4QR9FV9MP5K610THBSM51RYO" hidden="1">#REF!</definedName>
    <definedName name="BExW4Z029R9E19ZENN3WEA3VDAD1" localSheetId="30" hidden="1">#REF!</definedName>
    <definedName name="BExW4Z029R9E19ZENN3WEA3VDAD1" localSheetId="29" hidden="1">#REF!</definedName>
    <definedName name="BExW4Z029R9E19ZENN3WEA3VDAD1" localSheetId="33" hidden="1">#REF!</definedName>
    <definedName name="BExW4Z029R9E19ZENN3WEA3VDAD1" localSheetId="31" hidden="1">#REF!</definedName>
    <definedName name="BExW4Z029R9E19ZENN3WEA3VDAD1" localSheetId="32" hidden="1">#REF!</definedName>
    <definedName name="BExW4Z029R9E19ZENN3WEA3VDAD1" hidden="1">#REF!</definedName>
    <definedName name="BExW57E6UVBMG2WWVQJ4GGBSTZB7" localSheetId="30" hidden="1">#REF!</definedName>
    <definedName name="BExW57E6UVBMG2WWVQJ4GGBSTZB7" localSheetId="29" hidden="1">#REF!</definedName>
    <definedName name="BExW57E6UVBMG2WWVQJ4GGBSTZB7" localSheetId="33" hidden="1">#REF!</definedName>
    <definedName name="BExW57E6UVBMG2WWVQJ4GGBSTZB7" localSheetId="31" hidden="1">#REF!</definedName>
    <definedName name="BExW57E6UVBMG2WWVQJ4GGBSTZB7" localSheetId="32" hidden="1">#REF!</definedName>
    <definedName name="BExW57E6UVBMG2WWVQJ4GGBSTZB7" hidden="1">#REF!</definedName>
    <definedName name="BExW5AZNT6IAZGNF2C879ODHY1B8" localSheetId="30" hidden="1">#REF!</definedName>
    <definedName name="BExW5AZNT6IAZGNF2C879ODHY1B8" localSheetId="29" hidden="1">#REF!</definedName>
    <definedName name="BExW5AZNT6IAZGNF2C879ODHY1B8" localSheetId="33" hidden="1">#REF!</definedName>
    <definedName name="BExW5AZNT6IAZGNF2C879ODHY1B8" localSheetId="31" hidden="1">#REF!</definedName>
    <definedName name="BExW5AZNT6IAZGNF2C879ODHY1B8" localSheetId="32" hidden="1">#REF!</definedName>
    <definedName name="BExW5AZNT6IAZGNF2C879ODHY1B8" hidden="1">#REF!</definedName>
    <definedName name="BExW5BL7U23QZL07W7FAGYN1Q05C" localSheetId="30" hidden="1">#REF!</definedName>
    <definedName name="BExW5BL7U23QZL07W7FAGYN1Q05C" localSheetId="29" hidden="1">#REF!</definedName>
    <definedName name="BExW5BL7U23QZL07W7FAGYN1Q05C" localSheetId="33" hidden="1">#REF!</definedName>
    <definedName name="BExW5BL7U23QZL07W7FAGYN1Q05C" localSheetId="31" hidden="1">#REF!</definedName>
    <definedName name="BExW5BL7U23QZL07W7FAGYN1Q05C" localSheetId="32" hidden="1">#REF!</definedName>
    <definedName name="BExW5BL7U23QZL07W7FAGYN1Q05C" hidden="1">#REF!</definedName>
    <definedName name="BExW5WPU27WD4NWZOT0ZEJIDLX5J" localSheetId="30" hidden="1">#REF!</definedName>
    <definedName name="BExW5WPU27WD4NWZOT0ZEJIDLX5J" localSheetId="29" hidden="1">#REF!</definedName>
    <definedName name="BExW5WPU27WD4NWZOT0ZEJIDLX5J" localSheetId="33" hidden="1">#REF!</definedName>
    <definedName name="BExW5WPU27WD4NWZOT0ZEJIDLX5J" localSheetId="31" hidden="1">#REF!</definedName>
    <definedName name="BExW5WPU27WD4NWZOT0ZEJIDLX5J" localSheetId="32" hidden="1">#REF!</definedName>
    <definedName name="BExW5WPU27WD4NWZOT0ZEJIDLX5J" hidden="1">#REF!</definedName>
    <definedName name="BExW660AV1TUV2XNUPD65RZR3QOO" localSheetId="30" hidden="1">#REF!</definedName>
    <definedName name="BExW660AV1TUV2XNUPD65RZR3QOO" localSheetId="29" hidden="1">#REF!</definedName>
    <definedName name="BExW660AV1TUV2XNUPD65RZR3QOO" localSheetId="33" hidden="1">#REF!</definedName>
    <definedName name="BExW660AV1TUV2XNUPD65RZR3QOO" localSheetId="31" hidden="1">#REF!</definedName>
    <definedName name="BExW660AV1TUV2XNUPD65RZR3QOO" localSheetId="32" hidden="1">#REF!</definedName>
    <definedName name="BExW660AV1TUV2XNUPD65RZR3QOO" hidden="1">#REF!</definedName>
    <definedName name="BExW66LVVZK656PQY1257QMHP2AY" localSheetId="30" hidden="1">#REF!</definedName>
    <definedName name="BExW66LVVZK656PQY1257QMHP2AY" localSheetId="29" hidden="1">#REF!</definedName>
    <definedName name="BExW66LVVZK656PQY1257QMHP2AY" localSheetId="33" hidden="1">#REF!</definedName>
    <definedName name="BExW66LVVZK656PQY1257QMHP2AY" localSheetId="31" hidden="1">#REF!</definedName>
    <definedName name="BExW66LVVZK656PQY1257QMHP2AY" localSheetId="32" hidden="1">#REF!</definedName>
    <definedName name="BExW66LVVZK656PQY1257QMHP2AY" hidden="1">#REF!</definedName>
    <definedName name="BExW6EJPHAP1TWT380AZLXNHR22P" localSheetId="30" hidden="1">#REF!</definedName>
    <definedName name="BExW6EJPHAP1TWT380AZLXNHR22P" localSheetId="29" hidden="1">#REF!</definedName>
    <definedName name="BExW6EJPHAP1TWT380AZLXNHR22P" localSheetId="33" hidden="1">#REF!</definedName>
    <definedName name="BExW6EJPHAP1TWT380AZLXNHR22P" localSheetId="31" hidden="1">#REF!</definedName>
    <definedName name="BExW6EJPHAP1TWT380AZLXNHR22P" localSheetId="32" hidden="1">#REF!</definedName>
    <definedName name="BExW6EJPHAP1TWT380AZLXNHR22P" hidden="1">#REF!</definedName>
    <definedName name="BExW6G1PJ38H10DVLL8WPQ736OEB" localSheetId="30" hidden="1">#REF!</definedName>
    <definedName name="BExW6G1PJ38H10DVLL8WPQ736OEB" localSheetId="29" hidden="1">#REF!</definedName>
    <definedName name="BExW6G1PJ38H10DVLL8WPQ736OEB" localSheetId="33" hidden="1">#REF!</definedName>
    <definedName name="BExW6G1PJ38H10DVLL8WPQ736OEB" localSheetId="31" hidden="1">#REF!</definedName>
    <definedName name="BExW6G1PJ38H10DVLL8WPQ736OEB" localSheetId="32" hidden="1">#REF!</definedName>
    <definedName name="BExW6G1PJ38H10DVLL8WPQ736OEB" hidden="1">#REF!</definedName>
    <definedName name="BExW794A74Z5F2K8LVQLD6VSKXUE" localSheetId="30" hidden="1">#REF!</definedName>
    <definedName name="BExW794A74Z5F2K8LVQLD6VSKXUE" localSheetId="29" hidden="1">#REF!</definedName>
    <definedName name="BExW794A74Z5F2K8LVQLD6VSKXUE" localSheetId="33" hidden="1">#REF!</definedName>
    <definedName name="BExW794A74Z5F2K8LVQLD6VSKXUE" localSheetId="31" hidden="1">#REF!</definedName>
    <definedName name="BExW794A74Z5F2K8LVQLD6VSKXUE" localSheetId="32" hidden="1">#REF!</definedName>
    <definedName name="BExW794A74Z5F2K8LVQLD6VSKXUE" hidden="1">#REF!</definedName>
    <definedName name="BExW8FIXNNI0NFE71DQ2ZYH21DF7" localSheetId="30" hidden="1">#REF!</definedName>
    <definedName name="BExW8FIXNNI0NFE71DQ2ZYH21DF7" localSheetId="29" hidden="1">#REF!</definedName>
    <definedName name="BExW8FIXNNI0NFE71DQ2ZYH21DF7" localSheetId="33" hidden="1">#REF!</definedName>
    <definedName name="BExW8FIXNNI0NFE71DQ2ZYH21DF7" localSheetId="31" hidden="1">#REF!</definedName>
    <definedName name="BExW8FIXNNI0NFE71DQ2ZYH21DF7" localSheetId="32" hidden="1">#REF!</definedName>
    <definedName name="BExW8FIXNNI0NFE71DQ2ZYH21DF7" hidden="1">#REF!</definedName>
    <definedName name="BExW8K0SSIPSKBVP06IJ71600HJZ" localSheetId="30" hidden="1">#REF!</definedName>
    <definedName name="BExW8K0SSIPSKBVP06IJ71600HJZ" localSheetId="29" hidden="1">#REF!</definedName>
    <definedName name="BExW8K0SSIPSKBVP06IJ71600HJZ" localSheetId="33" hidden="1">#REF!</definedName>
    <definedName name="BExW8K0SSIPSKBVP06IJ71600HJZ" localSheetId="31" hidden="1">#REF!</definedName>
    <definedName name="BExW8K0SSIPSKBVP06IJ71600HJZ" localSheetId="32" hidden="1">#REF!</definedName>
    <definedName name="BExW8K0SSIPSKBVP06IJ71600HJZ" hidden="1">#REF!</definedName>
    <definedName name="BExW8T0GVY3ZYO4ACSBLHS8SH895" localSheetId="30" hidden="1">#REF!</definedName>
    <definedName name="BExW8T0GVY3ZYO4ACSBLHS8SH895" localSheetId="29" hidden="1">#REF!</definedName>
    <definedName name="BExW8T0GVY3ZYO4ACSBLHS8SH895" localSheetId="33" hidden="1">#REF!</definedName>
    <definedName name="BExW8T0GVY3ZYO4ACSBLHS8SH895" localSheetId="31" hidden="1">#REF!</definedName>
    <definedName name="BExW8T0GVY3ZYO4ACSBLHS8SH895" localSheetId="32" hidden="1">#REF!</definedName>
    <definedName name="BExW8T0GVY3ZYO4ACSBLHS8SH895" hidden="1">#REF!</definedName>
    <definedName name="BExW8YEP73JMMU9HZ08PM4WHJQZ4" localSheetId="30" hidden="1">#REF!</definedName>
    <definedName name="BExW8YEP73JMMU9HZ08PM4WHJQZ4" localSheetId="29" hidden="1">#REF!</definedName>
    <definedName name="BExW8YEP73JMMU9HZ08PM4WHJQZ4" localSheetId="33" hidden="1">#REF!</definedName>
    <definedName name="BExW8YEP73JMMU9HZ08PM4WHJQZ4" localSheetId="31" hidden="1">#REF!</definedName>
    <definedName name="BExW8YEP73JMMU9HZ08PM4WHJQZ4" localSheetId="32" hidden="1">#REF!</definedName>
    <definedName name="BExW8YEP73JMMU9HZ08PM4WHJQZ4" hidden="1">#REF!</definedName>
    <definedName name="BExW937AT53OZQRHNWQZ5BVH24IE" localSheetId="30" hidden="1">#REF!</definedName>
    <definedName name="BExW937AT53OZQRHNWQZ5BVH24IE" localSheetId="29" hidden="1">#REF!</definedName>
    <definedName name="BExW937AT53OZQRHNWQZ5BVH24IE" localSheetId="33" hidden="1">#REF!</definedName>
    <definedName name="BExW937AT53OZQRHNWQZ5BVH24IE" localSheetId="31" hidden="1">#REF!</definedName>
    <definedName name="BExW937AT53OZQRHNWQZ5BVH24IE" localSheetId="32" hidden="1">#REF!</definedName>
    <definedName name="BExW937AT53OZQRHNWQZ5BVH24IE" hidden="1">#REF!</definedName>
    <definedName name="BExW95LN5N0LYFFVP7GJEGDVDLF0" localSheetId="30" hidden="1">#REF!</definedName>
    <definedName name="BExW95LN5N0LYFFVP7GJEGDVDLF0" localSheetId="29" hidden="1">#REF!</definedName>
    <definedName name="BExW95LN5N0LYFFVP7GJEGDVDLF0" localSheetId="33" hidden="1">#REF!</definedName>
    <definedName name="BExW95LN5N0LYFFVP7GJEGDVDLF0" localSheetId="31" hidden="1">#REF!</definedName>
    <definedName name="BExW95LN5N0LYFFVP7GJEGDVDLF0" localSheetId="32" hidden="1">#REF!</definedName>
    <definedName name="BExW95LN5N0LYFFVP7GJEGDVDLF0" hidden="1">#REF!</definedName>
    <definedName name="BExW967733Q8RAJOHR2GJ3HO8JIW" localSheetId="30" hidden="1">#REF!</definedName>
    <definedName name="BExW967733Q8RAJOHR2GJ3HO8JIW" localSheetId="29" hidden="1">#REF!</definedName>
    <definedName name="BExW967733Q8RAJOHR2GJ3HO8JIW" localSheetId="33" hidden="1">#REF!</definedName>
    <definedName name="BExW967733Q8RAJOHR2GJ3HO8JIW" localSheetId="31" hidden="1">#REF!</definedName>
    <definedName name="BExW967733Q8RAJOHR2GJ3HO8JIW" localSheetId="32" hidden="1">#REF!</definedName>
    <definedName name="BExW967733Q8RAJOHR2GJ3HO8JIW" hidden="1">#REF!</definedName>
    <definedName name="BExW9OHDTI9O43W4MTA8K3V8FCF3" localSheetId="30" hidden="1">#REF!</definedName>
    <definedName name="BExW9OHDTI9O43W4MTA8K3V8FCF3" localSheetId="29" hidden="1">#REF!</definedName>
    <definedName name="BExW9OHDTI9O43W4MTA8K3V8FCF3" localSheetId="33" hidden="1">#REF!</definedName>
    <definedName name="BExW9OHDTI9O43W4MTA8K3V8FCF3" localSheetId="31" hidden="1">#REF!</definedName>
    <definedName name="BExW9OHDTI9O43W4MTA8K3V8FCF3" localSheetId="32" hidden="1">#REF!</definedName>
    <definedName name="BExW9OHDTI9O43W4MTA8K3V8FCF3" hidden="1">#REF!</definedName>
    <definedName name="BExW9POK1KIOI0ALS5MZIKTDIYMA" localSheetId="30" hidden="1">#REF!</definedName>
    <definedName name="BExW9POK1KIOI0ALS5MZIKTDIYMA" localSheetId="29" hidden="1">#REF!</definedName>
    <definedName name="BExW9POK1KIOI0ALS5MZIKTDIYMA" localSheetId="33" hidden="1">#REF!</definedName>
    <definedName name="BExW9POK1KIOI0ALS5MZIKTDIYMA" localSheetId="31" hidden="1">#REF!</definedName>
    <definedName name="BExW9POK1KIOI0ALS5MZIKTDIYMA" localSheetId="32" hidden="1">#REF!</definedName>
    <definedName name="BExW9POK1KIOI0ALS5MZIKTDIYMA" hidden="1">#REF!</definedName>
    <definedName name="BExXLDE6PN4ESWT3LXJNQCY94NE4" localSheetId="30" hidden="1">#REF!</definedName>
    <definedName name="BExXLDE6PN4ESWT3LXJNQCY94NE4" localSheetId="29" hidden="1">#REF!</definedName>
    <definedName name="BExXLDE6PN4ESWT3LXJNQCY94NE4" localSheetId="33" hidden="1">#REF!</definedName>
    <definedName name="BExXLDE6PN4ESWT3LXJNQCY94NE4" localSheetId="31" hidden="1">#REF!</definedName>
    <definedName name="BExXLDE6PN4ESWT3LXJNQCY94NE4" localSheetId="32" hidden="1">#REF!</definedName>
    <definedName name="BExXLDE6PN4ESWT3LXJNQCY94NE4" hidden="1">#REF!</definedName>
    <definedName name="BExXLQVPK2H3IF0NDDA5CT612EUK" localSheetId="30" hidden="1">#REF!</definedName>
    <definedName name="BExXLQVPK2H3IF0NDDA5CT612EUK" localSheetId="29" hidden="1">#REF!</definedName>
    <definedName name="BExXLQVPK2H3IF0NDDA5CT612EUK" localSheetId="33" hidden="1">#REF!</definedName>
    <definedName name="BExXLQVPK2H3IF0NDDA5CT612EUK" localSheetId="31" hidden="1">#REF!</definedName>
    <definedName name="BExXLQVPK2H3IF0NDDA5CT612EUK" localSheetId="32" hidden="1">#REF!</definedName>
    <definedName name="BExXLQVPK2H3IF0NDDA5CT612EUK" hidden="1">#REF!</definedName>
    <definedName name="BExXLR6IO70TYTACKQH9M5PGV24J" localSheetId="30" hidden="1">#REF!</definedName>
    <definedName name="BExXLR6IO70TYTACKQH9M5PGV24J" localSheetId="29" hidden="1">#REF!</definedName>
    <definedName name="BExXLR6IO70TYTACKQH9M5PGV24J" localSheetId="33" hidden="1">#REF!</definedName>
    <definedName name="BExXLR6IO70TYTACKQH9M5PGV24J" localSheetId="31" hidden="1">#REF!</definedName>
    <definedName name="BExXLR6IO70TYTACKQH9M5PGV24J" localSheetId="32" hidden="1">#REF!</definedName>
    <definedName name="BExXLR6IO70TYTACKQH9M5PGV24J" hidden="1">#REF!</definedName>
    <definedName name="BExXM065WOLYRYHGHOJE0OOFXA4M" localSheetId="30" hidden="1">#REF!</definedName>
    <definedName name="BExXM065WOLYRYHGHOJE0OOFXA4M" localSheetId="29" hidden="1">#REF!</definedName>
    <definedName name="BExXM065WOLYRYHGHOJE0OOFXA4M" localSheetId="33" hidden="1">#REF!</definedName>
    <definedName name="BExXM065WOLYRYHGHOJE0OOFXA4M" localSheetId="31" hidden="1">#REF!</definedName>
    <definedName name="BExXM065WOLYRYHGHOJE0OOFXA4M" localSheetId="32" hidden="1">#REF!</definedName>
    <definedName name="BExXM065WOLYRYHGHOJE0OOFXA4M" hidden="1">#REF!</definedName>
    <definedName name="BExXM2KHBW8L31N5LSMXN7TXSRRZ" localSheetId="30" hidden="1">#REF!</definedName>
    <definedName name="BExXM2KHBW8L31N5LSMXN7TXSRRZ" localSheetId="29" hidden="1">#REF!</definedName>
    <definedName name="BExXM2KHBW8L31N5LSMXN7TXSRRZ" localSheetId="33" hidden="1">#REF!</definedName>
    <definedName name="BExXM2KHBW8L31N5LSMXN7TXSRRZ" localSheetId="31" hidden="1">#REF!</definedName>
    <definedName name="BExXM2KHBW8L31N5LSMXN7TXSRRZ" localSheetId="32" hidden="1">#REF!</definedName>
    <definedName name="BExXM2KHBW8L31N5LSMXN7TXSRRZ" hidden="1">#REF!</definedName>
    <definedName name="BExXM3GUNXVDM82KUR17NNUMQCNI" localSheetId="30" hidden="1">#REF!</definedName>
    <definedName name="BExXM3GUNXVDM82KUR17NNUMQCNI" localSheetId="29" hidden="1">#REF!</definedName>
    <definedName name="BExXM3GUNXVDM82KUR17NNUMQCNI" localSheetId="33" hidden="1">#REF!</definedName>
    <definedName name="BExXM3GUNXVDM82KUR17NNUMQCNI" localSheetId="31" hidden="1">#REF!</definedName>
    <definedName name="BExXM3GUNXVDM82KUR17NNUMQCNI" localSheetId="32" hidden="1">#REF!</definedName>
    <definedName name="BExXM3GUNXVDM82KUR17NNUMQCNI" hidden="1">#REF!</definedName>
    <definedName name="BExXMA28M8SH7MKIGETSDA72WUIZ" localSheetId="30" hidden="1">#REF!</definedName>
    <definedName name="BExXMA28M8SH7MKIGETSDA72WUIZ" localSheetId="29" hidden="1">#REF!</definedName>
    <definedName name="BExXMA28M8SH7MKIGETSDA72WUIZ" localSheetId="33" hidden="1">#REF!</definedName>
    <definedName name="BExXMA28M8SH7MKIGETSDA72WUIZ" localSheetId="31" hidden="1">#REF!</definedName>
    <definedName name="BExXMA28M8SH7MKIGETSDA72WUIZ" localSheetId="32" hidden="1">#REF!</definedName>
    <definedName name="BExXMA28M8SH7MKIGETSDA72WUIZ" hidden="1">#REF!</definedName>
    <definedName name="BExXMOLHIAHDLFSA31PUB36SC3I9" localSheetId="30" hidden="1">#REF!</definedName>
    <definedName name="BExXMOLHIAHDLFSA31PUB36SC3I9" localSheetId="29" hidden="1">#REF!</definedName>
    <definedName name="BExXMOLHIAHDLFSA31PUB36SC3I9" localSheetId="33" hidden="1">#REF!</definedName>
    <definedName name="BExXMOLHIAHDLFSA31PUB36SC3I9" localSheetId="31" hidden="1">#REF!</definedName>
    <definedName name="BExXMOLHIAHDLFSA31PUB36SC3I9" localSheetId="32" hidden="1">#REF!</definedName>
    <definedName name="BExXMOLHIAHDLFSA31PUB36SC3I9" hidden="1">#REF!</definedName>
    <definedName name="BExXMT8T5Z3M2JBQN65X2LKH0YQI" localSheetId="30" hidden="1">#REF!</definedName>
    <definedName name="BExXMT8T5Z3M2JBQN65X2LKH0YQI" localSheetId="29" hidden="1">#REF!</definedName>
    <definedName name="BExXMT8T5Z3M2JBQN65X2LKH0YQI" localSheetId="33" hidden="1">#REF!</definedName>
    <definedName name="BExXMT8T5Z3M2JBQN65X2LKH0YQI" localSheetId="31" hidden="1">#REF!</definedName>
    <definedName name="BExXMT8T5Z3M2JBQN65X2LKH0YQI" localSheetId="32" hidden="1">#REF!</definedName>
    <definedName name="BExXMT8T5Z3M2JBQN65X2LKH0YQI" hidden="1">#REF!</definedName>
    <definedName name="BExXN1XNO7H60M9X1E7EVWFJDM5N" localSheetId="30" hidden="1">#REF!</definedName>
    <definedName name="BExXN1XNO7H60M9X1E7EVWFJDM5N" localSheetId="29" hidden="1">#REF!</definedName>
    <definedName name="BExXN1XNO7H60M9X1E7EVWFJDM5N" localSheetId="33" hidden="1">#REF!</definedName>
    <definedName name="BExXN1XNO7H60M9X1E7EVWFJDM5N" localSheetId="31" hidden="1">#REF!</definedName>
    <definedName name="BExXN1XNO7H60M9X1E7EVWFJDM5N" localSheetId="32" hidden="1">#REF!</definedName>
    <definedName name="BExXN1XNO7H60M9X1E7EVWFJDM5N" hidden="1">#REF!</definedName>
    <definedName name="BExXN22ZOTIW49GPLWFYKVM90FNZ" localSheetId="30" hidden="1">#REF!</definedName>
    <definedName name="BExXN22ZOTIW49GPLWFYKVM90FNZ" localSheetId="29" hidden="1">#REF!</definedName>
    <definedName name="BExXN22ZOTIW49GPLWFYKVM90FNZ" localSheetId="33" hidden="1">#REF!</definedName>
    <definedName name="BExXN22ZOTIW49GPLWFYKVM90FNZ" localSheetId="31" hidden="1">#REF!</definedName>
    <definedName name="BExXN22ZOTIW49GPLWFYKVM90FNZ" localSheetId="32" hidden="1">#REF!</definedName>
    <definedName name="BExXN22ZOTIW49GPLWFYKVM90FNZ" hidden="1">#REF!</definedName>
    <definedName name="BExXN6QAP8UJQVN4R4BQKPP4QK35" localSheetId="30" hidden="1">#REF!</definedName>
    <definedName name="BExXN6QAP8UJQVN4R4BQKPP4QK35" localSheetId="29" hidden="1">#REF!</definedName>
    <definedName name="BExXN6QAP8UJQVN4R4BQKPP4QK35" localSheetId="33" hidden="1">#REF!</definedName>
    <definedName name="BExXN6QAP8UJQVN4R4BQKPP4QK35" localSheetId="31" hidden="1">#REF!</definedName>
    <definedName name="BExXN6QAP8UJQVN4R4BQKPP4QK35" localSheetId="32" hidden="1">#REF!</definedName>
    <definedName name="BExXN6QAP8UJQVN4R4BQKPP4QK35" hidden="1">#REF!</definedName>
    <definedName name="BExXNBOA39T2X6Y5Y5GZ5DDNA1AX" localSheetId="30" hidden="1">#REF!</definedName>
    <definedName name="BExXNBOA39T2X6Y5Y5GZ5DDNA1AX" localSheetId="29" hidden="1">#REF!</definedName>
    <definedName name="BExXNBOA39T2X6Y5Y5GZ5DDNA1AX" localSheetId="33" hidden="1">#REF!</definedName>
    <definedName name="BExXNBOA39T2X6Y5Y5GZ5DDNA1AX" localSheetId="31" hidden="1">#REF!</definedName>
    <definedName name="BExXNBOA39T2X6Y5Y5GZ5DDNA1AX" localSheetId="32" hidden="1">#REF!</definedName>
    <definedName name="BExXNBOA39T2X6Y5Y5GZ5DDNA1AX" hidden="1">#REF!</definedName>
    <definedName name="BExXND6872VJ3M2PGT056WQMWBHD" localSheetId="30" hidden="1">#REF!</definedName>
    <definedName name="BExXND6872VJ3M2PGT056WQMWBHD" localSheetId="29" hidden="1">#REF!</definedName>
    <definedName name="BExXND6872VJ3M2PGT056WQMWBHD" localSheetId="33" hidden="1">#REF!</definedName>
    <definedName name="BExXND6872VJ3M2PGT056WQMWBHD" localSheetId="31" hidden="1">#REF!</definedName>
    <definedName name="BExXND6872VJ3M2PGT056WQMWBHD" localSheetId="32" hidden="1">#REF!</definedName>
    <definedName name="BExXND6872VJ3M2PGT056WQMWBHD" hidden="1">#REF!</definedName>
    <definedName name="BExXNOEVGSAFDCSUNANMJGTZ7Y9E" localSheetId="30" hidden="1">#REF!</definedName>
    <definedName name="BExXNOEVGSAFDCSUNANMJGTZ7Y9E" localSheetId="29" hidden="1">#REF!</definedName>
    <definedName name="BExXNOEVGSAFDCSUNANMJGTZ7Y9E" localSheetId="33" hidden="1">#REF!</definedName>
    <definedName name="BExXNOEVGSAFDCSUNANMJGTZ7Y9E" localSheetId="31" hidden="1">#REF!</definedName>
    <definedName name="BExXNOEVGSAFDCSUNANMJGTZ7Y9E" localSheetId="32" hidden="1">#REF!</definedName>
    <definedName name="BExXNOEVGSAFDCSUNANMJGTZ7Y9E" hidden="1">#REF!</definedName>
    <definedName name="BExXNPM24UN2PGVL9D1TUBFRIKR4" localSheetId="30" hidden="1">#REF!</definedName>
    <definedName name="BExXNPM24UN2PGVL9D1TUBFRIKR4" localSheetId="29" hidden="1">#REF!</definedName>
    <definedName name="BExXNPM24UN2PGVL9D1TUBFRIKR4" localSheetId="33" hidden="1">#REF!</definedName>
    <definedName name="BExXNPM24UN2PGVL9D1TUBFRIKR4" localSheetId="31" hidden="1">#REF!</definedName>
    <definedName name="BExXNPM24UN2PGVL9D1TUBFRIKR4" localSheetId="32" hidden="1">#REF!</definedName>
    <definedName name="BExXNPM24UN2PGVL9D1TUBFRIKR4" hidden="1">#REF!</definedName>
    <definedName name="BExXNWYB165VO9MHARCL5WLCHWS0" localSheetId="30" hidden="1">#REF!</definedName>
    <definedName name="BExXNWYB165VO9MHARCL5WLCHWS0" localSheetId="29" hidden="1">#REF!</definedName>
    <definedName name="BExXNWYB165VO9MHARCL5WLCHWS0" localSheetId="33" hidden="1">#REF!</definedName>
    <definedName name="BExXNWYB165VO9MHARCL5WLCHWS0" localSheetId="31" hidden="1">#REF!</definedName>
    <definedName name="BExXNWYB165VO9MHARCL5WLCHWS0" localSheetId="32" hidden="1">#REF!</definedName>
    <definedName name="BExXNWYB165VO9MHARCL5WLCHWS0" hidden="1">#REF!</definedName>
    <definedName name="BExXNXELBSQVZOC095HXE6TGYE8M" localSheetId="30" hidden="1">#REF!</definedName>
    <definedName name="BExXNXELBSQVZOC095HXE6TGYE8M" localSheetId="29" hidden="1">#REF!</definedName>
    <definedName name="BExXNXELBSQVZOC095HXE6TGYE8M" localSheetId="33" hidden="1">#REF!</definedName>
    <definedName name="BExXNXELBSQVZOC095HXE6TGYE8M" localSheetId="31" hidden="1">#REF!</definedName>
    <definedName name="BExXNXELBSQVZOC095HXE6TGYE8M" localSheetId="32" hidden="1">#REF!</definedName>
    <definedName name="BExXNXELBSQVZOC095HXE6TGYE8M" hidden="1">#REF!</definedName>
    <definedName name="BExXO278QHQN8JDK5425EJ615ECC" localSheetId="30" hidden="1">#REF!</definedName>
    <definedName name="BExXO278QHQN8JDK5425EJ615ECC" localSheetId="29" hidden="1">#REF!</definedName>
    <definedName name="BExXO278QHQN8JDK5425EJ615ECC" localSheetId="33" hidden="1">#REF!</definedName>
    <definedName name="BExXO278QHQN8JDK5425EJ615ECC" localSheetId="31" hidden="1">#REF!</definedName>
    <definedName name="BExXO278QHQN8JDK5425EJ615ECC" localSheetId="32" hidden="1">#REF!</definedName>
    <definedName name="BExXO278QHQN8JDK5425EJ615ECC" hidden="1">#REF!</definedName>
    <definedName name="BExXOBC8LCVA5XBQYQRUOZ149CLJ" localSheetId="30" hidden="1">#REF!</definedName>
    <definedName name="BExXOBC8LCVA5XBQYQRUOZ149CLJ" localSheetId="29" hidden="1">#REF!</definedName>
    <definedName name="BExXOBC8LCVA5XBQYQRUOZ149CLJ" localSheetId="33" hidden="1">#REF!</definedName>
    <definedName name="BExXOBC8LCVA5XBQYQRUOZ149CLJ" localSheetId="31" hidden="1">#REF!</definedName>
    <definedName name="BExXOBC8LCVA5XBQYQRUOZ149CLJ" localSheetId="32" hidden="1">#REF!</definedName>
    <definedName name="BExXOBC8LCVA5XBQYQRUOZ149CLJ" hidden="1">#REF!</definedName>
    <definedName name="BExXOBHOP0WGFHI2Y9AO4L440UVQ" localSheetId="30" hidden="1">#REF!</definedName>
    <definedName name="BExXOBHOP0WGFHI2Y9AO4L440UVQ" localSheetId="29" hidden="1">#REF!</definedName>
    <definedName name="BExXOBHOP0WGFHI2Y9AO4L440UVQ" localSheetId="33" hidden="1">#REF!</definedName>
    <definedName name="BExXOBHOP0WGFHI2Y9AO4L440UVQ" localSheetId="31" hidden="1">#REF!</definedName>
    <definedName name="BExXOBHOP0WGFHI2Y9AO4L440UVQ" localSheetId="32" hidden="1">#REF!</definedName>
    <definedName name="BExXOBHOP0WGFHI2Y9AO4L440UVQ" hidden="1">#REF!</definedName>
    <definedName name="BExXOHSAD2NSHOLLMZ2JWA4I3I1R" localSheetId="30" hidden="1">#REF!</definedName>
    <definedName name="BExXOHSAD2NSHOLLMZ2JWA4I3I1R" localSheetId="29" hidden="1">#REF!</definedName>
    <definedName name="BExXOHSAD2NSHOLLMZ2JWA4I3I1R" localSheetId="33" hidden="1">#REF!</definedName>
    <definedName name="BExXOHSAD2NSHOLLMZ2JWA4I3I1R" localSheetId="31" hidden="1">#REF!</definedName>
    <definedName name="BExXOHSAD2NSHOLLMZ2JWA4I3I1R" localSheetId="32" hidden="1">#REF!</definedName>
    <definedName name="BExXOHSAD2NSHOLLMZ2JWA4I3I1R" hidden="1">#REF!</definedName>
    <definedName name="BExXP80B5FGA00JCM7UXKPI3PB7Y" localSheetId="30" hidden="1">#REF!</definedName>
    <definedName name="BExXP80B5FGA00JCM7UXKPI3PB7Y" localSheetId="29" hidden="1">#REF!</definedName>
    <definedName name="BExXP80B5FGA00JCM7UXKPI3PB7Y" localSheetId="33" hidden="1">#REF!</definedName>
    <definedName name="BExXP80B5FGA00JCM7UXKPI3PB7Y" localSheetId="31" hidden="1">#REF!</definedName>
    <definedName name="BExXP80B5FGA00JCM7UXKPI3PB7Y" localSheetId="32" hidden="1">#REF!</definedName>
    <definedName name="BExXP80B5FGA00JCM7UXKPI3PB7Y" hidden="1">#REF!</definedName>
    <definedName name="BExXP85M4WXYVN1UVHUTOEKEG5XS" localSheetId="30" hidden="1">#REF!</definedName>
    <definedName name="BExXP85M4WXYVN1UVHUTOEKEG5XS" localSheetId="29" hidden="1">#REF!</definedName>
    <definedName name="BExXP85M4WXYVN1UVHUTOEKEG5XS" localSheetId="33" hidden="1">#REF!</definedName>
    <definedName name="BExXP85M4WXYVN1UVHUTOEKEG5XS" localSheetId="31" hidden="1">#REF!</definedName>
    <definedName name="BExXP85M4WXYVN1UVHUTOEKEG5XS" localSheetId="32" hidden="1">#REF!</definedName>
    <definedName name="BExXP85M4WXYVN1UVHUTOEKEG5XS" hidden="1">#REF!</definedName>
    <definedName name="BExXPELOTHOAG0OWILLAH94OZV5J" localSheetId="30" hidden="1">#REF!</definedName>
    <definedName name="BExXPELOTHOAG0OWILLAH94OZV5J" localSheetId="29" hidden="1">#REF!</definedName>
    <definedName name="BExXPELOTHOAG0OWILLAH94OZV5J" localSheetId="33" hidden="1">#REF!</definedName>
    <definedName name="BExXPELOTHOAG0OWILLAH94OZV5J" localSheetId="31" hidden="1">#REF!</definedName>
    <definedName name="BExXPELOTHOAG0OWILLAH94OZV5J" localSheetId="32" hidden="1">#REF!</definedName>
    <definedName name="BExXPELOTHOAG0OWILLAH94OZV5J" hidden="1">#REF!</definedName>
    <definedName name="BExXPS31W1VD2NMIE4E37LHVDF0L" localSheetId="30" hidden="1">#REF!</definedName>
    <definedName name="BExXPS31W1VD2NMIE4E37LHVDF0L" localSheetId="29" hidden="1">#REF!</definedName>
    <definedName name="BExXPS31W1VD2NMIE4E37LHVDF0L" localSheetId="33" hidden="1">#REF!</definedName>
    <definedName name="BExXPS31W1VD2NMIE4E37LHVDF0L" localSheetId="31" hidden="1">#REF!</definedName>
    <definedName name="BExXPS31W1VD2NMIE4E37LHVDF0L" localSheetId="32" hidden="1">#REF!</definedName>
    <definedName name="BExXPS31W1VD2NMIE4E37LHVDF0L" hidden="1">#REF!</definedName>
    <definedName name="BExXPZKYEMVF5JOC14HYOOYQK6JK" localSheetId="30" hidden="1">#REF!</definedName>
    <definedName name="BExXPZKYEMVF5JOC14HYOOYQK6JK" localSheetId="29" hidden="1">#REF!</definedName>
    <definedName name="BExXPZKYEMVF5JOC14HYOOYQK6JK" localSheetId="33" hidden="1">#REF!</definedName>
    <definedName name="BExXPZKYEMVF5JOC14HYOOYQK6JK" localSheetId="31" hidden="1">#REF!</definedName>
    <definedName name="BExXPZKYEMVF5JOC14HYOOYQK6JK" localSheetId="32" hidden="1">#REF!</definedName>
    <definedName name="BExXPZKYEMVF5JOC14HYOOYQK6JK" hidden="1">#REF!</definedName>
    <definedName name="BExXQ89PA10X79WBWOEP1AJX1OQM" localSheetId="30" hidden="1">#REF!</definedName>
    <definedName name="BExXQ89PA10X79WBWOEP1AJX1OQM" localSheetId="29" hidden="1">#REF!</definedName>
    <definedName name="BExXQ89PA10X79WBWOEP1AJX1OQM" localSheetId="33" hidden="1">#REF!</definedName>
    <definedName name="BExXQ89PA10X79WBWOEP1AJX1OQM" localSheetId="31" hidden="1">#REF!</definedName>
    <definedName name="BExXQ89PA10X79WBWOEP1AJX1OQM" localSheetId="32" hidden="1">#REF!</definedName>
    <definedName name="BExXQ89PA10X79WBWOEP1AJX1OQM" hidden="1">#REF!</definedName>
    <definedName name="BExXQCGQGGYSI0LTRVR73MUO50AW" localSheetId="30" hidden="1">#REF!</definedName>
    <definedName name="BExXQCGQGGYSI0LTRVR73MUO50AW" localSheetId="29" hidden="1">#REF!</definedName>
    <definedName name="BExXQCGQGGYSI0LTRVR73MUO50AW" localSheetId="33" hidden="1">#REF!</definedName>
    <definedName name="BExXQCGQGGYSI0LTRVR73MUO50AW" localSheetId="31" hidden="1">#REF!</definedName>
    <definedName name="BExXQCGQGGYSI0LTRVR73MUO50AW" localSheetId="32" hidden="1">#REF!</definedName>
    <definedName name="BExXQCGQGGYSI0LTRVR73MUO50AW" hidden="1">#REF!</definedName>
    <definedName name="BExXQEEXFHDQ8DSRAJSB5ET6J004" localSheetId="30" hidden="1">#REF!</definedName>
    <definedName name="BExXQEEXFHDQ8DSRAJSB5ET6J004" localSheetId="29" hidden="1">#REF!</definedName>
    <definedName name="BExXQEEXFHDQ8DSRAJSB5ET6J004" localSheetId="33" hidden="1">#REF!</definedName>
    <definedName name="BExXQEEXFHDQ8DSRAJSB5ET6J004" localSheetId="31" hidden="1">#REF!</definedName>
    <definedName name="BExXQEEXFHDQ8DSRAJSB5ET6J004" localSheetId="32" hidden="1">#REF!</definedName>
    <definedName name="BExXQEEXFHDQ8DSRAJSB5ET6J004" hidden="1">#REF!</definedName>
    <definedName name="BExXQH41O5HZAH8BO6HCFY8YC3TU" localSheetId="30" hidden="1">#REF!</definedName>
    <definedName name="BExXQH41O5HZAH8BO6HCFY8YC3TU" localSheetId="29" hidden="1">#REF!</definedName>
    <definedName name="BExXQH41O5HZAH8BO6HCFY8YC3TU" localSheetId="33" hidden="1">#REF!</definedName>
    <definedName name="BExXQH41O5HZAH8BO6HCFY8YC3TU" localSheetId="31" hidden="1">#REF!</definedName>
    <definedName name="BExXQH41O5HZAH8BO6HCFY8YC3TU" localSheetId="32" hidden="1">#REF!</definedName>
    <definedName name="BExXQH41O5HZAH8BO6HCFY8YC3TU" hidden="1">#REF!</definedName>
    <definedName name="BExXQIRBLQSLAJTFL7224FCFUTKH" localSheetId="30" hidden="1">#REF!</definedName>
    <definedName name="BExXQIRBLQSLAJTFL7224FCFUTKH" localSheetId="29" hidden="1">#REF!</definedName>
    <definedName name="BExXQIRBLQSLAJTFL7224FCFUTKH" localSheetId="33" hidden="1">#REF!</definedName>
    <definedName name="BExXQIRBLQSLAJTFL7224FCFUTKH" localSheetId="31" hidden="1">#REF!</definedName>
    <definedName name="BExXQIRBLQSLAJTFL7224FCFUTKH" localSheetId="32" hidden="1">#REF!</definedName>
    <definedName name="BExXQIRBLQSLAJTFL7224FCFUTKH" hidden="1">#REF!</definedName>
    <definedName name="BExXQJIEF5R3QQ6D8HO3NGPU0IQC" localSheetId="30" hidden="1">#REF!</definedName>
    <definedName name="BExXQJIEF5R3QQ6D8HO3NGPU0IQC" localSheetId="29" hidden="1">#REF!</definedName>
    <definedName name="BExXQJIEF5R3QQ6D8HO3NGPU0IQC" localSheetId="33" hidden="1">#REF!</definedName>
    <definedName name="BExXQJIEF5R3QQ6D8HO3NGPU0IQC" localSheetId="31" hidden="1">#REF!</definedName>
    <definedName name="BExXQJIEF5R3QQ6D8HO3NGPU0IQC" localSheetId="32" hidden="1">#REF!</definedName>
    <definedName name="BExXQJIEF5R3QQ6D8HO3NGPU0IQC" hidden="1">#REF!</definedName>
    <definedName name="BExXQU00K9ER4I1WM7T9J0W1E7ZC" localSheetId="30" hidden="1">#REF!</definedName>
    <definedName name="BExXQU00K9ER4I1WM7T9J0W1E7ZC" localSheetId="29" hidden="1">#REF!</definedName>
    <definedName name="BExXQU00K9ER4I1WM7T9J0W1E7ZC" localSheetId="33" hidden="1">#REF!</definedName>
    <definedName name="BExXQU00K9ER4I1WM7T9J0W1E7ZC" localSheetId="31" hidden="1">#REF!</definedName>
    <definedName name="BExXQU00K9ER4I1WM7T9J0W1E7ZC" localSheetId="32" hidden="1">#REF!</definedName>
    <definedName name="BExXQU00K9ER4I1WM7T9J0W1E7ZC" hidden="1">#REF!</definedName>
    <definedName name="BExXQU00KOR7XLM8B13DGJ1MIQDY" localSheetId="30" hidden="1">#REF!</definedName>
    <definedName name="BExXQU00KOR7XLM8B13DGJ1MIQDY" localSheetId="29" hidden="1">#REF!</definedName>
    <definedName name="BExXQU00KOR7XLM8B13DGJ1MIQDY" localSheetId="33" hidden="1">#REF!</definedName>
    <definedName name="BExXQU00KOR7XLM8B13DGJ1MIQDY" localSheetId="31" hidden="1">#REF!</definedName>
    <definedName name="BExXQU00KOR7XLM8B13DGJ1MIQDY" localSheetId="32" hidden="1">#REF!</definedName>
    <definedName name="BExXQU00KOR7XLM8B13DGJ1MIQDY" hidden="1">#REF!</definedName>
    <definedName name="BExXQXG18PS8HGBOS03OSTQ0KEYC" localSheetId="30" hidden="1">#REF!</definedName>
    <definedName name="BExXQXG18PS8HGBOS03OSTQ0KEYC" localSheetId="29" hidden="1">#REF!</definedName>
    <definedName name="BExXQXG18PS8HGBOS03OSTQ0KEYC" localSheetId="33" hidden="1">#REF!</definedName>
    <definedName name="BExXQXG18PS8HGBOS03OSTQ0KEYC" localSheetId="31" hidden="1">#REF!</definedName>
    <definedName name="BExXQXG18PS8HGBOS03OSTQ0KEYC" localSheetId="32" hidden="1">#REF!</definedName>
    <definedName name="BExXQXG18PS8HGBOS03OSTQ0KEYC" hidden="1">#REF!</definedName>
    <definedName name="BExXQXQT4OAFQT5B0YB3USDJOJOB" localSheetId="30" hidden="1">#REF!</definedName>
    <definedName name="BExXQXQT4OAFQT5B0YB3USDJOJOB" localSheetId="29" hidden="1">#REF!</definedName>
    <definedName name="BExXQXQT4OAFQT5B0YB3USDJOJOB" localSheetId="33" hidden="1">#REF!</definedName>
    <definedName name="BExXQXQT4OAFQT5B0YB3USDJOJOB" localSheetId="31" hidden="1">#REF!</definedName>
    <definedName name="BExXQXQT4OAFQT5B0YB3USDJOJOB" localSheetId="32" hidden="1">#REF!</definedName>
    <definedName name="BExXQXQT4OAFQT5B0YB3USDJOJOB" hidden="1">#REF!</definedName>
    <definedName name="BExXR3FSEXAHSXEQNJORWFCPX86N" localSheetId="30" hidden="1">#REF!</definedName>
    <definedName name="BExXR3FSEXAHSXEQNJORWFCPX86N" localSheetId="29" hidden="1">#REF!</definedName>
    <definedName name="BExXR3FSEXAHSXEQNJORWFCPX86N" localSheetId="33" hidden="1">#REF!</definedName>
    <definedName name="BExXR3FSEXAHSXEQNJORWFCPX86N" localSheetId="31" hidden="1">#REF!</definedName>
    <definedName name="BExXR3FSEXAHSXEQNJORWFCPX86N" localSheetId="32" hidden="1">#REF!</definedName>
    <definedName name="BExXR3FSEXAHSXEQNJORWFCPX86N" hidden="1">#REF!</definedName>
    <definedName name="BExXR3W3FKYQBLR299HO9RZ70C43" localSheetId="30" hidden="1">#REF!</definedName>
    <definedName name="BExXR3W3FKYQBLR299HO9RZ70C43" localSheetId="29" hidden="1">#REF!</definedName>
    <definedName name="BExXR3W3FKYQBLR299HO9RZ70C43" localSheetId="33" hidden="1">#REF!</definedName>
    <definedName name="BExXR3W3FKYQBLR299HO9RZ70C43" localSheetId="31" hidden="1">#REF!</definedName>
    <definedName name="BExXR3W3FKYQBLR299HO9RZ70C43" localSheetId="32" hidden="1">#REF!</definedName>
    <definedName name="BExXR3W3FKYQBLR299HO9RZ70C43" hidden="1">#REF!</definedName>
    <definedName name="BExXR46U23CRRBV6IZT982MAEQKI" localSheetId="30" hidden="1">#REF!</definedName>
    <definedName name="BExXR46U23CRRBV6IZT982MAEQKI" localSheetId="29" hidden="1">#REF!</definedName>
    <definedName name="BExXR46U23CRRBV6IZT982MAEQKI" localSheetId="33" hidden="1">#REF!</definedName>
    <definedName name="BExXR46U23CRRBV6IZT982MAEQKI" localSheetId="31" hidden="1">#REF!</definedName>
    <definedName name="BExXR46U23CRRBV6IZT982MAEQKI" localSheetId="32" hidden="1">#REF!</definedName>
    <definedName name="BExXR46U23CRRBV6IZT982MAEQKI" hidden="1">#REF!</definedName>
    <definedName name="BExXR8OKAVX7O70V5IYG2PRKXSTI" localSheetId="30" hidden="1">#REF!</definedName>
    <definedName name="BExXR8OKAVX7O70V5IYG2PRKXSTI" localSheetId="29" hidden="1">#REF!</definedName>
    <definedName name="BExXR8OKAVX7O70V5IYG2PRKXSTI" localSheetId="33" hidden="1">#REF!</definedName>
    <definedName name="BExXR8OKAVX7O70V5IYG2PRKXSTI" localSheetId="31" hidden="1">#REF!</definedName>
    <definedName name="BExXR8OKAVX7O70V5IYG2PRKXSTI" localSheetId="32" hidden="1">#REF!</definedName>
    <definedName name="BExXR8OKAVX7O70V5IYG2PRKXSTI" hidden="1">#REF!</definedName>
    <definedName name="BExXRA6N6XCLQM6XDV724ZIH6G93" localSheetId="30" hidden="1">#REF!</definedName>
    <definedName name="BExXRA6N6XCLQM6XDV724ZIH6G93" localSheetId="29" hidden="1">#REF!</definedName>
    <definedName name="BExXRA6N6XCLQM6XDV724ZIH6G93" localSheetId="33" hidden="1">#REF!</definedName>
    <definedName name="BExXRA6N6XCLQM6XDV724ZIH6G93" localSheetId="31" hidden="1">#REF!</definedName>
    <definedName name="BExXRA6N6XCLQM6XDV724ZIH6G93" localSheetId="32" hidden="1">#REF!</definedName>
    <definedName name="BExXRA6N6XCLQM6XDV724ZIH6G93" hidden="1">#REF!</definedName>
    <definedName name="BExXRABZ1CNKCG6K1MR6OUFHF7J9" localSheetId="30" hidden="1">#REF!</definedName>
    <definedName name="BExXRABZ1CNKCG6K1MR6OUFHF7J9" localSheetId="29" hidden="1">#REF!</definedName>
    <definedName name="BExXRABZ1CNKCG6K1MR6OUFHF7J9" localSheetId="33" hidden="1">#REF!</definedName>
    <definedName name="BExXRABZ1CNKCG6K1MR6OUFHF7J9" localSheetId="31" hidden="1">#REF!</definedName>
    <definedName name="BExXRABZ1CNKCG6K1MR6OUFHF7J9" localSheetId="32" hidden="1">#REF!</definedName>
    <definedName name="BExXRABZ1CNKCG6K1MR6OUFHF7J9" hidden="1">#REF!</definedName>
    <definedName name="BExXRBOFETC0OTJ6WY3VPMFH03VB" localSheetId="30" hidden="1">#REF!</definedName>
    <definedName name="BExXRBOFETC0OTJ6WY3VPMFH03VB" localSheetId="29" hidden="1">#REF!</definedName>
    <definedName name="BExXRBOFETC0OTJ6WY3VPMFH03VB" localSheetId="33" hidden="1">#REF!</definedName>
    <definedName name="BExXRBOFETC0OTJ6WY3VPMFH03VB" localSheetId="31" hidden="1">#REF!</definedName>
    <definedName name="BExXRBOFETC0OTJ6WY3VPMFH03VB" localSheetId="32" hidden="1">#REF!</definedName>
    <definedName name="BExXRBOFETC0OTJ6WY3VPMFH03VB" hidden="1">#REF!</definedName>
    <definedName name="BExXRD13K1S9Y3JGR7CXSONT7RJZ" localSheetId="30" hidden="1">#REF!</definedName>
    <definedName name="BExXRD13K1S9Y3JGR7CXSONT7RJZ" localSheetId="29" hidden="1">#REF!</definedName>
    <definedName name="BExXRD13K1S9Y3JGR7CXSONT7RJZ" localSheetId="33" hidden="1">#REF!</definedName>
    <definedName name="BExXRD13K1S9Y3JGR7CXSONT7RJZ" localSheetId="31" hidden="1">#REF!</definedName>
    <definedName name="BExXRD13K1S9Y3JGR7CXSONT7RJZ" localSheetId="32" hidden="1">#REF!</definedName>
    <definedName name="BExXRD13K1S9Y3JGR7CXSONT7RJZ" hidden="1">#REF!</definedName>
    <definedName name="BExXRIFB4QQ87QIGA9AG0NXP577K" localSheetId="30" hidden="1">#REF!</definedName>
    <definedName name="BExXRIFB4QQ87QIGA9AG0NXP577K" localSheetId="29" hidden="1">#REF!</definedName>
    <definedName name="BExXRIFB4QQ87QIGA9AG0NXP577K" localSheetId="33" hidden="1">#REF!</definedName>
    <definedName name="BExXRIFB4QQ87QIGA9AG0NXP577K" localSheetId="31" hidden="1">#REF!</definedName>
    <definedName name="BExXRIFB4QQ87QIGA9AG0NXP577K" localSheetId="32" hidden="1">#REF!</definedName>
    <definedName name="BExXRIFB4QQ87QIGA9AG0NXP577K" hidden="1">#REF!</definedName>
    <definedName name="BExXRIQ2JF2CVTRDQX2D9SPH7FTN" localSheetId="30" hidden="1">#REF!</definedName>
    <definedName name="BExXRIQ2JF2CVTRDQX2D9SPH7FTN" localSheetId="29" hidden="1">#REF!</definedName>
    <definedName name="BExXRIQ2JF2CVTRDQX2D9SPH7FTN" localSheetId="33" hidden="1">#REF!</definedName>
    <definedName name="BExXRIQ2JF2CVTRDQX2D9SPH7FTN" localSheetId="31" hidden="1">#REF!</definedName>
    <definedName name="BExXRIQ2JF2CVTRDQX2D9SPH7FTN" localSheetId="32" hidden="1">#REF!</definedName>
    <definedName name="BExXRIQ2JF2CVTRDQX2D9SPH7FTN" hidden="1">#REF!</definedName>
    <definedName name="BExXRO4A6VUH1F4XV8N1BRJ4896W" localSheetId="30" hidden="1">#REF!</definedName>
    <definedName name="BExXRO4A6VUH1F4XV8N1BRJ4896W" localSheetId="29" hidden="1">#REF!</definedName>
    <definedName name="BExXRO4A6VUH1F4XV8N1BRJ4896W" localSheetId="33" hidden="1">#REF!</definedName>
    <definedName name="BExXRO4A6VUH1F4XV8N1BRJ4896W" localSheetId="31" hidden="1">#REF!</definedName>
    <definedName name="BExXRO4A6VUH1F4XV8N1BRJ4896W" localSheetId="32" hidden="1">#REF!</definedName>
    <definedName name="BExXRO4A6VUH1F4XV8N1BRJ4896W" hidden="1">#REF!</definedName>
    <definedName name="BExXRO9N1SNJZGKD90P4K7FU1J0P" localSheetId="30" hidden="1">#REF!</definedName>
    <definedName name="BExXRO9N1SNJZGKD90P4K7FU1J0P" localSheetId="29" hidden="1">#REF!</definedName>
    <definedName name="BExXRO9N1SNJZGKD90P4K7FU1J0P" localSheetId="33" hidden="1">#REF!</definedName>
    <definedName name="BExXRO9N1SNJZGKD90P4K7FU1J0P" localSheetId="31" hidden="1">#REF!</definedName>
    <definedName name="BExXRO9N1SNJZGKD90P4K7FU1J0P" localSheetId="32" hidden="1">#REF!</definedName>
    <definedName name="BExXRO9N1SNJZGKD90P4K7FU1J0P" hidden="1">#REF!</definedName>
    <definedName name="BExXRV5QP3Z0KAQ1EQT9JYT2FV0L" localSheetId="30" hidden="1">#REF!</definedName>
    <definedName name="BExXRV5QP3Z0KAQ1EQT9JYT2FV0L" localSheetId="29" hidden="1">#REF!</definedName>
    <definedName name="BExXRV5QP3Z0KAQ1EQT9JYT2FV0L" localSheetId="33" hidden="1">#REF!</definedName>
    <definedName name="BExXRV5QP3Z0KAQ1EQT9JYT2FV0L" localSheetId="31" hidden="1">#REF!</definedName>
    <definedName name="BExXRV5QP3Z0KAQ1EQT9JYT2FV0L" localSheetId="32" hidden="1">#REF!</definedName>
    <definedName name="BExXRV5QP3Z0KAQ1EQT9JYT2FV0L" hidden="1">#REF!</definedName>
    <definedName name="BExXRZ20LZZCW8LVGDK0XETOTSAI" localSheetId="30" hidden="1">#REF!</definedName>
    <definedName name="BExXRZ20LZZCW8LVGDK0XETOTSAI" localSheetId="29" hidden="1">#REF!</definedName>
    <definedName name="BExXRZ20LZZCW8LVGDK0XETOTSAI" localSheetId="33" hidden="1">#REF!</definedName>
    <definedName name="BExXRZ20LZZCW8LVGDK0XETOTSAI" localSheetId="31" hidden="1">#REF!</definedName>
    <definedName name="BExXRZ20LZZCW8LVGDK0XETOTSAI" localSheetId="32" hidden="1">#REF!</definedName>
    <definedName name="BExXRZ20LZZCW8LVGDK0XETOTSAI" hidden="1">#REF!</definedName>
    <definedName name="BExXRZNM651EJ5HJPGKGTVYLAZQ1" localSheetId="30" hidden="1">#REF!</definedName>
    <definedName name="BExXRZNM651EJ5HJPGKGTVYLAZQ1" localSheetId="29" hidden="1">#REF!</definedName>
    <definedName name="BExXRZNM651EJ5HJPGKGTVYLAZQ1" localSheetId="33" hidden="1">#REF!</definedName>
    <definedName name="BExXRZNM651EJ5HJPGKGTVYLAZQ1" localSheetId="31" hidden="1">#REF!</definedName>
    <definedName name="BExXRZNM651EJ5HJPGKGTVYLAZQ1" localSheetId="32" hidden="1">#REF!</definedName>
    <definedName name="BExXRZNM651EJ5HJPGKGTVYLAZQ1" hidden="1">#REF!</definedName>
    <definedName name="BExXS63O4OMWMNXXAODZQFSDG33N" localSheetId="30" hidden="1">#REF!</definedName>
    <definedName name="BExXS63O4OMWMNXXAODZQFSDG33N" localSheetId="29" hidden="1">#REF!</definedName>
    <definedName name="BExXS63O4OMWMNXXAODZQFSDG33N" localSheetId="33" hidden="1">#REF!</definedName>
    <definedName name="BExXS63O4OMWMNXXAODZQFSDG33N" localSheetId="31" hidden="1">#REF!</definedName>
    <definedName name="BExXS63O4OMWMNXXAODZQFSDG33N" localSheetId="32" hidden="1">#REF!</definedName>
    <definedName name="BExXS63O4OMWMNXXAODZQFSDG33N" hidden="1">#REF!</definedName>
    <definedName name="BExXS9OYSZR1RL8UT2UR69WDD0H0" localSheetId="30" hidden="1">#REF!</definedName>
    <definedName name="BExXS9OYSZR1RL8UT2UR69WDD0H0" localSheetId="29" hidden="1">#REF!</definedName>
    <definedName name="BExXS9OYSZR1RL8UT2UR69WDD0H0" localSheetId="33" hidden="1">#REF!</definedName>
    <definedName name="BExXS9OYSZR1RL8UT2UR69WDD0H0" localSheetId="31" hidden="1">#REF!</definedName>
    <definedName name="BExXS9OYSZR1RL8UT2UR69WDD0H0" localSheetId="32" hidden="1">#REF!</definedName>
    <definedName name="BExXS9OYSZR1RL8UT2UR69WDD0H0" hidden="1">#REF!</definedName>
    <definedName name="BExXSBSP1TOY051HSPEPM0AEIO2M" localSheetId="30" hidden="1">#REF!</definedName>
    <definedName name="BExXSBSP1TOY051HSPEPM0AEIO2M" localSheetId="29" hidden="1">#REF!</definedName>
    <definedName name="BExXSBSP1TOY051HSPEPM0AEIO2M" localSheetId="33" hidden="1">#REF!</definedName>
    <definedName name="BExXSBSP1TOY051HSPEPM0AEIO2M" localSheetId="31" hidden="1">#REF!</definedName>
    <definedName name="BExXSBSP1TOY051HSPEPM0AEIO2M" localSheetId="32" hidden="1">#REF!</definedName>
    <definedName name="BExXSBSP1TOY051HSPEPM0AEIO2M" hidden="1">#REF!</definedName>
    <definedName name="BExXSC8RFK5D68FJD2HI4K66SA6I" localSheetId="30" hidden="1">#REF!</definedName>
    <definedName name="BExXSC8RFK5D68FJD2HI4K66SA6I" localSheetId="29" hidden="1">#REF!</definedName>
    <definedName name="BExXSC8RFK5D68FJD2HI4K66SA6I" localSheetId="33" hidden="1">#REF!</definedName>
    <definedName name="BExXSC8RFK5D68FJD2HI4K66SA6I" localSheetId="31" hidden="1">#REF!</definedName>
    <definedName name="BExXSC8RFK5D68FJD2HI4K66SA6I" localSheetId="32" hidden="1">#REF!</definedName>
    <definedName name="BExXSC8RFK5D68FJD2HI4K66SA6I" hidden="1">#REF!</definedName>
    <definedName name="BExXSNHC88W4UMXEOIOOATJAIKZO" localSheetId="30" hidden="1">#REF!</definedName>
    <definedName name="BExXSNHC88W4UMXEOIOOATJAIKZO" localSheetId="29" hidden="1">#REF!</definedName>
    <definedName name="BExXSNHC88W4UMXEOIOOATJAIKZO" localSheetId="33" hidden="1">#REF!</definedName>
    <definedName name="BExXSNHC88W4UMXEOIOOATJAIKZO" localSheetId="31" hidden="1">#REF!</definedName>
    <definedName name="BExXSNHC88W4UMXEOIOOATJAIKZO" localSheetId="32" hidden="1">#REF!</definedName>
    <definedName name="BExXSNHC88W4UMXEOIOOATJAIKZO" hidden="1">#REF!</definedName>
    <definedName name="BExXSTBS08WIA9TLALV3UQ2Z3MRG" localSheetId="30" hidden="1">#REF!</definedName>
    <definedName name="BExXSTBS08WIA9TLALV3UQ2Z3MRG" localSheetId="29" hidden="1">#REF!</definedName>
    <definedName name="BExXSTBS08WIA9TLALV3UQ2Z3MRG" localSheetId="33" hidden="1">#REF!</definedName>
    <definedName name="BExXSTBS08WIA9TLALV3UQ2Z3MRG" localSheetId="31" hidden="1">#REF!</definedName>
    <definedName name="BExXSTBS08WIA9TLALV3UQ2Z3MRG" localSheetId="32" hidden="1">#REF!</definedName>
    <definedName name="BExXSTBS08WIA9TLALV3UQ2Z3MRG" hidden="1">#REF!</definedName>
    <definedName name="BExXSVQ2WOJJ73YEO8Q2FK60V4G8" localSheetId="30" hidden="1">#REF!</definedName>
    <definedName name="BExXSVQ2WOJJ73YEO8Q2FK60V4G8" localSheetId="29" hidden="1">#REF!</definedName>
    <definedName name="BExXSVQ2WOJJ73YEO8Q2FK60V4G8" localSheetId="33" hidden="1">#REF!</definedName>
    <definedName name="BExXSVQ2WOJJ73YEO8Q2FK60V4G8" localSheetId="31" hidden="1">#REF!</definedName>
    <definedName name="BExXSVQ2WOJJ73YEO8Q2FK60V4G8" localSheetId="32" hidden="1">#REF!</definedName>
    <definedName name="BExXSVQ2WOJJ73YEO8Q2FK60V4G8" hidden="1">#REF!</definedName>
    <definedName name="BExXTBGI4F4KDU9GVYZ53CGXN695" localSheetId="30" hidden="1">#REF!</definedName>
    <definedName name="BExXTBGI4F4KDU9GVYZ53CGXN695" localSheetId="29" hidden="1">#REF!</definedName>
    <definedName name="BExXTBGI4F4KDU9GVYZ53CGXN695" localSheetId="33" hidden="1">#REF!</definedName>
    <definedName name="BExXTBGI4F4KDU9GVYZ53CGXN695" localSheetId="31" hidden="1">#REF!</definedName>
    <definedName name="BExXTBGI4F4KDU9GVYZ53CGXN695" localSheetId="32" hidden="1">#REF!</definedName>
    <definedName name="BExXTBGI4F4KDU9GVYZ53CGXN695" hidden="1">#REF!</definedName>
    <definedName name="BExXTE5L9M60954G19LIZLH7KKMD" localSheetId="30" hidden="1">#REF!</definedName>
    <definedName name="BExXTE5L9M60954G19LIZLH7KKMD" localSheetId="29" hidden="1">#REF!</definedName>
    <definedName name="BExXTE5L9M60954G19LIZLH7KKMD" localSheetId="33" hidden="1">#REF!</definedName>
    <definedName name="BExXTE5L9M60954G19LIZLH7KKMD" localSheetId="31" hidden="1">#REF!</definedName>
    <definedName name="BExXTE5L9M60954G19LIZLH7KKMD" localSheetId="32" hidden="1">#REF!</definedName>
    <definedName name="BExXTE5L9M60954G19LIZLH7KKMD" hidden="1">#REF!</definedName>
    <definedName name="BExXTHLRNL82GN7KZY3TOLO508N7" localSheetId="30" hidden="1">#REF!</definedName>
    <definedName name="BExXTHLRNL82GN7KZY3TOLO508N7" localSheetId="29" hidden="1">#REF!</definedName>
    <definedName name="BExXTHLRNL82GN7KZY3TOLO508N7" localSheetId="33" hidden="1">#REF!</definedName>
    <definedName name="BExXTHLRNL82GN7KZY3TOLO508N7" localSheetId="31" hidden="1">#REF!</definedName>
    <definedName name="BExXTHLRNL82GN7KZY3TOLO508N7" localSheetId="32" hidden="1">#REF!</definedName>
    <definedName name="BExXTHLRNL82GN7KZY3TOLO508N7" hidden="1">#REF!</definedName>
    <definedName name="BExXTL72MKEQSQH9L2OTFLU8DM2B" localSheetId="30" hidden="1">#REF!</definedName>
    <definedName name="BExXTL72MKEQSQH9L2OTFLU8DM2B" localSheetId="29" hidden="1">#REF!</definedName>
    <definedName name="BExXTL72MKEQSQH9L2OTFLU8DM2B" localSheetId="33" hidden="1">#REF!</definedName>
    <definedName name="BExXTL72MKEQSQH9L2OTFLU8DM2B" localSheetId="31" hidden="1">#REF!</definedName>
    <definedName name="BExXTL72MKEQSQH9L2OTFLU8DM2B" localSheetId="32" hidden="1">#REF!</definedName>
    <definedName name="BExXTL72MKEQSQH9L2OTFLU8DM2B" hidden="1">#REF!</definedName>
    <definedName name="BExXTM3M4RTCRSX7VGAXGQNPP668" localSheetId="30" hidden="1">#REF!</definedName>
    <definedName name="BExXTM3M4RTCRSX7VGAXGQNPP668" localSheetId="29" hidden="1">#REF!</definedName>
    <definedName name="BExXTM3M4RTCRSX7VGAXGQNPP668" localSheetId="33" hidden="1">#REF!</definedName>
    <definedName name="BExXTM3M4RTCRSX7VGAXGQNPP668" localSheetId="31" hidden="1">#REF!</definedName>
    <definedName name="BExXTM3M4RTCRSX7VGAXGQNPP668" localSheetId="32" hidden="1">#REF!</definedName>
    <definedName name="BExXTM3M4RTCRSX7VGAXGQNPP668" hidden="1">#REF!</definedName>
    <definedName name="BExXTOCF78J7WY6FOVBRY1N2RBBR" localSheetId="30" hidden="1">#REF!</definedName>
    <definedName name="BExXTOCF78J7WY6FOVBRY1N2RBBR" localSheetId="29" hidden="1">#REF!</definedName>
    <definedName name="BExXTOCF78J7WY6FOVBRY1N2RBBR" localSheetId="33" hidden="1">#REF!</definedName>
    <definedName name="BExXTOCF78J7WY6FOVBRY1N2RBBR" localSheetId="31" hidden="1">#REF!</definedName>
    <definedName name="BExXTOCF78J7WY6FOVBRY1N2RBBR" localSheetId="32" hidden="1">#REF!</definedName>
    <definedName name="BExXTOCF78J7WY6FOVBRY1N2RBBR" hidden="1">#REF!</definedName>
    <definedName name="BExXTP3GYO6Z9RTKKT10XA0UTV3T" localSheetId="30" hidden="1">#REF!</definedName>
    <definedName name="BExXTP3GYO6Z9RTKKT10XA0UTV3T" localSheetId="29" hidden="1">#REF!</definedName>
    <definedName name="BExXTP3GYO6Z9RTKKT10XA0UTV3T" localSheetId="33" hidden="1">#REF!</definedName>
    <definedName name="BExXTP3GYO6Z9RTKKT10XA0UTV3T" localSheetId="31" hidden="1">#REF!</definedName>
    <definedName name="BExXTP3GYO6Z9RTKKT10XA0UTV3T" localSheetId="32" hidden="1">#REF!</definedName>
    <definedName name="BExXTP3GYO6Z9RTKKT10XA0UTV3T" hidden="1">#REF!</definedName>
    <definedName name="BExXTZKZ4CG92ZQLIRKEXXH9BFIR" localSheetId="30" hidden="1">#REF!</definedName>
    <definedName name="BExXTZKZ4CG92ZQLIRKEXXH9BFIR" localSheetId="29" hidden="1">#REF!</definedName>
    <definedName name="BExXTZKZ4CG92ZQLIRKEXXH9BFIR" localSheetId="33" hidden="1">#REF!</definedName>
    <definedName name="BExXTZKZ4CG92ZQLIRKEXXH9BFIR" localSheetId="31" hidden="1">#REF!</definedName>
    <definedName name="BExXTZKZ4CG92ZQLIRKEXXH9BFIR" localSheetId="32" hidden="1">#REF!</definedName>
    <definedName name="BExXTZKZ4CG92ZQLIRKEXXH9BFIR" hidden="1">#REF!</definedName>
    <definedName name="BExXU4J2BM2964GD5UZHM752Q4NS" localSheetId="30" hidden="1">#REF!</definedName>
    <definedName name="BExXU4J2BM2964GD5UZHM752Q4NS" localSheetId="29" hidden="1">#REF!</definedName>
    <definedName name="BExXU4J2BM2964GD5UZHM752Q4NS" localSheetId="33" hidden="1">#REF!</definedName>
    <definedName name="BExXU4J2BM2964GD5UZHM752Q4NS" localSheetId="31" hidden="1">#REF!</definedName>
    <definedName name="BExXU4J2BM2964GD5UZHM752Q4NS" localSheetId="32" hidden="1">#REF!</definedName>
    <definedName name="BExXU4J2BM2964GD5UZHM752Q4NS" hidden="1">#REF!</definedName>
    <definedName name="BExXU6XDTT7RM93KILIDEYPA9XKF" localSheetId="30" hidden="1">#REF!</definedName>
    <definedName name="BExXU6XDTT7RM93KILIDEYPA9XKF" localSheetId="29" hidden="1">#REF!</definedName>
    <definedName name="BExXU6XDTT7RM93KILIDEYPA9XKF" localSheetId="33" hidden="1">#REF!</definedName>
    <definedName name="BExXU6XDTT7RM93KILIDEYPA9XKF" localSheetId="31" hidden="1">#REF!</definedName>
    <definedName name="BExXU6XDTT7RM93KILIDEYPA9XKF" localSheetId="32" hidden="1">#REF!</definedName>
    <definedName name="BExXU6XDTT7RM93KILIDEYPA9XKF" hidden="1">#REF!</definedName>
    <definedName name="BExXU8VLZA7WLPZ3RAQZGNERUD26" localSheetId="30" hidden="1">#REF!</definedName>
    <definedName name="BExXU8VLZA7WLPZ3RAQZGNERUD26" localSheetId="29" hidden="1">#REF!</definedName>
    <definedName name="BExXU8VLZA7WLPZ3RAQZGNERUD26" localSheetId="33" hidden="1">#REF!</definedName>
    <definedName name="BExXU8VLZA7WLPZ3RAQZGNERUD26" localSheetId="31" hidden="1">#REF!</definedName>
    <definedName name="BExXU8VLZA7WLPZ3RAQZGNERUD26" localSheetId="32" hidden="1">#REF!</definedName>
    <definedName name="BExXU8VLZA7WLPZ3RAQZGNERUD26" hidden="1">#REF!</definedName>
    <definedName name="BExXUB9RSLSCNN5ETLXY72DAPZZM" localSheetId="30" hidden="1">#REF!</definedName>
    <definedName name="BExXUB9RSLSCNN5ETLXY72DAPZZM" localSheetId="29" hidden="1">#REF!</definedName>
    <definedName name="BExXUB9RSLSCNN5ETLXY72DAPZZM" localSheetId="33" hidden="1">#REF!</definedName>
    <definedName name="BExXUB9RSLSCNN5ETLXY72DAPZZM" localSheetId="31" hidden="1">#REF!</definedName>
    <definedName name="BExXUB9RSLSCNN5ETLXY72DAPZZM" localSheetId="32" hidden="1">#REF!</definedName>
    <definedName name="BExXUB9RSLSCNN5ETLXY72DAPZZM" hidden="1">#REF!</definedName>
    <definedName name="BExXUEVFFFCIYXGI8LWNGHX8VZ9I" localSheetId="30" hidden="1">#REF!</definedName>
    <definedName name="BExXUEVFFFCIYXGI8LWNGHX8VZ9I" localSheetId="29" hidden="1">#REF!</definedName>
    <definedName name="BExXUEVFFFCIYXGI8LWNGHX8VZ9I" localSheetId="33" hidden="1">#REF!</definedName>
    <definedName name="BExXUEVFFFCIYXGI8LWNGHX8VZ9I" localSheetId="31" hidden="1">#REF!</definedName>
    <definedName name="BExXUEVFFFCIYXGI8LWNGHX8VZ9I" localSheetId="32" hidden="1">#REF!</definedName>
    <definedName name="BExXUEVFFFCIYXGI8LWNGHX8VZ9I" hidden="1">#REF!</definedName>
    <definedName name="BExXUFRM82XQIN2T8KGLDQL1IBQW" localSheetId="30" hidden="1">#REF!</definedName>
    <definedName name="BExXUFRM82XQIN2T8KGLDQL1IBQW" localSheetId="29" hidden="1">#REF!</definedName>
    <definedName name="BExXUFRM82XQIN2T8KGLDQL1IBQW" localSheetId="33" hidden="1">#REF!</definedName>
    <definedName name="BExXUFRM82XQIN2T8KGLDQL1IBQW" localSheetId="31" hidden="1">#REF!</definedName>
    <definedName name="BExXUFRM82XQIN2T8KGLDQL1IBQW" localSheetId="32" hidden="1">#REF!</definedName>
    <definedName name="BExXUFRM82XQIN2T8KGLDQL1IBQW" hidden="1">#REF!</definedName>
    <definedName name="BExXUQEQBF6FI240ZGIF9YXZSRAU" localSheetId="30" hidden="1">#REF!</definedName>
    <definedName name="BExXUQEQBF6FI240ZGIF9YXZSRAU" localSheetId="29" hidden="1">#REF!</definedName>
    <definedName name="BExXUQEQBF6FI240ZGIF9YXZSRAU" localSheetId="33" hidden="1">#REF!</definedName>
    <definedName name="BExXUQEQBF6FI240ZGIF9YXZSRAU" localSheetId="31" hidden="1">#REF!</definedName>
    <definedName name="BExXUQEQBF6FI240ZGIF9YXZSRAU" localSheetId="32" hidden="1">#REF!</definedName>
    <definedName name="BExXUQEQBF6FI240ZGIF9YXZSRAU" hidden="1">#REF!</definedName>
    <definedName name="BExXUYND6EJO7CJ5KRICV4O1JNWK" localSheetId="30" hidden="1">#REF!</definedName>
    <definedName name="BExXUYND6EJO7CJ5KRICV4O1JNWK" localSheetId="29" hidden="1">#REF!</definedName>
    <definedName name="BExXUYND6EJO7CJ5KRICV4O1JNWK" localSheetId="33" hidden="1">#REF!</definedName>
    <definedName name="BExXUYND6EJO7CJ5KRICV4O1JNWK" localSheetId="31" hidden="1">#REF!</definedName>
    <definedName name="BExXUYND6EJO7CJ5KRICV4O1JNWK" localSheetId="32" hidden="1">#REF!</definedName>
    <definedName name="BExXUYND6EJO7CJ5KRICV4O1JNWK" hidden="1">#REF!</definedName>
    <definedName name="BExXV6FWG4H3S2QEUJZYIXILNGJ7" localSheetId="30" hidden="1">#REF!</definedName>
    <definedName name="BExXV6FWG4H3S2QEUJZYIXILNGJ7" localSheetId="29" hidden="1">#REF!</definedName>
    <definedName name="BExXV6FWG4H3S2QEUJZYIXILNGJ7" localSheetId="33" hidden="1">#REF!</definedName>
    <definedName name="BExXV6FWG4H3S2QEUJZYIXILNGJ7" localSheetId="31" hidden="1">#REF!</definedName>
    <definedName name="BExXV6FWG4H3S2QEUJZYIXILNGJ7" localSheetId="32" hidden="1">#REF!</definedName>
    <definedName name="BExXV6FWG4H3S2QEUJZYIXILNGJ7" hidden="1">#REF!</definedName>
    <definedName name="BExXVE8F5D0RMZEK7T2JRUJWJS1K" localSheetId="30" hidden="1">#REF!</definedName>
    <definedName name="BExXVE8F5D0RMZEK7T2JRUJWJS1K" localSheetId="29" hidden="1">#REF!</definedName>
    <definedName name="BExXVE8F5D0RMZEK7T2JRUJWJS1K" localSheetId="33" hidden="1">#REF!</definedName>
    <definedName name="BExXVE8F5D0RMZEK7T2JRUJWJS1K" localSheetId="31" hidden="1">#REF!</definedName>
    <definedName name="BExXVE8F5D0RMZEK7T2JRUJWJS1K" localSheetId="32" hidden="1">#REF!</definedName>
    <definedName name="BExXVE8F5D0RMZEK7T2JRUJWJS1K" hidden="1">#REF!</definedName>
    <definedName name="BExXVEJ7CEX2ECYFEZDUAFOVAT47" localSheetId="30" hidden="1">#REF!</definedName>
    <definedName name="BExXVEJ7CEX2ECYFEZDUAFOVAT47" localSheetId="29" hidden="1">#REF!</definedName>
    <definedName name="BExXVEJ7CEX2ECYFEZDUAFOVAT47" localSheetId="33" hidden="1">#REF!</definedName>
    <definedName name="BExXVEJ7CEX2ECYFEZDUAFOVAT47" localSheetId="31" hidden="1">#REF!</definedName>
    <definedName name="BExXVEJ7CEX2ECYFEZDUAFOVAT47" localSheetId="32" hidden="1">#REF!</definedName>
    <definedName name="BExXVEJ7CEX2ECYFEZDUAFOVAT47" hidden="1">#REF!</definedName>
    <definedName name="BExXVK87BMMO6LHKV0CFDNIQVIBS" localSheetId="30" hidden="1">#REF!</definedName>
    <definedName name="BExXVK87BMMO6LHKV0CFDNIQVIBS" localSheetId="29" hidden="1">#REF!</definedName>
    <definedName name="BExXVK87BMMO6LHKV0CFDNIQVIBS" localSheetId="33" hidden="1">#REF!</definedName>
    <definedName name="BExXVK87BMMO6LHKV0CFDNIQVIBS" localSheetId="31" hidden="1">#REF!</definedName>
    <definedName name="BExXVK87BMMO6LHKV0CFDNIQVIBS" localSheetId="32" hidden="1">#REF!</definedName>
    <definedName name="BExXVK87BMMO6LHKV0CFDNIQVIBS" hidden="1">#REF!</definedName>
    <definedName name="BExXVKZ9WXPGL6IVY6T61IDD771I" localSheetId="30" hidden="1">#REF!</definedName>
    <definedName name="BExXVKZ9WXPGL6IVY6T61IDD771I" localSheetId="29" hidden="1">#REF!</definedName>
    <definedName name="BExXVKZ9WXPGL6IVY6T61IDD771I" localSheetId="33" hidden="1">#REF!</definedName>
    <definedName name="BExXVKZ9WXPGL6IVY6T61IDD771I" localSheetId="31" hidden="1">#REF!</definedName>
    <definedName name="BExXVKZ9WXPGL6IVY6T61IDD771I" localSheetId="32" hidden="1">#REF!</definedName>
    <definedName name="BExXVKZ9WXPGL6IVY6T61IDD771I" hidden="1">#REF!</definedName>
    <definedName name="BExXW0K72T1Y8K1I4VZT87UY9S2G" localSheetId="30" hidden="1">#REF!</definedName>
    <definedName name="BExXW0K72T1Y8K1I4VZT87UY9S2G" localSheetId="29" hidden="1">#REF!</definedName>
    <definedName name="BExXW0K72T1Y8K1I4VZT87UY9S2G" localSheetId="33" hidden="1">#REF!</definedName>
    <definedName name="BExXW0K72T1Y8K1I4VZT87UY9S2G" localSheetId="31" hidden="1">#REF!</definedName>
    <definedName name="BExXW0K72T1Y8K1I4VZT87UY9S2G" localSheetId="32" hidden="1">#REF!</definedName>
    <definedName name="BExXW0K72T1Y8K1I4VZT87UY9S2G" hidden="1">#REF!</definedName>
    <definedName name="BExXW27MMXHXUXX78SDTBE1JYTHT" localSheetId="30" hidden="1">#REF!</definedName>
    <definedName name="BExXW27MMXHXUXX78SDTBE1JYTHT" localSheetId="29" hidden="1">#REF!</definedName>
    <definedName name="BExXW27MMXHXUXX78SDTBE1JYTHT" localSheetId="33" hidden="1">#REF!</definedName>
    <definedName name="BExXW27MMXHXUXX78SDTBE1JYTHT" localSheetId="31" hidden="1">#REF!</definedName>
    <definedName name="BExXW27MMXHXUXX78SDTBE1JYTHT" localSheetId="32" hidden="1">#REF!</definedName>
    <definedName name="BExXW27MMXHXUXX78SDTBE1JYTHT" hidden="1">#REF!</definedName>
    <definedName name="BExXW2YIM2MYBSHRIX0RP9D4PRMN" localSheetId="30" hidden="1">#REF!</definedName>
    <definedName name="BExXW2YIM2MYBSHRIX0RP9D4PRMN" localSheetId="29" hidden="1">#REF!</definedName>
    <definedName name="BExXW2YIM2MYBSHRIX0RP9D4PRMN" localSheetId="33" hidden="1">#REF!</definedName>
    <definedName name="BExXW2YIM2MYBSHRIX0RP9D4PRMN" localSheetId="31" hidden="1">#REF!</definedName>
    <definedName name="BExXW2YIM2MYBSHRIX0RP9D4PRMN" localSheetId="32" hidden="1">#REF!</definedName>
    <definedName name="BExXW2YIM2MYBSHRIX0RP9D4PRMN" hidden="1">#REF!</definedName>
    <definedName name="BExXWBCM0Q4LTCU3S4GK5VZGFX03" localSheetId="30" hidden="1">#REF!</definedName>
    <definedName name="BExXWBCM0Q4LTCU3S4GK5VZGFX03" localSheetId="29" hidden="1">#REF!</definedName>
    <definedName name="BExXWBCM0Q4LTCU3S4GK5VZGFX03" localSheetId="33" hidden="1">#REF!</definedName>
    <definedName name="BExXWBCM0Q4LTCU3S4GK5VZGFX03" localSheetId="31" hidden="1">#REF!</definedName>
    <definedName name="BExXWBCM0Q4LTCU3S4GK5VZGFX03" localSheetId="32" hidden="1">#REF!</definedName>
    <definedName name="BExXWBCM0Q4LTCU3S4GK5VZGFX03" hidden="1">#REF!</definedName>
    <definedName name="BExXWBNE4KTFSXKVSRF6WX039WPB" localSheetId="30" hidden="1">#REF!</definedName>
    <definedName name="BExXWBNE4KTFSXKVSRF6WX039WPB" localSheetId="29" hidden="1">#REF!</definedName>
    <definedName name="BExXWBNE4KTFSXKVSRF6WX039WPB" localSheetId="33" hidden="1">#REF!</definedName>
    <definedName name="BExXWBNE4KTFSXKVSRF6WX039WPB" localSheetId="31" hidden="1">#REF!</definedName>
    <definedName name="BExXWBNE4KTFSXKVSRF6WX039WPB" localSheetId="32" hidden="1">#REF!</definedName>
    <definedName name="BExXWBNE4KTFSXKVSRF6WX039WPB" hidden="1">#REF!</definedName>
    <definedName name="BExXWFP5AYE7EHYTJWBZSQ8PQ0YX" localSheetId="30" hidden="1">#REF!</definedName>
    <definedName name="BExXWFP5AYE7EHYTJWBZSQ8PQ0YX" localSheetId="29" hidden="1">#REF!</definedName>
    <definedName name="BExXWFP5AYE7EHYTJWBZSQ8PQ0YX" localSheetId="33" hidden="1">#REF!</definedName>
    <definedName name="BExXWFP5AYE7EHYTJWBZSQ8PQ0YX" localSheetId="31" hidden="1">#REF!</definedName>
    <definedName name="BExXWFP5AYE7EHYTJWBZSQ8PQ0YX" localSheetId="32" hidden="1">#REF!</definedName>
    <definedName name="BExXWFP5AYE7EHYTJWBZSQ8PQ0YX" hidden="1">#REF!</definedName>
    <definedName name="BExXWVFIBQT8OY1O41FRFPFGXQHK" localSheetId="30" hidden="1">#REF!</definedName>
    <definedName name="BExXWVFIBQT8OY1O41FRFPFGXQHK" localSheetId="29" hidden="1">#REF!</definedName>
    <definedName name="BExXWVFIBQT8OY1O41FRFPFGXQHK" localSheetId="33" hidden="1">#REF!</definedName>
    <definedName name="BExXWVFIBQT8OY1O41FRFPFGXQHK" localSheetId="31" hidden="1">#REF!</definedName>
    <definedName name="BExXWVFIBQT8OY1O41FRFPFGXQHK" localSheetId="32" hidden="1">#REF!</definedName>
    <definedName name="BExXWVFIBQT8OY1O41FRFPFGXQHK" hidden="1">#REF!</definedName>
    <definedName name="BExXWWXHBZHA9J3N8K47F84X0M0L" localSheetId="30" hidden="1">#REF!</definedName>
    <definedName name="BExXWWXHBZHA9J3N8K47F84X0M0L" localSheetId="29" hidden="1">#REF!</definedName>
    <definedName name="BExXWWXHBZHA9J3N8K47F84X0M0L" localSheetId="33" hidden="1">#REF!</definedName>
    <definedName name="BExXWWXHBZHA9J3N8K47F84X0M0L" localSheetId="31" hidden="1">#REF!</definedName>
    <definedName name="BExXWWXHBZHA9J3N8K47F84X0M0L" localSheetId="32" hidden="1">#REF!</definedName>
    <definedName name="BExXWWXHBZHA9J3N8K47F84X0M0L" hidden="1">#REF!</definedName>
    <definedName name="BExXXBM521DL8R4ZX7NZ3DBCUOR5" localSheetId="30" hidden="1">#REF!</definedName>
    <definedName name="BExXXBM521DL8R4ZX7NZ3DBCUOR5" localSheetId="29" hidden="1">#REF!</definedName>
    <definedName name="BExXXBM521DL8R4ZX7NZ3DBCUOR5" localSheetId="33" hidden="1">#REF!</definedName>
    <definedName name="BExXXBM521DL8R4ZX7NZ3DBCUOR5" localSheetId="31" hidden="1">#REF!</definedName>
    <definedName name="BExXXBM521DL8R4ZX7NZ3DBCUOR5" localSheetId="32" hidden="1">#REF!</definedName>
    <definedName name="BExXXBM521DL8R4ZX7NZ3DBCUOR5" hidden="1">#REF!</definedName>
    <definedName name="BExXXC7OZI33XZ03NRMEP7VRLQK4" localSheetId="30" hidden="1">#REF!</definedName>
    <definedName name="BExXXC7OZI33XZ03NRMEP7VRLQK4" localSheetId="29" hidden="1">#REF!</definedName>
    <definedName name="BExXXC7OZI33XZ03NRMEP7VRLQK4" localSheetId="33" hidden="1">#REF!</definedName>
    <definedName name="BExXXC7OZI33XZ03NRMEP7VRLQK4" localSheetId="31" hidden="1">#REF!</definedName>
    <definedName name="BExXXC7OZI33XZ03NRMEP7VRLQK4" localSheetId="32" hidden="1">#REF!</definedName>
    <definedName name="BExXXC7OZI33XZ03NRMEP7VRLQK4" hidden="1">#REF!</definedName>
    <definedName name="BExXXH5N3NKBQ7BCJPJTBF8CYM2Q" localSheetId="30" hidden="1">#REF!</definedName>
    <definedName name="BExXXH5N3NKBQ7BCJPJTBF8CYM2Q" localSheetId="29" hidden="1">#REF!</definedName>
    <definedName name="BExXXH5N3NKBQ7BCJPJTBF8CYM2Q" localSheetId="33" hidden="1">#REF!</definedName>
    <definedName name="BExXXH5N3NKBQ7BCJPJTBF8CYM2Q" localSheetId="31" hidden="1">#REF!</definedName>
    <definedName name="BExXXH5N3NKBQ7BCJPJTBF8CYM2Q" localSheetId="32" hidden="1">#REF!</definedName>
    <definedName name="BExXXH5N3NKBQ7BCJPJTBF8CYM2Q" hidden="1">#REF!</definedName>
    <definedName name="BExXXKWLM4D541BH6O8GOJMHFHMW" localSheetId="30" hidden="1">#REF!</definedName>
    <definedName name="BExXXKWLM4D541BH6O8GOJMHFHMW" localSheetId="29" hidden="1">#REF!</definedName>
    <definedName name="BExXXKWLM4D541BH6O8GOJMHFHMW" localSheetId="33" hidden="1">#REF!</definedName>
    <definedName name="BExXXKWLM4D541BH6O8GOJMHFHMW" localSheetId="31" hidden="1">#REF!</definedName>
    <definedName name="BExXXKWLM4D541BH6O8GOJMHFHMW" localSheetId="32" hidden="1">#REF!</definedName>
    <definedName name="BExXXKWLM4D541BH6O8GOJMHFHMW" hidden="1">#REF!</definedName>
    <definedName name="BExXXPPA1Q87XPI97X0OXCPBPDON" localSheetId="30" hidden="1">#REF!</definedName>
    <definedName name="BExXXPPA1Q87XPI97X0OXCPBPDON" localSheetId="29" hidden="1">#REF!</definedName>
    <definedName name="BExXXPPA1Q87XPI97X0OXCPBPDON" localSheetId="33" hidden="1">#REF!</definedName>
    <definedName name="BExXXPPA1Q87XPI97X0OXCPBPDON" localSheetId="31" hidden="1">#REF!</definedName>
    <definedName name="BExXXPPA1Q87XPI97X0OXCPBPDON" localSheetId="32" hidden="1">#REF!</definedName>
    <definedName name="BExXXPPA1Q87XPI97X0OXCPBPDON" hidden="1">#REF!</definedName>
    <definedName name="BExXXVUDA98IZTQ6MANKU4MTTDVR" localSheetId="30" hidden="1">#REF!</definedName>
    <definedName name="BExXXVUDA98IZTQ6MANKU4MTTDVR" localSheetId="29" hidden="1">#REF!</definedName>
    <definedName name="BExXXVUDA98IZTQ6MANKU4MTTDVR" localSheetId="33" hidden="1">#REF!</definedName>
    <definedName name="BExXXVUDA98IZTQ6MANKU4MTTDVR" localSheetId="31" hidden="1">#REF!</definedName>
    <definedName name="BExXXVUDA98IZTQ6MANKU4MTTDVR" localSheetId="32" hidden="1">#REF!</definedName>
    <definedName name="BExXXVUDA98IZTQ6MANKU4MTTDVR" hidden="1">#REF!</definedName>
    <definedName name="BExXXZQNZY6IZI45DJXJK0MQZWA7" localSheetId="30" hidden="1">#REF!</definedName>
    <definedName name="BExXXZQNZY6IZI45DJXJK0MQZWA7" localSheetId="29" hidden="1">#REF!</definedName>
    <definedName name="BExXXZQNZY6IZI45DJXJK0MQZWA7" localSheetId="33" hidden="1">#REF!</definedName>
    <definedName name="BExXXZQNZY6IZI45DJXJK0MQZWA7" localSheetId="31" hidden="1">#REF!</definedName>
    <definedName name="BExXXZQNZY6IZI45DJXJK0MQZWA7" localSheetId="32" hidden="1">#REF!</definedName>
    <definedName name="BExXXZQNZY6IZI45DJXJK0MQZWA7" hidden="1">#REF!</definedName>
    <definedName name="BExXY5QFG6QP94SFT3935OBM8Y4K" localSheetId="30" hidden="1">#REF!</definedName>
    <definedName name="BExXY5QFG6QP94SFT3935OBM8Y4K" localSheetId="29" hidden="1">#REF!</definedName>
    <definedName name="BExXY5QFG6QP94SFT3935OBM8Y4K" localSheetId="33" hidden="1">#REF!</definedName>
    <definedName name="BExXY5QFG6QP94SFT3935OBM8Y4K" localSheetId="31" hidden="1">#REF!</definedName>
    <definedName name="BExXY5QFG6QP94SFT3935OBM8Y4K" localSheetId="32" hidden="1">#REF!</definedName>
    <definedName name="BExXY5QFG6QP94SFT3935OBM8Y4K" hidden="1">#REF!</definedName>
    <definedName name="BExXY7TYEBFXRYUYIFHTN65RJ8EW" localSheetId="30" hidden="1">#REF!</definedName>
    <definedName name="BExXY7TYEBFXRYUYIFHTN65RJ8EW" localSheetId="29" hidden="1">#REF!</definedName>
    <definedName name="BExXY7TYEBFXRYUYIFHTN65RJ8EW" localSheetId="33" hidden="1">#REF!</definedName>
    <definedName name="BExXY7TYEBFXRYUYIFHTN65RJ8EW" localSheetId="31" hidden="1">#REF!</definedName>
    <definedName name="BExXY7TYEBFXRYUYIFHTN65RJ8EW" localSheetId="32" hidden="1">#REF!</definedName>
    <definedName name="BExXY7TYEBFXRYUYIFHTN65RJ8EW" hidden="1">#REF!</definedName>
    <definedName name="BExXYLBHANUXC5FCTDDTGOVD3GQS" localSheetId="30" hidden="1">#REF!</definedName>
    <definedName name="BExXYLBHANUXC5FCTDDTGOVD3GQS" localSheetId="29" hidden="1">#REF!</definedName>
    <definedName name="BExXYLBHANUXC5FCTDDTGOVD3GQS" localSheetId="33" hidden="1">#REF!</definedName>
    <definedName name="BExXYLBHANUXC5FCTDDTGOVD3GQS" localSheetId="31" hidden="1">#REF!</definedName>
    <definedName name="BExXYLBHANUXC5FCTDDTGOVD3GQS" localSheetId="32" hidden="1">#REF!</definedName>
    <definedName name="BExXYLBHANUXC5FCTDDTGOVD3GQS" hidden="1">#REF!</definedName>
    <definedName name="BExXYMNYAYH3WA2ZCFAYKZID9ZCI" localSheetId="30" hidden="1">#REF!</definedName>
    <definedName name="BExXYMNYAYH3WA2ZCFAYKZID9ZCI" localSheetId="29" hidden="1">#REF!</definedName>
    <definedName name="BExXYMNYAYH3WA2ZCFAYKZID9ZCI" localSheetId="33" hidden="1">#REF!</definedName>
    <definedName name="BExXYMNYAYH3WA2ZCFAYKZID9ZCI" localSheetId="31" hidden="1">#REF!</definedName>
    <definedName name="BExXYMNYAYH3WA2ZCFAYKZID9ZCI" localSheetId="32" hidden="1">#REF!</definedName>
    <definedName name="BExXYMNYAYH3WA2ZCFAYKZID9ZCI" hidden="1">#REF!</definedName>
    <definedName name="BExXYYT12SVN2VDMLVNV4P3ISD8T" localSheetId="30" hidden="1">#REF!</definedName>
    <definedName name="BExXYYT12SVN2VDMLVNV4P3ISD8T" localSheetId="29" hidden="1">#REF!</definedName>
    <definedName name="BExXYYT12SVN2VDMLVNV4P3ISD8T" localSheetId="33" hidden="1">#REF!</definedName>
    <definedName name="BExXYYT12SVN2VDMLVNV4P3ISD8T" localSheetId="31" hidden="1">#REF!</definedName>
    <definedName name="BExXYYT12SVN2VDMLVNV4P3ISD8T" localSheetId="32" hidden="1">#REF!</definedName>
    <definedName name="BExXYYT12SVN2VDMLVNV4P3ISD8T" hidden="1">#REF!</definedName>
    <definedName name="BExXZEDWUYH25UZMW2QU2RXFILJE" localSheetId="30" hidden="1">#REF!</definedName>
    <definedName name="BExXZEDWUYH25UZMW2QU2RXFILJE" localSheetId="29" hidden="1">#REF!</definedName>
    <definedName name="BExXZEDWUYH25UZMW2QU2RXFILJE" localSheetId="33" hidden="1">#REF!</definedName>
    <definedName name="BExXZEDWUYH25UZMW2QU2RXFILJE" localSheetId="31" hidden="1">#REF!</definedName>
    <definedName name="BExXZEDWUYH25UZMW2QU2RXFILJE" localSheetId="32" hidden="1">#REF!</definedName>
    <definedName name="BExXZEDWUYH25UZMW2QU2RXFILJE" hidden="1">#REF!</definedName>
    <definedName name="BExXZEJDEMMDWSDTS2298I86L1IE" localSheetId="30" hidden="1">#REF!</definedName>
    <definedName name="BExXZEJDEMMDWSDTS2298I86L1IE" localSheetId="29" hidden="1">#REF!</definedName>
    <definedName name="BExXZEJDEMMDWSDTS2298I86L1IE" localSheetId="33" hidden="1">#REF!</definedName>
    <definedName name="BExXZEJDEMMDWSDTS2298I86L1IE" localSheetId="31" hidden="1">#REF!</definedName>
    <definedName name="BExXZEJDEMMDWSDTS2298I86L1IE" localSheetId="32" hidden="1">#REF!</definedName>
    <definedName name="BExXZEJDEMMDWSDTS2298I86L1IE" hidden="1">#REF!</definedName>
    <definedName name="BExXZFVV4YB42AZ3H1I40YG3JAPU" localSheetId="30" hidden="1">#REF!</definedName>
    <definedName name="BExXZFVV4YB42AZ3H1I40YG3JAPU" localSheetId="29" hidden="1">#REF!</definedName>
    <definedName name="BExXZFVV4YB42AZ3H1I40YG3JAPU" localSheetId="33" hidden="1">#REF!</definedName>
    <definedName name="BExXZFVV4YB42AZ3H1I40YG3JAPU" localSheetId="31" hidden="1">#REF!</definedName>
    <definedName name="BExXZFVV4YB42AZ3H1I40YG3JAPU" localSheetId="32" hidden="1">#REF!</definedName>
    <definedName name="BExXZFVV4YB42AZ3H1I40YG3JAPU" hidden="1">#REF!</definedName>
    <definedName name="BExXZHJ9T2JELF12CHHGD54J1B0C" localSheetId="30" hidden="1">#REF!</definedName>
    <definedName name="BExXZHJ9T2JELF12CHHGD54J1B0C" localSheetId="29" hidden="1">#REF!</definedName>
    <definedName name="BExXZHJ9T2JELF12CHHGD54J1B0C" localSheetId="33" hidden="1">#REF!</definedName>
    <definedName name="BExXZHJ9T2JELF12CHHGD54J1B0C" localSheetId="31" hidden="1">#REF!</definedName>
    <definedName name="BExXZHJ9T2JELF12CHHGD54J1B0C" localSheetId="32" hidden="1">#REF!</definedName>
    <definedName name="BExXZHJ9T2JELF12CHHGD54J1B0C" hidden="1">#REF!</definedName>
    <definedName name="BExXZNJ2X1TK2LRK5ZY3MX49H5T7" localSheetId="30" hidden="1">#REF!</definedName>
    <definedName name="BExXZNJ2X1TK2LRK5ZY3MX49H5T7" localSheetId="29" hidden="1">#REF!</definedName>
    <definedName name="BExXZNJ2X1TK2LRK5ZY3MX49H5T7" localSheetId="33" hidden="1">#REF!</definedName>
    <definedName name="BExXZNJ2X1TK2LRK5ZY3MX49H5T7" localSheetId="31" hidden="1">#REF!</definedName>
    <definedName name="BExXZNJ2X1TK2LRK5ZY3MX49H5T7" localSheetId="32" hidden="1">#REF!</definedName>
    <definedName name="BExXZNJ2X1TK2LRK5ZY3MX49H5T7" hidden="1">#REF!</definedName>
    <definedName name="BExXZOVPCEP495TQSON6PSRQ8XCY" localSheetId="30" hidden="1">#REF!</definedName>
    <definedName name="BExXZOVPCEP495TQSON6PSRQ8XCY" localSheetId="29" hidden="1">#REF!</definedName>
    <definedName name="BExXZOVPCEP495TQSON6PSRQ8XCY" localSheetId="33" hidden="1">#REF!</definedName>
    <definedName name="BExXZOVPCEP495TQSON6PSRQ8XCY" localSheetId="31" hidden="1">#REF!</definedName>
    <definedName name="BExXZOVPCEP495TQSON6PSRQ8XCY" localSheetId="32" hidden="1">#REF!</definedName>
    <definedName name="BExXZOVPCEP495TQSON6PSRQ8XCY" hidden="1">#REF!</definedName>
    <definedName name="BExXZXKH7NBARQQAZM69Z57IH1MM" localSheetId="30" hidden="1">#REF!</definedName>
    <definedName name="BExXZXKH7NBARQQAZM69Z57IH1MM" localSheetId="29" hidden="1">#REF!</definedName>
    <definedName name="BExXZXKH7NBARQQAZM69Z57IH1MM" localSheetId="33" hidden="1">#REF!</definedName>
    <definedName name="BExXZXKH7NBARQQAZM69Z57IH1MM" localSheetId="31" hidden="1">#REF!</definedName>
    <definedName name="BExXZXKH7NBARQQAZM69Z57IH1MM" localSheetId="32" hidden="1">#REF!</definedName>
    <definedName name="BExXZXKH7NBARQQAZM69Z57IH1MM" hidden="1">#REF!</definedName>
    <definedName name="BExY07WSDH5QEVM7BJXJK2ZRAI1O" localSheetId="30" hidden="1">#REF!</definedName>
    <definedName name="BExY07WSDH5QEVM7BJXJK2ZRAI1O" localSheetId="29" hidden="1">#REF!</definedName>
    <definedName name="BExY07WSDH5QEVM7BJXJK2ZRAI1O" localSheetId="33" hidden="1">#REF!</definedName>
    <definedName name="BExY07WSDH5QEVM7BJXJK2ZRAI1O" localSheetId="31" hidden="1">#REF!</definedName>
    <definedName name="BExY07WSDH5QEVM7BJXJK2ZRAI1O" localSheetId="32" hidden="1">#REF!</definedName>
    <definedName name="BExY07WSDH5QEVM7BJXJK2ZRAI1O" hidden="1">#REF!</definedName>
    <definedName name="BExY09PIWVEKK5JD9R9AFHFLEKM4" localSheetId="30" hidden="1">#REF!</definedName>
    <definedName name="BExY09PIWVEKK5JD9R9AFHFLEKM4" localSheetId="29" hidden="1">#REF!</definedName>
    <definedName name="BExY09PIWVEKK5JD9R9AFHFLEKM4" localSheetId="33" hidden="1">#REF!</definedName>
    <definedName name="BExY09PIWVEKK5JD9R9AFHFLEKM4" localSheetId="31" hidden="1">#REF!</definedName>
    <definedName name="BExY09PIWVEKK5JD9R9AFHFLEKM4" localSheetId="32" hidden="1">#REF!</definedName>
    <definedName name="BExY09PIWVEKK5JD9R9AFHFLEKM4" hidden="1">#REF!</definedName>
    <definedName name="BExY0C3UBVC4M59JIRXVQ8OWAJC1" localSheetId="30" hidden="1">#REF!</definedName>
    <definedName name="BExY0C3UBVC4M59JIRXVQ8OWAJC1" localSheetId="29" hidden="1">#REF!</definedName>
    <definedName name="BExY0C3UBVC4M59JIRXVQ8OWAJC1" localSheetId="33" hidden="1">#REF!</definedName>
    <definedName name="BExY0C3UBVC4M59JIRXVQ8OWAJC1" localSheetId="31" hidden="1">#REF!</definedName>
    <definedName name="BExY0C3UBVC4M59JIRXVQ8OWAJC1" localSheetId="32" hidden="1">#REF!</definedName>
    <definedName name="BExY0C3UBVC4M59JIRXVQ8OWAJC1" hidden="1">#REF!</definedName>
    <definedName name="BExY0OE8GFHMLLTEAFIOQTOPEVPB" localSheetId="30" hidden="1">#REF!</definedName>
    <definedName name="BExY0OE8GFHMLLTEAFIOQTOPEVPB" localSheetId="29" hidden="1">#REF!</definedName>
    <definedName name="BExY0OE8GFHMLLTEAFIOQTOPEVPB" localSheetId="33" hidden="1">#REF!</definedName>
    <definedName name="BExY0OE8GFHMLLTEAFIOQTOPEVPB" localSheetId="31" hidden="1">#REF!</definedName>
    <definedName name="BExY0OE8GFHMLLTEAFIOQTOPEVPB" localSheetId="32" hidden="1">#REF!</definedName>
    <definedName name="BExY0OE8GFHMLLTEAFIOQTOPEVPB" hidden="1">#REF!</definedName>
    <definedName name="BExY0OJHW85S0VKBA8T4HTYPYBOS" localSheetId="30" hidden="1">#REF!</definedName>
    <definedName name="BExY0OJHW85S0VKBA8T4HTYPYBOS" localSheetId="29" hidden="1">#REF!</definedName>
    <definedName name="BExY0OJHW85S0VKBA8T4HTYPYBOS" localSheetId="33" hidden="1">#REF!</definedName>
    <definedName name="BExY0OJHW85S0VKBA8T4HTYPYBOS" localSheetId="31" hidden="1">#REF!</definedName>
    <definedName name="BExY0OJHW85S0VKBA8T4HTYPYBOS" localSheetId="32" hidden="1">#REF!</definedName>
    <definedName name="BExY0OJHW85S0VKBA8T4HTYPYBOS" hidden="1">#REF!</definedName>
    <definedName name="BExY0T1E034D7XAXNC6F7540LLIE" localSheetId="30" hidden="1">#REF!</definedName>
    <definedName name="BExY0T1E034D7XAXNC6F7540LLIE" localSheetId="29" hidden="1">#REF!</definedName>
    <definedName name="BExY0T1E034D7XAXNC6F7540LLIE" localSheetId="33" hidden="1">#REF!</definedName>
    <definedName name="BExY0T1E034D7XAXNC6F7540LLIE" localSheetId="31" hidden="1">#REF!</definedName>
    <definedName name="BExY0T1E034D7XAXNC6F7540LLIE" localSheetId="32" hidden="1">#REF!</definedName>
    <definedName name="BExY0T1E034D7XAXNC6F7540LLIE" hidden="1">#REF!</definedName>
    <definedName name="BExY0XTZLHN49J2JH94BYTKBJLT3" localSheetId="30" hidden="1">#REF!</definedName>
    <definedName name="BExY0XTZLHN49J2JH94BYTKBJLT3" localSheetId="29" hidden="1">#REF!</definedName>
    <definedName name="BExY0XTZLHN49J2JH94BYTKBJLT3" localSheetId="33" hidden="1">#REF!</definedName>
    <definedName name="BExY0XTZLHN49J2JH94BYTKBJLT3" localSheetId="31" hidden="1">#REF!</definedName>
    <definedName name="BExY0XTZLHN49J2JH94BYTKBJLT3" localSheetId="32" hidden="1">#REF!</definedName>
    <definedName name="BExY0XTZLHN49J2JH94BYTKBJLT3" hidden="1">#REF!</definedName>
    <definedName name="BExY11FH9TXHERUYGG8FE50U7H7J" localSheetId="30" hidden="1">#REF!</definedName>
    <definedName name="BExY11FH9TXHERUYGG8FE50U7H7J" localSheetId="29" hidden="1">#REF!</definedName>
    <definedName name="BExY11FH9TXHERUYGG8FE50U7H7J" localSheetId="33" hidden="1">#REF!</definedName>
    <definedName name="BExY11FH9TXHERUYGG8FE50U7H7J" localSheetId="31" hidden="1">#REF!</definedName>
    <definedName name="BExY11FH9TXHERUYGG8FE50U7H7J" localSheetId="32" hidden="1">#REF!</definedName>
    <definedName name="BExY11FH9TXHERUYGG8FE50U7H7J" hidden="1">#REF!</definedName>
    <definedName name="BExY180UKNW5NIAWD6ZUYTFEH8QS" localSheetId="30" hidden="1">#REF!</definedName>
    <definedName name="BExY180UKNW5NIAWD6ZUYTFEH8QS" localSheetId="29" hidden="1">#REF!</definedName>
    <definedName name="BExY180UKNW5NIAWD6ZUYTFEH8QS" localSheetId="33" hidden="1">#REF!</definedName>
    <definedName name="BExY180UKNW5NIAWD6ZUYTFEH8QS" localSheetId="31" hidden="1">#REF!</definedName>
    <definedName name="BExY180UKNW5NIAWD6ZUYTFEH8QS" localSheetId="32" hidden="1">#REF!</definedName>
    <definedName name="BExY180UKNW5NIAWD6ZUYTFEH8QS" hidden="1">#REF!</definedName>
    <definedName name="BExY1DPTV4LSY9MEOUGXF8X052NA" localSheetId="30" hidden="1">#REF!</definedName>
    <definedName name="BExY1DPTV4LSY9MEOUGXF8X052NA" localSheetId="29" hidden="1">#REF!</definedName>
    <definedName name="BExY1DPTV4LSY9MEOUGXF8X052NA" localSheetId="33" hidden="1">#REF!</definedName>
    <definedName name="BExY1DPTV4LSY9MEOUGXF8X052NA" localSheetId="31" hidden="1">#REF!</definedName>
    <definedName name="BExY1DPTV4LSY9MEOUGXF8X052NA" localSheetId="32" hidden="1">#REF!</definedName>
    <definedName name="BExY1DPTV4LSY9MEOUGXF8X052NA" hidden="1">#REF!</definedName>
    <definedName name="BExY1GK9ELBEKDD7O6HR6DUO8YGO" localSheetId="30" hidden="1">#REF!</definedName>
    <definedName name="BExY1GK9ELBEKDD7O6HR6DUO8YGO" localSheetId="29" hidden="1">#REF!</definedName>
    <definedName name="BExY1GK9ELBEKDD7O6HR6DUO8YGO" localSheetId="33" hidden="1">#REF!</definedName>
    <definedName name="BExY1GK9ELBEKDD7O6HR6DUO8YGO" localSheetId="31" hidden="1">#REF!</definedName>
    <definedName name="BExY1GK9ELBEKDD7O6HR6DUO8YGO" localSheetId="32" hidden="1">#REF!</definedName>
    <definedName name="BExY1GK9ELBEKDD7O6HR6DUO8YGO" hidden="1">#REF!</definedName>
    <definedName name="BExY1NWOXXFV9GGZ3PX444LZ8TVX" localSheetId="30" hidden="1">#REF!</definedName>
    <definedName name="BExY1NWOXXFV9GGZ3PX444LZ8TVX" localSheetId="29" hidden="1">#REF!</definedName>
    <definedName name="BExY1NWOXXFV9GGZ3PX444LZ8TVX" localSheetId="33" hidden="1">#REF!</definedName>
    <definedName name="BExY1NWOXXFV9GGZ3PX444LZ8TVX" localSheetId="31" hidden="1">#REF!</definedName>
    <definedName name="BExY1NWOXXFV9GGZ3PX444LZ8TVX" localSheetId="32" hidden="1">#REF!</definedName>
    <definedName name="BExY1NWOXXFV9GGZ3PX444LZ8TVX" hidden="1">#REF!</definedName>
    <definedName name="BExY1UCL0RND63LLSM9X5SFRG117" localSheetId="30" hidden="1">#REF!</definedName>
    <definedName name="BExY1UCL0RND63LLSM9X5SFRG117" localSheetId="29" hidden="1">#REF!</definedName>
    <definedName name="BExY1UCL0RND63LLSM9X5SFRG117" localSheetId="33" hidden="1">#REF!</definedName>
    <definedName name="BExY1UCL0RND63LLSM9X5SFRG117" localSheetId="31" hidden="1">#REF!</definedName>
    <definedName name="BExY1UCL0RND63LLSM9X5SFRG117" localSheetId="32" hidden="1">#REF!</definedName>
    <definedName name="BExY1UCL0RND63LLSM9X5SFRG117" hidden="1">#REF!</definedName>
    <definedName name="BExY1WAT3937L08HLHIRQHMP2A3H" localSheetId="30" hidden="1">#REF!</definedName>
    <definedName name="BExY1WAT3937L08HLHIRQHMP2A3H" localSheetId="29" hidden="1">#REF!</definedName>
    <definedName name="BExY1WAT3937L08HLHIRQHMP2A3H" localSheetId="33" hidden="1">#REF!</definedName>
    <definedName name="BExY1WAT3937L08HLHIRQHMP2A3H" localSheetId="31" hidden="1">#REF!</definedName>
    <definedName name="BExY1WAT3937L08HLHIRQHMP2A3H" localSheetId="32" hidden="1">#REF!</definedName>
    <definedName name="BExY1WAT3937L08HLHIRQHMP2A3H" hidden="1">#REF!</definedName>
    <definedName name="BExY1YEBOSLMID7LURP8QB46AI91" localSheetId="30" hidden="1">#REF!</definedName>
    <definedName name="BExY1YEBOSLMID7LURP8QB46AI91" localSheetId="29" hidden="1">#REF!</definedName>
    <definedName name="BExY1YEBOSLMID7LURP8QB46AI91" localSheetId="33" hidden="1">#REF!</definedName>
    <definedName name="BExY1YEBOSLMID7LURP8QB46AI91" localSheetId="31" hidden="1">#REF!</definedName>
    <definedName name="BExY1YEBOSLMID7LURP8QB46AI91" localSheetId="32" hidden="1">#REF!</definedName>
    <definedName name="BExY1YEBOSLMID7LURP8QB46AI91" hidden="1">#REF!</definedName>
    <definedName name="BExY2FS4LFX9OHOTQT7SJ2PXAC25" localSheetId="30" hidden="1">#REF!</definedName>
    <definedName name="BExY2FS4LFX9OHOTQT7SJ2PXAC25" localSheetId="29" hidden="1">#REF!</definedName>
    <definedName name="BExY2FS4LFX9OHOTQT7SJ2PXAC25" localSheetId="33" hidden="1">#REF!</definedName>
    <definedName name="BExY2FS4LFX9OHOTQT7SJ2PXAC25" localSheetId="31" hidden="1">#REF!</definedName>
    <definedName name="BExY2FS4LFX9OHOTQT7SJ2PXAC25" localSheetId="32" hidden="1">#REF!</definedName>
    <definedName name="BExY2FS4LFX9OHOTQT7SJ2PXAC25" hidden="1">#REF!</definedName>
    <definedName name="BExY2GDPCZPVU0IQ6IJIB1YQQRQ6" localSheetId="30" hidden="1">#REF!</definedName>
    <definedName name="BExY2GDPCZPVU0IQ6IJIB1YQQRQ6" localSheetId="29" hidden="1">#REF!</definedName>
    <definedName name="BExY2GDPCZPVU0IQ6IJIB1YQQRQ6" localSheetId="33" hidden="1">#REF!</definedName>
    <definedName name="BExY2GDPCZPVU0IQ6IJIB1YQQRQ6" localSheetId="31" hidden="1">#REF!</definedName>
    <definedName name="BExY2GDPCZPVU0IQ6IJIB1YQQRQ6" localSheetId="32" hidden="1">#REF!</definedName>
    <definedName name="BExY2GDPCZPVU0IQ6IJIB1YQQRQ6" hidden="1">#REF!</definedName>
    <definedName name="BExY2GTSZ3VA9TXLY7KW1LIAKJ61" localSheetId="30" hidden="1">#REF!</definedName>
    <definedName name="BExY2GTSZ3VA9TXLY7KW1LIAKJ61" localSheetId="29" hidden="1">#REF!</definedName>
    <definedName name="BExY2GTSZ3VA9TXLY7KW1LIAKJ61" localSheetId="33" hidden="1">#REF!</definedName>
    <definedName name="BExY2GTSZ3VA9TXLY7KW1LIAKJ61" localSheetId="31" hidden="1">#REF!</definedName>
    <definedName name="BExY2GTSZ3VA9TXLY7KW1LIAKJ61" localSheetId="32" hidden="1">#REF!</definedName>
    <definedName name="BExY2GTSZ3VA9TXLY7KW1LIAKJ61" hidden="1">#REF!</definedName>
    <definedName name="BExY2IXBR1SGYZH08T7QHKEFS8HA" localSheetId="30" hidden="1">#REF!</definedName>
    <definedName name="BExY2IXBR1SGYZH08T7QHKEFS8HA" localSheetId="29" hidden="1">#REF!</definedName>
    <definedName name="BExY2IXBR1SGYZH08T7QHKEFS8HA" localSheetId="33" hidden="1">#REF!</definedName>
    <definedName name="BExY2IXBR1SGYZH08T7QHKEFS8HA" localSheetId="31" hidden="1">#REF!</definedName>
    <definedName name="BExY2IXBR1SGYZH08T7QHKEFS8HA" localSheetId="32" hidden="1">#REF!</definedName>
    <definedName name="BExY2IXBR1SGYZH08T7QHKEFS8HA" hidden="1">#REF!</definedName>
    <definedName name="BExY2Q4B5FUDA5VU4VRUHX327QN0" localSheetId="30" hidden="1">#REF!</definedName>
    <definedName name="BExY2Q4B5FUDA5VU4VRUHX327QN0" localSheetId="29" hidden="1">#REF!</definedName>
    <definedName name="BExY2Q4B5FUDA5VU4VRUHX327QN0" localSheetId="33" hidden="1">#REF!</definedName>
    <definedName name="BExY2Q4B5FUDA5VU4VRUHX327QN0" localSheetId="31" hidden="1">#REF!</definedName>
    <definedName name="BExY2Q4B5FUDA5VU4VRUHX327QN0" localSheetId="32" hidden="1">#REF!</definedName>
    <definedName name="BExY2Q4B5FUDA5VU4VRUHX327QN0" hidden="1">#REF!</definedName>
    <definedName name="BExY3HOSK7YI364K15OX70AVR6F1" localSheetId="30" hidden="1">#REF!</definedName>
    <definedName name="BExY3HOSK7YI364K15OX70AVR6F1" localSheetId="29" hidden="1">#REF!</definedName>
    <definedName name="BExY3HOSK7YI364K15OX70AVR6F1" localSheetId="33" hidden="1">#REF!</definedName>
    <definedName name="BExY3HOSK7YI364K15OX70AVR6F1" localSheetId="31" hidden="1">#REF!</definedName>
    <definedName name="BExY3HOSK7YI364K15OX70AVR6F1" localSheetId="32" hidden="1">#REF!</definedName>
    <definedName name="BExY3HOSK7YI364K15OX70AVR6F1" hidden="1">#REF!</definedName>
    <definedName name="BExY3T89AUR83SOAZZ3OMDEJDQ39" localSheetId="30" hidden="1">#REF!</definedName>
    <definedName name="BExY3T89AUR83SOAZZ3OMDEJDQ39" localSheetId="29" hidden="1">#REF!</definedName>
    <definedName name="BExY3T89AUR83SOAZZ3OMDEJDQ39" localSheetId="33" hidden="1">#REF!</definedName>
    <definedName name="BExY3T89AUR83SOAZZ3OMDEJDQ39" localSheetId="31" hidden="1">#REF!</definedName>
    <definedName name="BExY3T89AUR83SOAZZ3OMDEJDQ39" localSheetId="32" hidden="1">#REF!</definedName>
    <definedName name="BExY3T89AUR83SOAZZ3OMDEJDQ39" hidden="1">#REF!</definedName>
    <definedName name="BExY4MG771JQ84EMIVB6HQGGHZY7" localSheetId="30" hidden="1">#REF!</definedName>
    <definedName name="BExY4MG771JQ84EMIVB6HQGGHZY7" localSheetId="29" hidden="1">#REF!</definedName>
    <definedName name="BExY4MG771JQ84EMIVB6HQGGHZY7" localSheetId="33" hidden="1">#REF!</definedName>
    <definedName name="BExY4MG771JQ84EMIVB6HQGGHZY7" localSheetId="31" hidden="1">#REF!</definedName>
    <definedName name="BExY4MG771JQ84EMIVB6HQGGHZY7" localSheetId="32" hidden="1">#REF!</definedName>
    <definedName name="BExY4MG771JQ84EMIVB6HQGGHZY7" hidden="1">#REF!</definedName>
    <definedName name="BExY4PWCSFB8P3J3TBQB2MD67263" localSheetId="30" hidden="1">#REF!</definedName>
    <definedName name="BExY4PWCSFB8P3J3TBQB2MD67263" localSheetId="29" hidden="1">#REF!</definedName>
    <definedName name="BExY4PWCSFB8P3J3TBQB2MD67263" localSheetId="33" hidden="1">#REF!</definedName>
    <definedName name="BExY4PWCSFB8P3J3TBQB2MD67263" localSheetId="31" hidden="1">#REF!</definedName>
    <definedName name="BExY4PWCSFB8P3J3TBQB2MD67263" localSheetId="32" hidden="1">#REF!</definedName>
    <definedName name="BExY4PWCSFB8P3J3TBQB2MD67263" hidden="1">#REF!</definedName>
    <definedName name="BExY4RZW3KK11JLYBA4DWZ92M6LQ" localSheetId="30" hidden="1">#REF!</definedName>
    <definedName name="BExY4RZW3KK11JLYBA4DWZ92M6LQ" localSheetId="29" hidden="1">#REF!</definedName>
    <definedName name="BExY4RZW3KK11JLYBA4DWZ92M6LQ" localSheetId="33" hidden="1">#REF!</definedName>
    <definedName name="BExY4RZW3KK11JLYBA4DWZ92M6LQ" localSheetId="31" hidden="1">#REF!</definedName>
    <definedName name="BExY4RZW3KK11JLYBA4DWZ92M6LQ" localSheetId="32" hidden="1">#REF!</definedName>
    <definedName name="BExY4RZW3KK11JLYBA4DWZ92M6LQ" hidden="1">#REF!</definedName>
    <definedName name="BExY4XOVTTNVZ577RLIEC7NZQFIX" localSheetId="30" hidden="1">#REF!</definedName>
    <definedName name="BExY4XOVTTNVZ577RLIEC7NZQFIX" localSheetId="29" hidden="1">#REF!</definedName>
    <definedName name="BExY4XOVTTNVZ577RLIEC7NZQFIX" localSheetId="33" hidden="1">#REF!</definedName>
    <definedName name="BExY4XOVTTNVZ577RLIEC7NZQFIX" localSheetId="31" hidden="1">#REF!</definedName>
    <definedName name="BExY4XOVTTNVZ577RLIEC7NZQFIX" localSheetId="32" hidden="1">#REF!</definedName>
    <definedName name="BExY4XOVTTNVZ577RLIEC7NZQFIX" hidden="1">#REF!</definedName>
    <definedName name="BExY50JAF5CG01GTHAUS7I4ZLUDC" localSheetId="30" hidden="1">#REF!</definedName>
    <definedName name="BExY50JAF5CG01GTHAUS7I4ZLUDC" localSheetId="29" hidden="1">#REF!</definedName>
    <definedName name="BExY50JAF5CG01GTHAUS7I4ZLUDC" localSheetId="33" hidden="1">#REF!</definedName>
    <definedName name="BExY50JAF5CG01GTHAUS7I4ZLUDC" localSheetId="31" hidden="1">#REF!</definedName>
    <definedName name="BExY50JAF5CG01GTHAUS7I4ZLUDC" localSheetId="32" hidden="1">#REF!</definedName>
    <definedName name="BExY50JAF5CG01GTHAUS7I4ZLUDC" hidden="1">#REF!</definedName>
    <definedName name="BExY53J7EXFEOFTRNAHLK7IH3ACB" localSheetId="30" hidden="1">#REF!</definedName>
    <definedName name="BExY53J7EXFEOFTRNAHLK7IH3ACB" localSheetId="29" hidden="1">#REF!</definedName>
    <definedName name="BExY53J7EXFEOFTRNAHLK7IH3ACB" localSheetId="33" hidden="1">#REF!</definedName>
    <definedName name="BExY53J7EXFEOFTRNAHLK7IH3ACB" localSheetId="31" hidden="1">#REF!</definedName>
    <definedName name="BExY53J7EXFEOFTRNAHLK7IH3ACB" localSheetId="32" hidden="1">#REF!</definedName>
    <definedName name="BExY53J7EXFEOFTRNAHLK7IH3ACB" hidden="1">#REF!</definedName>
    <definedName name="BExY5515SJTJS3VM80M3YYR0WF37" localSheetId="30" hidden="1">#REF!</definedName>
    <definedName name="BExY5515SJTJS3VM80M3YYR0WF37" localSheetId="29" hidden="1">#REF!</definedName>
    <definedName name="BExY5515SJTJS3VM80M3YYR0WF37" localSheetId="33" hidden="1">#REF!</definedName>
    <definedName name="BExY5515SJTJS3VM80M3YYR0WF37" localSheetId="31" hidden="1">#REF!</definedName>
    <definedName name="BExY5515SJTJS3VM80M3YYR0WF37" localSheetId="32" hidden="1">#REF!</definedName>
    <definedName name="BExY5515SJTJS3VM80M3YYR0WF37" hidden="1">#REF!</definedName>
    <definedName name="BExY5515WE39FQ3EG5QHG67V9C0O" localSheetId="30" hidden="1">#REF!</definedName>
    <definedName name="BExY5515WE39FQ3EG5QHG67V9C0O" localSheetId="29" hidden="1">#REF!</definedName>
    <definedName name="BExY5515WE39FQ3EG5QHG67V9C0O" localSheetId="33" hidden="1">#REF!</definedName>
    <definedName name="BExY5515WE39FQ3EG5QHG67V9C0O" localSheetId="31" hidden="1">#REF!</definedName>
    <definedName name="BExY5515WE39FQ3EG5QHG67V9C0O" localSheetId="32" hidden="1">#REF!</definedName>
    <definedName name="BExY5515WE39FQ3EG5QHG67V9C0O" hidden="1">#REF!</definedName>
    <definedName name="BExY5986WNAD8NFCPXC9TVLBU4FG" localSheetId="30" hidden="1">#REF!</definedName>
    <definedName name="BExY5986WNAD8NFCPXC9TVLBU4FG" localSheetId="29" hidden="1">#REF!</definedName>
    <definedName name="BExY5986WNAD8NFCPXC9TVLBU4FG" localSheetId="33" hidden="1">#REF!</definedName>
    <definedName name="BExY5986WNAD8NFCPXC9TVLBU4FG" localSheetId="31" hidden="1">#REF!</definedName>
    <definedName name="BExY5986WNAD8NFCPXC9TVLBU4FG" localSheetId="32" hidden="1">#REF!</definedName>
    <definedName name="BExY5986WNAD8NFCPXC9TVLBU4FG" hidden="1">#REF!</definedName>
    <definedName name="BExY5DF9MS25IFNWGJ1YAS5MDN8R" localSheetId="30" hidden="1">#REF!</definedName>
    <definedName name="BExY5DF9MS25IFNWGJ1YAS5MDN8R" localSheetId="29" hidden="1">#REF!</definedName>
    <definedName name="BExY5DF9MS25IFNWGJ1YAS5MDN8R" localSheetId="33" hidden="1">#REF!</definedName>
    <definedName name="BExY5DF9MS25IFNWGJ1YAS5MDN8R" localSheetId="31" hidden="1">#REF!</definedName>
    <definedName name="BExY5DF9MS25IFNWGJ1YAS5MDN8R" localSheetId="32" hidden="1">#REF!</definedName>
    <definedName name="BExY5DF9MS25IFNWGJ1YAS5MDN8R" hidden="1">#REF!</definedName>
    <definedName name="BExY5ERVGL3UM2MGT8LJ0XPKTZEK" localSheetId="30" hidden="1">#REF!</definedName>
    <definedName name="BExY5ERVGL3UM2MGT8LJ0XPKTZEK" localSheetId="29" hidden="1">#REF!</definedName>
    <definedName name="BExY5ERVGL3UM2MGT8LJ0XPKTZEK" localSheetId="33" hidden="1">#REF!</definedName>
    <definedName name="BExY5ERVGL3UM2MGT8LJ0XPKTZEK" localSheetId="31" hidden="1">#REF!</definedName>
    <definedName name="BExY5ERVGL3UM2MGT8LJ0XPKTZEK" localSheetId="32" hidden="1">#REF!</definedName>
    <definedName name="BExY5ERVGL3UM2MGT8LJ0XPKTZEK" hidden="1">#REF!</definedName>
    <definedName name="BExY5EX6NJFK8W754ZVZDN5DS04K" localSheetId="30" hidden="1">#REF!</definedName>
    <definedName name="BExY5EX6NJFK8W754ZVZDN5DS04K" localSheetId="29" hidden="1">#REF!</definedName>
    <definedName name="BExY5EX6NJFK8W754ZVZDN5DS04K" localSheetId="33" hidden="1">#REF!</definedName>
    <definedName name="BExY5EX6NJFK8W754ZVZDN5DS04K" localSheetId="31" hidden="1">#REF!</definedName>
    <definedName name="BExY5EX6NJFK8W754ZVZDN5DS04K" localSheetId="32" hidden="1">#REF!</definedName>
    <definedName name="BExY5EX6NJFK8W754ZVZDN5DS04K" hidden="1">#REF!</definedName>
    <definedName name="BExY5S3XD1NJT109CV54IFOHVLQ6" localSheetId="30" hidden="1">#REF!</definedName>
    <definedName name="BExY5S3XD1NJT109CV54IFOHVLQ6" localSheetId="29" hidden="1">#REF!</definedName>
    <definedName name="BExY5S3XD1NJT109CV54IFOHVLQ6" localSheetId="33" hidden="1">#REF!</definedName>
    <definedName name="BExY5S3XD1NJT109CV54IFOHVLQ6" localSheetId="31" hidden="1">#REF!</definedName>
    <definedName name="BExY5S3XD1NJT109CV54IFOHVLQ6" localSheetId="32" hidden="1">#REF!</definedName>
    <definedName name="BExY5S3XD1NJT109CV54IFOHVLQ6" hidden="1">#REF!</definedName>
    <definedName name="BExY6KVS1MMZ2R34PGEFR2BMTU9W" localSheetId="30" hidden="1">#REF!</definedName>
    <definedName name="BExY6KVS1MMZ2R34PGEFR2BMTU9W" localSheetId="29" hidden="1">#REF!</definedName>
    <definedName name="BExY6KVS1MMZ2R34PGEFR2BMTU9W" localSheetId="33" hidden="1">#REF!</definedName>
    <definedName name="BExY6KVS1MMZ2R34PGEFR2BMTU9W" localSheetId="31" hidden="1">#REF!</definedName>
    <definedName name="BExY6KVS1MMZ2R34PGEFR2BMTU9W" localSheetId="32" hidden="1">#REF!</definedName>
    <definedName name="BExY6KVS1MMZ2R34PGEFR2BMTU9W" hidden="1">#REF!</definedName>
    <definedName name="BExY6Q9YY7LW745GP7CYOGGSPHGE" localSheetId="30" hidden="1">#REF!</definedName>
    <definedName name="BExY6Q9YY7LW745GP7CYOGGSPHGE" localSheetId="29" hidden="1">#REF!</definedName>
    <definedName name="BExY6Q9YY7LW745GP7CYOGGSPHGE" localSheetId="33" hidden="1">#REF!</definedName>
    <definedName name="BExY6Q9YY7LW745GP7CYOGGSPHGE" localSheetId="31" hidden="1">#REF!</definedName>
    <definedName name="BExY6Q9YY7LW745GP7CYOGGSPHGE" localSheetId="32" hidden="1">#REF!</definedName>
    <definedName name="BExY6Q9YY7LW745GP7CYOGGSPHGE" hidden="1">#REF!</definedName>
    <definedName name="BExZIA3C8LKJTEH3MKQ57KJH5TA2" localSheetId="30" hidden="1">#REF!</definedName>
    <definedName name="BExZIA3C8LKJTEH3MKQ57KJH5TA2" localSheetId="29" hidden="1">#REF!</definedName>
    <definedName name="BExZIA3C8LKJTEH3MKQ57KJH5TA2" localSheetId="33" hidden="1">#REF!</definedName>
    <definedName name="BExZIA3C8LKJTEH3MKQ57KJH5TA2" localSheetId="31" hidden="1">#REF!</definedName>
    <definedName name="BExZIA3C8LKJTEH3MKQ57KJH5TA2" localSheetId="32" hidden="1">#REF!</definedName>
    <definedName name="BExZIA3C8LKJTEH3MKQ57KJH5TA2" hidden="1">#REF!</definedName>
    <definedName name="BExZIIHH3QNQE3GFMHEE4UMHY6WQ" localSheetId="30" hidden="1">#REF!</definedName>
    <definedName name="BExZIIHH3QNQE3GFMHEE4UMHY6WQ" localSheetId="29" hidden="1">#REF!</definedName>
    <definedName name="BExZIIHH3QNQE3GFMHEE4UMHY6WQ" localSheetId="33" hidden="1">#REF!</definedName>
    <definedName name="BExZIIHH3QNQE3GFMHEE4UMHY6WQ" localSheetId="31" hidden="1">#REF!</definedName>
    <definedName name="BExZIIHH3QNQE3GFMHEE4UMHY6WQ" localSheetId="32" hidden="1">#REF!</definedName>
    <definedName name="BExZIIHH3QNQE3GFMHEE4UMHY6WQ" hidden="1">#REF!</definedName>
    <definedName name="BExZIYO22G5UXOB42GDLYGVRJ6U7" localSheetId="30" hidden="1">#REF!</definedName>
    <definedName name="BExZIYO22G5UXOB42GDLYGVRJ6U7" localSheetId="29" hidden="1">#REF!</definedName>
    <definedName name="BExZIYO22G5UXOB42GDLYGVRJ6U7" localSheetId="33" hidden="1">#REF!</definedName>
    <definedName name="BExZIYO22G5UXOB42GDLYGVRJ6U7" localSheetId="31" hidden="1">#REF!</definedName>
    <definedName name="BExZIYO22G5UXOB42GDLYGVRJ6U7" localSheetId="32" hidden="1">#REF!</definedName>
    <definedName name="BExZIYO22G5UXOB42GDLYGVRJ6U7" hidden="1">#REF!</definedName>
    <definedName name="BExZJ7I9T8XU4MZRKJ1VVU76V2LZ" localSheetId="30" hidden="1">#REF!</definedName>
    <definedName name="BExZJ7I9T8XU4MZRKJ1VVU76V2LZ" localSheetId="29" hidden="1">#REF!</definedName>
    <definedName name="BExZJ7I9T8XU4MZRKJ1VVU76V2LZ" localSheetId="33" hidden="1">#REF!</definedName>
    <definedName name="BExZJ7I9T8XU4MZRKJ1VVU76V2LZ" localSheetId="31" hidden="1">#REF!</definedName>
    <definedName name="BExZJ7I9T8XU4MZRKJ1VVU76V2LZ" localSheetId="32" hidden="1">#REF!</definedName>
    <definedName name="BExZJ7I9T8XU4MZRKJ1VVU76V2LZ" hidden="1">#REF!</definedName>
    <definedName name="BExZJ7NR9K9GREPJ6LBCXXVRW3H9" localSheetId="30" hidden="1">#REF!</definedName>
    <definedName name="BExZJ7NR9K9GREPJ6LBCXXVRW3H9" localSheetId="29" hidden="1">#REF!</definedName>
    <definedName name="BExZJ7NR9K9GREPJ6LBCXXVRW3H9" localSheetId="33" hidden="1">#REF!</definedName>
    <definedName name="BExZJ7NR9K9GREPJ6LBCXXVRW3H9" localSheetId="31" hidden="1">#REF!</definedName>
    <definedName name="BExZJ7NR9K9GREPJ6LBCXXVRW3H9" localSheetId="32" hidden="1">#REF!</definedName>
    <definedName name="BExZJ7NR9K9GREPJ6LBCXXVRW3H9" hidden="1">#REF!</definedName>
    <definedName name="BExZJGNFIBQPBVDJTSTKAABUP8B6" localSheetId="30" hidden="1">#REF!</definedName>
    <definedName name="BExZJGNFIBQPBVDJTSTKAABUP8B6" localSheetId="29" hidden="1">#REF!</definedName>
    <definedName name="BExZJGNFIBQPBVDJTSTKAABUP8B6" localSheetId="33" hidden="1">#REF!</definedName>
    <definedName name="BExZJGNFIBQPBVDJTSTKAABUP8B6" localSheetId="31" hidden="1">#REF!</definedName>
    <definedName name="BExZJGNFIBQPBVDJTSTKAABUP8B6" localSheetId="32" hidden="1">#REF!</definedName>
    <definedName name="BExZJGNFIBQPBVDJTSTKAABUP8B6" hidden="1">#REF!</definedName>
    <definedName name="BExZJMY170JCUU1RWASNZ1HJPRTA" localSheetId="30" hidden="1">#REF!</definedName>
    <definedName name="BExZJMY170JCUU1RWASNZ1HJPRTA" localSheetId="29" hidden="1">#REF!</definedName>
    <definedName name="BExZJMY170JCUU1RWASNZ1HJPRTA" localSheetId="33" hidden="1">#REF!</definedName>
    <definedName name="BExZJMY170JCUU1RWASNZ1HJPRTA" localSheetId="31" hidden="1">#REF!</definedName>
    <definedName name="BExZJMY170JCUU1RWASNZ1HJPRTA" localSheetId="32" hidden="1">#REF!</definedName>
    <definedName name="BExZJMY170JCUU1RWASNZ1HJPRTA" hidden="1">#REF!</definedName>
    <definedName name="BExZJOQR77H0P4SUKVYACDCFBBXO" localSheetId="30" hidden="1">#REF!</definedName>
    <definedName name="BExZJOQR77H0P4SUKVYACDCFBBXO" localSheetId="29" hidden="1">#REF!</definedName>
    <definedName name="BExZJOQR77H0P4SUKVYACDCFBBXO" localSheetId="33" hidden="1">#REF!</definedName>
    <definedName name="BExZJOQR77H0P4SUKVYACDCFBBXO" localSheetId="31" hidden="1">#REF!</definedName>
    <definedName name="BExZJOQR77H0P4SUKVYACDCFBBXO" localSheetId="32" hidden="1">#REF!</definedName>
    <definedName name="BExZJOQR77H0P4SUKVYACDCFBBXO" hidden="1">#REF!</definedName>
    <definedName name="BExZJS6RG34ODDY9HMZ0O34MEMSB" localSheetId="30" hidden="1">#REF!</definedName>
    <definedName name="BExZJS6RG34ODDY9HMZ0O34MEMSB" localSheetId="29" hidden="1">#REF!</definedName>
    <definedName name="BExZJS6RG34ODDY9HMZ0O34MEMSB" localSheetId="33" hidden="1">#REF!</definedName>
    <definedName name="BExZJS6RG34ODDY9HMZ0O34MEMSB" localSheetId="31" hidden="1">#REF!</definedName>
    <definedName name="BExZJS6RG34ODDY9HMZ0O34MEMSB" localSheetId="32" hidden="1">#REF!</definedName>
    <definedName name="BExZJS6RG34ODDY9HMZ0O34MEMSB" hidden="1">#REF!</definedName>
    <definedName name="BExZK34NR4BAD7HJAP7SQ926UQP3" localSheetId="30" hidden="1">#REF!</definedName>
    <definedName name="BExZK34NR4BAD7HJAP7SQ926UQP3" localSheetId="29" hidden="1">#REF!</definedName>
    <definedName name="BExZK34NR4BAD7HJAP7SQ926UQP3" localSheetId="33" hidden="1">#REF!</definedName>
    <definedName name="BExZK34NR4BAD7HJAP7SQ926UQP3" localSheetId="31" hidden="1">#REF!</definedName>
    <definedName name="BExZK34NR4BAD7HJAP7SQ926UQP3" localSheetId="32" hidden="1">#REF!</definedName>
    <definedName name="BExZK34NR4BAD7HJAP7SQ926UQP3" hidden="1">#REF!</definedName>
    <definedName name="BExZK3FGPHH5H771U7D5XY7XBS6E" localSheetId="30" hidden="1">#REF!</definedName>
    <definedName name="BExZK3FGPHH5H771U7D5XY7XBS6E" localSheetId="29" hidden="1">#REF!</definedName>
    <definedName name="BExZK3FGPHH5H771U7D5XY7XBS6E" localSheetId="33" hidden="1">#REF!</definedName>
    <definedName name="BExZK3FGPHH5H771U7D5XY7XBS6E" localSheetId="31" hidden="1">#REF!</definedName>
    <definedName name="BExZK3FGPHH5H771U7D5XY7XBS6E" localSheetId="32" hidden="1">#REF!</definedName>
    <definedName name="BExZK3FGPHH5H771U7D5XY7XBS6E" hidden="1">#REF!</definedName>
    <definedName name="BExZKBISS0TJVQOVBLKWUDKQVN5R" localSheetId="30" hidden="1">#REF!</definedName>
    <definedName name="BExZKBISS0TJVQOVBLKWUDKQVN5R" localSheetId="29" hidden="1">#REF!</definedName>
    <definedName name="BExZKBISS0TJVQOVBLKWUDKQVN5R" localSheetId="33" hidden="1">#REF!</definedName>
    <definedName name="BExZKBISS0TJVQOVBLKWUDKQVN5R" localSheetId="31" hidden="1">#REF!</definedName>
    <definedName name="BExZKBISS0TJVQOVBLKWUDKQVN5R" localSheetId="32" hidden="1">#REF!</definedName>
    <definedName name="BExZKBISS0TJVQOVBLKWUDKQVN5R" hidden="1">#REF!</definedName>
    <definedName name="BExZKHYORG3O8C772XPFHM1N8T80" localSheetId="30" hidden="1">#REF!</definedName>
    <definedName name="BExZKHYORG3O8C772XPFHM1N8T80" localSheetId="29" hidden="1">#REF!</definedName>
    <definedName name="BExZKHYORG3O8C772XPFHM1N8T80" localSheetId="33" hidden="1">#REF!</definedName>
    <definedName name="BExZKHYORG3O8C772XPFHM1N8T80" localSheetId="31" hidden="1">#REF!</definedName>
    <definedName name="BExZKHYORG3O8C772XPFHM1N8T80" localSheetId="32" hidden="1">#REF!</definedName>
    <definedName name="BExZKHYORG3O8C772XPFHM1N8T80" hidden="1">#REF!</definedName>
    <definedName name="BExZKJRF2IRR57DG9CLC7MSHWNNN" localSheetId="30" hidden="1">#REF!</definedName>
    <definedName name="BExZKJRF2IRR57DG9CLC7MSHWNNN" localSheetId="29" hidden="1">#REF!</definedName>
    <definedName name="BExZKJRF2IRR57DG9CLC7MSHWNNN" localSheetId="33" hidden="1">#REF!</definedName>
    <definedName name="BExZKJRF2IRR57DG9CLC7MSHWNNN" localSheetId="31" hidden="1">#REF!</definedName>
    <definedName name="BExZKJRF2IRR57DG9CLC7MSHWNNN" localSheetId="32" hidden="1">#REF!</definedName>
    <definedName name="BExZKJRF2IRR57DG9CLC7MSHWNNN" hidden="1">#REF!</definedName>
    <definedName name="BExZKV5GYXO0X760SBD9TWTIQHGI" localSheetId="30" hidden="1">#REF!</definedName>
    <definedName name="BExZKV5GYXO0X760SBD9TWTIQHGI" localSheetId="29" hidden="1">#REF!</definedName>
    <definedName name="BExZKV5GYXO0X760SBD9TWTIQHGI" localSheetId="33" hidden="1">#REF!</definedName>
    <definedName name="BExZKV5GYXO0X760SBD9TWTIQHGI" localSheetId="31" hidden="1">#REF!</definedName>
    <definedName name="BExZKV5GYXO0X760SBD9TWTIQHGI" localSheetId="32" hidden="1">#REF!</definedName>
    <definedName name="BExZKV5GYXO0X760SBD9TWTIQHGI" hidden="1">#REF!</definedName>
    <definedName name="BExZL6E4YVXRUN7ZGF2BIGIXFR8K" localSheetId="30" hidden="1">#REF!</definedName>
    <definedName name="BExZL6E4YVXRUN7ZGF2BIGIXFR8K" localSheetId="29" hidden="1">#REF!</definedName>
    <definedName name="BExZL6E4YVXRUN7ZGF2BIGIXFR8K" localSheetId="33" hidden="1">#REF!</definedName>
    <definedName name="BExZL6E4YVXRUN7ZGF2BIGIXFR8K" localSheetId="31" hidden="1">#REF!</definedName>
    <definedName name="BExZL6E4YVXRUN7ZGF2BIGIXFR8K" localSheetId="32" hidden="1">#REF!</definedName>
    <definedName name="BExZL6E4YVXRUN7ZGF2BIGIXFR8K" hidden="1">#REF!</definedName>
    <definedName name="BExZL6OQL9PR1RQXLQHZH5QCLEI6" localSheetId="30" hidden="1">#REF!</definedName>
    <definedName name="BExZL6OQL9PR1RQXLQHZH5QCLEI6" localSheetId="29" hidden="1">#REF!</definedName>
    <definedName name="BExZL6OQL9PR1RQXLQHZH5QCLEI6" localSheetId="33" hidden="1">#REF!</definedName>
    <definedName name="BExZL6OQL9PR1RQXLQHZH5QCLEI6" localSheetId="31" hidden="1">#REF!</definedName>
    <definedName name="BExZL6OQL9PR1RQXLQHZH5QCLEI6" localSheetId="32" hidden="1">#REF!</definedName>
    <definedName name="BExZL6OQL9PR1RQXLQHZH5QCLEI6" hidden="1">#REF!</definedName>
    <definedName name="BExZLGVLMKTPFXG42QYT0PO81G7F" localSheetId="30" hidden="1">#REF!</definedName>
    <definedName name="BExZLGVLMKTPFXG42QYT0PO81G7F" localSheetId="29" hidden="1">#REF!</definedName>
    <definedName name="BExZLGVLMKTPFXG42QYT0PO81G7F" localSheetId="33" hidden="1">#REF!</definedName>
    <definedName name="BExZLGVLMKTPFXG42QYT0PO81G7F" localSheetId="31" hidden="1">#REF!</definedName>
    <definedName name="BExZLGVLMKTPFXG42QYT0PO81G7F" localSheetId="32" hidden="1">#REF!</definedName>
    <definedName name="BExZLGVLMKTPFXG42QYT0PO81G7F" hidden="1">#REF!</definedName>
    <definedName name="BExZLKMK7LRK14S09WLMH7MXSQXM" localSheetId="30" hidden="1">#REF!</definedName>
    <definedName name="BExZLKMK7LRK14S09WLMH7MXSQXM" localSheetId="29" hidden="1">#REF!</definedName>
    <definedName name="BExZLKMK7LRK14S09WLMH7MXSQXM" localSheetId="33" hidden="1">#REF!</definedName>
    <definedName name="BExZLKMK7LRK14S09WLMH7MXSQXM" localSheetId="31" hidden="1">#REF!</definedName>
    <definedName name="BExZLKMK7LRK14S09WLMH7MXSQXM" localSheetId="32" hidden="1">#REF!</definedName>
    <definedName name="BExZLKMK7LRK14S09WLMH7MXSQXM" hidden="1">#REF!</definedName>
    <definedName name="BExZM7JVLG0W8EG5RBU915U3SKBY" localSheetId="30" hidden="1">#REF!</definedName>
    <definedName name="BExZM7JVLG0W8EG5RBU915U3SKBY" localSheetId="29" hidden="1">#REF!</definedName>
    <definedName name="BExZM7JVLG0W8EG5RBU915U3SKBY" localSheetId="33" hidden="1">#REF!</definedName>
    <definedName name="BExZM7JVLG0W8EG5RBU915U3SKBY" localSheetId="31" hidden="1">#REF!</definedName>
    <definedName name="BExZM7JVLG0W8EG5RBU915U3SKBY" localSheetId="32" hidden="1">#REF!</definedName>
    <definedName name="BExZM7JVLG0W8EG5RBU915U3SKBY" hidden="1">#REF!</definedName>
    <definedName name="BExZM85FOVUFF110XMQ9O2ODSJUK" localSheetId="30" hidden="1">#REF!</definedName>
    <definedName name="BExZM85FOVUFF110XMQ9O2ODSJUK" localSheetId="29" hidden="1">#REF!</definedName>
    <definedName name="BExZM85FOVUFF110XMQ9O2ODSJUK" localSheetId="33" hidden="1">#REF!</definedName>
    <definedName name="BExZM85FOVUFF110XMQ9O2ODSJUK" localSheetId="31" hidden="1">#REF!</definedName>
    <definedName name="BExZM85FOVUFF110XMQ9O2ODSJUK" localSheetId="32" hidden="1">#REF!</definedName>
    <definedName name="BExZM85FOVUFF110XMQ9O2ODSJUK" hidden="1">#REF!</definedName>
    <definedName name="BExZMF1MMTZ1TA14PZ8ASSU2CBSP" localSheetId="30" hidden="1">#REF!</definedName>
    <definedName name="BExZMF1MMTZ1TA14PZ8ASSU2CBSP" localSheetId="29" hidden="1">#REF!</definedName>
    <definedName name="BExZMF1MMTZ1TA14PZ8ASSU2CBSP" localSheetId="33" hidden="1">#REF!</definedName>
    <definedName name="BExZMF1MMTZ1TA14PZ8ASSU2CBSP" localSheetId="31" hidden="1">#REF!</definedName>
    <definedName name="BExZMF1MMTZ1TA14PZ8ASSU2CBSP" localSheetId="32" hidden="1">#REF!</definedName>
    <definedName name="BExZMF1MMTZ1TA14PZ8ASSU2CBSP" hidden="1">#REF!</definedName>
    <definedName name="BExZMKL5YQZD7F0FUCSVFGLPFK52" localSheetId="30" hidden="1">#REF!</definedName>
    <definedName name="BExZMKL5YQZD7F0FUCSVFGLPFK52" localSheetId="29" hidden="1">#REF!</definedName>
    <definedName name="BExZMKL5YQZD7F0FUCSVFGLPFK52" localSheetId="33" hidden="1">#REF!</definedName>
    <definedName name="BExZMKL5YQZD7F0FUCSVFGLPFK52" localSheetId="31" hidden="1">#REF!</definedName>
    <definedName name="BExZMKL5YQZD7F0FUCSVFGLPFK52" localSheetId="32" hidden="1">#REF!</definedName>
    <definedName name="BExZMKL5YQZD7F0FUCSVFGLPFK52" hidden="1">#REF!</definedName>
    <definedName name="BExZMOC3VNZALJM71X2T6FV91GTB" localSheetId="30" hidden="1">#REF!</definedName>
    <definedName name="BExZMOC3VNZALJM71X2T6FV91GTB" localSheetId="29" hidden="1">#REF!</definedName>
    <definedName name="BExZMOC3VNZALJM71X2T6FV91GTB" localSheetId="33" hidden="1">#REF!</definedName>
    <definedName name="BExZMOC3VNZALJM71X2T6FV91GTB" localSheetId="31" hidden="1">#REF!</definedName>
    <definedName name="BExZMOC3VNZALJM71X2T6FV91GTB" localSheetId="32" hidden="1">#REF!</definedName>
    <definedName name="BExZMOC3VNZALJM71X2T6FV91GTB" hidden="1">#REF!</definedName>
    <definedName name="BExZMXH39OB0I43XEL3K11U3G9PM" localSheetId="30" hidden="1">#REF!</definedName>
    <definedName name="BExZMXH39OB0I43XEL3K11U3G9PM" localSheetId="29" hidden="1">#REF!</definedName>
    <definedName name="BExZMXH39OB0I43XEL3K11U3G9PM" localSheetId="33" hidden="1">#REF!</definedName>
    <definedName name="BExZMXH39OB0I43XEL3K11U3G9PM" localSheetId="31" hidden="1">#REF!</definedName>
    <definedName name="BExZMXH39OB0I43XEL3K11U3G9PM" localSheetId="32" hidden="1">#REF!</definedName>
    <definedName name="BExZMXH39OB0I43XEL3K11U3G9PM" hidden="1">#REF!</definedName>
    <definedName name="BExZMZQ3RBKDHT5GLFNLS52OSJA0" localSheetId="30" hidden="1">#REF!</definedName>
    <definedName name="BExZMZQ3RBKDHT5GLFNLS52OSJA0" localSheetId="29" hidden="1">#REF!</definedName>
    <definedName name="BExZMZQ3RBKDHT5GLFNLS52OSJA0" localSheetId="33" hidden="1">#REF!</definedName>
    <definedName name="BExZMZQ3RBKDHT5GLFNLS52OSJA0" localSheetId="31" hidden="1">#REF!</definedName>
    <definedName name="BExZMZQ3RBKDHT5GLFNLS52OSJA0" localSheetId="32" hidden="1">#REF!</definedName>
    <definedName name="BExZMZQ3RBKDHT5GLFNLS52OSJA0" hidden="1">#REF!</definedName>
    <definedName name="BExZN2F7Y2J2L2LN5WZRG949MS4A" localSheetId="30" hidden="1">#REF!</definedName>
    <definedName name="BExZN2F7Y2J2L2LN5WZRG949MS4A" localSheetId="29" hidden="1">#REF!</definedName>
    <definedName name="BExZN2F7Y2J2L2LN5WZRG949MS4A" localSheetId="33" hidden="1">#REF!</definedName>
    <definedName name="BExZN2F7Y2J2L2LN5WZRG949MS4A" localSheetId="31" hidden="1">#REF!</definedName>
    <definedName name="BExZN2F7Y2J2L2LN5WZRG949MS4A" localSheetId="32" hidden="1">#REF!</definedName>
    <definedName name="BExZN2F7Y2J2L2LN5WZRG949MS4A" hidden="1">#REF!</definedName>
    <definedName name="BExZN847WUWKRYTZWG9TCQZJS3OL" localSheetId="30" hidden="1">#REF!</definedName>
    <definedName name="BExZN847WUWKRYTZWG9TCQZJS3OL" localSheetId="29" hidden="1">#REF!</definedName>
    <definedName name="BExZN847WUWKRYTZWG9TCQZJS3OL" localSheetId="33" hidden="1">#REF!</definedName>
    <definedName name="BExZN847WUWKRYTZWG9TCQZJS3OL" localSheetId="31" hidden="1">#REF!</definedName>
    <definedName name="BExZN847WUWKRYTZWG9TCQZJS3OL" localSheetId="32" hidden="1">#REF!</definedName>
    <definedName name="BExZN847WUWKRYTZWG9TCQZJS3OL" hidden="1">#REF!</definedName>
    <definedName name="BExZNH3VISFF4NQI11BZDP5IQ7VG" localSheetId="30" hidden="1">#REF!</definedName>
    <definedName name="BExZNH3VISFF4NQI11BZDP5IQ7VG" localSheetId="29" hidden="1">#REF!</definedName>
    <definedName name="BExZNH3VISFF4NQI11BZDP5IQ7VG" localSheetId="33" hidden="1">#REF!</definedName>
    <definedName name="BExZNH3VISFF4NQI11BZDP5IQ7VG" localSheetId="31" hidden="1">#REF!</definedName>
    <definedName name="BExZNH3VISFF4NQI11BZDP5IQ7VG" localSheetId="32" hidden="1">#REF!</definedName>
    <definedName name="BExZNH3VISFF4NQI11BZDP5IQ7VG" hidden="1">#REF!</definedName>
    <definedName name="BExZNJYCFYVMAOI62GB2BABK1ELE" localSheetId="30" hidden="1">#REF!</definedName>
    <definedName name="BExZNJYCFYVMAOI62GB2BABK1ELE" localSheetId="29" hidden="1">#REF!</definedName>
    <definedName name="BExZNJYCFYVMAOI62GB2BABK1ELE" localSheetId="33" hidden="1">#REF!</definedName>
    <definedName name="BExZNJYCFYVMAOI62GB2BABK1ELE" localSheetId="31" hidden="1">#REF!</definedName>
    <definedName name="BExZNJYCFYVMAOI62GB2BABK1ELE" localSheetId="32" hidden="1">#REF!</definedName>
    <definedName name="BExZNJYCFYVMAOI62GB2BABK1ELE" hidden="1">#REF!</definedName>
    <definedName name="BExZNV707LIU6Z5H6QI6H67LHTI1" localSheetId="30" hidden="1">#REF!</definedName>
    <definedName name="BExZNV707LIU6Z5H6QI6H67LHTI1" localSheetId="29" hidden="1">#REF!</definedName>
    <definedName name="BExZNV707LIU6Z5H6QI6H67LHTI1" localSheetId="33" hidden="1">#REF!</definedName>
    <definedName name="BExZNV707LIU6Z5H6QI6H67LHTI1" localSheetId="31" hidden="1">#REF!</definedName>
    <definedName name="BExZNV707LIU6Z5H6QI6H67LHTI1" localSheetId="32" hidden="1">#REF!</definedName>
    <definedName name="BExZNV707LIU6Z5H6QI6H67LHTI1" hidden="1">#REF!</definedName>
    <definedName name="BExZNVCBKB930QQ9QW7KSGOZ0V1M" localSheetId="30" hidden="1">#REF!</definedName>
    <definedName name="BExZNVCBKB930QQ9QW7KSGOZ0V1M" localSheetId="29" hidden="1">#REF!</definedName>
    <definedName name="BExZNVCBKB930QQ9QW7KSGOZ0V1M" localSheetId="33" hidden="1">#REF!</definedName>
    <definedName name="BExZNVCBKB930QQ9QW7KSGOZ0V1M" localSheetId="31" hidden="1">#REF!</definedName>
    <definedName name="BExZNVCBKB930QQ9QW7KSGOZ0V1M" localSheetId="32" hidden="1">#REF!</definedName>
    <definedName name="BExZNVCBKB930QQ9QW7KSGOZ0V1M" hidden="1">#REF!</definedName>
    <definedName name="BExZNW8QJ18X0RSGFDWAE9ZSDX39" localSheetId="30" hidden="1">#REF!</definedName>
    <definedName name="BExZNW8QJ18X0RSGFDWAE9ZSDX39" localSheetId="29" hidden="1">#REF!</definedName>
    <definedName name="BExZNW8QJ18X0RSGFDWAE9ZSDX39" localSheetId="33" hidden="1">#REF!</definedName>
    <definedName name="BExZNW8QJ18X0RSGFDWAE9ZSDX39" localSheetId="31" hidden="1">#REF!</definedName>
    <definedName name="BExZNW8QJ18X0RSGFDWAE9ZSDX39" localSheetId="32" hidden="1">#REF!</definedName>
    <definedName name="BExZNW8QJ18X0RSGFDWAE9ZSDX39" hidden="1">#REF!</definedName>
    <definedName name="BExZNZDWRS6Q40L8OCWFEIVI0A1O" localSheetId="30" hidden="1">#REF!</definedName>
    <definedName name="BExZNZDWRS6Q40L8OCWFEIVI0A1O" localSheetId="29" hidden="1">#REF!</definedName>
    <definedName name="BExZNZDWRS6Q40L8OCWFEIVI0A1O" localSheetId="33" hidden="1">#REF!</definedName>
    <definedName name="BExZNZDWRS6Q40L8OCWFEIVI0A1O" localSheetId="31" hidden="1">#REF!</definedName>
    <definedName name="BExZNZDWRS6Q40L8OCWFEIVI0A1O" localSheetId="32" hidden="1">#REF!</definedName>
    <definedName name="BExZNZDWRS6Q40L8OCWFEIVI0A1O" hidden="1">#REF!</definedName>
    <definedName name="BExZOBO9NYLGVJQ31LVQ9XS2ZT4N" localSheetId="30" hidden="1">#REF!</definedName>
    <definedName name="BExZOBO9NYLGVJQ31LVQ9XS2ZT4N" localSheetId="29" hidden="1">#REF!</definedName>
    <definedName name="BExZOBO9NYLGVJQ31LVQ9XS2ZT4N" localSheetId="33" hidden="1">#REF!</definedName>
    <definedName name="BExZOBO9NYLGVJQ31LVQ9XS2ZT4N" localSheetId="31" hidden="1">#REF!</definedName>
    <definedName name="BExZOBO9NYLGVJQ31LVQ9XS2ZT4N" localSheetId="32" hidden="1">#REF!</definedName>
    <definedName name="BExZOBO9NYLGVJQ31LVQ9XS2ZT4N" hidden="1">#REF!</definedName>
    <definedName name="BExZOETNB1CJ3Y2RKLI1ZK0S8Z6H" localSheetId="30" hidden="1">#REF!</definedName>
    <definedName name="BExZOETNB1CJ3Y2RKLI1ZK0S8Z6H" localSheetId="29" hidden="1">#REF!</definedName>
    <definedName name="BExZOETNB1CJ3Y2RKLI1ZK0S8Z6H" localSheetId="33" hidden="1">#REF!</definedName>
    <definedName name="BExZOETNB1CJ3Y2RKLI1ZK0S8Z6H" localSheetId="31" hidden="1">#REF!</definedName>
    <definedName name="BExZOETNB1CJ3Y2RKLI1ZK0S8Z6H" localSheetId="32" hidden="1">#REF!</definedName>
    <definedName name="BExZOETNB1CJ3Y2RKLI1ZK0S8Z6H" hidden="1">#REF!</definedName>
    <definedName name="BExZOL9K1RUXBTLZ6FJ65BIE9G5R" localSheetId="30" hidden="1">#REF!</definedName>
    <definedName name="BExZOL9K1RUXBTLZ6FJ65BIE9G5R" localSheetId="29" hidden="1">#REF!</definedName>
    <definedName name="BExZOL9K1RUXBTLZ6FJ65BIE9G5R" localSheetId="33" hidden="1">#REF!</definedName>
    <definedName name="BExZOL9K1RUXBTLZ6FJ65BIE9G5R" localSheetId="31" hidden="1">#REF!</definedName>
    <definedName name="BExZOL9K1RUXBTLZ6FJ65BIE9G5R" localSheetId="32" hidden="1">#REF!</definedName>
    <definedName name="BExZOL9K1RUXBTLZ6FJ65BIE9G5R" hidden="1">#REF!</definedName>
    <definedName name="BExZOQ7O5H0KBRLIDY24S74W9NPU" localSheetId="30" hidden="1">#REF!</definedName>
    <definedName name="BExZOQ7O5H0KBRLIDY24S74W9NPU" localSheetId="29" hidden="1">#REF!</definedName>
    <definedName name="BExZOQ7O5H0KBRLIDY24S74W9NPU" localSheetId="33" hidden="1">#REF!</definedName>
    <definedName name="BExZOQ7O5H0KBRLIDY24S74W9NPU" localSheetId="31" hidden="1">#REF!</definedName>
    <definedName name="BExZOQ7O5H0KBRLIDY24S74W9NPU" localSheetId="32" hidden="1">#REF!</definedName>
    <definedName name="BExZOQ7O5H0KBRLIDY24S74W9NPU" hidden="1">#REF!</definedName>
    <definedName name="BExZOREMVSK4E5VSWM838KHUB8AI" localSheetId="30" hidden="1">#REF!</definedName>
    <definedName name="BExZOREMVSK4E5VSWM838KHUB8AI" localSheetId="29" hidden="1">#REF!</definedName>
    <definedName name="BExZOREMVSK4E5VSWM838KHUB8AI" localSheetId="33" hidden="1">#REF!</definedName>
    <definedName name="BExZOREMVSK4E5VSWM838KHUB8AI" localSheetId="31" hidden="1">#REF!</definedName>
    <definedName name="BExZOREMVSK4E5VSWM838KHUB8AI" localSheetId="32" hidden="1">#REF!</definedName>
    <definedName name="BExZOREMVSK4E5VSWM838KHUB8AI" hidden="1">#REF!</definedName>
    <definedName name="BExZOVR745T5P1KS9NV2PXZPZVRG" localSheetId="30" hidden="1">#REF!</definedName>
    <definedName name="BExZOVR745T5P1KS9NV2PXZPZVRG" localSheetId="29" hidden="1">#REF!</definedName>
    <definedName name="BExZOVR745T5P1KS9NV2PXZPZVRG" localSheetId="33" hidden="1">#REF!</definedName>
    <definedName name="BExZOVR745T5P1KS9NV2PXZPZVRG" localSheetId="31" hidden="1">#REF!</definedName>
    <definedName name="BExZOVR745T5P1KS9NV2PXZPZVRG" localSheetId="32" hidden="1">#REF!</definedName>
    <definedName name="BExZOVR745T5P1KS9NV2PXZPZVRG" hidden="1">#REF!</definedName>
    <definedName name="BExZOZSWGLSY2XYVRIS6VSNJDSGD" localSheetId="30" hidden="1">#REF!</definedName>
    <definedName name="BExZOZSWGLSY2XYVRIS6VSNJDSGD" localSheetId="29" hidden="1">#REF!</definedName>
    <definedName name="BExZOZSWGLSY2XYVRIS6VSNJDSGD" localSheetId="33" hidden="1">#REF!</definedName>
    <definedName name="BExZOZSWGLSY2XYVRIS6VSNJDSGD" localSheetId="31" hidden="1">#REF!</definedName>
    <definedName name="BExZOZSWGLSY2XYVRIS6VSNJDSGD" localSheetId="32" hidden="1">#REF!</definedName>
    <definedName name="BExZOZSWGLSY2XYVRIS6VSNJDSGD" hidden="1">#REF!</definedName>
    <definedName name="BExZP7AIJKLM6C6CSUIIFAHFBNX2" localSheetId="30" hidden="1">#REF!</definedName>
    <definedName name="BExZP7AIJKLM6C6CSUIIFAHFBNX2" localSheetId="29" hidden="1">#REF!</definedName>
    <definedName name="BExZP7AIJKLM6C6CSUIIFAHFBNX2" localSheetId="33" hidden="1">#REF!</definedName>
    <definedName name="BExZP7AIJKLM6C6CSUIIFAHFBNX2" localSheetId="31" hidden="1">#REF!</definedName>
    <definedName name="BExZP7AIJKLM6C6CSUIIFAHFBNX2" localSheetId="32" hidden="1">#REF!</definedName>
    <definedName name="BExZP7AIJKLM6C6CSUIIFAHFBNX2" hidden="1">#REF!</definedName>
    <definedName name="BExZPGVSFGO35JSK42MLG9TML3S9" localSheetId="30" hidden="1">#REF!</definedName>
    <definedName name="BExZPGVSFGO35JSK42MLG9TML3S9" localSheetId="29" hidden="1">#REF!</definedName>
    <definedName name="BExZPGVSFGO35JSK42MLG9TML3S9" localSheetId="33" hidden="1">#REF!</definedName>
    <definedName name="BExZPGVSFGO35JSK42MLG9TML3S9" localSheetId="31" hidden="1">#REF!</definedName>
    <definedName name="BExZPGVSFGO35JSK42MLG9TML3S9" localSheetId="32" hidden="1">#REF!</definedName>
    <definedName name="BExZPGVSFGO35JSK42MLG9TML3S9" hidden="1">#REF!</definedName>
    <definedName name="BExZPQ0XY507N8FJMVPKCTK8HC9H" localSheetId="30" hidden="1">#REF!</definedName>
    <definedName name="BExZPQ0XY507N8FJMVPKCTK8HC9H" localSheetId="29" hidden="1">#REF!</definedName>
    <definedName name="BExZPQ0XY507N8FJMVPKCTK8HC9H" localSheetId="33" hidden="1">#REF!</definedName>
    <definedName name="BExZPQ0XY507N8FJMVPKCTK8HC9H" localSheetId="31" hidden="1">#REF!</definedName>
    <definedName name="BExZPQ0XY507N8FJMVPKCTK8HC9H" localSheetId="32" hidden="1">#REF!</definedName>
    <definedName name="BExZPQ0XY507N8FJMVPKCTK8HC9H" hidden="1">#REF!</definedName>
    <definedName name="BExZQ37OVBR25U32CO2YYVPZOMR5" localSheetId="30" hidden="1">#REF!</definedName>
    <definedName name="BExZQ37OVBR25U32CO2YYVPZOMR5" localSheetId="29" hidden="1">#REF!</definedName>
    <definedName name="BExZQ37OVBR25U32CO2YYVPZOMR5" localSheetId="33" hidden="1">#REF!</definedName>
    <definedName name="BExZQ37OVBR25U32CO2YYVPZOMR5" localSheetId="31" hidden="1">#REF!</definedName>
    <definedName name="BExZQ37OVBR25U32CO2YYVPZOMR5" localSheetId="32" hidden="1">#REF!</definedName>
    <definedName name="BExZQ37OVBR25U32CO2YYVPZOMR5" hidden="1">#REF!</definedName>
    <definedName name="BExZQ3NT7H06VO0AR48WHZULZB93" localSheetId="30" hidden="1">#REF!</definedName>
    <definedName name="BExZQ3NT7H06VO0AR48WHZULZB93" localSheetId="29" hidden="1">#REF!</definedName>
    <definedName name="BExZQ3NT7H06VO0AR48WHZULZB93" localSheetId="33" hidden="1">#REF!</definedName>
    <definedName name="BExZQ3NT7H06VO0AR48WHZULZB93" localSheetId="31" hidden="1">#REF!</definedName>
    <definedName name="BExZQ3NT7H06VO0AR48WHZULZB93" localSheetId="32" hidden="1">#REF!</definedName>
    <definedName name="BExZQ3NT7H06VO0AR48WHZULZB93" hidden="1">#REF!</definedName>
    <definedName name="BExZQ7PJU07SEJMDX18U9YVDC2GU" localSheetId="30" hidden="1">#REF!</definedName>
    <definedName name="BExZQ7PJU07SEJMDX18U9YVDC2GU" localSheetId="29" hidden="1">#REF!</definedName>
    <definedName name="BExZQ7PJU07SEJMDX18U9YVDC2GU" localSheetId="33" hidden="1">#REF!</definedName>
    <definedName name="BExZQ7PJU07SEJMDX18U9YVDC2GU" localSheetId="31" hidden="1">#REF!</definedName>
    <definedName name="BExZQ7PJU07SEJMDX18U9YVDC2GU" localSheetId="32" hidden="1">#REF!</definedName>
    <definedName name="BExZQ7PJU07SEJMDX18U9YVDC2GU" hidden="1">#REF!</definedName>
    <definedName name="BExZQ9CSAW82XUBW7T3HGKSLKIOI" localSheetId="30" hidden="1">#REF!</definedName>
    <definedName name="BExZQ9CSAW82XUBW7T3HGKSLKIOI" localSheetId="29" hidden="1">#REF!</definedName>
    <definedName name="BExZQ9CSAW82XUBW7T3HGKSLKIOI" localSheetId="33" hidden="1">#REF!</definedName>
    <definedName name="BExZQ9CSAW82XUBW7T3HGKSLKIOI" localSheetId="31" hidden="1">#REF!</definedName>
    <definedName name="BExZQ9CSAW82XUBW7T3HGKSLKIOI" localSheetId="32" hidden="1">#REF!</definedName>
    <definedName name="BExZQ9CSAW82XUBW7T3HGKSLKIOI" hidden="1">#REF!</definedName>
    <definedName name="BExZQIHTGHK7OOI2Y2PN3JYBY82I" localSheetId="30" hidden="1">#REF!</definedName>
    <definedName name="BExZQIHTGHK7OOI2Y2PN3JYBY82I" localSheetId="29" hidden="1">#REF!</definedName>
    <definedName name="BExZQIHTGHK7OOI2Y2PN3JYBY82I" localSheetId="33" hidden="1">#REF!</definedName>
    <definedName name="BExZQIHTGHK7OOI2Y2PN3JYBY82I" localSheetId="31" hidden="1">#REF!</definedName>
    <definedName name="BExZQIHTGHK7OOI2Y2PN3JYBY82I" localSheetId="32" hidden="1">#REF!</definedName>
    <definedName name="BExZQIHTGHK7OOI2Y2PN3JYBY82I" hidden="1">#REF!</definedName>
    <definedName name="BExZQJJMGU5MHQOILGXGJPAQI5XI" localSheetId="30" hidden="1">#REF!</definedName>
    <definedName name="BExZQJJMGU5MHQOILGXGJPAQI5XI" localSheetId="29" hidden="1">#REF!</definedName>
    <definedName name="BExZQJJMGU5MHQOILGXGJPAQI5XI" localSheetId="33" hidden="1">#REF!</definedName>
    <definedName name="BExZQJJMGU5MHQOILGXGJPAQI5XI" localSheetId="31" hidden="1">#REF!</definedName>
    <definedName name="BExZQJJMGU5MHQOILGXGJPAQI5XI" localSheetId="32" hidden="1">#REF!</definedName>
    <definedName name="BExZQJJMGU5MHQOILGXGJPAQI5XI" hidden="1">#REF!</definedName>
    <definedName name="BExZQUMV4FKHBT0QZR0FT6VCUV0V" localSheetId="30" hidden="1">#REF!</definedName>
    <definedName name="BExZQUMV4FKHBT0QZR0FT6VCUV0V" localSheetId="29" hidden="1">#REF!</definedName>
    <definedName name="BExZQUMV4FKHBT0QZR0FT6VCUV0V" localSheetId="33" hidden="1">#REF!</definedName>
    <definedName name="BExZQUMV4FKHBT0QZR0FT6VCUV0V" localSheetId="31" hidden="1">#REF!</definedName>
    <definedName name="BExZQUMV4FKHBT0QZR0FT6VCUV0V" localSheetId="32" hidden="1">#REF!</definedName>
    <definedName name="BExZQUMV4FKHBT0QZR0FT6VCUV0V" hidden="1">#REF!</definedName>
    <definedName name="BExZQXBYEBN28QUH1KOVW6KKA5UM" localSheetId="30" hidden="1">#REF!</definedName>
    <definedName name="BExZQXBYEBN28QUH1KOVW6KKA5UM" localSheetId="29" hidden="1">#REF!</definedName>
    <definedName name="BExZQXBYEBN28QUH1KOVW6KKA5UM" localSheetId="33" hidden="1">#REF!</definedName>
    <definedName name="BExZQXBYEBN28QUH1KOVW6KKA5UM" localSheetId="31" hidden="1">#REF!</definedName>
    <definedName name="BExZQXBYEBN28QUH1KOVW6KKA5UM" localSheetId="32" hidden="1">#REF!</definedName>
    <definedName name="BExZQXBYEBN28QUH1KOVW6KKA5UM" hidden="1">#REF!</definedName>
    <definedName name="BExZQZKT146WEN8FTVZ7Y5TSB8L5" localSheetId="30" hidden="1">#REF!</definedName>
    <definedName name="BExZQZKT146WEN8FTVZ7Y5TSB8L5" localSheetId="29" hidden="1">#REF!</definedName>
    <definedName name="BExZQZKT146WEN8FTVZ7Y5TSB8L5" localSheetId="33" hidden="1">#REF!</definedName>
    <definedName name="BExZQZKT146WEN8FTVZ7Y5TSB8L5" localSheetId="31" hidden="1">#REF!</definedName>
    <definedName name="BExZQZKT146WEN8FTVZ7Y5TSB8L5" localSheetId="32" hidden="1">#REF!</definedName>
    <definedName name="BExZQZKT146WEN8FTVZ7Y5TSB8L5" hidden="1">#REF!</definedName>
    <definedName name="BExZR485AKBH93YZ08CMUC3WROED" localSheetId="30" hidden="1">#REF!</definedName>
    <definedName name="BExZR485AKBH93YZ08CMUC3WROED" localSheetId="29" hidden="1">#REF!</definedName>
    <definedName name="BExZR485AKBH93YZ08CMUC3WROED" localSheetId="33" hidden="1">#REF!</definedName>
    <definedName name="BExZR485AKBH93YZ08CMUC3WROED" localSheetId="31" hidden="1">#REF!</definedName>
    <definedName name="BExZR485AKBH93YZ08CMUC3WROED" localSheetId="32" hidden="1">#REF!</definedName>
    <definedName name="BExZR485AKBH93YZ08CMUC3WROED" hidden="1">#REF!</definedName>
    <definedName name="BExZR7TL98P2PPUVGIZYR5873DWW" localSheetId="30" hidden="1">#REF!</definedName>
    <definedName name="BExZR7TL98P2PPUVGIZYR5873DWW" localSheetId="29" hidden="1">#REF!</definedName>
    <definedName name="BExZR7TL98P2PPUVGIZYR5873DWW" localSheetId="33" hidden="1">#REF!</definedName>
    <definedName name="BExZR7TL98P2PPUVGIZYR5873DWW" localSheetId="31" hidden="1">#REF!</definedName>
    <definedName name="BExZR7TL98P2PPUVGIZYR5873DWW" localSheetId="32" hidden="1">#REF!</definedName>
    <definedName name="BExZR7TL98P2PPUVGIZYR5873DWW" hidden="1">#REF!</definedName>
    <definedName name="BExZREV3CFPWF727WQITZFPL75K6" localSheetId="30" hidden="1">#REF!</definedName>
    <definedName name="BExZREV3CFPWF727WQITZFPL75K6" localSheetId="29" hidden="1">#REF!</definedName>
    <definedName name="BExZREV3CFPWF727WQITZFPL75K6" localSheetId="33" hidden="1">#REF!</definedName>
    <definedName name="BExZREV3CFPWF727WQITZFPL75K6" localSheetId="31" hidden="1">#REF!</definedName>
    <definedName name="BExZREV3CFPWF727WQITZFPL75K6" localSheetId="32" hidden="1">#REF!</definedName>
    <definedName name="BExZREV3CFPWF727WQITZFPL75K6" hidden="1">#REF!</definedName>
    <definedName name="BExZRGD1603X5ACFALUUDKCD7X48" localSheetId="30" hidden="1">#REF!</definedName>
    <definedName name="BExZRGD1603X5ACFALUUDKCD7X48" localSheetId="29" hidden="1">#REF!</definedName>
    <definedName name="BExZRGD1603X5ACFALUUDKCD7X48" localSheetId="33" hidden="1">#REF!</definedName>
    <definedName name="BExZRGD1603X5ACFALUUDKCD7X48" localSheetId="31" hidden="1">#REF!</definedName>
    <definedName name="BExZRGD1603X5ACFALUUDKCD7X48" localSheetId="32" hidden="1">#REF!</definedName>
    <definedName name="BExZRGD1603X5ACFALUUDKCD7X48" hidden="1">#REF!</definedName>
    <definedName name="BExZRP1X6UVLN1UOLHH5VF4STP1O" localSheetId="30" hidden="1">#REF!</definedName>
    <definedName name="BExZRP1X6UVLN1UOLHH5VF4STP1O" localSheetId="29" hidden="1">#REF!</definedName>
    <definedName name="BExZRP1X6UVLN1UOLHH5VF4STP1O" localSheetId="33" hidden="1">#REF!</definedName>
    <definedName name="BExZRP1X6UVLN1UOLHH5VF4STP1O" localSheetId="31" hidden="1">#REF!</definedName>
    <definedName name="BExZRP1X6UVLN1UOLHH5VF4STP1O" localSheetId="32" hidden="1">#REF!</definedName>
    <definedName name="BExZRP1X6UVLN1UOLHH5VF4STP1O" hidden="1">#REF!</definedName>
    <definedName name="BExZRQ930U6OCYNV00CH5I0Q4LPE" localSheetId="30" hidden="1">#REF!</definedName>
    <definedName name="BExZRQ930U6OCYNV00CH5I0Q4LPE" localSheetId="29" hidden="1">#REF!</definedName>
    <definedName name="BExZRQ930U6OCYNV00CH5I0Q4LPE" localSheetId="33" hidden="1">#REF!</definedName>
    <definedName name="BExZRQ930U6OCYNV00CH5I0Q4LPE" localSheetId="31" hidden="1">#REF!</definedName>
    <definedName name="BExZRQ930U6OCYNV00CH5I0Q4LPE" localSheetId="32" hidden="1">#REF!</definedName>
    <definedName name="BExZRQ930U6OCYNV00CH5I0Q4LPE" hidden="1">#REF!</definedName>
    <definedName name="BExZRW8W514W8OZ72YBONYJ64GXF" localSheetId="30" hidden="1">#REF!</definedName>
    <definedName name="BExZRW8W514W8OZ72YBONYJ64GXF" localSheetId="29" hidden="1">#REF!</definedName>
    <definedName name="BExZRW8W514W8OZ72YBONYJ64GXF" localSheetId="33" hidden="1">#REF!</definedName>
    <definedName name="BExZRW8W514W8OZ72YBONYJ64GXF" localSheetId="31" hidden="1">#REF!</definedName>
    <definedName name="BExZRW8W514W8OZ72YBONYJ64GXF" localSheetId="32" hidden="1">#REF!</definedName>
    <definedName name="BExZRW8W514W8OZ72YBONYJ64GXF" hidden="1">#REF!</definedName>
    <definedName name="BExZRWJP2BUVFJPO8U8ATQEP0LZU" localSheetId="30" hidden="1">#REF!</definedName>
    <definedName name="BExZRWJP2BUVFJPO8U8ATQEP0LZU" localSheetId="29" hidden="1">#REF!</definedName>
    <definedName name="BExZRWJP2BUVFJPO8U8ATQEP0LZU" localSheetId="33" hidden="1">#REF!</definedName>
    <definedName name="BExZRWJP2BUVFJPO8U8ATQEP0LZU" localSheetId="31" hidden="1">#REF!</definedName>
    <definedName name="BExZRWJP2BUVFJPO8U8ATQEP0LZU" localSheetId="32" hidden="1">#REF!</definedName>
    <definedName name="BExZRWJP2BUVFJPO8U8ATQEP0LZU" hidden="1">#REF!</definedName>
    <definedName name="BExZS2OY9JTSSP01ZQ6V2T2LO5R9" localSheetId="30" hidden="1">#REF!</definedName>
    <definedName name="BExZS2OY9JTSSP01ZQ6V2T2LO5R9" localSheetId="29" hidden="1">#REF!</definedName>
    <definedName name="BExZS2OY9JTSSP01ZQ6V2T2LO5R9" localSheetId="33" hidden="1">#REF!</definedName>
    <definedName name="BExZS2OY9JTSSP01ZQ6V2T2LO5R9" localSheetId="31" hidden="1">#REF!</definedName>
    <definedName name="BExZS2OY9JTSSP01ZQ6V2T2LO5R9" localSheetId="32" hidden="1">#REF!</definedName>
    <definedName name="BExZS2OY9JTSSP01ZQ6V2T2LO5R9" hidden="1">#REF!</definedName>
    <definedName name="BExZSI9USDLZAN8LI8M4YYQL24GZ" localSheetId="30" hidden="1">#REF!</definedName>
    <definedName name="BExZSI9USDLZAN8LI8M4YYQL24GZ" localSheetId="29" hidden="1">#REF!</definedName>
    <definedName name="BExZSI9USDLZAN8LI8M4YYQL24GZ" localSheetId="33" hidden="1">#REF!</definedName>
    <definedName name="BExZSI9USDLZAN8LI8M4YYQL24GZ" localSheetId="31" hidden="1">#REF!</definedName>
    <definedName name="BExZSI9USDLZAN8LI8M4YYQL24GZ" localSheetId="32" hidden="1">#REF!</definedName>
    <definedName name="BExZSI9USDLZAN8LI8M4YYQL24GZ" hidden="1">#REF!</definedName>
    <definedName name="BExZSS0LA2JY4ZLJ1Z5YCMLJJZCH" localSheetId="30" hidden="1">#REF!</definedName>
    <definedName name="BExZSS0LA2JY4ZLJ1Z5YCMLJJZCH" localSheetId="29" hidden="1">#REF!</definedName>
    <definedName name="BExZSS0LA2JY4ZLJ1Z5YCMLJJZCH" localSheetId="33" hidden="1">#REF!</definedName>
    <definedName name="BExZSS0LA2JY4ZLJ1Z5YCMLJJZCH" localSheetId="31" hidden="1">#REF!</definedName>
    <definedName name="BExZSS0LA2JY4ZLJ1Z5YCMLJJZCH" localSheetId="32" hidden="1">#REF!</definedName>
    <definedName name="BExZSS0LA2JY4ZLJ1Z5YCMLJJZCH" hidden="1">#REF!</definedName>
    <definedName name="BExZTAQV2QVSZY5Y3VCCWUBSBW9P" localSheetId="30" hidden="1">#REF!</definedName>
    <definedName name="BExZTAQV2QVSZY5Y3VCCWUBSBW9P" localSheetId="29" hidden="1">#REF!</definedName>
    <definedName name="BExZTAQV2QVSZY5Y3VCCWUBSBW9P" localSheetId="33" hidden="1">#REF!</definedName>
    <definedName name="BExZTAQV2QVSZY5Y3VCCWUBSBW9P" localSheetId="31" hidden="1">#REF!</definedName>
    <definedName name="BExZTAQV2QVSZY5Y3VCCWUBSBW9P" localSheetId="32" hidden="1">#REF!</definedName>
    <definedName name="BExZTAQV2QVSZY5Y3VCCWUBSBW9P" hidden="1">#REF!</definedName>
    <definedName name="BExZTHSI2FX56PWRSNX9H5EWTZFO" localSheetId="30" hidden="1">#REF!</definedName>
    <definedName name="BExZTHSI2FX56PWRSNX9H5EWTZFO" localSheetId="29" hidden="1">#REF!</definedName>
    <definedName name="BExZTHSI2FX56PWRSNX9H5EWTZFO" localSheetId="33" hidden="1">#REF!</definedName>
    <definedName name="BExZTHSI2FX56PWRSNX9H5EWTZFO" localSheetId="31" hidden="1">#REF!</definedName>
    <definedName name="BExZTHSI2FX56PWRSNX9H5EWTZFO" localSheetId="32" hidden="1">#REF!</definedName>
    <definedName name="BExZTHSI2FX56PWRSNX9H5EWTZFO" hidden="1">#REF!</definedName>
    <definedName name="BExZTJL3HVBFY139H6CJHEQCT1EL" localSheetId="30" hidden="1">#REF!</definedName>
    <definedName name="BExZTJL3HVBFY139H6CJHEQCT1EL" localSheetId="29" hidden="1">#REF!</definedName>
    <definedName name="BExZTJL3HVBFY139H6CJHEQCT1EL" localSheetId="33" hidden="1">#REF!</definedName>
    <definedName name="BExZTJL3HVBFY139H6CJHEQCT1EL" localSheetId="31" hidden="1">#REF!</definedName>
    <definedName name="BExZTJL3HVBFY139H6CJHEQCT1EL" localSheetId="32" hidden="1">#REF!</definedName>
    <definedName name="BExZTJL3HVBFY139H6CJHEQCT1EL" hidden="1">#REF!</definedName>
    <definedName name="BExZTLOL8OPABZI453E0KVNA1GJS" localSheetId="30" hidden="1">#REF!</definedName>
    <definedName name="BExZTLOL8OPABZI453E0KVNA1GJS" localSheetId="29" hidden="1">#REF!</definedName>
    <definedName name="BExZTLOL8OPABZI453E0KVNA1GJS" localSheetId="33" hidden="1">#REF!</definedName>
    <definedName name="BExZTLOL8OPABZI453E0KVNA1GJS" localSheetId="31" hidden="1">#REF!</definedName>
    <definedName name="BExZTLOL8OPABZI453E0KVNA1GJS" localSheetId="32" hidden="1">#REF!</definedName>
    <definedName name="BExZTLOL8OPABZI453E0KVNA1GJS" hidden="1">#REF!</definedName>
    <definedName name="BExZTT6J3X0TOX0ZY6YPLUVMCW9X" localSheetId="30" hidden="1">#REF!</definedName>
    <definedName name="BExZTT6J3X0TOX0ZY6YPLUVMCW9X" localSheetId="29" hidden="1">#REF!</definedName>
    <definedName name="BExZTT6J3X0TOX0ZY6YPLUVMCW9X" localSheetId="33" hidden="1">#REF!</definedName>
    <definedName name="BExZTT6J3X0TOX0ZY6YPLUVMCW9X" localSheetId="31" hidden="1">#REF!</definedName>
    <definedName name="BExZTT6J3X0TOX0ZY6YPLUVMCW9X" localSheetId="32" hidden="1">#REF!</definedName>
    <definedName name="BExZTT6J3X0TOX0ZY6YPLUVMCW9X" hidden="1">#REF!</definedName>
    <definedName name="BExZTW6ECBRA0BBITWBQ8R93RMCL" localSheetId="30" hidden="1">#REF!</definedName>
    <definedName name="BExZTW6ECBRA0BBITWBQ8R93RMCL" localSheetId="29" hidden="1">#REF!</definedName>
    <definedName name="BExZTW6ECBRA0BBITWBQ8R93RMCL" localSheetId="33" hidden="1">#REF!</definedName>
    <definedName name="BExZTW6ECBRA0BBITWBQ8R93RMCL" localSheetId="31" hidden="1">#REF!</definedName>
    <definedName name="BExZTW6ECBRA0BBITWBQ8R93RMCL" localSheetId="32" hidden="1">#REF!</definedName>
    <definedName name="BExZTW6ECBRA0BBITWBQ8R93RMCL" hidden="1">#REF!</definedName>
    <definedName name="BExZU2BHYAOKSCBM3C5014ZF6IXS" localSheetId="30" hidden="1">#REF!</definedName>
    <definedName name="BExZU2BHYAOKSCBM3C5014ZF6IXS" localSheetId="29" hidden="1">#REF!</definedName>
    <definedName name="BExZU2BHYAOKSCBM3C5014ZF6IXS" localSheetId="33" hidden="1">#REF!</definedName>
    <definedName name="BExZU2BHYAOKSCBM3C5014ZF6IXS" localSheetId="31" hidden="1">#REF!</definedName>
    <definedName name="BExZU2BHYAOKSCBM3C5014ZF6IXS" localSheetId="32" hidden="1">#REF!</definedName>
    <definedName name="BExZU2BHYAOKSCBM3C5014ZF6IXS" hidden="1">#REF!</definedName>
    <definedName name="BExZU2RMJTXOCS0ROPMYPE6WTD87" localSheetId="30" hidden="1">#REF!</definedName>
    <definedName name="BExZU2RMJTXOCS0ROPMYPE6WTD87" localSheetId="29" hidden="1">#REF!</definedName>
    <definedName name="BExZU2RMJTXOCS0ROPMYPE6WTD87" localSheetId="33" hidden="1">#REF!</definedName>
    <definedName name="BExZU2RMJTXOCS0ROPMYPE6WTD87" localSheetId="31" hidden="1">#REF!</definedName>
    <definedName name="BExZU2RMJTXOCS0ROPMYPE6WTD87" localSheetId="32" hidden="1">#REF!</definedName>
    <definedName name="BExZU2RMJTXOCS0ROPMYPE6WTD87" hidden="1">#REF!</definedName>
    <definedName name="BExZUF7G8FENTJKH9R1XUWXM6CWD" localSheetId="30" hidden="1">#REF!</definedName>
    <definedName name="BExZUF7G8FENTJKH9R1XUWXM6CWD" localSheetId="29" hidden="1">#REF!</definedName>
    <definedName name="BExZUF7G8FENTJKH9R1XUWXM6CWD" localSheetId="33" hidden="1">#REF!</definedName>
    <definedName name="BExZUF7G8FENTJKH9R1XUWXM6CWD" localSheetId="31" hidden="1">#REF!</definedName>
    <definedName name="BExZUF7G8FENTJKH9R1XUWXM6CWD" localSheetId="32" hidden="1">#REF!</definedName>
    <definedName name="BExZUF7G8FENTJKH9R1XUWXM6CWD" hidden="1">#REF!</definedName>
    <definedName name="BExZUNARUJBIZ08VCAV3GEVBIR3D" localSheetId="30" hidden="1">#REF!</definedName>
    <definedName name="BExZUNARUJBIZ08VCAV3GEVBIR3D" localSheetId="29" hidden="1">#REF!</definedName>
    <definedName name="BExZUNARUJBIZ08VCAV3GEVBIR3D" localSheetId="33" hidden="1">#REF!</definedName>
    <definedName name="BExZUNARUJBIZ08VCAV3GEVBIR3D" localSheetId="31" hidden="1">#REF!</definedName>
    <definedName name="BExZUNARUJBIZ08VCAV3GEVBIR3D" localSheetId="32" hidden="1">#REF!</definedName>
    <definedName name="BExZUNARUJBIZ08VCAV3GEVBIR3D" hidden="1">#REF!</definedName>
    <definedName name="BExZUSZT5496UMBP4LFSLTR1GVEW" localSheetId="30" hidden="1">#REF!</definedName>
    <definedName name="BExZUSZT5496UMBP4LFSLTR1GVEW" localSheetId="29" hidden="1">#REF!</definedName>
    <definedName name="BExZUSZT5496UMBP4LFSLTR1GVEW" localSheetId="33" hidden="1">#REF!</definedName>
    <definedName name="BExZUSZT5496UMBP4LFSLTR1GVEW" localSheetId="31" hidden="1">#REF!</definedName>
    <definedName name="BExZUSZT5496UMBP4LFSLTR1GVEW" localSheetId="32" hidden="1">#REF!</definedName>
    <definedName name="BExZUSZT5496UMBP4LFSLTR1GVEW" hidden="1">#REF!</definedName>
    <definedName name="BExZUT54340I38GVCV79EL116WR0" localSheetId="30" hidden="1">#REF!</definedName>
    <definedName name="BExZUT54340I38GVCV79EL116WR0" localSheetId="29" hidden="1">#REF!</definedName>
    <definedName name="BExZUT54340I38GVCV79EL116WR0" localSheetId="33" hidden="1">#REF!</definedName>
    <definedName name="BExZUT54340I38GVCV79EL116WR0" localSheetId="31" hidden="1">#REF!</definedName>
    <definedName name="BExZUT54340I38GVCV79EL116WR0" localSheetId="32" hidden="1">#REF!</definedName>
    <definedName name="BExZUT54340I38GVCV79EL116WR0" hidden="1">#REF!</definedName>
    <definedName name="BExZUYDULCX65H9OZ9JHPBNKF3MI" localSheetId="30" hidden="1">#REF!</definedName>
    <definedName name="BExZUYDULCX65H9OZ9JHPBNKF3MI" localSheetId="29" hidden="1">#REF!</definedName>
    <definedName name="BExZUYDULCX65H9OZ9JHPBNKF3MI" localSheetId="33" hidden="1">#REF!</definedName>
    <definedName name="BExZUYDULCX65H9OZ9JHPBNKF3MI" localSheetId="31" hidden="1">#REF!</definedName>
    <definedName name="BExZUYDULCX65H9OZ9JHPBNKF3MI" localSheetId="32" hidden="1">#REF!</definedName>
    <definedName name="BExZUYDULCX65H9OZ9JHPBNKF3MI" hidden="1">#REF!</definedName>
    <definedName name="BExZV24SJRN4VO2WLNA8JRUGFUKX" localSheetId="30" hidden="1">#REF!</definedName>
    <definedName name="BExZV24SJRN4VO2WLNA8JRUGFUKX" localSheetId="29" hidden="1">#REF!</definedName>
    <definedName name="BExZV24SJRN4VO2WLNA8JRUGFUKX" localSheetId="33" hidden="1">#REF!</definedName>
    <definedName name="BExZV24SJRN4VO2WLNA8JRUGFUKX" localSheetId="31" hidden="1">#REF!</definedName>
    <definedName name="BExZV24SJRN4VO2WLNA8JRUGFUKX" localSheetId="32" hidden="1">#REF!</definedName>
    <definedName name="BExZV24SJRN4VO2WLNA8JRUGFUKX" hidden="1">#REF!</definedName>
    <definedName name="BExZV2QD5ZDK3AGDRULLA7JB46C3" localSheetId="30" hidden="1">#REF!</definedName>
    <definedName name="BExZV2QD5ZDK3AGDRULLA7JB46C3" localSheetId="29" hidden="1">#REF!</definedName>
    <definedName name="BExZV2QD5ZDK3AGDRULLA7JB46C3" localSheetId="33" hidden="1">#REF!</definedName>
    <definedName name="BExZV2QD5ZDK3AGDRULLA7JB46C3" localSheetId="31" hidden="1">#REF!</definedName>
    <definedName name="BExZV2QD5ZDK3AGDRULLA7JB46C3" localSheetId="32" hidden="1">#REF!</definedName>
    <definedName name="BExZV2QD5ZDK3AGDRULLA7JB46C3" hidden="1">#REF!</definedName>
    <definedName name="BExZVBQ29OM0V8XAL3HL0JIM0MMU" localSheetId="30" hidden="1">#REF!</definedName>
    <definedName name="BExZVBQ29OM0V8XAL3HL0JIM0MMU" localSheetId="29" hidden="1">#REF!</definedName>
    <definedName name="BExZVBQ29OM0V8XAL3HL0JIM0MMU" localSheetId="33" hidden="1">#REF!</definedName>
    <definedName name="BExZVBQ29OM0V8XAL3HL0JIM0MMU" localSheetId="31" hidden="1">#REF!</definedName>
    <definedName name="BExZVBQ29OM0V8XAL3HL0JIM0MMU" localSheetId="32" hidden="1">#REF!</definedName>
    <definedName name="BExZVBQ29OM0V8XAL3HL0JIM0MMU" hidden="1">#REF!</definedName>
    <definedName name="BExZVLM4T9ORS4ZWHME46U4Q103C" localSheetId="30" hidden="1">#REF!</definedName>
    <definedName name="BExZVLM4T9ORS4ZWHME46U4Q103C" localSheetId="29" hidden="1">#REF!</definedName>
    <definedName name="BExZVLM4T9ORS4ZWHME46U4Q103C" localSheetId="33" hidden="1">#REF!</definedName>
    <definedName name="BExZVLM4T9ORS4ZWHME46U4Q103C" localSheetId="31" hidden="1">#REF!</definedName>
    <definedName name="BExZVLM4T9ORS4ZWHME46U4Q103C" localSheetId="32" hidden="1">#REF!</definedName>
    <definedName name="BExZVLM4T9ORS4ZWHME46U4Q103C" hidden="1">#REF!</definedName>
    <definedName name="BExZVM7OZWPPRH5YQW50EYMMIW1A" localSheetId="30" hidden="1">#REF!</definedName>
    <definedName name="BExZVM7OZWPPRH5YQW50EYMMIW1A" localSheetId="29" hidden="1">#REF!</definedName>
    <definedName name="BExZVM7OZWPPRH5YQW50EYMMIW1A" localSheetId="33" hidden="1">#REF!</definedName>
    <definedName name="BExZVM7OZWPPRH5YQW50EYMMIW1A" localSheetId="31" hidden="1">#REF!</definedName>
    <definedName name="BExZVM7OZWPPRH5YQW50EYMMIW1A" localSheetId="32" hidden="1">#REF!</definedName>
    <definedName name="BExZVM7OZWPPRH5YQW50EYMMIW1A" hidden="1">#REF!</definedName>
    <definedName name="BExZVPYGX2C5OSHMZ6F0KBKZ6B1S" localSheetId="30" hidden="1">#REF!</definedName>
    <definedName name="BExZVPYGX2C5OSHMZ6F0KBKZ6B1S" localSheetId="29" hidden="1">#REF!</definedName>
    <definedName name="BExZVPYGX2C5OSHMZ6F0KBKZ6B1S" localSheetId="33" hidden="1">#REF!</definedName>
    <definedName name="BExZVPYGX2C5OSHMZ6F0KBKZ6B1S" localSheetId="31" hidden="1">#REF!</definedName>
    <definedName name="BExZVPYGX2C5OSHMZ6F0KBKZ6B1S" localSheetId="32" hidden="1">#REF!</definedName>
    <definedName name="BExZVPYGX2C5OSHMZ6F0KBKZ6B1S" hidden="1">#REF!</definedName>
    <definedName name="BExZVYY69Q6FQVK9F7Q9XT1T8IFE" localSheetId="30" hidden="1">#REF!</definedName>
    <definedName name="BExZVYY69Q6FQVK9F7Q9XT1T8IFE" localSheetId="29" hidden="1">#REF!</definedName>
    <definedName name="BExZVYY69Q6FQVK9F7Q9XT1T8IFE" localSheetId="33" hidden="1">#REF!</definedName>
    <definedName name="BExZVYY69Q6FQVK9F7Q9XT1T8IFE" localSheetId="31" hidden="1">#REF!</definedName>
    <definedName name="BExZVYY69Q6FQVK9F7Q9XT1T8IFE" localSheetId="32" hidden="1">#REF!</definedName>
    <definedName name="BExZVYY69Q6FQVK9F7Q9XT1T8IFE" hidden="1">#REF!</definedName>
    <definedName name="BExZW5UARC8W9AQNLJX2I5WQWS5F" localSheetId="30" hidden="1">#REF!</definedName>
    <definedName name="BExZW5UARC8W9AQNLJX2I5WQWS5F" localSheetId="29" hidden="1">#REF!</definedName>
    <definedName name="BExZW5UARC8W9AQNLJX2I5WQWS5F" localSheetId="33" hidden="1">#REF!</definedName>
    <definedName name="BExZW5UARC8W9AQNLJX2I5WQWS5F" localSheetId="31" hidden="1">#REF!</definedName>
    <definedName name="BExZW5UARC8W9AQNLJX2I5WQWS5F" localSheetId="32" hidden="1">#REF!</definedName>
    <definedName name="BExZW5UARC8W9AQNLJX2I5WQWS5F" hidden="1">#REF!</definedName>
    <definedName name="BExZW7HRGN6A9YS41KI2B2UUMJ7X" localSheetId="30" hidden="1">#REF!</definedName>
    <definedName name="BExZW7HRGN6A9YS41KI2B2UUMJ7X" localSheetId="29" hidden="1">#REF!</definedName>
    <definedName name="BExZW7HRGN6A9YS41KI2B2UUMJ7X" localSheetId="33" hidden="1">#REF!</definedName>
    <definedName name="BExZW7HRGN6A9YS41KI2B2UUMJ7X" localSheetId="31" hidden="1">#REF!</definedName>
    <definedName name="BExZW7HRGN6A9YS41KI2B2UUMJ7X" localSheetId="32" hidden="1">#REF!</definedName>
    <definedName name="BExZW7HRGN6A9YS41KI2B2UUMJ7X" hidden="1">#REF!</definedName>
    <definedName name="BExZW8ZPNV43UXGOT98FDNIBQHZY" localSheetId="30" hidden="1">#REF!</definedName>
    <definedName name="BExZW8ZPNV43UXGOT98FDNIBQHZY" localSheetId="29" hidden="1">#REF!</definedName>
    <definedName name="BExZW8ZPNV43UXGOT98FDNIBQHZY" localSheetId="33" hidden="1">#REF!</definedName>
    <definedName name="BExZW8ZPNV43UXGOT98FDNIBQHZY" localSheetId="31" hidden="1">#REF!</definedName>
    <definedName name="BExZW8ZPNV43UXGOT98FDNIBQHZY" localSheetId="32" hidden="1">#REF!</definedName>
    <definedName name="BExZW8ZPNV43UXGOT98FDNIBQHZY" hidden="1">#REF!</definedName>
    <definedName name="BExZWIVRI9TYGSCGCXGCU721CUW6" localSheetId="30" hidden="1">#REF!</definedName>
    <definedName name="BExZWIVRI9TYGSCGCXGCU721CUW6" localSheetId="29" hidden="1">#REF!</definedName>
    <definedName name="BExZWIVRI9TYGSCGCXGCU721CUW6" localSheetId="33" hidden="1">#REF!</definedName>
    <definedName name="BExZWIVRI9TYGSCGCXGCU721CUW6" localSheetId="31" hidden="1">#REF!</definedName>
    <definedName name="BExZWIVRI9TYGSCGCXGCU721CUW6" localSheetId="32" hidden="1">#REF!</definedName>
    <definedName name="BExZWIVRI9TYGSCGCXGCU721CUW6" hidden="1">#REF!</definedName>
    <definedName name="BExZWKZ5N3RDXU8MZ8HQVYYD8O0F" localSheetId="30" hidden="1">#REF!</definedName>
    <definedName name="BExZWKZ5N3RDXU8MZ8HQVYYD8O0F" localSheetId="29" hidden="1">#REF!</definedName>
    <definedName name="BExZWKZ5N3RDXU8MZ8HQVYYD8O0F" localSheetId="33" hidden="1">#REF!</definedName>
    <definedName name="BExZWKZ5N3RDXU8MZ8HQVYYD8O0F" localSheetId="31" hidden="1">#REF!</definedName>
    <definedName name="BExZWKZ5N3RDXU8MZ8HQVYYD8O0F" localSheetId="32" hidden="1">#REF!</definedName>
    <definedName name="BExZWKZ5N3RDXU8MZ8HQVYYD8O0F" hidden="1">#REF!</definedName>
    <definedName name="BExZWSMC9T48W74GFGQCIUJ8ZPP3" localSheetId="30" hidden="1">#REF!</definedName>
    <definedName name="BExZWSMC9T48W74GFGQCIUJ8ZPP3" localSheetId="29" hidden="1">#REF!</definedName>
    <definedName name="BExZWSMC9T48W74GFGQCIUJ8ZPP3" localSheetId="33" hidden="1">#REF!</definedName>
    <definedName name="BExZWSMC9T48W74GFGQCIUJ8ZPP3" localSheetId="31" hidden="1">#REF!</definedName>
    <definedName name="BExZWSMC9T48W74GFGQCIUJ8ZPP3" localSheetId="32" hidden="1">#REF!</definedName>
    <definedName name="BExZWSMC9T48W74GFGQCIUJ8ZPP3" hidden="1">#REF!</definedName>
    <definedName name="BExZWT2GGEOM6VHSK6AO2BKYOQVE" localSheetId="30" hidden="1">#REF!</definedName>
    <definedName name="BExZWT2GGEOM6VHSK6AO2BKYOQVE" localSheetId="29" hidden="1">#REF!</definedName>
    <definedName name="BExZWT2GGEOM6VHSK6AO2BKYOQVE" localSheetId="33" hidden="1">#REF!</definedName>
    <definedName name="BExZWT2GGEOM6VHSK6AO2BKYOQVE" localSheetId="31" hidden="1">#REF!</definedName>
    <definedName name="BExZWT2GGEOM6VHSK6AO2BKYOQVE" localSheetId="32" hidden="1">#REF!</definedName>
    <definedName name="BExZWT2GGEOM6VHSK6AO2BKYOQVE" hidden="1">#REF!</definedName>
    <definedName name="BExZWUF2V4HY3HI8JN9ZVPRWK1H3" localSheetId="30" hidden="1">#REF!</definedName>
    <definedName name="BExZWUF2V4HY3HI8JN9ZVPRWK1H3" localSheetId="29" hidden="1">#REF!</definedName>
    <definedName name="BExZWUF2V4HY3HI8JN9ZVPRWK1H3" localSheetId="33" hidden="1">#REF!</definedName>
    <definedName name="BExZWUF2V4HY3HI8JN9ZVPRWK1H3" localSheetId="31" hidden="1">#REF!</definedName>
    <definedName name="BExZWUF2V4HY3HI8JN9ZVPRWK1H3" localSheetId="32" hidden="1">#REF!</definedName>
    <definedName name="BExZWUF2V4HY3HI8JN9ZVPRWK1H3" hidden="1">#REF!</definedName>
    <definedName name="BExZWX45URTK9KYDJHEXL1OTZ833" localSheetId="30" hidden="1">#REF!</definedName>
    <definedName name="BExZWX45URTK9KYDJHEXL1OTZ833" localSheetId="29" hidden="1">#REF!</definedName>
    <definedName name="BExZWX45URTK9KYDJHEXL1OTZ833" localSheetId="33" hidden="1">#REF!</definedName>
    <definedName name="BExZWX45URTK9KYDJHEXL1OTZ833" localSheetId="31" hidden="1">#REF!</definedName>
    <definedName name="BExZWX45URTK9KYDJHEXL1OTZ833" localSheetId="32" hidden="1">#REF!</definedName>
    <definedName name="BExZWX45URTK9KYDJHEXL1OTZ833" hidden="1">#REF!</definedName>
    <definedName name="BExZX0EWQEZO86WDAD9A4EAEZ012" localSheetId="30" hidden="1">#REF!</definedName>
    <definedName name="BExZX0EWQEZO86WDAD9A4EAEZ012" localSheetId="29" hidden="1">#REF!</definedName>
    <definedName name="BExZX0EWQEZO86WDAD9A4EAEZ012" localSheetId="33" hidden="1">#REF!</definedName>
    <definedName name="BExZX0EWQEZO86WDAD9A4EAEZ012" localSheetId="31" hidden="1">#REF!</definedName>
    <definedName name="BExZX0EWQEZO86WDAD9A4EAEZ012" localSheetId="32" hidden="1">#REF!</definedName>
    <definedName name="BExZX0EWQEZO86WDAD9A4EAEZ012" hidden="1">#REF!</definedName>
    <definedName name="BExZX1BA9PRODKZLCZ79R3TY5RFA" localSheetId="30" hidden="1">#REF!</definedName>
    <definedName name="BExZX1BA9PRODKZLCZ79R3TY5RFA" localSheetId="29" hidden="1">#REF!</definedName>
    <definedName name="BExZX1BA9PRODKZLCZ79R3TY5RFA" localSheetId="33" hidden="1">#REF!</definedName>
    <definedName name="BExZX1BA9PRODKZLCZ79R3TY5RFA" localSheetId="31" hidden="1">#REF!</definedName>
    <definedName name="BExZX1BA9PRODKZLCZ79R3TY5RFA" localSheetId="32" hidden="1">#REF!</definedName>
    <definedName name="BExZX1BA9PRODKZLCZ79R3TY5RFA" hidden="1">#REF!</definedName>
    <definedName name="BExZX2T6ZT2DZLYSDJJBPVIT5OK2" localSheetId="30" hidden="1">#REF!</definedName>
    <definedName name="BExZX2T6ZT2DZLYSDJJBPVIT5OK2" localSheetId="29" hidden="1">#REF!</definedName>
    <definedName name="BExZX2T6ZT2DZLYSDJJBPVIT5OK2" localSheetId="33" hidden="1">#REF!</definedName>
    <definedName name="BExZX2T6ZT2DZLYSDJJBPVIT5OK2" localSheetId="31" hidden="1">#REF!</definedName>
    <definedName name="BExZX2T6ZT2DZLYSDJJBPVIT5OK2" localSheetId="32" hidden="1">#REF!</definedName>
    <definedName name="BExZX2T6ZT2DZLYSDJJBPVIT5OK2" hidden="1">#REF!</definedName>
    <definedName name="BExZXOJDELULNLEH7WG0OYJT0NJ4" localSheetId="30" hidden="1">#REF!</definedName>
    <definedName name="BExZXOJDELULNLEH7WG0OYJT0NJ4" localSheetId="29" hidden="1">#REF!</definedName>
    <definedName name="BExZXOJDELULNLEH7WG0OYJT0NJ4" localSheetId="33" hidden="1">#REF!</definedName>
    <definedName name="BExZXOJDELULNLEH7WG0OYJT0NJ4" localSheetId="31" hidden="1">#REF!</definedName>
    <definedName name="BExZXOJDELULNLEH7WG0OYJT0NJ4" localSheetId="32" hidden="1">#REF!</definedName>
    <definedName name="BExZXOJDELULNLEH7WG0OYJT0NJ4" hidden="1">#REF!</definedName>
    <definedName name="BExZXOOTRNUK8LGEAZ8ZCFW9KXQ1" localSheetId="30" hidden="1">#REF!</definedName>
    <definedName name="BExZXOOTRNUK8LGEAZ8ZCFW9KXQ1" localSheetId="29" hidden="1">#REF!</definedName>
    <definedName name="BExZXOOTRNUK8LGEAZ8ZCFW9KXQ1" localSheetId="33" hidden="1">#REF!</definedName>
    <definedName name="BExZXOOTRNUK8LGEAZ8ZCFW9KXQ1" localSheetId="31" hidden="1">#REF!</definedName>
    <definedName name="BExZXOOTRNUK8LGEAZ8ZCFW9KXQ1" localSheetId="32" hidden="1">#REF!</definedName>
    <definedName name="BExZXOOTRNUK8LGEAZ8ZCFW9KXQ1" hidden="1">#REF!</definedName>
    <definedName name="BExZXT6JOXNKEDU23DKL8XZAJZIH" localSheetId="30" hidden="1">#REF!</definedName>
    <definedName name="BExZXT6JOXNKEDU23DKL8XZAJZIH" localSheetId="29" hidden="1">#REF!</definedName>
    <definedName name="BExZXT6JOXNKEDU23DKL8XZAJZIH" localSheetId="33" hidden="1">#REF!</definedName>
    <definedName name="BExZXT6JOXNKEDU23DKL8XZAJZIH" localSheetId="31" hidden="1">#REF!</definedName>
    <definedName name="BExZXT6JOXNKEDU23DKL8XZAJZIH" localSheetId="32" hidden="1">#REF!</definedName>
    <definedName name="BExZXT6JOXNKEDU23DKL8XZAJZIH" hidden="1">#REF!</definedName>
    <definedName name="BExZXUTYW1HWEEZ1LIX4OQWC7HL1" localSheetId="30" hidden="1">#REF!</definedName>
    <definedName name="BExZXUTYW1HWEEZ1LIX4OQWC7HL1" localSheetId="29" hidden="1">#REF!</definedName>
    <definedName name="BExZXUTYW1HWEEZ1LIX4OQWC7HL1" localSheetId="33" hidden="1">#REF!</definedName>
    <definedName name="BExZXUTYW1HWEEZ1LIX4OQWC7HL1" localSheetId="31" hidden="1">#REF!</definedName>
    <definedName name="BExZXUTYW1HWEEZ1LIX4OQWC7HL1" localSheetId="32" hidden="1">#REF!</definedName>
    <definedName name="BExZXUTYW1HWEEZ1LIX4OQWC7HL1" hidden="1">#REF!</definedName>
    <definedName name="BExZXY4NKQL9QD76YMQJ15U1C2G8" localSheetId="30" hidden="1">#REF!</definedName>
    <definedName name="BExZXY4NKQL9QD76YMQJ15U1C2G8" localSheetId="29" hidden="1">#REF!</definedName>
    <definedName name="BExZXY4NKQL9QD76YMQJ15U1C2G8" localSheetId="33" hidden="1">#REF!</definedName>
    <definedName name="BExZXY4NKQL9QD76YMQJ15U1C2G8" localSheetId="31" hidden="1">#REF!</definedName>
    <definedName name="BExZXY4NKQL9QD76YMQJ15U1C2G8" localSheetId="32" hidden="1">#REF!</definedName>
    <definedName name="BExZXY4NKQL9QD76YMQJ15U1C2G8" hidden="1">#REF!</definedName>
    <definedName name="BExZXYQ7U5G08FQGUIGYT14QCBOF" localSheetId="30" hidden="1">#REF!</definedName>
    <definedName name="BExZXYQ7U5G08FQGUIGYT14QCBOF" localSheetId="29" hidden="1">#REF!</definedName>
    <definedName name="BExZXYQ7U5G08FQGUIGYT14QCBOF" localSheetId="33" hidden="1">#REF!</definedName>
    <definedName name="BExZXYQ7U5G08FQGUIGYT14QCBOF" localSheetId="31" hidden="1">#REF!</definedName>
    <definedName name="BExZXYQ7U5G08FQGUIGYT14QCBOF" localSheetId="32" hidden="1">#REF!</definedName>
    <definedName name="BExZXYQ7U5G08FQGUIGYT14QCBOF" hidden="1">#REF!</definedName>
    <definedName name="BExZY02V77YJBMODJSWZOYCMPS5X" localSheetId="30" hidden="1">#REF!</definedName>
    <definedName name="BExZY02V77YJBMODJSWZOYCMPS5X" localSheetId="29" hidden="1">#REF!</definedName>
    <definedName name="BExZY02V77YJBMODJSWZOYCMPS5X" localSheetId="33" hidden="1">#REF!</definedName>
    <definedName name="BExZY02V77YJBMODJSWZOYCMPS5X" localSheetId="31" hidden="1">#REF!</definedName>
    <definedName name="BExZY02V77YJBMODJSWZOYCMPS5X" localSheetId="32" hidden="1">#REF!</definedName>
    <definedName name="BExZY02V77YJBMODJSWZOYCMPS5X" hidden="1">#REF!</definedName>
    <definedName name="BExZY49QRZIR6CA41LFA9LM6EULU" localSheetId="30" hidden="1">#REF!</definedName>
    <definedName name="BExZY49QRZIR6CA41LFA9LM6EULU" localSheetId="29" hidden="1">#REF!</definedName>
    <definedName name="BExZY49QRZIR6CA41LFA9LM6EULU" localSheetId="33" hidden="1">#REF!</definedName>
    <definedName name="BExZY49QRZIR6CA41LFA9LM6EULU" localSheetId="31" hidden="1">#REF!</definedName>
    <definedName name="BExZY49QRZIR6CA41LFA9LM6EULU" localSheetId="32" hidden="1">#REF!</definedName>
    <definedName name="BExZY49QRZIR6CA41LFA9LM6EULU" hidden="1">#REF!</definedName>
    <definedName name="BExZZ2FQA9A8C7CJKMEFQ9VPSLCE" localSheetId="30" hidden="1">#REF!</definedName>
    <definedName name="BExZZ2FQA9A8C7CJKMEFQ9VPSLCE" localSheetId="29" hidden="1">#REF!</definedName>
    <definedName name="BExZZ2FQA9A8C7CJKMEFQ9VPSLCE" localSheetId="33" hidden="1">#REF!</definedName>
    <definedName name="BExZZ2FQA9A8C7CJKMEFQ9VPSLCE" localSheetId="31" hidden="1">#REF!</definedName>
    <definedName name="BExZZ2FQA9A8C7CJKMEFQ9VPSLCE" localSheetId="32" hidden="1">#REF!</definedName>
    <definedName name="BExZZ2FQA9A8C7CJKMEFQ9VPSLCE" hidden="1">#REF!</definedName>
    <definedName name="BExZZC10YQND5L63MQ1L0L43MT6L" localSheetId="30" hidden="1">#REF!</definedName>
    <definedName name="BExZZC10YQND5L63MQ1L0L43MT6L" localSheetId="29" hidden="1">#REF!</definedName>
    <definedName name="BExZZC10YQND5L63MQ1L0L43MT6L" localSheetId="33" hidden="1">#REF!</definedName>
    <definedName name="BExZZC10YQND5L63MQ1L0L43MT6L" localSheetId="31" hidden="1">#REF!</definedName>
    <definedName name="BExZZC10YQND5L63MQ1L0L43MT6L" localSheetId="32" hidden="1">#REF!</definedName>
    <definedName name="BExZZC10YQND5L63MQ1L0L43MT6L" hidden="1">#REF!</definedName>
    <definedName name="BExZZCHAVHW8C2H649KRGVQ0WVRT" localSheetId="30" hidden="1">#REF!</definedName>
    <definedName name="BExZZCHAVHW8C2H649KRGVQ0WVRT" localSheetId="29" hidden="1">#REF!</definedName>
    <definedName name="BExZZCHAVHW8C2H649KRGVQ0WVRT" localSheetId="33" hidden="1">#REF!</definedName>
    <definedName name="BExZZCHAVHW8C2H649KRGVQ0WVRT" localSheetId="31" hidden="1">#REF!</definedName>
    <definedName name="BExZZCHAVHW8C2H649KRGVQ0WVRT" localSheetId="32" hidden="1">#REF!</definedName>
    <definedName name="BExZZCHAVHW8C2H649KRGVQ0WVRT" hidden="1">#REF!</definedName>
    <definedName name="BExZZTK54OTLF2YB68BHGOS27GEN" localSheetId="30" hidden="1">#REF!</definedName>
    <definedName name="BExZZTK54OTLF2YB68BHGOS27GEN" localSheetId="29" hidden="1">#REF!</definedName>
    <definedName name="BExZZTK54OTLF2YB68BHGOS27GEN" localSheetId="33" hidden="1">#REF!</definedName>
    <definedName name="BExZZTK54OTLF2YB68BHGOS27GEN" localSheetId="31" hidden="1">#REF!</definedName>
    <definedName name="BExZZTK54OTLF2YB68BHGOS27GEN" localSheetId="32" hidden="1">#REF!</definedName>
    <definedName name="BExZZTK54OTLF2YB68BHGOS27GEN" hidden="1">#REF!</definedName>
    <definedName name="BExZZXB3JQQG4SIZS4MRU6NNW7HI" localSheetId="30" hidden="1">#REF!</definedName>
    <definedName name="BExZZXB3JQQG4SIZS4MRU6NNW7HI" localSheetId="29" hidden="1">#REF!</definedName>
    <definedName name="BExZZXB3JQQG4SIZS4MRU6NNW7HI" localSheetId="33" hidden="1">#REF!</definedName>
    <definedName name="BExZZXB3JQQG4SIZS4MRU6NNW7HI" localSheetId="31" hidden="1">#REF!</definedName>
    <definedName name="BExZZXB3JQQG4SIZS4MRU6NNW7HI" localSheetId="32" hidden="1">#REF!</definedName>
    <definedName name="BExZZXB3JQQG4SIZS4MRU6NNW7HI" hidden="1">#REF!</definedName>
    <definedName name="BExZZZEMIIFKMLLV4DJKX5TB9R5V" localSheetId="30" hidden="1">#REF!</definedName>
    <definedName name="BExZZZEMIIFKMLLV4DJKX5TB9R5V" localSheetId="29" hidden="1">#REF!</definedName>
    <definedName name="BExZZZEMIIFKMLLV4DJKX5TB9R5V" localSheetId="33" hidden="1">#REF!</definedName>
    <definedName name="BExZZZEMIIFKMLLV4DJKX5TB9R5V" localSheetId="31" hidden="1">#REF!</definedName>
    <definedName name="BExZZZEMIIFKMLLV4DJKX5TB9R5V" localSheetId="32" hidden="1">#REF!</definedName>
    <definedName name="BExZZZEMIIFKMLLV4DJKX5TB9R5V" hidden="1">#REF!</definedName>
    <definedName name="BG_Del" hidden="1">15</definedName>
    <definedName name="BG_Ins" hidden="1">4</definedName>
    <definedName name="BG_Mod" hidden="1">6</definedName>
    <definedName name="bhbcd" localSheetId="15" hidden="1">{#N/A,#N/A,FALSE,"98소지이동TOTvs99.1 (2)";#N/A,#N/A,FALSE,"TOTAL";#N/A,#N/A,FALSE,"98소지이동TOTvs99.1(b) (2)"}</definedName>
    <definedName name="bhbcd" localSheetId="6" hidden="1">{#N/A,#N/A,FALSE,"98소지이동TOTvs99.1 (2)";#N/A,#N/A,FALSE,"TOTAL";#N/A,#N/A,FALSE,"98소지이동TOTvs99.1(b) (2)"}</definedName>
    <definedName name="bhbcd" localSheetId="45" hidden="1">{#N/A,#N/A,FALSE,"98소지이동TOTvs99.1 (2)";#N/A,#N/A,FALSE,"TOTAL";#N/A,#N/A,FALSE,"98소지이동TOTvs99.1(b) (2)"}</definedName>
    <definedName name="bhbcd" localSheetId="42" hidden="1">{#N/A,#N/A,FALSE,"98소지이동TOTvs99.1 (2)";#N/A,#N/A,FALSE,"TOTAL";#N/A,#N/A,FALSE,"98소지이동TOTvs99.1(b) (2)"}</definedName>
    <definedName name="bhbcd" hidden="1">{#N/A,#N/A,FALSE,"98소지이동TOTvs99.1 (2)";#N/A,#N/A,FALSE,"TOTAL";#N/A,#N/A,FALSE,"98소지이동TOTvs99.1(b) (2)"}</definedName>
    <definedName name="bj" localSheetId="15"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 localSheetId="6"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 localSheetId="45"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 localSheetId="42"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j" localSheetId="15"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j" localSheetId="6"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j" localSheetId="45"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j" localSheetId="42"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j"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jj" localSheetId="15"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jj" localSheetId="6"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jj" localSheetId="45"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jj" localSheetId="42"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jj"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n" localSheetId="12" hidden="1">{#N/A,#N/A,FALSE,"Aging Summary";#N/A,#N/A,FALSE,"Ratio Analysis";#N/A,#N/A,FALSE,"Test 120 Day Accts";#N/A,#N/A,FALSE,"Tickmarks"}</definedName>
    <definedName name="bn" localSheetId="42" hidden="1">{#N/A,#N/A,FALSE,"Aging Summary";#N/A,#N/A,FALSE,"Ratio Analysis";#N/A,#N/A,FALSE,"Test 120 Day Accts";#N/A,#N/A,FALSE,"Tickmarks"}</definedName>
    <definedName name="bn" hidden="1">{#N/A,#N/A,FALSE,"Aging Summary";#N/A,#N/A,FALSE,"Ratio Analysis";#N/A,#N/A,FALSE,"Test 120 Day Accts";#N/A,#N/A,FALSE,"Tickmarks"}</definedName>
    <definedName name="book1" localSheetId="12" hidden="1">{#N/A,#N/A,FALSE,"UNIT";#N/A,#N/A,FALSE,"UNIT";#N/A,#N/A,FALSE,"계정"}</definedName>
    <definedName name="book1" localSheetId="42" hidden="1">{#N/A,#N/A,FALSE,"UNIT";#N/A,#N/A,FALSE,"UNIT";#N/A,#N/A,FALSE,"계정"}</definedName>
    <definedName name="book1" hidden="1">{#N/A,#N/A,FALSE,"UNIT";#N/A,#N/A,FALSE,"UNIT";#N/A,#N/A,FALSE,"계정"}</definedName>
    <definedName name="BS" hidden="1">{#N/A,#N/A,TRUE,"COFTOT"}</definedName>
    <definedName name="bsbco" localSheetId="15"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sbco" localSheetId="6"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sbco" localSheetId="45"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sbco" localSheetId="42"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sbco"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sbyco" localSheetId="15"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sbyco" localSheetId="6"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sbyco" localSheetId="45"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sbyco" localSheetId="42"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sbyco"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S지사" localSheetId="12" hidden="1">{#N/A,#N/A,TRUE,"Summary";#N/A,#N/A,TRUE,"IS";#N/A,#N/A,TRUE,"Adj";#N/A,#N/A,TRUE,"BS";#N/A,#N/A,TRUE,"CF";#N/A,#N/A,TRUE,"Debt";#N/A,#N/A,TRUE,"IRR"}</definedName>
    <definedName name="BS지사" localSheetId="42" hidden="1">{#N/A,#N/A,TRUE,"Summary";#N/A,#N/A,TRUE,"IS";#N/A,#N/A,TRUE,"Adj";#N/A,#N/A,TRUE,"BS";#N/A,#N/A,TRUE,"CF";#N/A,#N/A,TRUE,"Debt";#N/A,#N/A,TRUE,"IRR"}</definedName>
    <definedName name="BS지사" hidden="1">{#N/A,#N/A,TRUE,"Summary";#N/A,#N/A,TRUE,"IS";#N/A,#N/A,TRUE,"Adj";#N/A,#N/A,TRUE,"BS";#N/A,#N/A,TRUE,"CF";#N/A,#N/A,TRUE,"Debt";#N/A,#N/A,TRUE,"IRR"}</definedName>
    <definedName name="BS차이내역" localSheetId="15" hidden="1">{#N/A,#N/A,FALSE,"정공"}</definedName>
    <definedName name="BS차이내역" localSheetId="6" hidden="1">{#N/A,#N/A,FALSE,"정공"}</definedName>
    <definedName name="BS차이내역" localSheetId="45" hidden="1">{#N/A,#N/A,FALSE,"정공"}</definedName>
    <definedName name="BS차이내역" localSheetId="42" hidden="1">{#N/A,#N/A,FALSE,"정공"}</definedName>
    <definedName name="BS차이내역" hidden="1">{#N/A,#N/A,FALSE,"정공"}</definedName>
    <definedName name="bv" localSheetId="15" hidden="1">{#N/A,#N/A,FALSE,"1.CRITERIA";#N/A,#N/A,FALSE,"2.IS";#N/A,#N/A,FALSE,"3.BS";#N/A,#N/A,FALSE,"4.PER PL";#N/A,#N/A,FALSE,"5.INVESTMENT";#N/A,#N/A,FALSE,"6.공문";#N/A,#N/A,FALSE,"7.netinvest"}</definedName>
    <definedName name="bv" localSheetId="6" hidden="1">{#N/A,#N/A,FALSE,"1.CRITERIA";#N/A,#N/A,FALSE,"2.IS";#N/A,#N/A,FALSE,"3.BS";#N/A,#N/A,FALSE,"4.PER PL";#N/A,#N/A,FALSE,"5.INVESTMENT";#N/A,#N/A,FALSE,"6.공문";#N/A,#N/A,FALSE,"7.netinvest"}</definedName>
    <definedName name="bv" localSheetId="45" hidden="1">{#N/A,#N/A,FALSE,"1.CRITERIA";#N/A,#N/A,FALSE,"2.IS";#N/A,#N/A,FALSE,"3.BS";#N/A,#N/A,FALSE,"4.PER PL";#N/A,#N/A,FALSE,"5.INVESTMENT";#N/A,#N/A,FALSE,"6.공문";#N/A,#N/A,FALSE,"7.netinvest"}</definedName>
    <definedName name="bv" localSheetId="42" hidden="1">{#N/A,#N/A,FALSE,"1.CRITERIA";#N/A,#N/A,FALSE,"2.IS";#N/A,#N/A,FALSE,"3.BS";#N/A,#N/A,FALSE,"4.PER PL";#N/A,#N/A,FALSE,"5.INVESTMENT";#N/A,#N/A,FALSE,"6.공문";#N/A,#N/A,FALSE,"7.netinvest"}</definedName>
    <definedName name="bv" hidden="1">{#N/A,#N/A,FALSE,"1.CRITERIA";#N/A,#N/A,FALSE,"2.IS";#N/A,#N/A,FALSE,"3.BS";#N/A,#N/A,FALSE,"4.PER PL";#N/A,#N/A,FALSE,"5.INVESTMENT";#N/A,#N/A,FALSE,"6.공문";#N/A,#N/A,FALSE,"7.netinvest"}</definedName>
    <definedName name="case2" localSheetId="42" hidden="1">{#N/A,#N/A,FALSE,"UNIT";#N/A,#N/A,FALSE,"UNIT";#N/A,#N/A,FALSE,"계정"}</definedName>
    <definedName name="case2" hidden="1">{#N/A,#N/A,FALSE,"UNIT";#N/A,#N/A,FALSE,"UNIT";#N/A,#N/A,FALSE,"계정"}</definedName>
    <definedName name="cbs" localSheetId="15" hidden="1">#REF!</definedName>
    <definedName name="cbs" localSheetId="6" hidden="1">#REF!</definedName>
    <definedName name="cbs" localSheetId="42" hidden="1">#REF!</definedName>
    <definedName name="cbs" hidden="1">#REF!</definedName>
    <definedName name="CC" localSheetId="12" hidden="1">{"'5국공정'!$A$1:$E$128"}</definedName>
    <definedName name="CC" localSheetId="42" hidden="1">{"'5국공정'!$A$1:$E$128"}</definedName>
    <definedName name="CC" hidden="1">{"'5국공정'!$A$1:$E$128"}</definedName>
    <definedName name="cc0" localSheetId="12" hidden="1">{"'5국공정'!$A$1:$E$128"}</definedName>
    <definedName name="cc0" localSheetId="42" hidden="1">{"'5국공정'!$A$1:$E$128"}</definedName>
    <definedName name="cc0" hidden="1">{"'5국공정'!$A$1:$E$128"}</definedName>
    <definedName name="CCASH" localSheetId="15"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CCASH" localSheetId="6"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CCASH" localSheetId="45"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CCASH" localSheetId="42"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CCASH"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CCC" localSheetId="15"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CCC" localSheetId="6"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CCC" localSheetId="45"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CCC" localSheetId="42"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CCC" hidden="1">{#N/A,#N/A,FALSE,"BS";#N/A,#N/A,FALSE,"PL";#N/A,#N/A,FALSE,"처분";#N/A,#N/A,FALSE,"현금";#N/A,#N/A,FALSE,"매출";#N/A,#N/A,FALSE,"원가";#N/A,#N/A,FALSE,"경영"}</definedName>
    <definedName name="CF" localSheetId="12" hidden="1">{#N/A,#N/A,TRUE,"Summary";#N/A,#N/A,TRUE,"IS";#N/A,#N/A,TRUE,"Adj";#N/A,#N/A,TRUE,"BS";#N/A,#N/A,TRUE,"CF";#N/A,#N/A,TRUE,"Debt";#N/A,#N/A,TRUE,"IRR"}</definedName>
    <definedName name="CF" localSheetId="42" hidden="1">{#N/A,#N/A,TRUE,"Summary";#N/A,#N/A,TRUE,"IS";#N/A,#N/A,TRUE,"Adj";#N/A,#N/A,TRUE,"BS";#N/A,#N/A,TRUE,"CF";#N/A,#N/A,TRUE,"Debt";#N/A,#N/A,TRUE,"IRR"}</definedName>
    <definedName name="CF" hidden="1">{#N/A,#N/A,TRUE,"Summary";#N/A,#N/A,TRUE,"IS";#N/A,#N/A,TRUE,"Adj";#N/A,#N/A,TRUE,"BS";#N/A,#N/A,TRUE,"CF";#N/A,#N/A,TRUE,"Debt";#N/A,#N/A,TRUE,"IRR"}</definedName>
    <definedName name="CF02기초" localSheetId="15" hidden="1">{#N/A,#N/A,TRUE,"Summary";#N/A,#N/A,TRUE,"IS";#N/A,#N/A,TRUE,"Adj";#N/A,#N/A,TRUE,"BS";#N/A,#N/A,TRUE,"CF";#N/A,#N/A,TRUE,"Debt";#N/A,#N/A,TRUE,"IRR"}</definedName>
    <definedName name="CF02기초" localSheetId="6" hidden="1">{#N/A,#N/A,TRUE,"Summary";#N/A,#N/A,TRUE,"IS";#N/A,#N/A,TRUE,"Adj";#N/A,#N/A,TRUE,"BS";#N/A,#N/A,TRUE,"CF";#N/A,#N/A,TRUE,"Debt";#N/A,#N/A,TRUE,"IRR"}</definedName>
    <definedName name="CF02기초" localSheetId="45" hidden="1">{#N/A,#N/A,TRUE,"Summary";#N/A,#N/A,TRUE,"IS";#N/A,#N/A,TRUE,"Adj";#N/A,#N/A,TRUE,"BS";#N/A,#N/A,TRUE,"CF";#N/A,#N/A,TRUE,"Debt";#N/A,#N/A,TRUE,"IRR"}</definedName>
    <definedName name="CF02기초" localSheetId="42" hidden="1">{#N/A,#N/A,TRUE,"Summary";#N/A,#N/A,TRUE,"IS";#N/A,#N/A,TRUE,"Adj";#N/A,#N/A,TRUE,"BS";#N/A,#N/A,TRUE,"CF";#N/A,#N/A,TRUE,"Debt";#N/A,#N/A,TRUE,"IRR"}</definedName>
    <definedName name="CF02기초" hidden="1">{#N/A,#N/A,TRUE,"Summary";#N/A,#N/A,TRUE,"IS";#N/A,#N/A,TRUE,"Adj";#N/A,#N/A,TRUE,"BS";#N/A,#N/A,TRUE,"CF";#N/A,#N/A,TRUE,"Debt";#N/A,#N/A,TRUE,"IRR"}</definedName>
    <definedName name="CF03후" localSheetId="30" hidden="1">#REF!</definedName>
    <definedName name="CF03후" localSheetId="29" hidden="1">#REF!</definedName>
    <definedName name="CF03후" localSheetId="33" hidden="1">#REF!</definedName>
    <definedName name="CF03후" localSheetId="31" hidden="1">#REF!</definedName>
    <definedName name="CF03후" hidden="1">#REF!</definedName>
    <definedName name="cfjgkf" localSheetId="30" hidden="1">#REF!</definedName>
    <definedName name="cfjgkf" localSheetId="29" hidden="1">#REF!</definedName>
    <definedName name="cfjgkf" localSheetId="33" hidden="1">#REF!</definedName>
    <definedName name="cfjgkf" localSheetId="31" hidden="1">#REF!</definedName>
    <definedName name="cfjgkf" localSheetId="32" hidden="1">#REF!</definedName>
    <definedName name="cfjgkf" hidden="1">#REF!</definedName>
    <definedName name="CFwp직전3" localSheetId="12" hidden="1">{#N/A,#N/A,FALSE,"UNIT";#N/A,#N/A,FALSE,"UNIT";#N/A,#N/A,FALSE,"계정"}</definedName>
    <definedName name="CFwp직전3" localSheetId="42" hidden="1">{#N/A,#N/A,FALSE,"UNIT";#N/A,#N/A,FALSE,"UNIT";#N/A,#N/A,FALSE,"계정"}</definedName>
    <definedName name="CFwp직전3" hidden="1">{#N/A,#N/A,FALSE,"UNIT";#N/A,#N/A,FALSE,"UNIT";#N/A,#N/A,FALSE,"계정"}</definedName>
    <definedName name="CF요인" localSheetId="30" hidden="1">#REF!</definedName>
    <definedName name="CF요인" localSheetId="29" hidden="1">#REF!</definedName>
    <definedName name="CF요인" localSheetId="33" hidden="1">#REF!</definedName>
    <definedName name="CF요인" localSheetId="31" hidden="1">#REF!</definedName>
    <definedName name="CF요인" localSheetId="32" hidden="1">#REF!</definedName>
    <definedName name="CF요인" hidden="1">#REF!</definedName>
    <definedName name="CHD" localSheetId="15" hidden="1">{#N/A,#N/A,FALSE,"손익표지";#N/A,#N/A,FALSE,"손익계산";#N/A,#N/A,FALSE,"일반관리비";#N/A,#N/A,FALSE,"영업외수익";#N/A,#N/A,FALSE,"영업외비용";#N/A,#N/A,FALSE,"매출액";#N/A,#N/A,FALSE,"요약손익";#N/A,#N/A,FALSE,"요약대차";#N/A,#N/A,FALSE,"매출채권현황";#N/A,#N/A,FALSE,"매출채권명세"}</definedName>
    <definedName name="CHD" localSheetId="6" hidden="1">{#N/A,#N/A,FALSE,"손익표지";#N/A,#N/A,FALSE,"손익계산";#N/A,#N/A,FALSE,"일반관리비";#N/A,#N/A,FALSE,"영업외수익";#N/A,#N/A,FALSE,"영업외비용";#N/A,#N/A,FALSE,"매출액";#N/A,#N/A,FALSE,"요약손익";#N/A,#N/A,FALSE,"요약대차";#N/A,#N/A,FALSE,"매출채권현황";#N/A,#N/A,FALSE,"매출채권명세"}</definedName>
    <definedName name="CHD" localSheetId="45" hidden="1">{#N/A,#N/A,FALSE,"손익표지";#N/A,#N/A,FALSE,"손익계산";#N/A,#N/A,FALSE,"일반관리비";#N/A,#N/A,FALSE,"영업외수익";#N/A,#N/A,FALSE,"영업외비용";#N/A,#N/A,FALSE,"매출액";#N/A,#N/A,FALSE,"요약손익";#N/A,#N/A,FALSE,"요약대차";#N/A,#N/A,FALSE,"매출채권현황";#N/A,#N/A,FALSE,"매출채권명세"}</definedName>
    <definedName name="CHD" localSheetId="42" hidden="1">{#N/A,#N/A,FALSE,"손익표지";#N/A,#N/A,FALSE,"손익계산";#N/A,#N/A,FALSE,"일반관리비";#N/A,#N/A,FALSE,"영업외수익";#N/A,#N/A,FALSE,"영업외비용";#N/A,#N/A,FALSE,"매출액";#N/A,#N/A,FALSE,"요약손익";#N/A,#N/A,FALSE,"요약대차";#N/A,#N/A,FALSE,"매출채권현황";#N/A,#N/A,FALSE,"매출채권명세"}</definedName>
    <definedName name="CHD" hidden="1">{#N/A,#N/A,FALSE,"손익표지";#N/A,#N/A,FALSE,"손익계산";#N/A,#N/A,FALSE,"일반관리비";#N/A,#N/A,FALSE,"영업외수익";#N/A,#N/A,FALSE,"영업외비용";#N/A,#N/A,FALSE,"매출액";#N/A,#N/A,FALSE,"요약손익";#N/A,#N/A,FALSE,"요약대차";#N/A,#N/A,FALSE,"매출채권현황";#N/A,#N/A,FALSE,"매출채권명세"}</definedName>
    <definedName name="choi" localSheetId="15" hidden="1">{#N/A,#N/A,FALSE,"손익표지";#N/A,#N/A,FALSE,"손익계산";#N/A,#N/A,FALSE,"일반관리비";#N/A,#N/A,FALSE,"영업외수익";#N/A,#N/A,FALSE,"영업외비용";#N/A,#N/A,FALSE,"매출액";#N/A,#N/A,FALSE,"요약손익";#N/A,#N/A,FALSE,"요약대차";#N/A,#N/A,FALSE,"매출채권현황";#N/A,#N/A,FALSE,"매출채권명세"}</definedName>
    <definedName name="choi" localSheetId="6" hidden="1">{#N/A,#N/A,FALSE,"손익표지";#N/A,#N/A,FALSE,"손익계산";#N/A,#N/A,FALSE,"일반관리비";#N/A,#N/A,FALSE,"영업외수익";#N/A,#N/A,FALSE,"영업외비용";#N/A,#N/A,FALSE,"매출액";#N/A,#N/A,FALSE,"요약손익";#N/A,#N/A,FALSE,"요약대차";#N/A,#N/A,FALSE,"매출채권현황";#N/A,#N/A,FALSE,"매출채권명세"}</definedName>
    <definedName name="choi" localSheetId="45" hidden="1">{#N/A,#N/A,FALSE,"손익표지";#N/A,#N/A,FALSE,"손익계산";#N/A,#N/A,FALSE,"일반관리비";#N/A,#N/A,FALSE,"영업외수익";#N/A,#N/A,FALSE,"영업외비용";#N/A,#N/A,FALSE,"매출액";#N/A,#N/A,FALSE,"요약손익";#N/A,#N/A,FALSE,"요약대차";#N/A,#N/A,FALSE,"매출채권현황";#N/A,#N/A,FALSE,"매출채권명세"}</definedName>
    <definedName name="choi" localSheetId="42" hidden="1">{#N/A,#N/A,FALSE,"손익표지";#N/A,#N/A,FALSE,"손익계산";#N/A,#N/A,FALSE,"일반관리비";#N/A,#N/A,FALSE,"영업외수익";#N/A,#N/A,FALSE,"영업외비용";#N/A,#N/A,FALSE,"매출액";#N/A,#N/A,FALSE,"요약손익";#N/A,#N/A,FALSE,"요약대차";#N/A,#N/A,FALSE,"매출채권현황";#N/A,#N/A,FALSE,"매출채권명세"}</definedName>
    <definedName name="choi" hidden="1">{#N/A,#N/A,FALSE,"손익표지";#N/A,#N/A,FALSE,"손익계산";#N/A,#N/A,FALSE,"일반관리비";#N/A,#N/A,FALSE,"영업외수익";#N/A,#N/A,FALSE,"영업외비용";#N/A,#N/A,FALSE,"매출액";#N/A,#N/A,FALSE,"요약손익";#N/A,#N/A,FALSE,"요약대차";#N/A,#N/A,FALSE,"매출채권현황";#N/A,#N/A,FALSE,"매출채권명세"}</definedName>
    <definedName name="ck" localSheetId="15" hidden="1">{"'분양원가'!$B$1:$F$113"}</definedName>
    <definedName name="ck" localSheetId="6" hidden="1">{"'분양원가'!$B$1:$F$113"}</definedName>
    <definedName name="ck" localSheetId="45" hidden="1">{"'분양원가'!$B$1:$F$113"}</definedName>
    <definedName name="ck" localSheetId="42" hidden="1">{"'분양원가'!$B$1:$F$113"}</definedName>
    <definedName name="ck" hidden="1">{"'분양원가'!$B$1:$F$113"}</definedName>
    <definedName name="CLAIM" localSheetId="15" hidden="1">{#N/A,#N/A,FALSE,"98소지이동TOTvs99.1 (2)";#N/A,#N/A,FALSE,"TOTAL";#N/A,#N/A,FALSE,"98소지이동TOTvs99.1(b) (2)"}</definedName>
    <definedName name="CLAIM" localSheetId="6" hidden="1">{#N/A,#N/A,FALSE,"98소지이동TOTvs99.1 (2)";#N/A,#N/A,FALSE,"TOTAL";#N/A,#N/A,FALSE,"98소지이동TOTvs99.1(b) (2)"}</definedName>
    <definedName name="CLAIM" localSheetId="45" hidden="1">{#N/A,#N/A,FALSE,"98소지이동TOTvs99.1 (2)";#N/A,#N/A,FALSE,"TOTAL";#N/A,#N/A,FALSE,"98소지이동TOTvs99.1(b) (2)"}</definedName>
    <definedName name="CLAIM" localSheetId="42" hidden="1">{#N/A,#N/A,FALSE,"98소지이동TOTvs99.1 (2)";#N/A,#N/A,FALSE,"TOTAL";#N/A,#N/A,FALSE,"98소지이동TOTvs99.1(b) (2)"}</definedName>
    <definedName name="CLAIM" hidden="1">{#N/A,#N/A,FALSE,"98소지이동TOTvs99.1 (2)";#N/A,#N/A,FALSE,"TOTAL";#N/A,#N/A,FALSE,"98소지이동TOTvs99.1(b) (2)"}</definedName>
    <definedName name="CLAIM2" localSheetId="15" hidden="1">{#N/A,#N/A,FALSE,"98소지이동TOTvs99.1 (2)";#N/A,#N/A,FALSE,"TOTAL";#N/A,#N/A,FALSE,"98소지이동TOTvs99.1(b) (2)"}</definedName>
    <definedName name="CLAIM2" localSheetId="6" hidden="1">{#N/A,#N/A,FALSE,"98소지이동TOTvs99.1 (2)";#N/A,#N/A,FALSE,"TOTAL";#N/A,#N/A,FALSE,"98소지이동TOTvs99.1(b) (2)"}</definedName>
    <definedName name="CLAIM2" localSheetId="45" hidden="1">{#N/A,#N/A,FALSE,"98소지이동TOTvs99.1 (2)";#N/A,#N/A,FALSE,"TOTAL";#N/A,#N/A,FALSE,"98소지이동TOTvs99.1(b) (2)"}</definedName>
    <definedName name="CLAIM2" localSheetId="42" hidden="1">{#N/A,#N/A,FALSE,"98소지이동TOTvs99.1 (2)";#N/A,#N/A,FALSE,"TOTAL";#N/A,#N/A,FALSE,"98소지이동TOTvs99.1(b) (2)"}</definedName>
    <definedName name="CLAIM2" hidden="1">{#N/A,#N/A,FALSE,"98소지이동TOTvs99.1 (2)";#N/A,#N/A,FALSE,"TOTAL";#N/A,#N/A,FALSE,"98소지이동TOTvs99.1(b) (2)"}</definedName>
    <definedName name="cv" localSheetId="42" hidden="1">{#N/A,#N/A,FALSE,"BS";#N/A,#N/A,FALSE,"PL";#N/A,#N/A,FALSE,"A";#N/A,#N/A,FALSE,"B";#N/A,#N/A,FALSE,"B1";#N/A,#N/A,FALSE,"C";#N/A,#N/A,FALSE,"C1";#N/A,#N/A,FALSE,"C2";#N/A,#N/A,FALSE,"D";#N/A,#N/A,FALSE,"E";#N/A,#N/A,FALSE,"F";#N/A,#N/A,FALSE,"AA";#N/A,#N/A,FALSE,"BB";#N/A,#N/A,FALSE,"CC";#N/A,#N/A,FALSE,"DD";#N/A,#N/A,FALSE,"EE";#N/A,#N/A,FALSE,"FF";#N/A,#N/A,FALSE,"PL10";#N/A,#N/A,FALSE,"PL20";#N/A,#N/A,FALSE,"PL30"}</definedName>
    <definedName name="cv" hidden="1">{#N/A,#N/A,FALSE,"BS";#N/A,#N/A,FALSE,"PL";#N/A,#N/A,FALSE,"A";#N/A,#N/A,FALSE,"B";#N/A,#N/A,FALSE,"B1";#N/A,#N/A,FALSE,"C";#N/A,#N/A,FALSE,"C1";#N/A,#N/A,FALSE,"C2";#N/A,#N/A,FALSE,"D";#N/A,#N/A,FALSE,"E";#N/A,#N/A,FALSE,"F";#N/A,#N/A,FALSE,"AA";#N/A,#N/A,FALSE,"BB";#N/A,#N/A,FALSE,"CC";#N/A,#N/A,FALSE,"DD";#N/A,#N/A,FALSE,"EE";#N/A,#N/A,FALSE,"FF";#N/A,#N/A,FALSE,"PL10";#N/A,#N/A,FALSE,"PL20";#N/A,#N/A,FALSE,"PL30"}</definedName>
    <definedName name="cvj" localSheetId="15" hidden="1">{#N/A,#N/A,FALSE,"KMC최종회의(7월) 자료"}</definedName>
    <definedName name="cvj" localSheetId="6" hidden="1">{#N/A,#N/A,FALSE,"KMC최종회의(7월) 자료"}</definedName>
    <definedName name="cvj" localSheetId="45" hidden="1">{#N/A,#N/A,FALSE,"KMC최종회의(7월) 자료"}</definedName>
    <definedName name="cvj" localSheetId="42" hidden="1">{#N/A,#N/A,FALSE,"KMC최종회의(7월) 자료"}</definedName>
    <definedName name="cvj" hidden="1">{#N/A,#N/A,FALSE,"KMC최종회의(7월) 자료"}</definedName>
    <definedName name="Cwvu.시간대별예약." localSheetId="30" hidden="1">#REF!,#REF!,#REF!,#REF!,#REF!,#REF!,#REF!,#REF!</definedName>
    <definedName name="Cwvu.시간대별예약." localSheetId="29" hidden="1">#REF!,#REF!,#REF!,#REF!,#REF!,#REF!,#REF!,#REF!</definedName>
    <definedName name="Cwvu.시간대별예약." localSheetId="33" hidden="1">#REF!,#REF!,#REF!,#REF!,#REF!,#REF!,#REF!,#REF!</definedName>
    <definedName name="Cwvu.시간대별예약." localSheetId="31" hidden="1">#REF!,#REF!,#REF!,#REF!,#REF!,#REF!,#REF!,#REF!</definedName>
    <definedName name="Cwvu.시간대별예약." localSheetId="32" hidden="1">#REF!,#REF!,#REF!,#REF!,#REF!,#REF!,#REF!,#REF!</definedName>
    <definedName name="Cwvu.시간대별예약." hidden="1">#REF!,#REF!,#REF!,#REF!,#REF!,#REF!,#REF!,#REF!</definedName>
    <definedName name="d" localSheetId="1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 localSheetId="15" hidden="1">{#N/A,#N/A,FALSE,"Yield";#N/A,#N/A,FALSE,"Loss1";#N/A,#N/A,FALSE,"Loss2";#N/A,#N/A,FALSE,"Hour-Labor(배분)";#N/A,#N/A,FALSE,"Capital Expenditure";#N/A,#N/A,FALSE,"Productivity"}</definedName>
    <definedName name="D" localSheetId="6" hidden="1">{#N/A,#N/A,FALSE,"Yield";#N/A,#N/A,FALSE,"Loss1";#N/A,#N/A,FALSE,"Loss2";#N/A,#N/A,FALSE,"Hour-Labor(배분)";#N/A,#N/A,FALSE,"Capital Expenditure";#N/A,#N/A,FALSE,"Productivity"}</definedName>
    <definedName name="D" localSheetId="45" hidden="1">{#N/A,#N/A,FALSE,"Yield";#N/A,#N/A,FALSE,"Loss1";#N/A,#N/A,FALSE,"Loss2";#N/A,#N/A,FALSE,"Hour-Labor(배분)";#N/A,#N/A,FALSE,"Capital Expenditure";#N/A,#N/A,FALSE,"Productivity"}</definedName>
    <definedName name="D" localSheetId="42" hidden="1">{#N/A,#N/A,FALSE,"Yield";#N/A,#N/A,FALSE,"Loss1";#N/A,#N/A,FALSE,"Loss2";#N/A,#N/A,FALSE,"Hour-Labor(배분)";#N/A,#N/A,FALSE,"Capital Expenditure";#N/A,#N/A,FALSE,"Productivity"}</definedName>
    <definedName name="d" hidden="1">{#N/A,#N/A,FALSE,"UNIT";#N/A,#N/A,FALSE,"UNIT";#N/A,#N/A,FALSE,"계정"}</definedName>
    <definedName name="D3BS" localSheetId="15" hidden="1">{"adj95mult",#N/A,FALSE,"COMPCO";"adj95est",#N/A,FALSE,"COMPCO"}</definedName>
    <definedName name="D3BS" localSheetId="6" hidden="1">{"adj95mult",#N/A,FALSE,"COMPCO";"adj95est",#N/A,FALSE,"COMPCO"}</definedName>
    <definedName name="D3BS" localSheetId="45" hidden="1">{"adj95mult",#N/A,FALSE,"COMPCO";"adj95est",#N/A,FALSE,"COMPCO"}</definedName>
    <definedName name="D3BS" localSheetId="42" hidden="1">{"adj95mult",#N/A,FALSE,"COMPCO";"adj95est",#N/A,FALSE,"COMPCO"}</definedName>
    <definedName name="D3BS" hidden="1">{"adj95mult",#N/A,FALSE,"COMPCO";"adj95est",#N/A,FALSE,"COMPCO"}</definedName>
    <definedName name="D3IS" localSheetId="15" hidden="1">{"adj95mult",#N/A,FALSE,"COMPCO";"adj95est",#N/A,FALSE,"COMPCO"}</definedName>
    <definedName name="D3IS" localSheetId="6" hidden="1">{"adj95mult",#N/A,FALSE,"COMPCO";"adj95est",#N/A,FALSE,"COMPCO"}</definedName>
    <definedName name="D3IS" localSheetId="45" hidden="1">{"adj95mult",#N/A,FALSE,"COMPCO";"adj95est",#N/A,FALSE,"COMPCO"}</definedName>
    <definedName name="D3IS" localSheetId="42" hidden="1">{"adj95mult",#N/A,FALSE,"COMPCO";"adj95est",#N/A,FALSE,"COMPCO"}</definedName>
    <definedName name="D3IS" hidden="1">{"adj95mult",#N/A,FALSE,"COMPCO";"adj95est",#N/A,FALSE,"COMPCO"}</definedName>
    <definedName name="dd" localSheetId="12" hidden="1">#REF!</definedName>
    <definedName name="DD" localSheetId="42" hidden="1">{#N/A,#N/A,FALSE,"UNIT";#N/A,#N/A,FALSE,"UNIT";#N/A,#N/A,FALSE,"계정"}</definedName>
    <definedName name="DD" hidden="1">{#N/A,#N/A,FALSE,"UNIT";#N/A,#N/A,FALSE,"UNIT";#N/A,#N/A,FALSE,"계정"}</definedName>
    <definedName name="DDC부문" localSheetId="15" hidden="1">{#N/A,#N/A,FALSE,"계약직(여)"}</definedName>
    <definedName name="DDC부문" localSheetId="6" hidden="1">{#N/A,#N/A,FALSE,"계약직(여)"}</definedName>
    <definedName name="DDC부문" localSheetId="45" hidden="1">{#N/A,#N/A,FALSE,"계약직(여)"}</definedName>
    <definedName name="DDC부문" localSheetId="42" hidden="1">{#N/A,#N/A,FALSE,"계약직(여)"}</definedName>
    <definedName name="DDC부문" hidden="1">{#N/A,#N/A,FALSE,"계약직(여)"}</definedName>
    <definedName name="ddd" localSheetId="12" hidden="1">#REF!</definedName>
    <definedName name="ddd" hidden="1">#REF!</definedName>
    <definedName name="dddd" localSheetId="12" hidden="1">#REF!</definedName>
    <definedName name="dddd" localSheetId="42" hidden="1">{#N/A,#N/A,FALSE,"UNIT";#N/A,#N/A,FALSE,"UNIT";#N/A,#N/A,FALSE,"계정"}</definedName>
    <definedName name="dddd" hidden="1">{#N/A,#N/A,FALSE,"UNIT";#N/A,#N/A,FALSE,"UNIT";#N/A,#N/A,FALSE,"계정"}</definedName>
    <definedName name="ddddd" localSheetId="12" hidden="1">{#N/A,#N/A,FALSE,"UNIT";#N/A,#N/A,FALSE,"UNIT";#N/A,#N/A,FALSE,"계정"}</definedName>
    <definedName name="ddddd" localSheetId="42" hidden="1">{#N/A,#N/A,FALSE,"UNIT";#N/A,#N/A,FALSE,"UNIT";#N/A,#N/A,FALSE,"계정"}</definedName>
    <definedName name="ddddd" hidden="1">{#N/A,#N/A,FALSE,"UNIT";#N/A,#N/A,FALSE,"UNIT";#N/A,#N/A,FALSE,"계정"}</definedName>
    <definedName name="dddddd" localSheetId="12" hidden="1">{#N/A,#N/A,FALSE,"UNIT";#N/A,#N/A,FALSE,"UNIT";#N/A,#N/A,FALSE,"계정"}</definedName>
    <definedName name="DDDDDD" localSheetId="15" hidden="1">{#N/A,#N/A,FALSE,"98소지이동TOTvs99.1 (2)";#N/A,#N/A,FALSE,"TOTAL";#N/A,#N/A,FALSE,"98소지이동TOTvs99.1(b) (2)"}</definedName>
    <definedName name="DDDDDD" localSheetId="6" hidden="1">{#N/A,#N/A,FALSE,"98소지이동TOTvs99.1 (2)";#N/A,#N/A,FALSE,"TOTAL";#N/A,#N/A,FALSE,"98소지이동TOTvs99.1(b) (2)"}</definedName>
    <definedName name="DDDDDD" localSheetId="45" hidden="1">{#N/A,#N/A,FALSE,"98소지이동TOTvs99.1 (2)";#N/A,#N/A,FALSE,"TOTAL";#N/A,#N/A,FALSE,"98소지이동TOTvs99.1(b) (2)"}</definedName>
    <definedName name="DDDDDD" localSheetId="42" hidden="1">{#N/A,#N/A,FALSE,"98소지이동TOTvs99.1 (2)";#N/A,#N/A,FALSE,"TOTAL";#N/A,#N/A,FALSE,"98소지이동TOTvs99.1(b) (2)"}</definedName>
    <definedName name="dddddd" hidden="1">{#N/A,#N/A,FALSE,"UNIT";#N/A,#N/A,FALSE,"UNIT";#N/A,#N/A,FALSE,"계정"}</definedName>
    <definedName name="ddddddd" localSheetId="12" hidden="1">{#N/A,#N/A,FALSE,"UNIT";#N/A,#N/A,FALSE,"UNIT";#N/A,#N/A,FALSE,"계정"}</definedName>
    <definedName name="DDDDDDD" localSheetId="15"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DDDDDDD" localSheetId="6"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DDDDDDD" localSheetId="45"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DDDDDDD" localSheetId="42"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ddddddd" hidden="1">{#N/A,#N/A,FALSE,"UNIT";#N/A,#N/A,FALSE,"UNIT";#N/A,#N/A,FALSE,"계정"}</definedName>
    <definedName name="dddddddd" localSheetId="12" hidden="1">{"'5국공정'!$A$1:$E$128"}</definedName>
    <definedName name="dddddddd" localSheetId="42" hidden="1">{"'5국공정'!$A$1:$E$128"}</definedName>
    <definedName name="dddddddd" hidden="1">{"'5국공정'!$A$1:$E$128"}</definedName>
    <definedName name="ddddddddd" localSheetId="12" hidden="1">{#N/A,#N/A,FALSE,"UNIT";#N/A,#N/A,FALSE,"UNIT";#N/A,#N/A,FALSE,"계정"}</definedName>
    <definedName name="DDDDDDDDD" localSheetId="15" hidden="1">{#N/A,#N/A,FALSE,"군산원가";#N/A,#N/A,FALSE,"팀별월별";#N/A,#N/A,FALSE,"타공정대체";#N/A,#N/A,FALSE,"기타경비";#N/A,#N/A,FALSE,"원료";#N/A,#N/A,FALSE,"연료"}</definedName>
    <definedName name="DDDDDDDDD" localSheetId="6" hidden="1">{#N/A,#N/A,FALSE,"군산원가";#N/A,#N/A,FALSE,"팀별월별";#N/A,#N/A,FALSE,"타공정대체";#N/A,#N/A,FALSE,"기타경비";#N/A,#N/A,FALSE,"원료";#N/A,#N/A,FALSE,"연료"}</definedName>
    <definedName name="DDDDDDDDD" localSheetId="45" hidden="1">{#N/A,#N/A,FALSE,"군산원가";#N/A,#N/A,FALSE,"팀별월별";#N/A,#N/A,FALSE,"타공정대체";#N/A,#N/A,FALSE,"기타경비";#N/A,#N/A,FALSE,"원료";#N/A,#N/A,FALSE,"연료"}</definedName>
    <definedName name="DDDDDDDDD" localSheetId="42" hidden="1">{#N/A,#N/A,FALSE,"군산원가";#N/A,#N/A,FALSE,"팀별월별";#N/A,#N/A,FALSE,"타공정대체";#N/A,#N/A,FALSE,"기타경비";#N/A,#N/A,FALSE,"원료";#N/A,#N/A,FALSE,"연료"}</definedName>
    <definedName name="ddddddddd" hidden="1">{#N/A,#N/A,FALSE,"UNIT";#N/A,#N/A,FALSE,"UNIT";#N/A,#N/A,FALSE,"계정"}</definedName>
    <definedName name="dddddddddd" localSheetId="12" hidden="1">{#N/A,#N/A,FALSE,"UNIT";#N/A,#N/A,FALSE,"UNIT";#N/A,#N/A,FALSE,"계정"}</definedName>
    <definedName name="DDDDDDDDDD" localSheetId="15"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DDDDDDDDDD" localSheetId="6"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DDDDDDDDDD" localSheetId="45"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DDDDDDDDDD" localSheetId="42"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dddddddddd" hidden="1">{#N/A,#N/A,FALSE,"UNIT";#N/A,#N/A,FALSE,"UNIT";#N/A,#N/A,FALSE,"계정"}</definedName>
    <definedName name="DDDDDDDDDDD" localSheetId="15" hidden="1">{#N/A,#N/A,FALSE,"98소지이동TOTvs99.1 (2)";#N/A,#N/A,FALSE,"TOTAL";#N/A,#N/A,FALSE,"98소지이동TOTvs99.1(b) (2)"}</definedName>
    <definedName name="DDDDDDDDDDD" localSheetId="6" hidden="1">{#N/A,#N/A,FALSE,"98소지이동TOTvs99.1 (2)";#N/A,#N/A,FALSE,"TOTAL";#N/A,#N/A,FALSE,"98소지이동TOTvs99.1(b) (2)"}</definedName>
    <definedName name="DDDDDDDDDDD" localSheetId="45" hidden="1">{#N/A,#N/A,FALSE,"98소지이동TOTvs99.1 (2)";#N/A,#N/A,FALSE,"TOTAL";#N/A,#N/A,FALSE,"98소지이동TOTvs99.1(b) (2)"}</definedName>
    <definedName name="DDDDDDDDDDD" localSheetId="42" hidden="1">{#N/A,#N/A,FALSE,"98소지이동TOTvs99.1 (2)";#N/A,#N/A,FALSE,"TOTAL";#N/A,#N/A,FALSE,"98소지이동TOTvs99.1(b) (2)"}</definedName>
    <definedName name="DDDDDDDDDDD" hidden="1">{#N/A,#N/A,FALSE,"98소지이동TOTvs99.1 (2)";#N/A,#N/A,FALSE,"TOTAL";#N/A,#N/A,FALSE,"98소지이동TOTvs99.1(b) (2)"}</definedName>
    <definedName name="DDDDDDDDDDDD" localSheetId="15" hidden="1">{#N/A,#N/A,FALSE,"Yield";#N/A,#N/A,FALSE,"Loss1";#N/A,#N/A,FALSE,"Loss2";#N/A,#N/A,FALSE,"Hour-Labor(배분)";#N/A,#N/A,FALSE,"Capital Expenditure";#N/A,#N/A,FALSE,"Productivity"}</definedName>
    <definedName name="DDDDDDDDDDDD" localSheetId="6" hidden="1">{#N/A,#N/A,FALSE,"Yield";#N/A,#N/A,FALSE,"Loss1";#N/A,#N/A,FALSE,"Loss2";#N/A,#N/A,FALSE,"Hour-Labor(배분)";#N/A,#N/A,FALSE,"Capital Expenditure";#N/A,#N/A,FALSE,"Productivity"}</definedName>
    <definedName name="DDDDDDDDDDDD" localSheetId="45" hidden="1">{#N/A,#N/A,FALSE,"Yield";#N/A,#N/A,FALSE,"Loss1";#N/A,#N/A,FALSE,"Loss2";#N/A,#N/A,FALSE,"Hour-Labor(배분)";#N/A,#N/A,FALSE,"Capital Expenditure";#N/A,#N/A,FALSE,"Productivity"}</definedName>
    <definedName name="DDDDDDDDDDDD" localSheetId="42" hidden="1">{#N/A,#N/A,FALSE,"Yield";#N/A,#N/A,FALSE,"Loss1";#N/A,#N/A,FALSE,"Loss2";#N/A,#N/A,FALSE,"Hour-Labor(배분)";#N/A,#N/A,FALSE,"Capital Expenditure";#N/A,#N/A,FALSE,"Productivity"}</definedName>
    <definedName name="DDDDDDDDDDDD" hidden="1">{#N/A,#N/A,FALSE,"Yield";#N/A,#N/A,FALSE,"Loss1";#N/A,#N/A,FALSE,"Loss2";#N/A,#N/A,FALSE,"Hour-Labor(배분)";#N/A,#N/A,FALSE,"Capital Expenditure";#N/A,#N/A,FALSE,"Productivity"}</definedName>
    <definedName name="DDDDDDDDDDDDD" localSheetId="15" hidden="1">{#N/A,#N/A,FALSE,"98소지이동TOTvs99.1 (2)";#N/A,#N/A,FALSE,"TOTAL";#N/A,#N/A,FALSE,"98소지이동TOTvs99.1(b) (2)"}</definedName>
    <definedName name="DDDDDDDDDDDDD" localSheetId="6" hidden="1">{#N/A,#N/A,FALSE,"98소지이동TOTvs99.1 (2)";#N/A,#N/A,FALSE,"TOTAL";#N/A,#N/A,FALSE,"98소지이동TOTvs99.1(b) (2)"}</definedName>
    <definedName name="DDDDDDDDDDDDD" localSheetId="45" hidden="1">{#N/A,#N/A,FALSE,"98소지이동TOTvs99.1 (2)";#N/A,#N/A,FALSE,"TOTAL";#N/A,#N/A,FALSE,"98소지이동TOTvs99.1(b) (2)"}</definedName>
    <definedName name="DDDDDDDDDDDDD" localSheetId="42" hidden="1">{#N/A,#N/A,FALSE,"98소지이동TOTvs99.1 (2)";#N/A,#N/A,FALSE,"TOTAL";#N/A,#N/A,FALSE,"98소지이동TOTvs99.1(b) (2)"}</definedName>
    <definedName name="DDDDDDDDDDDDD" hidden="1">{#N/A,#N/A,FALSE,"98소지이동TOTvs99.1 (2)";#N/A,#N/A,FALSE,"TOTAL";#N/A,#N/A,FALSE,"98소지이동TOTvs99.1(b) (2)"}</definedName>
    <definedName name="DDDDDDDDDDDDDDD" localSheetId="15" hidden="1">{#N/A,#N/A,FALSE,"98소지이동TOTvs99.1 (2)";#N/A,#N/A,FALSE,"TOTAL";#N/A,#N/A,FALSE,"98소지이동TOTvs99.1(b) (2)"}</definedName>
    <definedName name="DDDDDDDDDDDDDDD" localSheetId="6" hidden="1">{#N/A,#N/A,FALSE,"98소지이동TOTvs99.1 (2)";#N/A,#N/A,FALSE,"TOTAL";#N/A,#N/A,FALSE,"98소지이동TOTvs99.1(b) (2)"}</definedName>
    <definedName name="DDDDDDDDDDDDDDD" localSheetId="45" hidden="1">{#N/A,#N/A,FALSE,"98소지이동TOTvs99.1 (2)";#N/A,#N/A,FALSE,"TOTAL";#N/A,#N/A,FALSE,"98소지이동TOTvs99.1(b) (2)"}</definedName>
    <definedName name="DDDDDDDDDDDDDDD" localSheetId="42" hidden="1">{#N/A,#N/A,FALSE,"98소지이동TOTvs99.1 (2)";#N/A,#N/A,FALSE,"TOTAL";#N/A,#N/A,FALSE,"98소지이동TOTvs99.1(b) (2)"}</definedName>
    <definedName name="DDDDDDDDDDDDDDD" hidden="1">{#N/A,#N/A,FALSE,"98소지이동TOTvs99.1 (2)";#N/A,#N/A,FALSE,"TOTAL";#N/A,#N/A,FALSE,"98소지이동TOTvs99.1(b) (2)"}</definedName>
    <definedName name="DDDDDDDDDDDDDDDD" localSheetId="15" hidden="1">{#N/A,#N/A,FALSE,"98소지이동TOTvs99.1 (2)";#N/A,#N/A,FALSE,"TOTAL";#N/A,#N/A,FALSE,"98소지이동TOTvs99.1(b) (2)"}</definedName>
    <definedName name="DDDDDDDDDDDDDDDD" localSheetId="6" hidden="1">{#N/A,#N/A,FALSE,"98소지이동TOTvs99.1 (2)";#N/A,#N/A,FALSE,"TOTAL";#N/A,#N/A,FALSE,"98소지이동TOTvs99.1(b) (2)"}</definedName>
    <definedName name="DDDDDDDDDDDDDDDD" localSheetId="45" hidden="1">{#N/A,#N/A,FALSE,"98소지이동TOTvs99.1 (2)";#N/A,#N/A,FALSE,"TOTAL";#N/A,#N/A,FALSE,"98소지이동TOTvs99.1(b) (2)"}</definedName>
    <definedName name="DDDDDDDDDDDDDDDD" localSheetId="42" hidden="1">{#N/A,#N/A,FALSE,"98소지이동TOTvs99.1 (2)";#N/A,#N/A,FALSE,"TOTAL";#N/A,#N/A,FALSE,"98소지이동TOTvs99.1(b) (2)"}</definedName>
    <definedName name="DDDDDDDDDDDDDDDD" hidden="1">{#N/A,#N/A,FALSE,"98소지이동TOTvs99.1 (2)";#N/A,#N/A,FALSE,"TOTAL";#N/A,#N/A,FALSE,"98소지이동TOTvs99.1(b) (2)"}</definedName>
    <definedName name="DDDDDDDDDDDDDDDDDDD" localSheetId="15" hidden="1">{#N/A,#N/A,FALSE,"98소지이동TOTvs99.1 (2)";#N/A,#N/A,FALSE,"TOTAL";#N/A,#N/A,FALSE,"98소지이동TOTvs99.1(b) (2)"}</definedName>
    <definedName name="DDDDDDDDDDDDDDDDDDD" localSheetId="6" hidden="1">{#N/A,#N/A,FALSE,"98소지이동TOTvs99.1 (2)";#N/A,#N/A,FALSE,"TOTAL";#N/A,#N/A,FALSE,"98소지이동TOTvs99.1(b) (2)"}</definedName>
    <definedName name="DDDDDDDDDDDDDDDDDDD" localSheetId="45" hidden="1">{#N/A,#N/A,FALSE,"98소지이동TOTvs99.1 (2)";#N/A,#N/A,FALSE,"TOTAL";#N/A,#N/A,FALSE,"98소지이동TOTvs99.1(b) (2)"}</definedName>
    <definedName name="DDDDDDDDDDDDDDDDDDD" localSheetId="42" hidden="1">{#N/A,#N/A,FALSE,"98소지이동TOTvs99.1 (2)";#N/A,#N/A,FALSE,"TOTAL";#N/A,#N/A,FALSE,"98소지이동TOTvs99.1(b) (2)"}</definedName>
    <definedName name="DDDDDDDDDDDDDDDDDDD" hidden="1">{#N/A,#N/A,FALSE,"98소지이동TOTvs99.1 (2)";#N/A,#N/A,FALSE,"TOTAL";#N/A,#N/A,FALSE,"98소지이동TOTvs99.1(b) (2)"}</definedName>
    <definedName name="DDDDDDDDDDDDDDDDDDDDD" localSheetId="15" hidden="1">{#N/A,#N/A,FALSE,"98소지이동TOTvs99.1 (2)";#N/A,#N/A,FALSE,"TOTAL";#N/A,#N/A,FALSE,"98소지이동TOTvs99.1(b) (2)"}</definedName>
    <definedName name="DDDDDDDDDDDDDDDDDDDDD" localSheetId="6" hidden="1">{#N/A,#N/A,FALSE,"98소지이동TOTvs99.1 (2)";#N/A,#N/A,FALSE,"TOTAL";#N/A,#N/A,FALSE,"98소지이동TOTvs99.1(b) (2)"}</definedName>
    <definedName name="DDDDDDDDDDDDDDDDDDDDD" localSheetId="45" hidden="1">{#N/A,#N/A,FALSE,"98소지이동TOTvs99.1 (2)";#N/A,#N/A,FALSE,"TOTAL";#N/A,#N/A,FALSE,"98소지이동TOTvs99.1(b) (2)"}</definedName>
    <definedName name="DDDDDDDDDDDDDDDDDDDDD" localSheetId="42" hidden="1">{#N/A,#N/A,FALSE,"98소지이동TOTvs99.1 (2)";#N/A,#N/A,FALSE,"TOTAL";#N/A,#N/A,FALSE,"98소지이동TOTvs99.1(b) (2)"}</definedName>
    <definedName name="DDDDDDDDDDDDDDDDDDDDD" hidden="1">{#N/A,#N/A,FALSE,"98소지이동TOTvs99.1 (2)";#N/A,#N/A,FALSE,"TOTAL";#N/A,#N/A,FALSE,"98소지이동TOTvs99.1(b) (2)"}</definedName>
    <definedName name="DDDDDDDDDDDDDDDDDDDDDD" localSheetId="15" hidden="1">{#N/A,#N/A,FALSE,"군산원가";#N/A,#N/A,FALSE,"팀별월별";#N/A,#N/A,FALSE,"타공정대체";#N/A,#N/A,FALSE,"기타경비";#N/A,#N/A,FALSE,"원료";#N/A,#N/A,FALSE,"연료"}</definedName>
    <definedName name="DDDDDDDDDDDDDDDDDDDDDD" localSheetId="6" hidden="1">{#N/A,#N/A,FALSE,"군산원가";#N/A,#N/A,FALSE,"팀별월별";#N/A,#N/A,FALSE,"타공정대체";#N/A,#N/A,FALSE,"기타경비";#N/A,#N/A,FALSE,"원료";#N/A,#N/A,FALSE,"연료"}</definedName>
    <definedName name="DDDDDDDDDDDDDDDDDDDDDD" localSheetId="45" hidden="1">{#N/A,#N/A,FALSE,"군산원가";#N/A,#N/A,FALSE,"팀별월별";#N/A,#N/A,FALSE,"타공정대체";#N/A,#N/A,FALSE,"기타경비";#N/A,#N/A,FALSE,"원료";#N/A,#N/A,FALSE,"연료"}</definedName>
    <definedName name="DDDDDDDDDDDDDDDDDDDDDD" localSheetId="42" hidden="1">{#N/A,#N/A,FALSE,"군산원가";#N/A,#N/A,FALSE,"팀별월별";#N/A,#N/A,FALSE,"타공정대체";#N/A,#N/A,FALSE,"기타경비";#N/A,#N/A,FALSE,"원료";#N/A,#N/A,FALSE,"연료"}</definedName>
    <definedName name="DDDDDDDDDDDDDDDDDDDDDD" hidden="1">{#N/A,#N/A,FALSE,"군산원가";#N/A,#N/A,FALSE,"팀별월별";#N/A,#N/A,FALSE,"타공정대체";#N/A,#N/A,FALSE,"기타경비";#N/A,#N/A,FALSE,"원료";#N/A,#N/A,FALSE,"연료"}</definedName>
    <definedName name="DDDDDDDDDDDDDDDDDDDDDDDD" localSheetId="15" hidden="1">{#N/A,#N/A,FALSE,"군산원가";#N/A,#N/A,FALSE,"팀별월별";#N/A,#N/A,FALSE,"타공정대체";#N/A,#N/A,FALSE,"기타경비";#N/A,#N/A,FALSE,"원료";#N/A,#N/A,FALSE,"연료"}</definedName>
    <definedName name="DDDDDDDDDDDDDDDDDDDDDDDD" localSheetId="6" hidden="1">{#N/A,#N/A,FALSE,"군산원가";#N/A,#N/A,FALSE,"팀별월별";#N/A,#N/A,FALSE,"타공정대체";#N/A,#N/A,FALSE,"기타경비";#N/A,#N/A,FALSE,"원료";#N/A,#N/A,FALSE,"연료"}</definedName>
    <definedName name="DDDDDDDDDDDDDDDDDDDDDDDD" localSheetId="45" hidden="1">{#N/A,#N/A,FALSE,"군산원가";#N/A,#N/A,FALSE,"팀별월별";#N/A,#N/A,FALSE,"타공정대체";#N/A,#N/A,FALSE,"기타경비";#N/A,#N/A,FALSE,"원료";#N/A,#N/A,FALSE,"연료"}</definedName>
    <definedName name="DDDDDDDDDDDDDDDDDDDDDDDD" localSheetId="42" hidden="1">{#N/A,#N/A,FALSE,"군산원가";#N/A,#N/A,FALSE,"팀별월별";#N/A,#N/A,FALSE,"타공정대체";#N/A,#N/A,FALSE,"기타경비";#N/A,#N/A,FALSE,"원료";#N/A,#N/A,FALSE,"연료"}</definedName>
    <definedName name="DDDDDDDDDDDDDDDDDDDDDDDD" hidden="1">{#N/A,#N/A,FALSE,"군산원가";#N/A,#N/A,FALSE,"팀별월별";#N/A,#N/A,FALSE,"타공정대체";#N/A,#N/A,FALSE,"기타경비";#N/A,#N/A,FALSE,"원료";#N/A,#N/A,FALSE,"연료"}</definedName>
    <definedName name="DDDDDDDDDDDDDDDDDDDDDDDDDD" localSheetId="15" hidden="1">{#N/A,#N/A,FALSE,"군산원가";#N/A,#N/A,FALSE,"팀별월별";#N/A,#N/A,FALSE,"타공정대체";#N/A,#N/A,FALSE,"기타경비";#N/A,#N/A,FALSE,"원료";#N/A,#N/A,FALSE,"연료"}</definedName>
    <definedName name="DDDDDDDDDDDDDDDDDDDDDDDDDD" localSheetId="6" hidden="1">{#N/A,#N/A,FALSE,"군산원가";#N/A,#N/A,FALSE,"팀별월별";#N/A,#N/A,FALSE,"타공정대체";#N/A,#N/A,FALSE,"기타경비";#N/A,#N/A,FALSE,"원료";#N/A,#N/A,FALSE,"연료"}</definedName>
    <definedName name="DDDDDDDDDDDDDDDDDDDDDDDDDD" localSheetId="45" hidden="1">{#N/A,#N/A,FALSE,"군산원가";#N/A,#N/A,FALSE,"팀별월별";#N/A,#N/A,FALSE,"타공정대체";#N/A,#N/A,FALSE,"기타경비";#N/A,#N/A,FALSE,"원료";#N/A,#N/A,FALSE,"연료"}</definedName>
    <definedName name="DDDDDDDDDDDDDDDDDDDDDDDDDD" localSheetId="42" hidden="1">{#N/A,#N/A,FALSE,"군산원가";#N/A,#N/A,FALSE,"팀별월별";#N/A,#N/A,FALSE,"타공정대체";#N/A,#N/A,FALSE,"기타경비";#N/A,#N/A,FALSE,"원료";#N/A,#N/A,FALSE,"연료"}</definedName>
    <definedName name="DDDDDDDDDDDDDDDDDDDDDDDDDD" hidden="1">{#N/A,#N/A,FALSE,"군산원가";#N/A,#N/A,FALSE,"팀별월별";#N/A,#N/A,FALSE,"타공정대체";#N/A,#N/A,FALSE,"기타경비";#N/A,#N/A,FALSE,"원료";#N/A,#N/A,FALSE,"연료"}</definedName>
    <definedName name="DDDDDDDDDDDDDDDDDDDDDDDDDDD" localSheetId="15" hidden="1">{#N/A,#N/A,FALSE,"군산원가";#N/A,#N/A,FALSE,"팀별월별";#N/A,#N/A,FALSE,"타공정대체";#N/A,#N/A,FALSE,"기타경비";#N/A,#N/A,FALSE,"원료";#N/A,#N/A,FALSE,"연료"}</definedName>
    <definedName name="DDDDDDDDDDDDDDDDDDDDDDDDDDD" localSheetId="6" hidden="1">{#N/A,#N/A,FALSE,"군산원가";#N/A,#N/A,FALSE,"팀별월별";#N/A,#N/A,FALSE,"타공정대체";#N/A,#N/A,FALSE,"기타경비";#N/A,#N/A,FALSE,"원료";#N/A,#N/A,FALSE,"연료"}</definedName>
    <definedName name="DDDDDDDDDDDDDDDDDDDDDDDDDDD" localSheetId="45" hidden="1">{#N/A,#N/A,FALSE,"군산원가";#N/A,#N/A,FALSE,"팀별월별";#N/A,#N/A,FALSE,"타공정대체";#N/A,#N/A,FALSE,"기타경비";#N/A,#N/A,FALSE,"원료";#N/A,#N/A,FALSE,"연료"}</definedName>
    <definedName name="DDDDDDDDDDDDDDDDDDDDDDDDDDD" localSheetId="42" hidden="1">{#N/A,#N/A,FALSE,"군산원가";#N/A,#N/A,FALSE,"팀별월별";#N/A,#N/A,FALSE,"타공정대체";#N/A,#N/A,FALSE,"기타경비";#N/A,#N/A,FALSE,"원료";#N/A,#N/A,FALSE,"연료"}</definedName>
    <definedName name="DDDDDDDDDDDDDDDDDDDDDDDDDDD" hidden="1">{#N/A,#N/A,FALSE,"군산원가";#N/A,#N/A,FALSE,"팀별월별";#N/A,#N/A,FALSE,"타공정대체";#N/A,#N/A,FALSE,"기타경비";#N/A,#N/A,FALSE,"원료";#N/A,#N/A,FALSE,"연료"}</definedName>
    <definedName name="DDDDDDDDDDDDDDDDDDDDDDDDDDDDD" localSheetId="15" hidden="1">{#N/A,#N/A,FALSE,"Yield";#N/A,#N/A,FALSE,"Loss1";#N/A,#N/A,FALSE,"Loss2";#N/A,#N/A,FALSE,"Hour-Labor(배분)";#N/A,#N/A,FALSE,"Capital Expenditure";#N/A,#N/A,FALSE,"Productivity"}</definedName>
    <definedName name="DDDDDDDDDDDDDDDDDDDDDDDDDDDDD" localSheetId="6" hidden="1">{#N/A,#N/A,FALSE,"Yield";#N/A,#N/A,FALSE,"Loss1";#N/A,#N/A,FALSE,"Loss2";#N/A,#N/A,FALSE,"Hour-Labor(배분)";#N/A,#N/A,FALSE,"Capital Expenditure";#N/A,#N/A,FALSE,"Productivity"}</definedName>
    <definedName name="DDDDDDDDDDDDDDDDDDDDDDDDDDDDD" localSheetId="45" hidden="1">{#N/A,#N/A,FALSE,"Yield";#N/A,#N/A,FALSE,"Loss1";#N/A,#N/A,FALSE,"Loss2";#N/A,#N/A,FALSE,"Hour-Labor(배분)";#N/A,#N/A,FALSE,"Capital Expenditure";#N/A,#N/A,FALSE,"Productivity"}</definedName>
    <definedName name="DDDDDDDDDDDDDDDDDDDDDDDDDDDDD" localSheetId="42" hidden="1">{#N/A,#N/A,FALSE,"Yield";#N/A,#N/A,FALSE,"Loss1";#N/A,#N/A,FALSE,"Loss2";#N/A,#N/A,FALSE,"Hour-Labor(배분)";#N/A,#N/A,FALSE,"Capital Expenditure";#N/A,#N/A,FALSE,"Productivity"}</definedName>
    <definedName name="DDDDDDDDDDDDDDDDDDDDDDDDDDDDD" hidden="1">{#N/A,#N/A,FALSE,"Yield";#N/A,#N/A,FALSE,"Loss1";#N/A,#N/A,FALSE,"Loss2";#N/A,#N/A,FALSE,"Hour-Labor(배분)";#N/A,#N/A,FALSE,"Capital Expenditure";#N/A,#N/A,FALSE,"Productivity"}</definedName>
    <definedName name="DDDDDDDDDDDDDDDDDDDDDDDDDDDDDDD" localSheetId="15" hidden="1">{#N/A,#N/A,FALSE,"98소지이동TOTvs99.1 (2)";#N/A,#N/A,FALSE,"TOTAL";#N/A,#N/A,FALSE,"98소지이동TOTvs99.1(b) (2)"}</definedName>
    <definedName name="DDDDDDDDDDDDDDDDDDDDDDDDDDDDDDD" localSheetId="6" hidden="1">{#N/A,#N/A,FALSE,"98소지이동TOTvs99.1 (2)";#N/A,#N/A,FALSE,"TOTAL";#N/A,#N/A,FALSE,"98소지이동TOTvs99.1(b) (2)"}</definedName>
    <definedName name="DDDDDDDDDDDDDDDDDDDDDDDDDDDDDDD" localSheetId="45" hidden="1">{#N/A,#N/A,FALSE,"98소지이동TOTvs99.1 (2)";#N/A,#N/A,FALSE,"TOTAL";#N/A,#N/A,FALSE,"98소지이동TOTvs99.1(b) (2)"}</definedName>
    <definedName name="DDDDDDDDDDDDDDDDDDDDDDDDDDDDDDD" localSheetId="42" hidden="1">{#N/A,#N/A,FALSE,"98소지이동TOTvs99.1 (2)";#N/A,#N/A,FALSE,"TOTAL";#N/A,#N/A,FALSE,"98소지이동TOTvs99.1(b) (2)"}</definedName>
    <definedName name="DDDDDDDDDDDDDDDDDDDDDDDDDDDDDDD" hidden="1">{#N/A,#N/A,FALSE,"98소지이동TOTvs99.1 (2)";#N/A,#N/A,FALSE,"TOTAL";#N/A,#N/A,FALSE,"98소지이동TOTvs99.1(b) (2)"}</definedName>
    <definedName name="DDDDDDDDDDDDDDDDDDDDDDDDDDDDDDDD" localSheetId="15"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DDDDDDDDDDDDDDDDDDDDDDDDDDDDDDDD" localSheetId="6"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DDDDDDDDDDDDDDDDDDDDDDDDDDDDDDDD" localSheetId="45"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DDDDDDDDDDDDDDDDDDDDDDDDDDDDDDDD" localSheetId="42"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DDDDDDDDDDDDDDDDDDDDDDDDDDDDDDDD"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DDDDDDDDDDDDDDDDDDDDDDDDDDDDDDDDD" localSheetId="15" hidden="1">{#N/A,#N/A,FALSE,"Yield";#N/A,#N/A,FALSE,"Loss1";#N/A,#N/A,FALSE,"Loss2";#N/A,#N/A,FALSE,"Hour-Labor(배분)";#N/A,#N/A,FALSE,"Capital Expenditure";#N/A,#N/A,FALSE,"Productivity"}</definedName>
    <definedName name="DDDDDDDDDDDDDDDDDDDDDDDDDDDDDDDDD" localSheetId="6" hidden="1">{#N/A,#N/A,FALSE,"Yield";#N/A,#N/A,FALSE,"Loss1";#N/A,#N/A,FALSE,"Loss2";#N/A,#N/A,FALSE,"Hour-Labor(배분)";#N/A,#N/A,FALSE,"Capital Expenditure";#N/A,#N/A,FALSE,"Productivity"}</definedName>
    <definedName name="DDDDDDDDDDDDDDDDDDDDDDDDDDDDDDDDD" localSheetId="45" hidden="1">{#N/A,#N/A,FALSE,"Yield";#N/A,#N/A,FALSE,"Loss1";#N/A,#N/A,FALSE,"Loss2";#N/A,#N/A,FALSE,"Hour-Labor(배분)";#N/A,#N/A,FALSE,"Capital Expenditure";#N/A,#N/A,FALSE,"Productivity"}</definedName>
    <definedName name="DDDDDDDDDDDDDDDDDDDDDDDDDDDDDDDDD" localSheetId="42" hidden="1">{#N/A,#N/A,FALSE,"Yield";#N/A,#N/A,FALSE,"Loss1";#N/A,#N/A,FALSE,"Loss2";#N/A,#N/A,FALSE,"Hour-Labor(배분)";#N/A,#N/A,FALSE,"Capital Expenditure";#N/A,#N/A,FALSE,"Productivity"}</definedName>
    <definedName name="DDDDDDDDDDDDDDDDDDDDDDDDDDDDDDDDD" hidden="1">{#N/A,#N/A,FALSE,"Yield";#N/A,#N/A,FALSE,"Loss1";#N/A,#N/A,FALSE,"Loss2";#N/A,#N/A,FALSE,"Hour-Labor(배분)";#N/A,#N/A,FALSE,"Capital Expenditure";#N/A,#N/A,FALSE,"Productivity"}</definedName>
    <definedName name="DDDDDDDDDDDDDDDDDDDDDDDDDDDDDDDDDDDDDD" localSheetId="15" hidden="1">{#N/A,#N/A,FALSE,"군산원가";#N/A,#N/A,FALSE,"팀별월별";#N/A,#N/A,FALSE,"타공정대체";#N/A,#N/A,FALSE,"기타경비";#N/A,#N/A,FALSE,"원료";#N/A,#N/A,FALSE,"연료"}</definedName>
    <definedName name="DDDDDDDDDDDDDDDDDDDDDDDDDDDDDDDDDDDDDD" localSheetId="6" hidden="1">{#N/A,#N/A,FALSE,"군산원가";#N/A,#N/A,FALSE,"팀별월별";#N/A,#N/A,FALSE,"타공정대체";#N/A,#N/A,FALSE,"기타경비";#N/A,#N/A,FALSE,"원료";#N/A,#N/A,FALSE,"연료"}</definedName>
    <definedName name="DDDDDDDDDDDDDDDDDDDDDDDDDDDDDDDDDDDDDD" localSheetId="45" hidden="1">{#N/A,#N/A,FALSE,"군산원가";#N/A,#N/A,FALSE,"팀별월별";#N/A,#N/A,FALSE,"타공정대체";#N/A,#N/A,FALSE,"기타경비";#N/A,#N/A,FALSE,"원료";#N/A,#N/A,FALSE,"연료"}</definedName>
    <definedName name="DDDDDDDDDDDDDDDDDDDDDDDDDDDDDDDDDDDDDD" localSheetId="42" hidden="1">{#N/A,#N/A,FALSE,"군산원가";#N/A,#N/A,FALSE,"팀별월별";#N/A,#N/A,FALSE,"타공정대체";#N/A,#N/A,FALSE,"기타경비";#N/A,#N/A,FALSE,"원료";#N/A,#N/A,FALSE,"연료"}</definedName>
    <definedName name="DDDDDDDDDDDDDDDDDDDDDDDDDDDDDDDDDDDDDD" hidden="1">{#N/A,#N/A,FALSE,"군산원가";#N/A,#N/A,FALSE,"팀별월별";#N/A,#N/A,FALSE,"타공정대체";#N/A,#N/A,FALSE,"기타경비";#N/A,#N/A,FALSE,"원료";#N/A,#N/A,FALSE,"연료"}</definedName>
    <definedName name="DDDDDDDDDDDDDDDDDDDDDDDDDDDDDDDDDDDDDDD" localSheetId="15"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DDDDDDDDDDDDDDDDDDDDDDDDDDDDDDDDDDDDDDD" localSheetId="6"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DDDDDDDDDDDDDDDDDDDDDDDDDDDDDDDDDDDDDDD" localSheetId="45"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DDDDDDDDDDDDDDDDDDDDDDDDDDDDDDDDDDDDDDD" localSheetId="42"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DDDDDDDDDDDDDDDDDDDDDDDDDDDDDDDDDDDDDDD"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DDDDDDDDDDDDDDDDDDDDDDDDDDDDDDDDDDDDDDDD" localSheetId="15"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DDDDDDDDDDDDDDDDDDDDDDDDDDDDDDDDDDDDDDDD" localSheetId="6"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DDDDDDDDDDDDDDDDDDDDDDDDDDDDDDDDDDDDDDDD" localSheetId="45"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DDDDDDDDDDDDDDDDDDDDDDDDDDDDDDDDDDDDDDDD" localSheetId="42"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DDDDDDDDDDDDDDDDDDDDDDDDDDDDDDDDDDDDDDDD"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DDDDDDDDDDDDDDDDDDDDDDDDDDDDDDDDDDDDDDDDDDDDDDDDDDDDDDDD" localSheetId="15" hidden="1">{#N/A,#N/A,FALSE,"Yield";#N/A,#N/A,FALSE,"Loss1";#N/A,#N/A,FALSE,"Loss2";#N/A,#N/A,FALSE,"Hour-Labor(배분)";#N/A,#N/A,FALSE,"Capital Expenditure";#N/A,#N/A,FALSE,"Productivity"}</definedName>
    <definedName name="DDDDDDDDDDDDDDDDDDDDDDDDDDDDDDDDDDDDDDDDDDDDDDDDDDDDDDDD" localSheetId="6" hidden="1">{#N/A,#N/A,FALSE,"Yield";#N/A,#N/A,FALSE,"Loss1";#N/A,#N/A,FALSE,"Loss2";#N/A,#N/A,FALSE,"Hour-Labor(배분)";#N/A,#N/A,FALSE,"Capital Expenditure";#N/A,#N/A,FALSE,"Productivity"}</definedName>
    <definedName name="DDDDDDDDDDDDDDDDDDDDDDDDDDDDDDDDDDDDDDDDDDDDDDDDDDDDDDDD" localSheetId="45" hidden="1">{#N/A,#N/A,FALSE,"Yield";#N/A,#N/A,FALSE,"Loss1";#N/A,#N/A,FALSE,"Loss2";#N/A,#N/A,FALSE,"Hour-Labor(배분)";#N/A,#N/A,FALSE,"Capital Expenditure";#N/A,#N/A,FALSE,"Productivity"}</definedName>
    <definedName name="DDDDDDDDDDDDDDDDDDDDDDDDDDDDDDDDDDDDDDDDDDDDDDDDDDDDDDDD" localSheetId="42" hidden="1">{#N/A,#N/A,FALSE,"Yield";#N/A,#N/A,FALSE,"Loss1";#N/A,#N/A,FALSE,"Loss2";#N/A,#N/A,FALSE,"Hour-Labor(배분)";#N/A,#N/A,FALSE,"Capital Expenditure";#N/A,#N/A,FALSE,"Productivity"}</definedName>
    <definedName name="DDDDDDDDDDDDDDDDDDDDDDDDDDDDDDDDDDDDDDDDDDDDDDDDDDDDDDDD" hidden="1">{#N/A,#N/A,FALSE,"Yield";#N/A,#N/A,FALSE,"Loss1";#N/A,#N/A,FALSE,"Loss2";#N/A,#N/A,FALSE,"Hour-Labor(배분)";#N/A,#N/A,FALSE,"Capital Expenditure";#N/A,#N/A,FALSE,"Productivity"}</definedName>
    <definedName name="dddfg" localSheetId="15" hidden="1">{#N/A,#N/A,FALSE,"정공"}</definedName>
    <definedName name="dddfg" localSheetId="6" hidden="1">{#N/A,#N/A,FALSE,"정공"}</definedName>
    <definedName name="dddfg" localSheetId="45" hidden="1">{#N/A,#N/A,FALSE,"정공"}</definedName>
    <definedName name="dddfg" localSheetId="42" hidden="1">{#N/A,#N/A,FALSE,"정공"}</definedName>
    <definedName name="dddfg" hidden="1">{#N/A,#N/A,FALSE,"정공"}</definedName>
    <definedName name="DDDQQ" localSheetId="15" hidden="1">{#N/A,#N/A,FALSE,"DAOCM 2차 검토"}</definedName>
    <definedName name="DDDQQ" localSheetId="6" hidden="1">{#N/A,#N/A,FALSE,"DAOCM 2차 검토"}</definedName>
    <definedName name="DDDQQ" localSheetId="45" hidden="1">{#N/A,#N/A,FALSE,"DAOCM 2차 검토"}</definedName>
    <definedName name="DDDQQ" localSheetId="42" hidden="1">{#N/A,#N/A,FALSE,"DAOCM 2차 검토"}</definedName>
    <definedName name="DDDQQ" hidden="1">{#N/A,#N/A,FALSE,"DAOCM 2차 검토"}</definedName>
    <definedName name="ddfddddd" localSheetId="12" hidden="1">{#N/A,#N/A,FALSE,"DAOCM 2차 검토"}</definedName>
    <definedName name="ddfddddd" localSheetId="42" hidden="1">{#N/A,#N/A,FALSE,"DAOCM 2차 검토"}</definedName>
    <definedName name="ddfddddd" hidden="1">{#N/A,#N/A,FALSE,"DAOCM 2차 검토"}</definedName>
    <definedName name="DDong" localSheetId="12" hidden="1">{#N/A,#N/A,FALSE,"지침";#N/A,#N/A,FALSE,"환경분석";#N/A,#N/A,FALSE,"Sheet16"}</definedName>
    <definedName name="DDong" localSheetId="42" hidden="1">{#N/A,#N/A,FALSE,"지침";#N/A,#N/A,FALSE,"환경분석";#N/A,#N/A,FALSE,"Sheet16"}</definedName>
    <definedName name="DDong" hidden="1">{#N/A,#N/A,FALSE,"지침";#N/A,#N/A,FALSE,"환경분석";#N/A,#N/A,FALSE,"Sheet16"}</definedName>
    <definedName name="dewfd" localSheetId="42" hidden="1">{#N/A,#N/A,FALSE,"1.CRITERIA";#N/A,#N/A,FALSE,"2.IS";#N/A,#N/A,FALSE,"3.BS";#N/A,#N/A,FALSE,"4.PER PL";#N/A,#N/A,FALSE,"5.INVESTMENT";#N/A,#N/A,FALSE,"6.공문";#N/A,#N/A,FALSE,"7.netinvest"}</definedName>
    <definedName name="dewfd" hidden="1">{#N/A,#N/A,FALSE,"1.CRITERIA";#N/A,#N/A,FALSE,"2.IS";#N/A,#N/A,FALSE,"3.BS";#N/A,#N/A,FALSE,"4.PER PL";#N/A,#N/A,FALSE,"5.INVESTMENT";#N/A,#N/A,FALSE,"6.공문";#N/A,#N/A,FALSE,"7.netinvest"}</definedName>
    <definedName name="df" localSheetId="15" hidden="1">{"FORM1",#N/A,FALSE,"Revenue";"FORMTR",#N/A,FALSE,"Revenue";"FORM3.1",#N/A,FALSE,"Revenue"}</definedName>
    <definedName name="df" localSheetId="6" hidden="1">{"FORM1",#N/A,FALSE,"Revenue";"FORMTR",#N/A,FALSE,"Revenue";"FORM3.1",#N/A,FALSE,"Revenue"}</definedName>
    <definedName name="df" localSheetId="45" hidden="1">{"FORM1",#N/A,FALSE,"Revenue";"FORMTR",#N/A,FALSE,"Revenue";"FORM3.1",#N/A,FALSE,"Revenue"}</definedName>
    <definedName name="df" localSheetId="42" hidden="1">{"FORM1",#N/A,FALSE,"Revenue";"FORMTR",#N/A,FALSE,"Revenue";"FORM3.1",#N/A,FALSE,"Revenue"}</definedName>
    <definedName name="df" hidden="1">{#N/A,#N/A,FALSE,"BS";#N/A,#N/A,FALSE,"PL";#N/A,#N/A,FALSE,"처분";#N/A,#N/A,FALSE,"현금";#N/A,#N/A,FALSE,"매출";#N/A,#N/A,FALSE,"원가";#N/A,#N/A,FALSE,"경영"}</definedName>
    <definedName name="DFASDFDS" localSheetId="15" hidden="1">{#N/A,#N/A,FALSE,"손익표지";#N/A,#N/A,FALSE,"손익계산";#N/A,#N/A,FALSE,"일반관리비";#N/A,#N/A,FALSE,"영업외수익";#N/A,#N/A,FALSE,"영업외비용";#N/A,#N/A,FALSE,"매출액";#N/A,#N/A,FALSE,"요약손익";#N/A,#N/A,FALSE,"요약대차";#N/A,#N/A,FALSE,"매출채권현황";#N/A,#N/A,FALSE,"매출채권명세"}</definedName>
    <definedName name="DFASDFDS" localSheetId="6" hidden="1">{#N/A,#N/A,FALSE,"손익표지";#N/A,#N/A,FALSE,"손익계산";#N/A,#N/A,FALSE,"일반관리비";#N/A,#N/A,FALSE,"영업외수익";#N/A,#N/A,FALSE,"영업외비용";#N/A,#N/A,FALSE,"매출액";#N/A,#N/A,FALSE,"요약손익";#N/A,#N/A,FALSE,"요약대차";#N/A,#N/A,FALSE,"매출채권현황";#N/A,#N/A,FALSE,"매출채권명세"}</definedName>
    <definedName name="DFASDFDS" localSheetId="45" hidden="1">{#N/A,#N/A,FALSE,"손익표지";#N/A,#N/A,FALSE,"손익계산";#N/A,#N/A,FALSE,"일반관리비";#N/A,#N/A,FALSE,"영업외수익";#N/A,#N/A,FALSE,"영업외비용";#N/A,#N/A,FALSE,"매출액";#N/A,#N/A,FALSE,"요약손익";#N/A,#N/A,FALSE,"요약대차";#N/A,#N/A,FALSE,"매출채권현황";#N/A,#N/A,FALSE,"매출채권명세"}</definedName>
    <definedName name="DFASDFDS" localSheetId="42" hidden="1">{#N/A,#N/A,FALSE,"손익표지";#N/A,#N/A,FALSE,"손익계산";#N/A,#N/A,FALSE,"일반관리비";#N/A,#N/A,FALSE,"영업외수익";#N/A,#N/A,FALSE,"영업외비용";#N/A,#N/A,FALSE,"매출액";#N/A,#N/A,FALSE,"요약손익";#N/A,#N/A,FALSE,"요약대차";#N/A,#N/A,FALSE,"매출채권현황";#N/A,#N/A,FALSE,"매출채권명세"}</definedName>
    <definedName name="DFASDFDS" hidden="1">{#N/A,#N/A,FALSE,"손익표지";#N/A,#N/A,FALSE,"손익계산";#N/A,#N/A,FALSE,"일반관리비";#N/A,#N/A,FALSE,"영업외수익";#N/A,#N/A,FALSE,"영업외비용";#N/A,#N/A,FALSE,"매출액";#N/A,#N/A,FALSE,"요약손익";#N/A,#N/A,FALSE,"요약대차";#N/A,#N/A,FALSE,"매출채권현황";#N/A,#N/A,FALSE,"매출채권명세"}</definedName>
    <definedName name="dfdf" localSheetId="12" hidden="1">{#N/A,#N/A,FALSE,"UNIT";#N/A,#N/A,FALSE,"UNIT";#N/A,#N/A,FALSE,"계정"}</definedName>
    <definedName name="dfdf" localSheetId="42" hidden="1">{#N/A,#N/A,FALSE,"UNIT";#N/A,#N/A,FALSE,"UNIT";#N/A,#N/A,FALSE,"계정"}</definedName>
    <definedName name="dfdf" hidden="1">{#N/A,#N/A,FALSE,"UNIT";#N/A,#N/A,FALSE,"UNIT";#N/A,#N/A,FALSE,"계정"}</definedName>
    <definedName name="dfdsgfhgh" localSheetId="42" hidden="1">{"'2 혼례가구(1)'!$C$10"}</definedName>
    <definedName name="dfdsgfhgh" hidden="1">{"'2 혼례가구(1)'!$C$10"}</definedName>
    <definedName name="dfs" localSheetId="12" hidden="1">{#N/A,#N/A,FALSE,"Sheet1"}</definedName>
    <definedName name="dfs" localSheetId="42" hidden="1">{#N/A,#N/A,FALSE,"Sheet1"}</definedName>
    <definedName name="dfs" hidden="1">{#N/A,#N/A,FALSE,"Sheet1"}</definedName>
    <definedName name="dfsgdfsg" localSheetId="15" hidden="1">{#N/A,#N/A,FALSE,"98소지이동TOTvs99.1 (2)";#N/A,#N/A,FALSE,"TOTAL";#N/A,#N/A,FALSE,"98소지이동TOTvs99.1(b) (2)"}</definedName>
    <definedName name="dfsgdfsg" localSheetId="6" hidden="1">{#N/A,#N/A,FALSE,"98소지이동TOTvs99.1 (2)";#N/A,#N/A,FALSE,"TOTAL";#N/A,#N/A,FALSE,"98소지이동TOTvs99.1(b) (2)"}</definedName>
    <definedName name="dfsgdfsg" localSheetId="45" hidden="1">{#N/A,#N/A,FALSE,"98소지이동TOTvs99.1 (2)";#N/A,#N/A,FALSE,"TOTAL";#N/A,#N/A,FALSE,"98소지이동TOTvs99.1(b) (2)"}</definedName>
    <definedName name="dfsgdfsg" localSheetId="42" hidden="1">{#N/A,#N/A,FALSE,"98소지이동TOTvs99.1 (2)";#N/A,#N/A,FALSE,"TOTAL";#N/A,#N/A,FALSE,"98소지이동TOTvs99.1(b) (2)"}</definedName>
    <definedName name="dfsgdfsg" hidden="1">{#N/A,#N/A,FALSE,"98소지이동TOTvs99.1 (2)";#N/A,#N/A,FALSE,"TOTAL";#N/A,#N/A,FALSE,"98소지이동TOTvs99.1(b) (2)"}</definedName>
    <definedName name="dfsmfkajskdfa" localSheetId="15" hidden="1">{#N/A,#N/A,FALSE,"손익표지";#N/A,#N/A,FALSE,"손익계산";#N/A,#N/A,FALSE,"일반관리비";#N/A,#N/A,FALSE,"영업외수익";#N/A,#N/A,FALSE,"영업외비용";#N/A,#N/A,FALSE,"매출액";#N/A,#N/A,FALSE,"요약손익";#N/A,#N/A,FALSE,"요약대차";#N/A,#N/A,FALSE,"매출채권현황";#N/A,#N/A,FALSE,"매출채권명세"}</definedName>
    <definedName name="dfsmfkajskdfa" localSheetId="6" hidden="1">{#N/A,#N/A,FALSE,"손익표지";#N/A,#N/A,FALSE,"손익계산";#N/A,#N/A,FALSE,"일반관리비";#N/A,#N/A,FALSE,"영업외수익";#N/A,#N/A,FALSE,"영업외비용";#N/A,#N/A,FALSE,"매출액";#N/A,#N/A,FALSE,"요약손익";#N/A,#N/A,FALSE,"요약대차";#N/A,#N/A,FALSE,"매출채권현황";#N/A,#N/A,FALSE,"매출채권명세"}</definedName>
    <definedName name="dfsmfkajskdfa" localSheetId="45" hidden="1">{#N/A,#N/A,FALSE,"손익표지";#N/A,#N/A,FALSE,"손익계산";#N/A,#N/A,FALSE,"일반관리비";#N/A,#N/A,FALSE,"영업외수익";#N/A,#N/A,FALSE,"영업외비용";#N/A,#N/A,FALSE,"매출액";#N/A,#N/A,FALSE,"요약손익";#N/A,#N/A,FALSE,"요약대차";#N/A,#N/A,FALSE,"매출채권현황";#N/A,#N/A,FALSE,"매출채권명세"}</definedName>
    <definedName name="dfsmfkajskdfa" localSheetId="42" hidden="1">{#N/A,#N/A,FALSE,"손익표지";#N/A,#N/A,FALSE,"손익계산";#N/A,#N/A,FALSE,"일반관리비";#N/A,#N/A,FALSE,"영업외수익";#N/A,#N/A,FALSE,"영업외비용";#N/A,#N/A,FALSE,"매출액";#N/A,#N/A,FALSE,"요약손익";#N/A,#N/A,FALSE,"요약대차";#N/A,#N/A,FALSE,"매출채권현황";#N/A,#N/A,FALSE,"매출채권명세"}</definedName>
    <definedName name="dfsmfkajskdfa" hidden="1">{#N/A,#N/A,FALSE,"손익표지";#N/A,#N/A,FALSE,"손익계산";#N/A,#N/A,FALSE,"일반관리비";#N/A,#N/A,FALSE,"영업외수익";#N/A,#N/A,FALSE,"영업외비용";#N/A,#N/A,FALSE,"매출액";#N/A,#N/A,FALSE,"요약손익";#N/A,#N/A,FALSE,"요약대차";#N/A,#N/A,FALSE,"매출채권현황";#N/A,#N/A,FALSE,"매출채권명세"}</definedName>
    <definedName name="dgdfg" localSheetId="15"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dgdfg" localSheetId="6"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dgdfg" localSheetId="45"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dgdfg" localSheetId="42"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dgdfg"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DJ" localSheetId="15" hidden="1">{#N/A,#N/A,FALSE,"손익표지";#N/A,#N/A,FALSE,"손익계산";#N/A,#N/A,FALSE,"일반관리비";#N/A,#N/A,FALSE,"영업외수익";#N/A,#N/A,FALSE,"영업외비용";#N/A,#N/A,FALSE,"매출액";#N/A,#N/A,FALSE,"요약손익";#N/A,#N/A,FALSE,"요약대차";#N/A,#N/A,FALSE,"매출채권현황";#N/A,#N/A,FALSE,"매출채권명세"}</definedName>
    <definedName name="DJ" localSheetId="6" hidden="1">{#N/A,#N/A,FALSE,"손익표지";#N/A,#N/A,FALSE,"손익계산";#N/A,#N/A,FALSE,"일반관리비";#N/A,#N/A,FALSE,"영업외수익";#N/A,#N/A,FALSE,"영업외비용";#N/A,#N/A,FALSE,"매출액";#N/A,#N/A,FALSE,"요약손익";#N/A,#N/A,FALSE,"요약대차";#N/A,#N/A,FALSE,"매출채권현황";#N/A,#N/A,FALSE,"매출채권명세"}</definedName>
    <definedName name="DJ" localSheetId="45" hidden="1">{#N/A,#N/A,FALSE,"손익표지";#N/A,#N/A,FALSE,"손익계산";#N/A,#N/A,FALSE,"일반관리비";#N/A,#N/A,FALSE,"영업외수익";#N/A,#N/A,FALSE,"영업외비용";#N/A,#N/A,FALSE,"매출액";#N/A,#N/A,FALSE,"요약손익";#N/A,#N/A,FALSE,"요약대차";#N/A,#N/A,FALSE,"매출채권현황";#N/A,#N/A,FALSE,"매출채권명세"}</definedName>
    <definedName name="DJ" localSheetId="42" hidden="1">{#N/A,#N/A,FALSE,"손익표지";#N/A,#N/A,FALSE,"손익계산";#N/A,#N/A,FALSE,"일반관리비";#N/A,#N/A,FALSE,"영업외수익";#N/A,#N/A,FALSE,"영업외비용";#N/A,#N/A,FALSE,"매출액";#N/A,#N/A,FALSE,"요약손익";#N/A,#N/A,FALSE,"요약대차";#N/A,#N/A,FALSE,"매출채권현황";#N/A,#N/A,FALSE,"매출채권명세"}</definedName>
    <definedName name="DJ" hidden="1">{#N/A,#N/A,FALSE,"손익표지";#N/A,#N/A,FALSE,"손익계산";#N/A,#N/A,FALSE,"일반관리비";#N/A,#N/A,FALSE,"영업외수익";#N/A,#N/A,FALSE,"영업외비용";#N/A,#N/A,FALSE,"매출액";#N/A,#N/A,FALSE,"요약손익";#N/A,#N/A,FALSE,"요약대차";#N/A,#N/A,FALSE,"매출채권현황";#N/A,#N/A,FALSE,"매출채권명세"}</definedName>
    <definedName name="djkflajsdk" localSheetId="42" hidden="1">{"EVA",#N/A,FALSE,"EVA";"WACC",#N/A,FALSE,"WACC"}</definedName>
    <definedName name="djkflajsdk" hidden="1">{"EVA",#N/A,FALSE,"EVA";"WACC",#N/A,FALSE,"WACC"}</definedName>
    <definedName name="djld" localSheetId="15" hidden="1">{#N/A,#N/A,FALSE,"손익표지";#N/A,#N/A,FALSE,"손익계산";#N/A,#N/A,FALSE,"일반관리비";#N/A,#N/A,FALSE,"영업외수익";#N/A,#N/A,FALSE,"영업외비용";#N/A,#N/A,FALSE,"매출액";#N/A,#N/A,FALSE,"요약손익";#N/A,#N/A,FALSE,"요약대차";#N/A,#N/A,FALSE,"매출채권현황";#N/A,#N/A,FALSE,"매출채권명세"}</definedName>
    <definedName name="djld" localSheetId="6" hidden="1">{#N/A,#N/A,FALSE,"손익표지";#N/A,#N/A,FALSE,"손익계산";#N/A,#N/A,FALSE,"일반관리비";#N/A,#N/A,FALSE,"영업외수익";#N/A,#N/A,FALSE,"영업외비용";#N/A,#N/A,FALSE,"매출액";#N/A,#N/A,FALSE,"요약손익";#N/A,#N/A,FALSE,"요약대차";#N/A,#N/A,FALSE,"매출채권현황";#N/A,#N/A,FALSE,"매출채권명세"}</definedName>
    <definedName name="djld" localSheetId="45" hidden="1">{#N/A,#N/A,FALSE,"손익표지";#N/A,#N/A,FALSE,"손익계산";#N/A,#N/A,FALSE,"일반관리비";#N/A,#N/A,FALSE,"영업외수익";#N/A,#N/A,FALSE,"영업외비용";#N/A,#N/A,FALSE,"매출액";#N/A,#N/A,FALSE,"요약손익";#N/A,#N/A,FALSE,"요약대차";#N/A,#N/A,FALSE,"매출채권현황";#N/A,#N/A,FALSE,"매출채권명세"}</definedName>
    <definedName name="djld" localSheetId="42" hidden="1">{#N/A,#N/A,FALSE,"손익표지";#N/A,#N/A,FALSE,"손익계산";#N/A,#N/A,FALSE,"일반관리비";#N/A,#N/A,FALSE,"영업외수익";#N/A,#N/A,FALSE,"영업외비용";#N/A,#N/A,FALSE,"매출액";#N/A,#N/A,FALSE,"요약손익";#N/A,#N/A,FALSE,"요약대차";#N/A,#N/A,FALSE,"매출채권현황";#N/A,#N/A,FALSE,"매출채권명세"}</definedName>
    <definedName name="djld" hidden="1">{#N/A,#N/A,FALSE,"손익표지";#N/A,#N/A,FALSE,"손익계산";#N/A,#N/A,FALSE,"일반관리비";#N/A,#N/A,FALSE,"영업외수익";#N/A,#N/A,FALSE,"영업외비용";#N/A,#N/A,FALSE,"매출액";#N/A,#N/A,FALSE,"요약손익";#N/A,#N/A,FALSE,"요약대차";#N/A,#N/A,FALSE,"매출채권현황";#N/A,#N/A,FALSE,"매출채권명세"}</definedName>
    <definedName name="dkdk" localSheetId="42" hidden="1">{"'미착금액'!$A$4:$G$14"}</definedName>
    <definedName name="dkdk" hidden="1">{"'미착금액'!$A$4:$G$14"}</definedName>
    <definedName name="dkdkd" localSheetId="42" hidden="1">{#N/A,#N/A,FALSE,"UNIT";#N/A,#N/A,FALSE,"UNIT";#N/A,#N/A,FALSE,"계정"}</definedName>
    <definedName name="dkdkd" hidden="1">{#N/A,#N/A,FALSE,"UNIT";#N/A,#N/A,FALSE,"UNIT";#N/A,#N/A,FALSE,"계정"}</definedName>
    <definedName name="dldnjsdl" localSheetId="42" hidden="1">{#N/A,#N/A,FALSE,"지침";#N/A,#N/A,FALSE,"환경분석";#N/A,#N/A,FALSE,"Sheet16"}</definedName>
    <definedName name="dldnjsdl" hidden="1">{#N/A,#N/A,FALSE,"지침";#N/A,#N/A,FALSE,"환경분석";#N/A,#N/A,FALSE,"Sheet16"}</definedName>
    <definedName name="DLWJS" localSheetId="15" hidden="1">{#N/A,#N/A,FALSE,"Yield";#N/A,#N/A,FALSE,"Loss1";#N/A,#N/A,FALSE,"Loss2";#N/A,#N/A,FALSE,"Hour-Labor(배분)";#N/A,#N/A,FALSE,"Capital Expenditure";#N/A,#N/A,FALSE,"Productivity"}</definedName>
    <definedName name="DLWJS" localSheetId="6" hidden="1">{#N/A,#N/A,FALSE,"Yield";#N/A,#N/A,FALSE,"Loss1";#N/A,#N/A,FALSE,"Loss2";#N/A,#N/A,FALSE,"Hour-Labor(배분)";#N/A,#N/A,FALSE,"Capital Expenditure";#N/A,#N/A,FALSE,"Productivity"}</definedName>
    <definedName name="DLWJS" localSheetId="45" hidden="1">{#N/A,#N/A,FALSE,"Yield";#N/A,#N/A,FALSE,"Loss1";#N/A,#N/A,FALSE,"Loss2";#N/A,#N/A,FALSE,"Hour-Labor(배분)";#N/A,#N/A,FALSE,"Capital Expenditure";#N/A,#N/A,FALSE,"Productivity"}</definedName>
    <definedName name="DLWJS" localSheetId="42" hidden="1">{#N/A,#N/A,FALSE,"Yield";#N/A,#N/A,FALSE,"Loss1";#N/A,#N/A,FALSE,"Loss2";#N/A,#N/A,FALSE,"Hour-Labor(배분)";#N/A,#N/A,FALSE,"Capital Expenditure";#N/A,#N/A,FALSE,"Productivity"}</definedName>
    <definedName name="DLWJS" hidden="1">{#N/A,#N/A,FALSE,"Yield";#N/A,#N/A,FALSE,"Loss1";#N/A,#N/A,FALSE,"Loss2";#N/A,#N/A,FALSE,"Hour-Labor(배분)";#N/A,#N/A,FALSE,"Capital Expenditure";#N/A,#N/A,FALSE,"Productivity"}</definedName>
    <definedName name="dnjs" localSheetId="15" hidden="1">{"FORM17",#N/A,FALSE,"Commission1";"FORM17.1",#N/A,FALSE,"Commission2"}</definedName>
    <definedName name="dnjs" localSheetId="6" hidden="1">{"FORM17",#N/A,FALSE,"Commission1";"FORM17.1",#N/A,FALSE,"Commission2"}</definedName>
    <definedName name="dnjs" localSheetId="45" hidden="1">{"FORM17",#N/A,FALSE,"Commission1";"FORM17.1",#N/A,FALSE,"Commission2"}</definedName>
    <definedName name="dnjs" localSheetId="42" hidden="1">{"FORM17",#N/A,FALSE,"Commission1";"FORM17.1",#N/A,FALSE,"Commission2"}</definedName>
    <definedName name="dnjs" hidden="1">{"FORM17",#N/A,FALSE,"Commission1";"FORM17.1",#N/A,FALSE,"Commission2"}</definedName>
    <definedName name="ds" localSheetId="15" hidden="1">{"FORM1",#N/A,TRUE,"Revenue";"FORM1.1",#N/A,TRUE,"Revenue";"FORM1.2",#N/A,TRUE,"Revenue";"FORM2",#N/A,TRUE,"Revenue";"FORM2.1",#N/A,TRUE,"Revenue"}</definedName>
    <definedName name="ds" localSheetId="6" hidden="1">{"FORM1",#N/A,TRUE,"Revenue";"FORM1.1",#N/A,TRUE,"Revenue";"FORM1.2",#N/A,TRUE,"Revenue";"FORM2",#N/A,TRUE,"Revenue";"FORM2.1",#N/A,TRUE,"Revenue"}</definedName>
    <definedName name="ds" localSheetId="45" hidden="1">{"FORM1",#N/A,TRUE,"Revenue";"FORM1.1",#N/A,TRUE,"Revenue";"FORM1.2",#N/A,TRUE,"Revenue";"FORM2",#N/A,TRUE,"Revenue";"FORM2.1",#N/A,TRUE,"Revenue"}</definedName>
    <definedName name="ds" localSheetId="42" hidden="1">{"FORM1",#N/A,TRUE,"Revenue";"FORM1.1",#N/A,TRUE,"Revenue";"FORM1.2",#N/A,TRUE,"Revenue";"FORM2",#N/A,TRUE,"Revenue";"FORM2.1",#N/A,TRUE,"Revenue"}</definedName>
    <definedName name="ds" hidden="1">{"FORM1",#N/A,TRUE,"Revenue";"FORM1.1",#N/A,TRUE,"Revenue";"FORM1.2",#N/A,TRUE,"Revenue";"FORM2",#N/A,TRUE,"Revenue";"FORM2.1",#N/A,TRUE,"Revenue"}</definedName>
    <definedName name="DSAFAHSDHFDHF" localSheetId="15" hidden="1">{#N/A,#N/A,FALSE,"손익표지";#N/A,#N/A,FALSE,"손익계산";#N/A,#N/A,FALSE,"일반관리비";#N/A,#N/A,FALSE,"영업외수익";#N/A,#N/A,FALSE,"영업외비용";#N/A,#N/A,FALSE,"매출액";#N/A,#N/A,FALSE,"요약손익";#N/A,#N/A,FALSE,"요약대차";#N/A,#N/A,FALSE,"매출채권현황";#N/A,#N/A,FALSE,"매출채권명세"}</definedName>
    <definedName name="DSAFAHSDHFDHF" localSheetId="6" hidden="1">{#N/A,#N/A,FALSE,"손익표지";#N/A,#N/A,FALSE,"손익계산";#N/A,#N/A,FALSE,"일반관리비";#N/A,#N/A,FALSE,"영업외수익";#N/A,#N/A,FALSE,"영업외비용";#N/A,#N/A,FALSE,"매출액";#N/A,#N/A,FALSE,"요약손익";#N/A,#N/A,FALSE,"요약대차";#N/A,#N/A,FALSE,"매출채권현황";#N/A,#N/A,FALSE,"매출채권명세"}</definedName>
    <definedName name="DSAFAHSDHFDHF" localSheetId="45" hidden="1">{#N/A,#N/A,FALSE,"손익표지";#N/A,#N/A,FALSE,"손익계산";#N/A,#N/A,FALSE,"일반관리비";#N/A,#N/A,FALSE,"영업외수익";#N/A,#N/A,FALSE,"영업외비용";#N/A,#N/A,FALSE,"매출액";#N/A,#N/A,FALSE,"요약손익";#N/A,#N/A,FALSE,"요약대차";#N/A,#N/A,FALSE,"매출채권현황";#N/A,#N/A,FALSE,"매출채권명세"}</definedName>
    <definedName name="DSAFAHSDHFDHF" localSheetId="42" hidden="1">{#N/A,#N/A,FALSE,"손익표지";#N/A,#N/A,FALSE,"손익계산";#N/A,#N/A,FALSE,"일반관리비";#N/A,#N/A,FALSE,"영업외수익";#N/A,#N/A,FALSE,"영업외비용";#N/A,#N/A,FALSE,"매출액";#N/A,#N/A,FALSE,"요약손익";#N/A,#N/A,FALSE,"요약대차";#N/A,#N/A,FALSE,"매출채권현황";#N/A,#N/A,FALSE,"매출채권명세"}</definedName>
    <definedName name="DSAFAHSDHFDHF" hidden="1">{#N/A,#N/A,FALSE,"손익표지";#N/A,#N/A,FALSE,"손익계산";#N/A,#N/A,FALSE,"일반관리비";#N/A,#N/A,FALSE,"영업외수익";#N/A,#N/A,FALSE,"영업외비용";#N/A,#N/A,FALSE,"매출액";#N/A,#N/A,FALSE,"요약손익";#N/A,#N/A,FALSE,"요약대차";#N/A,#N/A,FALSE,"매출채권현황";#N/A,#N/A,FALSE,"매출채권명세"}</definedName>
    <definedName name="dsds" localSheetId="42" hidden="1">{#N/A,#N/A,FALSE,"1.CRITERIA";#N/A,#N/A,FALSE,"2.IS";#N/A,#N/A,FALSE,"3.BS";#N/A,#N/A,FALSE,"4.PER PL";#N/A,#N/A,FALSE,"5.INVESTMENT";#N/A,#N/A,FALSE,"6.공문";#N/A,#N/A,FALSE,"7.netinvest"}</definedName>
    <definedName name="dsds" hidden="1">{#N/A,#N/A,FALSE,"1.CRITERIA";#N/A,#N/A,FALSE,"2.IS";#N/A,#N/A,FALSE,"3.BS";#N/A,#N/A,FALSE,"4.PER PL";#N/A,#N/A,FALSE,"5.INVESTMENT";#N/A,#N/A,FALSE,"6.공문";#N/A,#N/A,FALSE,"7.netinvest"}</definedName>
    <definedName name="dtt" localSheetId="42" hidden="1">{#N/A,#N/A,FALSE,"BS";#N/A,#N/A,FALSE,"PL";#N/A,#N/A,FALSE,"처분";#N/A,#N/A,FALSE,"현금";#N/A,#N/A,FALSE,"매출";#N/A,#N/A,FALSE,"원가";#N/A,#N/A,FALSE,"경영"}</definedName>
    <definedName name="dtt" hidden="1">{#N/A,#N/A,FALSE,"BS";#N/A,#N/A,FALSE,"PL";#N/A,#N/A,FALSE,"처분";#N/A,#N/A,FALSE,"현금";#N/A,#N/A,FALSE,"매출";#N/A,#N/A,FALSE,"원가";#N/A,#N/A,FALSE,"경영"}</definedName>
    <definedName name="dud" localSheetId="12" hidden="1">{#N/A,#N/A,FALSE,"Aging Summary";#N/A,#N/A,FALSE,"Ratio Analysis";#N/A,#N/A,FALSE,"Test 120 Day Accts";#N/A,#N/A,FALSE,"Tickmarks"}</definedName>
    <definedName name="dud" localSheetId="42" hidden="1">{#N/A,#N/A,FALSE,"Aging Summary";#N/A,#N/A,FALSE,"Ratio Analysis";#N/A,#N/A,FALSE,"Test 120 Day Accts";#N/A,#N/A,FALSE,"Tickmarks"}</definedName>
    <definedName name="dud" hidden="1">{#N/A,#N/A,FALSE,"Aging Summary";#N/A,#N/A,FALSE,"Ratio Analysis";#N/A,#N/A,FALSE,"Test 120 Day Accts";#N/A,#N/A,FALSE,"Tickmarks"}</definedName>
    <definedName name="dus" localSheetId="30" hidden="1">#REF!</definedName>
    <definedName name="dus" localSheetId="29" hidden="1">#REF!</definedName>
    <definedName name="dus" localSheetId="33" hidden="1">#REF!</definedName>
    <definedName name="dus" localSheetId="31" hidden="1">#REF!</definedName>
    <definedName name="dus" hidden="1">#REF!</definedName>
    <definedName name="e" localSheetId="12" hidden="1">{#N/A,#N/A,FALSE,"Aging Summary";#N/A,#N/A,FALSE,"Ratio Analysis";#N/A,#N/A,FALSE,"Test 120 Day Accts";#N/A,#N/A,FALSE,"Tickmarks"}</definedName>
    <definedName name="E" localSheetId="42" hidden="1">{#N/A,#N/A,TRUE,"Y생산";#N/A,#N/A,TRUE,"Y판매";#N/A,#N/A,TRUE,"Y총물량";#N/A,#N/A,TRUE,"Y능력";#N/A,#N/A,TRUE,"YKD"}</definedName>
    <definedName name="E" hidden="1">{#N/A,#N/A,TRUE,"Y생산";#N/A,#N/A,TRUE,"Y판매";#N/A,#N/A,TRUE,"Y총물량";#N/A,#N/A,TRUE,"Y능력";#N/A,#N/A,TRUE,"YKD"}</definedName>
    <definedName name="ea" localSheetId="12" hidden="1">{#N/A,#N/A,FALSE,"Aging Summary";#N/A,#N/A,FALSE,"Ratio Analysis";#N/A,#N/A,FALSE,"Test 120 Day Accts";#N/A,#N/A,FALSE,"Tickmarks"}</definedName>
    <definedName name="ea" localSheetId="42" hidden="1">{#N/A,#N/A,FALSE,"Aging Summary";#N/A,#N/A,FALSE,"Ratio Analysis";#N/A,#N/A,FALSE,"Test 120 Day Accts";#N/A,#N/A,FALSE,"Tickmarks"}</definedName>
    <definedName name="ea" hidden="1">{#N/A,#N/A,FALSE,"Aging Summary";#N/A,#N/A,FALSE,"Ratio Analysis";#N/A,#N/A,FALSE,"Test 120 Day Accts";#N/A,#N/A,FALSE,"Tickmarks"}</definedName>
    <definedName name="ee" localSheetId="15" hidden="1">#REF!</definedName>
    <definedName name="ee" localSheetId="6" hidden="1">#REF!</definedName>
    <definedName name="ee" localSheetId="42" hidden="1">#REF!</definedName>
    <definedName name="ee" hidden="1">#REF!</definedName>
    <definedName name="EEE" localSheetId="15" hidden="1">{#N/A,#N/A,FALSE,"손익표지";#N/A,#N/A,FALSE,"손익계산";#N/A,#N/A,FALSE,"일반관리비";#N/A,#N/A,FALSE,"영업외수익";#N/A,#N/A,FALSE,"영업외비용";#N/A,#N/A,FALSE,"매출액";#N/A,#N/A,FALSE,"요약손익";#N/A,#N/A,FALSE,"요약대차";#N/A,#N/A,FALSE,"매출채권현황";#N/A,#N/A,FALSE,"매출채권명세"}</definedName>
    <definedName name="EEE" localSheetId="6" hidden="1">{#N/A,#N/A,FALSE,"손익표지";#N/A,#N/A,FALSE,"손익계산";#N/A,#N/A,FALSE,"일반관리비";#N/A,#N/A,FALSE,"영업외수익";#N/A,#N/A,FALSE,"영업외비용";#N/A,#N/A,FALSE,"매출액";#N/A,#N/A,FALSE,"요약손익";#N/A,#N/A,FALSE,"요약대차";#N/A,#N/A,FALSE,"매출채권현황";#N/A,#N/A,FALSE,"매출채권명세"}</definedName>
    <definedName name="EEE" localSheetId="45" hidden="1">{#N/A,#N/A,FALSE,"손익표지";#N/A,#N/A,FALSE,"손익계산";#N/A,#N/A,FALSE,"일반관리비";#N/A,#N/A,FALSE,"영업외수익";#N/A,#N/A,FALSE,"영업외비용";#N/A,#N/A,FALSE,"매출액";#N/A,#N/A,FALSE,"요약손익";#N/A,#N/A,FALSE,"요약대차";#N/A,#N/A,FALSE,"매출채권현황";#N/A,#N/A,FALSE,"매출채권명세"}</definedName>
    <definedName name="EEE" localSheetId="42" hidden="1">{#N/A,#N/A,FALSE,"손익표지";#N/A,#N/A,FALSE,"손익계산";#N/A,#N/A,FALSE,"일반관리비";#N/A,#N/A,FALSE,"영업외수익";#N/A,#N/A,FALSE,"영업외비용";#N/A,#N/A,FALSE,"매출액";#N/A,#N/A,FALSE,"요약손익";#N/A,#N/A,FALSE,"요약대차";#N/A,#N/A,FALSE,"매출채권현황";#N/A,#N/A,FALSE,"매출채권명세"}</definedName>
    <definedName name="EEE" hidden="1">{#N/A,#N/A,FALSE,"손익표지";#N/A,#N/A,FALSE,"손익계산";#N/A,#N/A,FALSE,"일반관리비";#N/A,#N/A,FALSE,"영업외수익";#N/A,#N/A,FALSE,"영업외비용";#N/A,#N/A,FALSE,"매출액";#N/A,#N/A,FALSE,"요약손익";#N/A,#N/A,FALSE,"요약대차";#N/A,#N/A,FALSE,"매출채권현황";#N/A,#N/A,FALSE,"매출채권명세"}</definedName>
    <definedName name="eeee" localSheetId="12" hidden="1">{#N/A,#N/A,FALSE,"UNIT";#N/A,#N/A,FALSE,"UNIT";#N/A,#N/A,FALSE,"계정"}</definedName>
    <definedName name="eeee" localSheetId="42" hidden="1">{#N/A,#N/A,FALSE,"UNIT";#N/A,#N/A,FALSE,"UNIT";#N/A,#N/A,FALSE,"계정"}</definedName>
    <definedName name="eeee" hidden="1">{#N/A,#N/A,FALSE,"UNIT";#N/A,#N/A,FALSE,"UNIT";#N/A,#N/A,FALSE,"계정"}</definedName>
    <definedName name="eewewewe" localSheetId="12" hidden="1">{#N/A,#N/A,FALSE,"UNIT";#N/A,#N/A,FALSE,"UNIT";#N/A,#N/A,FALSE,"계정"}</definedName>
    <definedName name="eewewewe" localSheetId="42" hidden="1">{#N/A,#N/A,FALSE,"UNIT";#N/A,#N/A,FALSE,"UNIT";#N/A,#N/A,FALSE,"계정"}</definedName>
    <definedName name="eewewewe" hidden="1">{#N/A,#N/A,FALSE,"UNIT";#N/A,#N/A,FALSE,"UNIT";#N/A,#N/A,FALSE,"계정"}</definedName>
    <definedName name="EKSWHD" localSheetId="15" hidden="1">{#N/A,#N/A,FALSE,"Yield";#N/A,#N/A,FALSE,"Loss1";#N/A,#N/A,FALSE,"Loss2";#N/A,#N/A,FALSE,"Hour-Labor(배분)";#N/A,#N/A,FALSE,"Capital Expenditure";#N/A,#N/A,FALSE,"Productivity"}</definedName>
    <definedName name="EKSWHD" localSheetId="6" hidden="1">{#N/A,#N/A,FALSE,"Yield";#N/A,#N/A,FALSE,"Loss1";#N/A,#N/A,FALSE,"Loss2";#N/A,#N/A,FALSE,"Hour-Labor(배분)";#N/A,#N/A,FALSE,"Capital Expenditure";#N/A,#N/A,FALSE,"Productivity"}</definedName>
    <definedName name="EKSWHD" localSheetId="45" hidden="1">{#N/A,#N/A,FALSE,"Yield";#N/A,#N/A,FALSE,"Loss1";#N/A,#N/A,FALSE,"Loss2";#N/A,#N/A,FALSE,"Hour-Labor(배분)";#N/A,#N/A,FALSE,"Capital Expenditure";#N/A,#N/A,FALSE,"Productivity"}</definedName>
    <definedName name="EKSWHD" localSheetId="42" hidden="1">{#N/A,#N/A,FALSE,"Yield";#N/A,#N/A,FALSE,"Loss1";#N/A,#N/A,FALSE,"Loss2";#N/A,#N/A,FALSE,"Hour-Labor(배분)";#N/A,#N/A,FALSE,"Capital Expenditure";#N/A,#N/A,FALSE,"Productivity"}</definedName>
    <definedName name="EKSWHD" hidden="1">{#N/A,#N/A,FALSE,"Yield";#N/A,#N/A,FALSE,"Loss1";#N/A,#N/A,FALSE,"Loss2";#N/A,#N/A,FALSE,"Hour-Labor(배분)";#N/A,#N/A,FALSE,"Capital Expenditure";#N/A,#N/A,FALSE,"Productivity"}</definedName>
    <definedName name="ELSK" localSheetId="15" hidden="1">{#N/A,#N/A,FALSE,"1.CRITERIA";#N/A,#N/A,FALSE,"2.IS";#N/A,#N/A,FALSE,"3.BS";#N/A,#N/A,FALSE,"4.PER PL";#N/A,#N/A,FALSE,"5.INVESTMENT";#N/A,#N/A,FALSE,"6.공문";#N/A,#N/A,FALSE,"7.netinvest"}</definedName>
    <definedName name="ELSK" localSheetId="6" hidden="1">{#N/A,#N/A,FALSE,"1.CRITERIA";#N/A,#N/A,FALSE,"2.IS";#N/A,#N/A,FALSE,"3.BS";#N/A,#N/A,FALSE,"4.PER PL";#N/A,#N/A,FALSE,"5.INVESTMENT";#N/A,#N/A,FALSE,"6.공문";#N/A,#N/A,FALSE,"7.netinvest"}</definedName>
    <definedName name="ELSK" localSheetId="45" hidden="1">{#N/A,#N/A,FALSE,"1.CRITERIA";#N/A,#N/A,FALSE,"2.IS";#N/A,#N/A,FALSE,"3.BS";#N/A,#N/A,FALSE,"4.PER PL";#N/A,#N/A,FALSE,"5.INVESTMENT";#N/A,#N/A,FALSE,"6.공문";#N/A,#N/A,FALSE,"7.netinvest"}</definedName>
    <definedName name="ELSK" localSheetId="42" hidden="1">{#N/A,#N/A,FALSE,"1.CRITERIA";#N/A,#N/A,FALSE,"2.IS";#N/A,#N/A,FALSE,"3.BS";#N/A,#N/A,FALSE,"4.PER PL";#N/A,#N/A,FALSE,"5.INVESTMENT";#N/A,#N/A,FALSE,"6.공문";#N/A,#N/A,FALSE,"7.netinvest"}</definedName>
    <definedName name="ELSK" hidden="1">{#N/A,#N/A,FALSE,"1.CRITERIA";#N/A,#N/A,FALSE,"2.IS";#N/A,#N/A,FALSE,"3.BS";#N/A,#N/A,FALSE,"4.PER PL";#N/A,#N/A,FALSE,"5.INVESTMENT";#N/A,#N/A,FALSE,"6.공문";#N/A,#N/A,FALSE,"7.netinvest"}</definedName>
    <definedName name="EPS" localSheetId="1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EPS"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EPS" localSheetId="4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EPS" localSheetId="4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EPS"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ererer" localSheetId="42" hidden="1">{#N/A,#N/A,FALSE,"UNIT";#N/A,#N/A,FALSE,"UNIT";#N/A,#N/A,FALSE,"계정"}</definedName>
    <definedName name="ererer" hidden="1">{#N/A,#N/A,FALSE,"UNIT";#N/A,#N/A,FALSE,"UNIT";#N/A,#N/A,FALSE,"계정"}</definedName>
    <definedName name="erwrwe" localSheetId="12" hidden="1">{#N/A,#N/A,FALSE,"Sheet1"}</definedName>
    <definedName name="erwrwe" localSheetId="42" hidden="1">{#N/A,#N/A,FALSE,"Sheet1"}</definedName>
    <definedName name="erwrwe" hidden="1">{#N/A,#N/A,FALSE,"Sheet1"}</definedName>
    <definedName name="eryry" localSheetId="15" hidden="1">{#N/A,#N/A,FALSE,"손익표지";#N/A,#N/A,FALSE,"손익계산";#N/A,#N/A,FALSE,"일반관리비";#N/A,#N/A,FALSE,"영업외수익";#N/A,#N/A,FALSE,"영업외비용";#N/A,#N/A,FALSE,"매출액";#N/A,#N/A,FALSE,"요약손익";#N/A,#N/A,FALSE,"요약대차";#N/A,#N/A,FALSE,"매출채권현황";#N/A,#N/A,FALSE,"매출채권명세"}</definedName>
    <definedName name="eryry" localSheetId="6" hidden="1">{#N/A,#N/A,FALSE,"손익표지";#N/A,#N/A,FALSE,"손익계산";#N/A,#N/A,FALSE,"일반관리비";#N/A,#N/A,FALSE,"영업외수익";#N/A,#N/A,FALSE,"영업외비용";#N/A,#N/A,FALSE,"매출액";#N/A,#N/A,FALSE,"요약손익";#N/A,#N/A,FALSE,"요약대차";#N/A,#N/A,FALSE,"매출채권현황";#N/A,#N/A,FALSE,"매출채권명세"}</definedName>
    <definedName name="eryry" localSheetId="45" hidden="1">{#N/A,#N/A,FALSE,"손익표지";#N/A,#N/A,FALSE,"손익계산";#N/A,#N/A,FALSE,"일반관리비";#N/A,#N/A,FALSE,"영업외수익";#N/A,#N/A,FALSE,"영업외비용";#N/A,#N/A,FALSE,"매출액";#N/A,#N/A,FALSE,"요약손익";#N/A,#N/A,FALSE,"요약대차";#N/A,#N/A,FALSE,"매출채권현황";#N/A,#N/A,FALSE,"매출채권명세"}</definedName>
    <definedName name="eryry" localSheetId="42" hidden="1">{#N/A,#N/A,FALSE,"손익표지";#N/A,#N/A,FALSE,"손익계산";#N/A,#N/A,FALSE,"일반관리비";#N/A,#N/A,FALSE,"영업외수익";#N/A,#N/A,FALSE,"영업외비용";#N/A,#N/A,FALSE,"매출액";#N/A,#N/A,FALSE,"요약손익";#N/A,#N/A,FALSE,"요약대차";#N/A,#N/A,FALSE,"매출채권현황";#N/A,#N/A,FALSE,"매출채권명세"}</definedName>
    <definedName name="eryry" hidden="1">{#N/A,#N/A,FALSE,"손익표지";#N/A,#N/A,FALSE,"손익계산";#N/A,#N/A,FALSE,"일반관리비";#N/A,#N/A,FALSE,"영업외수익";#N/A,#N/A,FALSE,"영업외비용";#N/A,#N/A,FALSE,"매출액";#N/A,#N/A,FALSE,"요약손익";#N/A,#N/A,FALSE,"요약대차";#N/A,#N/A,FALSE,"매출채권현황";#N/A,#N/A,FALSE,"매출채권명세"}</definedName>
    <definedName name="es" localSheetId="12" hidden="1">{#N/A,#N/A,FALSE,"Aging Summary";#N/A,#N/A,FALSE,"Ratio Analysis";#N/A,#N/A,FALSE,"Test 120 Day Accts";#N/A,#N/A,FALSE,"Tickmarks"}</definedName>
    <definedName name="es" localSheetId="42" hidden="1">{#N/A,#N/A,FALSE,"Aging Summary";#N/A,#N/A,FALSE,"Ratio Analysis";#N/A,#N/A,FALSE,"Test 120 Day Accts";#N/A,#N/A,FALSE,"Tickmarks"}</definedName>
    <definedName name="es" hidden="1">{#N/A,#N/A,FALSE,"Aging Summary";#N/A,#N/A,FALSE,"Ratio Analysis";#N/A,#N/A,FALSE,"Test 120 Day Accts";#N/A,#N/A,FALSE,"Tickmarks"}</definedName>
    <definedName name="EV__LASTREFTIME__" localSheetId="12" hidden="1">"2012-01-18 오전 10:37:06"</definedName>
    <definedName name="EV__LASTREFTIME__" hidden="1">"2009-11-02 오후 3:48:15"</definedName>
    <definedName name="ewrwr" localSheetId="15" hidden="1">{#N/A,#N/A,FALSE,"손익표지";#N/A,#N/A,FALSE,"손익계산";#N/A,#N/A,FALSE,"일반관리비";#N/A,#N/A,FALSE,"영업외수익";#N/A,#N/A,FALSE,"영업외비용";#N/A,#N/A,FALSE,"매출액";#N/A,#N/A,FALSE,"요약손익";#N/A,#N/A,FALSE,"요약대차";#N/A,#N/A,FALSE,"매출채권현황";#N/A,#N/A,FALSE,"매출채권명세"}</definedName>
    <definedName name="ewrwr" localSheetId="6" hidden="1">{#N/A,#N/A,FALSE,"손익표지";#N/A,#N/A,FALSE,"손익계산";#N/A,#N/A,FALSE,"일반관리비";#N/A,#N/A,FALSE,"영업외수익";#N/A,#N/A,FALSE,"영업외비용";#N/A,#N/A,FALSE,"매출액";#N/A,#N/A,FALSE,"요약손익";#N/A,#N/A,FALSE,"요약대차";#N/A,#N/A,FALSE,"매출채권현황";#N/A,#N/A,FALSE,"매출채권명세"}</definedName>
    <definedName name="ewrwr" localSheetId="45" hidden="1">{#N/A,#N/A,FALSE,"손익표지";#N/A,#N/A,FALSE,"손익계산";#N/A,#N/A,FALSE,"일반관리비";#N/A,#N/A,FALSE,"영업외수익";#N/A,#N/A,FALSE,"영업외비용";#N/A,#N/A,FALSE,"매출액";#N/A,#N/A,FALSE,"요약손익";#N/A,#N/A,FALSE,"요약대차";#N/A,#N/A,FALSE,"매출채권현황";#N/A,#N/A,FALSE,"매출채권명세"}</definedName>
    <definedName name="ewrwr" localSheetId="42" hidden="1">{#N/A,#N/A,FALSE,"손익표지";#N/A,#N/A,FALSE,"손익계산";#N/A,#N/A,FALSE,"일반관리비";#N/A,#N/A,FALSE,"영업외수익";#N/A,#N/A,FALSE,"영업외비용";#N/A,#N/A,FALSE,"매출액";#N/A,#N/A,FALSE,"요약손익";#N/A,#N/A,FALSE,"요약대차";#N/A,#N/A,FALSE,"매출채권현황";#N/A,#N/A,FALSE,"매출채권명세"}</definedName>
    <definedName name="ewrwr" hidden="1">{#N/A,#N/A,FALSE,"손익표지";#N/A,#N/A,FALSE,"손익계산";#N/A,#N/A,FALSE,"일반관리비";#N/A,#N/A,FALSE,"영업외수익";#N/A,#N/A,FALSE,"영업외비용";#N/A,#N/A,FALSE,"매출액";#N/A,#N/A,FALSE,"요약손익";#N/A,#N/A,FALSE,"요약대차";#N/A,#N/A,FALSE,"매출채권현황";#N/A,#N/A,FALSE,"매출채권명세"}</definedName>
    <definedName name="f" localSheetId="12" hidden="1">{#N/A,#N/A,FALSE,"Aging Summary";#N/A,#N/A,FALSE,"Ratio Analysis";#N/A,#N/A,FALSE,"Test 120 Day Accts";#N/A,#N/A,FALSE,"Tickmarks"}</definedName>
    <definedName name="f" localSheetId="30" hidden="1">#REF!</definedName>
    <definedName name="f" localSheetId="29" hidden="1">#REF!</definedName>
    <definedName name="f" localSheetId="33" hidden="1">#REF!</definedName>
    <definedName name="f" localSheetId="31" hidden="1">#REF!</definedName>
    <definedName name="f" localSheetId="32" hidden="1">#REF!</definedName>
    <definedName name="f" hidden="1">#REF!</definedName>
    <definedName name="fa" localSheetId="12" hidden="1">{#N/A,#N/A,FALSE,"Aging Summary";#N/A,#N/A,FALSE,"Ratio Analysis";#N/A,#N/A,FALSE,"Test 120 Day Accts";#N/A,#N/A,FALSE,"Tickmarks"}</definedName>
    <definedName name="fa" localSheetId="42" hidden="1">{#N/A,#N/A,FALSE,"Aging Summary";#N/A,#N/A,FALSE,"Ratio Analysis";#N/A,#N/A,FALSE,"Test 120 Day Accts";#N/A,#N/A,FALSE,"Tickmarks"}</definedName>
    <definedName name="fa" hidden="1">{#N/A,#N/A,FALSE,"Aging Summary";#N/A,#N/A,FALSE,"Ratio Analysis";#N/A,#N/A,FALSE,"Test 120 Day Accts";#N/A,#N/A,FALSE,"Tickmarks"}</definedName>
    <definedName name="fax" localSheetId="30" hidden="1">#REF!</definedName>
    <definedName name="fax" localSheetId="29" hidden="1">#REF!</definedName>
    <definedName name="fax" localSheetId="33" hidden="1">#REF!</definedName>
    <definedName name="fax" localSheetId="31" hidden="1">#REF!</definedName>
    <definedName name="fax" localSheetId="32" hidden="1">#REF!</definedName>
    <definedName name="fax" hidden="1">#REF!</definedName>
    <definedName name="fd" localSheetId="15" hidden="1">{"FORM16",#N/A,TRUE,"Personnel1";"FORM16.2",#N/A,TRUE,"Personnel2";"FORM16.2",#N/A,TRUE,"Personnel3";"FORM16.3",#N/A,TRUE,"Personnel4";"FORM16.4",#N/A,TRUE,"Personnel5"}</definedName>
    <definedName name="fd" localSheetId="6" hidden="1">{"FORM16",#N/A,TRUE,"Personnel1";"FORM16.2",#N/A,TRUE,"Personnel2";"FORM16.2",#N/A,TRUE,"Personnel3";"FORM16.3",#N/A,TRUE,"Personnel4";"FORM16.4",#N/A,TRUE,"Personnel5"}</definedName>
    <definedName name="fd" localSheetId="45" hidden="1">{"FORM16",#N/A,TRUE,"Personnel1";"FORM16.2",#N/A,TRUE,"Personnel2";"FORM16.2",#N/A,TRUE,"Personnel3";"FORM16.3",#N/A,TRUE,"Personnel4";"FORM16.4",#N/A,TRUE,"Personnel5"}</definedName>
    <definedName name="fd" localSheetId="42" hidden="1">{"FORM16",#N/A,TRUE,"Personnel1";"FORM16.2",#N/A,TRUE,"Personnel2";"FORM16.2",#N/A,TRUE,"Personnel3";"FORM16.3",#N/A,TRUE,"Personnel4";"FORM16.4",#N/A,TRUE,"Personnel5"}</definedName>
    <definedName name="fd" hidden="1">{"FORM16",#N/A,TRUE,"Personnel1";"FORM16.2",#N/A,TRUE,"Personnel2";"FORM16.2",#N/A,TRUE,"Personnel3";"FORM16.3",#N/A,TRUE,"Personnel4";"FORM16.4",#N/A,TRUE,"Personnel5"}</definedName>
    <definedName name="fdf" localSheetId="12" hidden="1">{#N/A,#N/A,FALSE,"Sheet1"}</definedName>
    <definedName name="fdf" localSheetId="42" hidden="1">{#N/A,#N/A,FALSE,"Sheet1"}</definedName>
    <definedName name="fdf" hidden="1">{#N/A,#N/A,FALSE,"Sheet1"}</definedName>
    <definedName name="fdsfdf" localSheetId="15"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fdsfdf" localSheetId="6"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fdsfdf" localSheetId="45"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fdsfdf" localSheetId="42"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fdsfdf"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FF" localSheetId="12" hidden="1">#REF!</definedName>
    <definedName name="FF" localSheetId="30" hidden="1">#REF!</definedName>
    <definedName name="FF" localSheetId="29" hidden="1">#REF!</definedName>
    <definedName name="FF" localSheetId="33" hidden="1">#REF!</definedName>
    <definedName name="FF" localSheetId="31" hidden="1">#REF!</definedName>
    <definedName name="FF" hidden="1">#REF!</definedName>
    <definedName name="ffff" localSheetId="42" hidden="1">{#N/A,#N/A,FALSE,"BS";#N/A,#N/A,FALSE,"PL";#N/A,#N/A,FALSE,"처분";#N/A,#N/A,FALSE,"현금";#N/A,#N/A,FALSE,"매출";#N/A,#N/A,FALSE,"원가";#N/A,#N/A,FALSE,"경영"}</definedName>
    <definedName name="ffff" hidden="1">{#N/A,#N/A,FALSE,"BS";#N/A,#N/A,FALSE,"PL";#N/A,#N/A,FALSE,"처분";#N/A,#N/A,FALSE,"현금";#N/A,#N/A,FALSE,"매출";#N/A,#N/A,FALSE,"원가";#N/A,#N/A,FALSE,"경영"}</definedName>
    <definedName name="FFFFFDD" localSheetId="15" hidden="1">{#N/A,#N/A,FALSE,"정공"}</definedName>
    <definedName name="FFFFFDD" localSheetId="6" hidden="1">{#N/A,#N/A,FALSE,"정공"}</definedName>
    <definedName name="FFFFFDD" localSheetId="45" hidden="1">{#N/A,#N/A,FALSE,"정공"}</definedName>
    <definedName name="FFFFFDD" localSheetId="42" hidden="1">{#N/A,#N/A,FALSE,"정공"}</definedName>
    <definedName name="FFFFFDD" hidden="1">{#N/A,#N/A,FALSE,"정공"}</definedName>
    <definedName name="FFFFFFFFF" localSheetId="15" hidden="1">{#N/A,#N/A,FALSE,"정공"}</definedName>
    <definedName name="FFFFFFFFF" localSheetId="6" hidden="1">{#N/A,#N/A,FALSE,"정공"}</definedName>
    <definedName name="FFFFFFFFF" localSheetId="45" hidden="1">{#N/A,#N/A,FALSE,"정공"}</definedName>
    <definedName name="FFFFFFFFF" localSheetId="42" hidden="1">{#N/A,#N/A,FALSE,"정공"}</definedName>
    <definedName name="FFFFFFFFF" hidden="1">{#N/A,#N/A,FALSE,"정공"}</definedName>
    <definedName name="fgd" localSheetId="15"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fgd" localSheetId="6"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fgd" localSheetId="45"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fgd" localSheetId="42"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fgd"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fghfgh" localSheetId="15" hidden="1">{#N/A,#N/A,FALSE,"손익표지";#N/A,#N/A,FALSE,"손익계산";#N/A,#N/A,FALSE,"일반관리비";#N/A,#N/A,FALSE,"영업외수익";#N/A,#N/A,FALSE,"영업외비용";#N/A,#N/A,FALSE,"매출액";#N/A,#N/A,FALSE,"요약손익";#N/A,#N/A,FALSE,"요약대차";#N/A,#N/A,FALSE,"매출채권현황";#N/A,#N/A,FALSE,"매출채권명세"}</definedName>
    <definedName name="fghfgh" localSheetId="6" hidden="1">{#N/A,#N/A,FALSE,"손익표지";#N/A,#N/A,FALSE,"손익계산";#N/A,#N/A,FALSE,"일반관리비";#N/A,#N/A,FALSE,"영업외수익";#N/A,#N/A,FALSE,"영업외비용";#N/A,#N/A,FALSE,"매출액";#N/A,#N/A,FALSE,"요약손익";#N/A,#N/A,FALSE,"요약대차";#N/A,#N/A,FALSE,"매출채권현황";#N/A,#N/A,FALSE,"매출채권명세"}</definedName>
    <definedName name="fghfgh" localSheetId="45" hidden="1">{#N/A,#N/A,FALSE,"손익표지";#N/A,#N/A,FALSE,"손익계산";#N/A,#N/A,FALSE,"일반관리비";#N/A,#N/A,FALSE,"영업외수익";#N/A,#N/A,FALSE,"영업외비용";#N/A,#N/A,FALSE,"매출액";#N/A,#N/A,FALSE,"요약손익";#N/A,#N/A,FALSE,"요약대차";#N/A,#N/A,FALSE,"매출채권현황";#N/A,#N/A,FALSE,"매출채권명세"}</definedName>
    <definedName name="fghfgh" localSheetId="42" hidden="1">{#N/A,#N/A,FALSE,"손익표지";#N/A,#N/A,FALSE,"손익계산";#N/A,#N/A,FALSE,"일반관리비";#N/A,#N/A,FALSE,"영업외수익";#N/A,#N/A,FALSE,"영업외비용";#N/A,#N/A,FALSE,"매출액";#N/A,#N/A,FALSE,"요약손익";#N/A,#N/A,FALSE,"요약대차";#N/A,#N/A,FALSE,"매출채권현황";#N/A,#N/A,FALSE,"매출채권명세"}</definedName>
    <definedName name="fghfgh" hidden="1">{#N/A,#N/A,FALSE,"손익표지";#N/A,#N/A,FALSE,"손익계산";#N/A,#N/A,FALSE,"일반관리비";#N/A,#N/A,FALSE,"영업외수익";#N/A,#N/A,FALSE,"영업외비용";#N/A,#N/A,FALSE,"매출액";#N/A,#N/A,FALSE,"요약손익";#N/A,#N/A,FALSE,"요약대차";#N/A,#N/A,FALSE,"매출채권현황";#N/A,#N/A,FALSE,"매출채권명세"}</definedName>
    <definedName name="fgvfgf" localSheetId="15" hidden="1">{#N/A,#N/A,FALSE,"98소지이동TOTvs99.1 (2)";#N/A,#N/A,FALSE,"TOTAL";#N/A,#N/A,FALSE,"98소지이동TOTvs99.1(b) (2)"}</definedName>
    <definedName name="fgvfgf" localSheetId="6" hidden="1">{#N/A,#N/A,FALSE,"98소지이동TOTvs99.1 (2)";#N/A,#N/A,FALSE,"TOTAL";#N/A,#N/A,FALSE,"98소지이동TOTvs99.1(b) (2)"}</definedName>
    <definedName name="fgvfgf" localSheetId="45" hidden="1">{#N/A,#N/A,FALSE,"98소지이동TOTvs99.1 (2)";#N/A,#N/A,FALSE,"TOTAL";#N/A,#N/A,FALSE,"98소지이동TOTvs99.1(b) (2)"}</definedName>
    <definedName name="fgvfgf" localSheetId="42" hidden="1">{#N/A,#N/A,FALSE,"98소지이동TOTvs99.1 (2)";#N/A,#N/A,FALSE,"TOTAL";#N/A,#N/A,FALSE,"98소지이동TOTvs99.1(b) (2)"}</definedName>
    <definedName name="fgvfgf" hidden="1">{#N/A,#N/A,FALSE,"98소지이동TOTvs99.1 (2)";#N/A,#N/A,FALSE,"TOTAL";#N/A,#N/A,FALSE,"98소지이동TOTvs99.1(b) (2)"}</definedName>
    <definedName name="fhf" localSheetId="15" hidden="1">{#N/A,#N/A,FALSE,"손익표지";#N/A,#N/A,FALSE,"손익계산";#N/A,#N/A,FALSE,"일반관리비";#N/A,#N/A,FALSE,"영업외수익";#N/A,#N/A,FALSE,"영업외비용";#N/A,#N/A,FALSE,"매출액";#N/A,#N/A,FALSE,"요약손익";#N/A,#N/A,FALSE,"요약대차";#N/A,#N/A,FALSE,"매출채권현황";#N/A,#N/A,FALSE,"매출채권명세"}</definedName>
    <definedName name="fhf" localSheetId="6" hidden="1">{#N/A,#N/A,FALSE,"손익표지";#N/A,#N/A,FALSE,"손익계산";#N/A,#N/A,FALSE,"일반관리비";#N/A,#N/A,FALSE,"영업외수익";#N/A,#N/A,FALSE,"영업외비용";#N/A,#N/A,FALSE,"매출액";#N/A,#N/A,FALSE,"요약손익";#N/A,#N/A,FALSE,"요약대차";#N/A,#N/A,FALSE,"매출채권현황";#N/A,#N/A,FALSE,"매출채권명세"}</definedName>
    <definedName name="fhf" localSheetId="45" hidden="1">{#N/A,#N/A,FALSE,"손익표지";#N/A,#N/A,FALSE,"손익계산";#N/A,#N/A,FALSE,"일반관리비";#N/A,#N/A,FALSE,"영업외수익";#N/A,#N/A,FALSE,"영업외비용";#N/A,#N/A,FALSE,"매출액";#N/A,#N/A,FALSE,"요약손익";#N/A,#N/A,FALSE,"요약대차";#N/A,#N/A,FALSE,"매출채권현황";#N/A,#N/A,FALSE,"매출채권명세"}</definedName>
    <definedName name="fhf" localSheetId="42" hidden="1">{#N/A,#N/A,FALSE,"손익표지";#N/A,#N/A,FALSE,"손익계산";#N/A,#N/A,FALSE,"일반관리비";#N/A,#N/A,FALSE,"영업외수익";#N/A,#N/A,FALSE,"영업외비용";#N/A,#N/A,FALSE,"매출액";#N/A,#N/A,FALSE,"요약손익";#N/A,#N/A,FALSE,"요약대차";#N/A,#N/A,FALSE,"매출채권현황";#N/A,#N/A,FALSE,"매출채권명세"}</definedName>
    <definedName name="fhf" hidden="1">{#N/A,#N/A,FALSE,"손익표지";#N/A,#N/A,FALSE,"손익계산";#N/A,#N/A,FALSE,"일반관리비";#N/A,#N/A,FALSE,"영업외수익";#N/A,#N/A,FALSE,"영업외비용";#N/A,#N/A,FALSE,"매출액";#N/A,#N/A,FALSE,"요약손익";#N/A,#N/A,FALSE,"요약대차";#N/A,#N/A,FALSE,"매출채권현황";#N/A,#N/A,FALSE,"매출채권명세"}</definedName>
    <definedName name="FHGFH" localSheetId="15" hidden="1">{#N/A,#N/A,FALSE,"손익표지";#N/A,#N/A,FALSE,"손익계산";#N/A,#N/A,FALSE,"일반관리비";#N/A,#N/A,FALSE,"영업외수익";#N/A,#N/A,FALSE,"영업외비용";#N/A,#N/A,FALSE,"매출액";#N/A,#N/A,FALSE,"요약손익";#N/A,#N/A,FALSE,"요약대차";#N/A,#N/A,FALSE,"매출채권현황";#N/A,#N/A,FALSE,"매출채권명세"}</definedName>
    <definedName name="FHGFH" localSheetId="6" hidden="1">{#N/A,#N/A,FALSE,"손익표지";#N/A,#N/A,FALSE,"손익계산";#N/A,#N/A,FALSE,"일반관리비";#N/A,#N/A,FALSE,"영업외수익";#N/A,#N/A,FALSE,"영업외비용";#N/A,#N/A,FALSE,"매출액";#N/A,#N/A,FALSE,"요약손익";#N/A,#N/A,FALSE,"요약대차";#N/A,#N/A,FALSE,"매출채권현황";#N/A,#N/A,FALSE,"매출채권명세"}</definedName>
    <definedName name="FHGFH" localSheetId="45" hidden="1">{#N/A,#N/A,FALSE,"손익표지";#N/A,#N/A,FALSE,"손익계산";#N/A,#N/A,FALSE,"일반관리비";#N/A,#N/A,FALSE,"영업외수익";#N/A,#N/A,FALSE,"영업외비용";#N/A,#N/A,FALSE,"매출액";#N/A,#N/A,FALSE,"요약손익";#N/A,#N/A,FALSE,"요약대차";#N/A,#N/A,FALSE,"매출채권현황";#N/A,#N/A,FALSE,"매출채권명세"}</definedName>
    <definedName name="FHGFH" localSheetId="42" hidden="1">{#N/A,#N/A,FALSE,"손익표지";#N/A,#N/A,FALSE,"손익계산";#N/A,#N/A,FALSE,"일반관리비";#N/A,#N/A,FALSE,"영업외수익";#N/A,#N/A,FALSE,"영업외비용";#N/A,#N/A,FALSE,"매출액";#N/A,#N/A,FALSE,"요약손익";#N/A,#N/A,FALSE,"요약대차";#N/A,#N/A,FALSE,"매출채권현황";#N/A,#N/A,FALSE,"매출채권명세"}</definedName>
    <definedName name="FHGFH" hidden="1">{#N/A,#N/A,FALSE,"손익표지";#N/A,#N/A,FALSE,"손익계산";#N/A,#N/A,FALSE,"일반관리비";#N/A,#N/A,FALSE,"영업외수익";#N/A,#N/A,FALSE,"영업외비용";#N/A,#N/A,FALSE,"매출액";#N/A,#N/A,FALSE,"요약손익";#N/A,#N/A,FALSE,"요약대차";#N/A,#N/A,FALSE,"매출채권현황";#N/A,#N/A,FALSE,"매출채권명세"}</definedName>
    <definedName name="fhjgj" localSheetId="15" hidden="1">{#N/A,#N/A,FALSE,"98소지이동TOTvs99.1 (2)";#N/A,#N/A,FALSE,"TOTAL";#N/A,#N/A,FALSE,"98소지이동TOTvs99.1(b) (2)"}</definedName>
    <definedName name="fhjgj" localSheetId="6" hidden="1">{#N/A,#N/A,FALSE,"98소지이동TOTvs99.1 (2)";#N/A,#N/A,FALSE,"TOTAL";#N/A,#N/A,FALSE,"98소지이동TOTvs99.1(b) (2)"}</definedName>
    <definedName name="fhjgj" localSheetId="45" hidden="1">{#N/A,#N/A,FALSE,"98소지이동TOTvs99.1 (2)";#N/A,#N/A,FALSE,"TOTAL";#N/A,#N/A,FALSE,"98소지이동TOTvs99.1(b) (2)"}</definedName>
    <definedName name="fhjgj" localSheetId="42" hidden="1">{#N/A,#N/A,FALSE,"98소지이동TOTvs99.1 (2)";#N/A,#N/A,FALSE,"TOTAL";#N/A,#N/A,FALSE,"98소지이동TOTvs99.1(b) (2)"}</definedName>
    <definedName name="fhjgj" hidden="1">{#N/A,#N/A,FALSE,"98소지이동TOTvs99.1 (2)";#N/A,#N/A,FALSE,"TOTAL";#N/A,#N/A,FALSE,"98소지이동TOTvs99.1(b) (2)"}</definedName>
    <definedName name="fhkfhk" localSheetId="15" hidden="1">{#N/A,#N/A,FALSE,"손익표지";#N/A,#N/A,FALSE,"손익계산";#N/A,#N/A,FALSE,"일반관리비";#N/A,#N/A,FALSE,"영업외수익";#N/A,#N/A,FALSE,"영업외비용";#N/A,#N/A,FALSE,"매출액";#N/A,#N/A,FALSE,"요약손익";#N/A,#N/A,FALSE,"요약대차";#N/A,#N/A,FALSE,"매출채권현황";#N/A,#N/A,FALSE,"매출채권명세"}</definedName>
    <definedName name="fhkfhk" localSheetId="6" hidden="1">{#N/A,#N/A,FALSE,"손익표지";#N/A,#N/A,FALSE,"손익계산";#N/A,#N/A,FALSE,"일반관리비";#N/A,#N/A,FALSE,"영업외수익";#N/A,#N/A,FALSE,"영업외비용";#N/A,#N/A,FALSE,"매출액";#N/A,#N/A,FALSE,"요약손익";#N/A,#N/A,FALSE,"요약대차";#N/A,#N/A,FALSE,"매출채권현황";#N/A,#N/A,FALSE,"매출채권명세"}</definedName>
    <definedName name="fhkfhk" localSheetId="45" hidden="1">{#N/A,#N/A,FALSE,"손익표지";#N/A,#N/A,FALSE,"손익계산";#N/A,#N/A,FALSE,"일반관리비";#N/A,#N/A,FALSE,"영업외수익";#N/A,#N/A,FALSE,"영업외비용";#N/A,#N/A,FALSE,"매출액";#N/A,#N/A,FALSE,"요약손익";#N/A,#N/A,FALSE,"요약대차";#N/A,#N/A,FALSE,"매출채권현황";#N/A,#N/A,FALSE,"매출채권명세"}</definedName>
    <definedName name="fhkfhk" localSheetId="42" hidden="1">{#N/A,#N/A,FALSE,"손익표지";#N/A,#N/A,FALSE,"손익계산";#N/A,#N/A,FALSE,"일반관리비";#N/A,#N/A,FALSE,"영업외수익";#N/A,#N/A,FALSE,"영업외비용";#N/A,#N/A,FALSE,"매출액";#N/A,#N/A,FALSE,"요약손익";#N/A,#N/A,FALSE,"요약대차";#N/A,#N/A,FALSE,"매출채권현황";#N/A,#N/A,FALSE,"매출채권명세"}</definedName>
    <definedName name="fhkfhk" hidden="1">{#N/A,#N/A,FALSE,"손익표지";#N/A,#N/A,FALSE,"손익계산";#N/A,#N/A,FALSE,"일반관리비";#N/A,#N/A,FALSE,"영업외수익";#N/A,#N/A,FALSE,"영업외비용";#N/A,#N/A,FALSE,"매출액";#N/A,#N/A,FALSE,"요약손익";#N/A,#N/A,FALSE,"요약대차";#N/A,#N/A,FALSE,"매출채권현황";#N/A,#N/A,FALSE,"매출채권명세"}</definedName>
    <definedName name="fila" localSheetId="42" hidden="1">{#N/A,#N/A,FALSE,"채권채무";#N/A,#N/A,FALSE,"control sheet"}</definedName>
    <definedName name="fila" hidden="1">{#N/A,#N/A,FALSE,"채권채무";#N/A,#N/A,FALSE,"control sheet"}</definedName>
    <definedName name="fildata" localSheetId="15" hidden="1">#REF!</definedName>
    <definedName name="fildata" localSheetId="6" hidden="1">#REF!</definedName>
    <definedName name="fildata" localSheetId="42" hidden="1">#REF!</definedName>
    <definedName name="fildata" hidden="1">#REF!</definedName>
    <definedName name="Final" localSheetId="4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Final"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findingss" localSheetId="12" hidden="1">{#N/A,#N/A,FALSE,"Aging Summary";#N/A,#N/A,FALSE,"Ratio Analysis";#N/A,#N/A,FALSE,"Test 120 Day Accts";#N/A,#N/A,FALSE,"Tickmarks"}</definedName>
    <definedName name="findingss" localSheetId="42" hidden="1">{#N/A,#N/A,FALSE,"Aging Summary";#N/A,#N/A,FALSE,"Ratio Analysis";#N/A,#N/A,FALSE,"Test 120 Day Accts";#N/A,#N/A,FALSE,"Tickmarks"}</definedName>
    <definedName name="findingss" hidden="1">{#N/A,#N/A,FALSE,"Aging Summary";#N/A,#N/A,FALSE,"Ratio Analysis";#N/A,#N/A,FALSE,"Test 120 Day Accts";#N/A,#N/A,FALSE,"Tickmarks"}</definedName>
    <definedName name="fiti" hidden="1">{#N/A,#N/A,TRUE,"COFTOT"}</definedName>
    <definedName name="FJ" localSheetId="15" hidden="1">{#N/A,#N/A,FALSE,"손익표지";#N/A,#N/A,FALSE,"손익계산";#N/A,#N/A,FALSE,"일반관리비";#N/A,#N/A,FALSE,"영업외수익";#N/A,#N/A,FALSE,"영업외비용";#N/A,#N/A,FALSE,"매출액";#N/A,#N/A,FALSE,"요약손익";#N/A,#N/A,FALSE,"요약대차";#N/A,#N/A,FALSE,"매출채권현황";#N/A,#N/A,FALSE,"매출채권명세"}</definedName>
    <definedName name="FJ" localSheetId="6" hidden="1">{#N/A,#N/A,FALSE,"손익표지";#N/A,#N/A,FALSE,"손익계산";#N/A,#N/A,FALSE,"일반관리비";#N/A,#N/A,FALSE,"영업외수익";#N/A,#N/A,FALSE,"영업외비용";#N/A,#N/A,FALSE,"매출액";#N/A,#N/A,FALSE,"요약손익";#N/A,#N/A,FALSE,"요약대차";#N/A,#N/A,FALSE,"매출채권현황";#N/A,#N/A,FALSE,"매출채권명세"}</definedName>
    <definedName name="FJ" localSheetId="45" hidden="1">{#N/A,#N/A,FALSE,"손익표지";#N/A,#N/A,FALSE,"손익계산";#N/A,#N/A,FALSE,"일반관리비";#N/A,#N/A,FALSE,"영업외수익";#N/A,#N/A,FALSE,"영업외비용";#N/A,#N/A,FALSE,"매출액";#N/A,#N/A,FALSE,"요약손익";#N/A,#N/A,FALSE,"요약대차";#N/A,#N/A,FALSE,"매출채권현황";#N/A,#N/A,FALSE,"매출채권명세"}</definedName>
    <definedName name="FJ" localSheetId="42" hidden="1">{#N/A,#N/A,FALSE,"손익표지";#N/A,#N/A,FALSE,"손익계산";#N/A,#N/A,FALSE,"일반관리비";#N/A,#N/A,FALSE,"영업외수익";#N/A,#N/A,FALSE,"영업외비용";#N/A,#N/A,FALSE,"매출액";#N/A,#N/A,FALSE,"요약손익";#N/A,#N/A,FALSE,"요약대차";#N/A,#N/A,FALSE,"매출채권현황";#N/A,#N/A,FALSE,"매출채권명세"}</definedName>
    <definedName name="FJ" hidden="1">{#N/A,#N/A,FALSE,"손익표지";#N/A,#N/A,FALSE,"손익계산";#N/A,#N/A,FALSE,"일반관리비";#N/A,#N/A,FALSE,"영업외수익";#N/A,#N/A,FALSE,"영업외비용";#N/A,#N/A,FALSE,"매출액";#N/A,#N/A,FALSE,"요약손익";#N/A,#N/A,FALSE,"요약대차";#N/A,#N/A,FALSE,"매출채권현황";#N/A,#N/A,FALSE,"매출채권명세"}</definedName>
    <definedName name="fjhfgdj" localSheetId="15" hidden="1">{#N/A,#N/A,FALSE,"손익표지";#N/A,#N/A,FALSE,"손익계산";#N/A,#N/A,FALSE,"일반관리비";#N/A,#N/A,FALSE,"영업외수익";#N/A,#N/A,FALSE,"영업외비용";#N/A,#N/A,FALSE,"매출액";#N/A,#N/A,FALSE,"요약손익";#N/A,#N/A,FALSE,"요약대차";#N/A,#N/A,FALSE,"매출채권현황";#N/A,#N/A,FALSE,"매출채권명세"}</definedName>
    <definedName name="fjhfgdj" localSheetId="6" hidden="1">{#N/A,#N/A,FALSE,"손익표지";#N/A,#N/A,FALSE,"손익계산";#N/A,#N/A,FALSE,"일반관리비";#N/A,#N/A,FALSE,"영업외수익";#N/A,#N/A,FALSE,"영업외비용";#N/A,#N/A,FALSE,"매출액";#N/A,#N/A,FALSE,"요약손익";#N/A,#N/A,FALSE,"요약대차";#N/A,#N/A,FALSE,"매출채권현황";#N/A,#N/A,FALSE,"매출채권명세"}</definedName>
    <definedName name="fjhfgdj" localSheetId="45" hidden="1">{#N/A,#N/A,FALSE,"손익표지";#N/A,#N/A,FALSE,"손익계산";#N/A,#N/A,FALSE,"일반관리비";#N/A,#N/A,FALSE,"영업외수익";#N/A,#N/A,FALSE,"영업외비용";#N/A,#N/A,FALSE,"매출액";#N/A,#N/A,FALSE,"요약손익";#N/A,#N/A,FALSE,"요약대차";#N/A,#N/A,FALSE,"매출채권현황";#N/A,#N/A,FALSE,"매출채권명세"}</definedName>
    <definedName name="fjhfgdj" localSheetId="42" hidden="1">{#N/A,#N/A,FALSE,"손익표지";#N/A,#N/A,FALSE,"손익계산";#N/A,#N/A,FALSE,"일반관리비";#N/A,#N/A,FALSE,"영업외수익";#N/A,#N/A,FALSE,"영업외비용";#N/A,#N/A,FALSE,"매출액";#N/A,#N/A,FALSE,"요약손익";#N/A,#N/A,FALSE,"요약대차";#N/A,#N/A,FALSE,"매출채권현황";#N/A,#N/A,FALSE,"매출채권명세"}</definedName>
    <definedName name="fjhfgdj" hidden="1">{#N/A,#N/A,FALSE,"손익표지";#N/A,#N/A,FALSE,"손익계산";#N/A,#N/A,FALSE,"일반관리비";#N/A,#N/A,FALSE,"영업외수익";#N/A,#N/A,FALSE,"영업외비용";#N/A,#N/A,FALSE,"매출액";#N/A,#N/A,FALSE,"요약손익";#N/A,#N/A,FALSE,"요약대차";#N/A,#N/A,FALSE,"매출채권현황";#N/A,#N/A,FALSE,"매출채권명세"}</definedName>
    <definedName name="fkfk" localSheetId="12" hidden="1">{#N/A,#N/A,FALSE,"회선임차현황"}</definedName>
    <definedName name="fkfk" localSheetId="42" hidden="1">{#N/A,#N/A,FALSE,"회선임차현황"}</definedName>
    <definedName name="fkfk" hidden="1">{#N/A,#N/A,FALSE,"회선임차현황"}</definedName>
    <definedName name="FN_5" localSheetId="49">'4'!#REF!</definedName>
    <definedName name="FN_5" localSheetId="42">#REF!</definedName>
    <definedName name="FN_5">#REF!</definedName>
    <definedName name="FN_5.10" localSheetId="49">'4'!#REF!</definedName>
    <definedName name="FN_5.10" localSheetId="42">#REF!</definedName>
    <definedName name="FN_5.10">#REF!</definedName>
    <definedName name="FN_5.11" localSheetId="49">'4'!#REF!</definedName>
    <definedName name="FN_5.11" localSheetId="42">#REF!</definedName>
    <definedName name="FN_5.11">#REF!</definedName>
    <definedName name="FN_5.12" localSheetId="49">'4'!#REF!</definedName>
    <definedName name="FN_5.12" localSheetId="42">#REF!</definedName>
    <definedName name="FN_5.12">#REF!</definedName>
    <definedName name="FN_5.13" localSheetId="49">'4'!#REF!</definedName>
    <definedName name="FN_5.13" localSheetId="42">#REF!</definedName>
    <definedName name="FN_5.13">#REF!</definedName>
    <definedName name="FN_5.2" localSheetId="49">'4'!#REF!</definedName>
    <definedName name="FN_5.2" localSheetId="42">#REF!</definedName>
    <definedName name="FN_5.2">#REF!</definedName>
    <definedName name="FN_5.3" localSheetId="49">'4'!#REF!</definedName>
    <definedName name="FN_5.3" localSheetId="42">#REF!</definedName>
    <definedName name="FN_5.3">#REF!</definedName>
    <definedName name="FN_5.4" localSheetId="49">'4'!#REF!</definedName>
    <definedName name="FN_5.4" localSheetId="42">#REF!</definedName>
    <definedName name="FN_5.4">#REF!</definedName>
    <definedName name="FN_5.5" localSheetId="49">'4'!#REF!</definedName>
    <definedName name="FN_5.5" localSheetId="42">#REF!</definedName>
    <definedName name="FN_5.5">#REF!</definedName>
    <definedName name="FN_5.6" localSheetId="49">'4'!#REF!</definedName>
    <definedName name="FN_5.6" localSheetId="42">#REF!</definedName>
    <definedName name="FN_5.6">#REF!</definedName>
    <definedName name="FN_5.7" localSheetId="49">'4'!#REF!</definedName>
    <definedName name="FN_5.7" localSheetId="42">#REF!</definedName>
    <definedName name="FN_5.7">#REF!</definedName>
    <definedName name="FN_5.8" localSheetId="49">'4'!#REF!</definedName>
    <definedName name="FN_5.8" localSheetId="42">#REF!</definedName>
    <definedName name="FN_5.8">#REF!</definedName>
    <definedName name="FN_5.9" localSheetId="49">'4'!#REF!</definedName>
    <definedName name="FN_5.9" localSheetId="42">#REF!</definedName>
    <definedName name="FN_5.9">#REF!</definedName>
    <definedName name="gf" localSheetId="12" hidden="1">{#N/A,#N/A,FALSE,"Aging Summary";#N/A,#N/A,FALSE,"Ratio Analysis";#N/A,#N/A,FALSE,"Test 120 Day Accts";#N/A,#N/A,FALSE,"Tickmarks"}</definedName>
    <definedName name="gf" localSheetId="42" hidden="1">{#N/A,#N/A,FALSE,"Aging Summary";#N/A,#N/A,FALSE,"Ratio Analysis";#N/A,#N/A,FALSE,"Test 120 Day Accts";#N/A,#N/A,FALSE,"Tickmarks"}</definedName>
    <definedName name="gf" hidden="1">{#N/A,#N/A,FALSE,"Aging Summary";#N/A,#N/A,FALSE,"Ratio Analysis";#N/A,#N/A,FALSE,"Test 120 Day Accts";#N/A,#N/A,FALSE,"Tickmarks"}</definedName>
    <definedName name="gfdgd" localSheetId="15" hidden="1">{#N/A,#N/A,FALSE,"손익표지";#N/A,#N/A,FALSE,"손익계산";#N/A,#N/A,FALSE,"일반관리비";#N/A,#N/A,FALSE,"영업외수익";#N/A,#N/A,FALSE,"영업외비용";#N/A,#N/A,FALSE,"매출액";#N/A,#N/A,FALSE,"요약손익";#N/A,#N/A,FALSE,"요약대차";#N/A,#N/A,FALSE,"매출채권현황";#N/A,#N/A,FALSE,"매출채권명세"}</definedName>
    <definedName name="gfdgd" localSheetId="6" hidden="1">{#N/A,#N/A,FALSE,"손익표지";#N/A,#N/A,FALSE,"손익계산";#N/A,#N/A,FALSE,"일반관리비";#N/A,#N/A,FALSE,"영업외수익";#N/A,#N/A,FALSE,"영업외비용";#N/A,#N/A,FALSE,"매출액";#N/A,#N/A,FALSE,"요약손익";#N/A,#N/A,FALSE,"요약대차";#N/A,#N/A,FALSE,"매출채권현황";#N/A,#N/A,FALSE,"매출채권명세"}</definedName>
    <definedName name="gfdgd" localSheetId="45" hidden="1">{#N/A,#N/A,FALSE,"손익표지";#N/A,#N/A,FALSE,"손익계산";#N/A,#N/A,FALSE,"일반관리비";#N/A,#N/A,FALSE,"영업외수익";#N/A,#N/A,FALSE,"영업외비용";#N/A,#N/A,FALSE,"매출액";#N/A,#N/A,FALSE,"요약손익";#N/A,#N/A,FALSE,"요약대차";#N/A,#N/A,FALSE,"매출채권현황";#N/A,#N/A,FALSE,"매출채권명세"}</definedName>
    <definedName name="gfdgd" localSheetId="42" hidden="1">{#N/A,#N/A,FALSE,"손익표지";#N/A,#N/A,FALSE,"손익계산";#N/A,#N/A,FALSE,"일반관리비";#N/A,#N/A,FALSE,"영업외수익";#N/A,#N/A,FALSE,"영업외비용";#N/A,#N/A,FALSE,"매출액";#N/A,#N/A,FALSE,"요약손익";#N/A,#N/A,FALSE,"요약대차";#N/A,#N/A,FALSE,"매출채권현황";#N/A,#N/A,FALSE,"매출채권명세"}</definedName>
    <definedName name="gfdgd" hidden="1">{#N/A,#N/A,FALSE,"손익표지";#N/A,#N/A,FALSE,"손익계산";#N/A,#N/A,FALSE,"일반관리비";#N/A,#N/A,FALSE,"영업외수익";#N/A,#N/A,FALSE,"영업외비용";#N/A,#N/A,FALSE,"매출액";#N/A,#N/A,FALSE,"요약손익";#N/A,#N/A,FALSE,"요약대차";#N/A,#N/A,FALSE,"매출채권현황";#N/A,#N/A,FALSE,"매출채권명세"}</definedName>
    <definedName name="GFDJ" localSheetId="15" hidden="1">{#N/A,#N/A,FALSE,"손익표지";#N/A,#N/A,FALSE,"손익계산";#N/A,#N/A,FALSE,"일반관리비";#N/A,#N/A,FALSE,"영업외수익";#N/A,#N/A,FALSE,"영업외비용";#N/A,#N/A,FALSE,"매출액";#N/A,#N/A,FALSE,"요약손익";#N/A,#N/A,FALSE,"요약대차";#N/A,#N/A,FALSE,"매출채권현황";#N/A,#N/A,FALSE,"매출채권명세"}</definedName>
    <definedName name="GFDJ" localSheetId="6" hidden="1">{#N/A,#N/A,FALSE,"손익표지";#N/A,#N/A,FALSE,"손익계산";#N/A,#N/A,FALSE,"일반관리비";#N/A,#N/A,FALSE,"영업외수익";#N/A,#N/A,FALSE,"영업외비용";#N/A,#N/A,FALSE,"매출액";#N/A,#N/A,FALSE,"요약손익";#N/A,#N/A,FALSE,"요약대차";#N/A,#N/A,FALSE,"매출채권현황";#N/A,#N/A,FALSE,"매출채권명세"}</definedName>
    <definedName name="GFDJ" localSheetId="45" hidden="1">{#N/A,#N/A,FALSE,"손익표지";#N/A,#N/A,FALSE,"손익계산";#N/A,#N/A,FALSE,"일반관리비";#N/A,#N/A,FALSE,"영업외수익";#N/A,#N/A,FALSE,"영업외비용";#N/A,#N/A,FALSE,"매출액";#N/A,#N/A,FALSE,"요약손익";#N/A,#N/A,FALSE,"요약대차";#N/A,#N/A,FALSE,"매출채권현황";#N/A,#N/A,FALSE,"매출채권명세"}</definedName>
    <definedName name="GFDJ" localSheetId="42" hidden="1">{#N/A,#N/A,FALSE,"손익표지";#N/A,#N/A,FALSE,"손익계산";#N/A,#N/A,FALSE,"일반관리비";#N/A,#N/A,FALSE,"영업외수익";#N/A,#N/A,FALSE,"영업외비용";#N/A,#N/A,FALSE,"매출액";#N/A,#N/A,FALSE,"요약손익";#N/A,#N/A,FALSE,"요약대차";#N/A,#N/A,FALSE,"매출채권현황";#N/A,#N/A,FALSE,"매출채권명세"}</definedName>
    <definedName name="GFDJ" hidden="1">{#N/A,#N/A,FALSE,"손익표지";#N/A,#N/A,FALSE,"손익계산";#N/A,#N/A,FALSE,"일반관리비";#N/A,#N/A,FALSE,"영업외수익";#N/A,#N/A,FALSE,"영업외비용";#N/A,#N/A,FALSE,"매출액";#N/A,#N/A,FALSE,"요약손익";#N/A,#N/A,FALSE,"요약대차";#N/A,#N/A,FALSE,"매출채권현황";#N/A,#N/A,FALSE,"매출채권명세"}</definedName>
    <definedName name="gfdjhdsf" localSheetId="42" hidden="1">{"'9월'!$F$38"}</definedName>
    <definedName name="gfdjhdsf" hidden="1">{"'9월'!$F$38"}</definedName>
    <definedName name="gfgfdg" localSheetId="15"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gfgfdg" localSheetId="6"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gfgfdg" localSheetId="45"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gfgfdg" localSheetId="42"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gfgfdg"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gfhfg" localSheetId="15" hidden="1">{#N/A,#N/A,FALSE,"손익표지";#N/A,#N/A,FALSE,"손익계산";#N/A,#N/A,FALSE,"일반관리비";#N/A,#N/A,FALSE,"영업외수익";#N/A,#N/A,FALSE,"영업외비용";#N/A,#N/A,FALSE,"매출액";#N/A,#N/A,FALSE,"요약손익";#N/A,#N/A,FALSE,"요약대차";#N/A,#N/A,FALSE,"매출채권현황";#N/A,#N/A,FALSE,"매출채권명세"}</definedName>
    <definedName name="gfhfg" localSheetId="6" hidden="1">{#N/A,#N/A,FALSE,"손익표지";#N/A,#N/A,FALSE,"손익계산";#N/A,#N/A,FALSE,"일반관리비";#N/A,#N/A,FALSE,"영업외수익";#N/A,#N/A,FALSE,"영업외비용";#N/A,#N/A,FALSE,"매출액";#N/A,#N/A,FALSE,"요약손익";#N/A,#N/A,FALSE,"요약대차";#N/A,#N/A,FALSE,"매출채권현황";#N/A,#N/A,FALSE,"매출채권명세"}</definedName>
    <definedName name="gfhfg" localSheetId="45" hidden="1">{#N/A,#N/A,FALSE,"손익표지";#N/A,#N/A,FALSE,"손익계산";#N/A,#N/A,FALSE,"일반관리비";#N/A,#N/A,FALSE,"영업외수익";#N/A,#N/A,FALSE,"영업외비용";#N/A,#N/A,FALSE,"매출액";#N/A,#N/A,FALSE,"요약손익";#N/A,#N/A,FALSE,"요약대차";#N/A,#N/A,FALSE,"매출채권현황";#N/A,#N/A,FALSE,"매출채권명세"}</definedName>
    <definedName name="gfhfg" localSheetId="42" hidden="1">{#N/A,#N/A,FALSE,"손익표지";#N/A,#N/A,FALSE,"손익계산";#N/A,#N/A,FALSE,"일반관리비";#N/A,#N/A,FALSE,"영업외수익";#N/A,#N/A,FALSE,"영업외비용";#N/A,#N/A,FALSE,"매출액";#N/A,#N/A,FALSE,"요약손익";#N/A,#N/A,FALSE,"요약대차";#N/A,#N/A,FALSE,"매출채권현황";#N/A,#N/A,FALSE,"매출채권명세"}</definedName>
    <definedName name="gfhfg" hidden="1">{#N/A,#N/A,FALSE,"손익표지";#N/A,#N/A,FALSE,"손익계산";#N/A,#N/A,FALSE,"일반관리비";#N/A,#N/A,FALSE,"영업외수익";#N/A,#N/A,FALSE,"영업외비용";#N/A,#N/A,FALSE,"매출액";#N/A,#N/A,FALSE,"요약손익";#N/A,#N/A,FALSE,"요약대차";#N/A,#N/A,FALSE,"매출채권현황";#N/A,#N/A,FALSE,"매출채권명세"}</definedName>
    <definedName name="GFHGF" localSheetId="15" hidden="1">{#N/A,#N/A,FALSE,"손익표지";#N/A,#N/A,FALSE,"손익계산";#N/A,#N/A,FALSE,"일반관리비";#N/A,#N/A,FALSE,"영업외수익";#N/A,#N/A,FALSE,"영업외비용";#N/A,#N/A,FALSE,"매출액";#N/A,#N/A,FALSE,"요약손익";#N/A,#N/A,FALSE,"요약대차";#N/A,#N/A,FALSE,"매출채권현황";#N/A,#N/A,FALSE,"매출채권명세"}</definedName>
    <definedName name="GFHGF" localSheetId="6" hidden="1">{#N/A,#N/A,FALSE,"손익표지";#N/A,#N/A,FALSE,"손익계산";#N/A,#N/A,FALSE,"일반관리비";#N/A,#N/A,FALSE,"영업외수익";#N/A,#N/A,FALSE,"영업외비용";#N/A,#N/A,FALSE,"매출액";#N/A,#N/A,FALSE,"요약손익";#N/A,#N/A,FALSE,"요약대차";#N/A,#N/A,FALSE,"매출채권현황";#N/A,#N/A,FALSE,"매출채권명세"}</definedName>
    <definedName name="GFHGF" localSheetId="45" hidden="1">{#N/A,#N/A,FALSE,"손익표지";#N/A,#N/A,FALSE,"손익계산";#N/A,#N/A,FALSE,"일반관리비";#N/A,#N/A,FALSE,"영업외수익";#N/A,#N/A,FALSE,"영업외비용";#N/A,#N/A,FALSE,"매출액";#N/A,#N/A,FALSE,"요약손익";#N/A,#N/A,FALSE,"요약대차";#N/A,#N/A,FALSE,"매출채권현황";#N/A,#N/A,FALSE,"매출채권명세"}</definedName>
    <definedName name="GFHGF" localSheetId="42" hidden="1">{#N/A,#N/A,FALSE,"손익표지";#N/A,#N/A,FALSE,"손익계산";#N/A,#N/A,FALSE,"일반관리비";#N/A,#N/A,FALSE,"영업외수익";#N/A,#N/A,FALSE,"영업외비용";#N/A,#N/A,FALSE,"매출액";#N/A,#N/A,FALSE,"요약손익";#N/A,#N/A,FALSE,"요약대차";#N/A,#N/A,FALSE,"매출채권현황";#N/A,#N/A,FALSE,"매출채권명세"}</definedName>
    <definedName name="GFHGF" hidden="1">{#N/A,#N/A,FALSE,"손익표지";#N/A,#N/A,FALSE,"손익계산";#N/A,#N/A,FALSE,"일반관리비";#N/A,#N/A,FALSE,"영업외수익";#N/A,#N/A,FALSE,"영업외비용";#N/A,#N/A,FALSE,"매출액";#N/A,#N/A,FALSE,"요약손익";#N/A,#N/A,FALSE,"요약대차";#N/A,#N/A,FALSE,"매출채권현황";#N/A,#N/A,FALSE,"매출채권명세"}</definedName>
    <definedName name="gg" localSheetId="12" hidden="1">{#N/A,#N/A,FALSE,"Aging Summary";#N/A,#N/A,FALSE,"Ratio Analysis";#N/A,#N/A,FALSE,"Test 120 Day Accts";#N/A,#N/A,FALSE,"Tickmarks"}</definedName>
    <definedName name="gg" localSheetId="42" hidden="1">{#N/A,#N/A,FALSE,"Aging Summary";#N/A,#N/A,FALSE,"Ratio Analysis";#N/A,#N/A,FALSE,"Test 120 Day Accts";#N/A,#N/A,FALSE,"Tickmarks"}</definedName>
    <definedName name="gg" hidden="1">{#N/A,#N/A,FALSE,"Aging Summary";#N/A,#N/A,FALSE,"Ratio Analysis";#N/A,#N/A,FALSE,"Test 120 Day Accts";#N/A,#N/A,FALSE,"Tickmarks"}</definedName>
    <definedName name="GGG" localSheetId="15"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GGG" localSheetId="6"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GGG" localSheetId="45"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GGG" localSheetId="42"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GGG"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gggg" localSheetId="4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gggg"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GGGGGG" localSheetId="15" hidden="1">{#N/A,#N/A,FALSE,"정공"}</definedName>
    <definedName name="GGGGGG" localSheetId="6" hidden="1">{#N/A,#N/A,FALSE,"정공"}</definedName>
    <definedName name="GGGGGG" localSheetId="45" hidden="1">{#N/A,#N/A,FALSE,"정공"}</definedName>
    <definedName name="GGGGGG" localSheetId="42" hidden="1">{#N/A,#N/A,FALSE,"정공"}</definedName>
    <definedName name="GGGGGG" hidden="1">{#N/A,#N/A,FALSE,"정공"}</definedName>
    <definedName name="GHGHGH" localSheetId="15" hidden="1">{"'미착금액'!$A$4:$G$14"}</definedName>
    <definedName name="GHGHGH" localSheetId="6" hidden="1">{"'미착금액'!$A$4:$G$14"}</definedName>
    <definedName name="GHGHGH" localSheetId="45" hidden="1">{"'미착금액'!$A$4:$G$14"}</definedName>
    <definedName name="GHGHGH" localSheetId="42" hidden="1">{"'미착금액'!$A$4:$G$14"}</definedName>
    <definedName name="GHGHGH" hidden="1">{"'미착금액'!$A$4:$G$14"}</definedName>
    <definedName name="ghjg" localSheetId="15" hidden="1">{#N/A,#N/A,FALSE,"손익표지";#N/A,#N/A,FALSE,"손익계산";#N/A,#N/A,FALSE,"일반관리비";#N/A,#N/A,FALSE,"영업외수익";#N/A,#N/A,FALSE,"영업외비용";#N/A,#N/A,FALSE,"매출액";#N/A,#N/A,FALSE,"요약손익";#N/A,#N/A,FALSE,"요약대차";#N/A,#N/A,FALSE,"매출채권현황";#N/A,#N/A,FALSE,"매출채권명세"}</definedName>
    <definedName name="ghjg" localSheetId="6" hidden="1">{#N/A,#N/A,FALSE,"손익표지";#N/A,#N/A,FALSE,"손익계산";#N/A,#N/A,FALSE,"일반관리비";#N/A,#N/A,FALSE,"영업외수익";#N/A,#N/A,FALSE,"영업외비용";#N/A,#N/A,FALSE,"매출액";#N/A,#N/A,FALSE,"요약손익";#N/A,#N/A,FALSE,"요약대차";#N/A,#N/A,FALSE,"매출채권현황";#N/A,#N/A,FALSE,"매출채권명세"}</definedName>
    <definedName name="ghjg" localSheetId="45" hidden="1">{#N/A,#N/A,FALSE,"손익표지";#N/A,#N/A,FALSE,"손익계산";#N/A,#N/A,FALSE,"일반관리비";#N/A,#N/A,FALSE,"영업외수익";#N/A,#N/A,FALSE,"영업외비용";#N/A,#N/A,FALSE,"매출액";#N/A,#N/A,FALSE,"요약손익";#N/A,#N/A,FALSE,"요약대차";#N/A,#N/A,FALSE,"매출채권현황";#N/A,#N/A,FALSE,"매출채권명세"}</definedName>
    <definedName name="ghjg" localSheetId="42" hidden="1">{#N/A,#N/A,FALSE,"손익표지";#N/A,#N/A,FALSE,"손익계산";#N/A,#N/A,FALSE,"일반관리비";#N/A,#N/A,FALSE,"영업외수익";#N/A,#N/A,FALSE,"영업외비용";#N/A,#N/A,FALSE,"매출액";#N/A,#N/A,FALSE,"요약손익";#N/A,#N/A,FALSE,"요약대차";#N/A,#N/A,FALSE,"매출채권현황";#N/A,#N/A,FALSE,"매출채권명세"}</definedName>
    <definedName name="ghjg" hidden="1">{#N/A,#N/A,FALSE,"손익표지";#N/A,#N/A,FALSE,"손익계산";#N/A,#N/A,FALSE,"일반관리비";#N/A,#N/A,FALSE,"영업외수익";#N/A,#N/A,FALSE,"영업외비용";#N/A,#N/A,FALSE,"매출액";#N/A,#N/A,FALSE,"요약손익";#N/A,#N/A,FALSE,"요약대차";#N/A,#N/A,FALSE,"매출채권현황";#N/A,#N/A,FALSE,"매출채권명세"}</definedName>
    <definedName name="ghjghj" localSheetId="15" hidden="1">{#N/A,#N/A,FALSE,"손익표지";#N/A,#N/A,FALSE,"손익계산";#N/A,#N/A,FALSE,"일반관리비";#N/A,#N/A,FALSE,"영업외수익";#N/A,#N/A,FALSE,"영업외비용";#N/A,#N/A,FALSE,"매출액";#N/A,#N/A,FALSE,"요약손익";#N/A,#N/A,FALSE,"요약대차";#N/A,#N/A,FALSE,"매출채권현황";#N/A,#N/A,FALSE,"매출채권명세"}</definedName>
    <definedName name="ghjghj" localSheetId="6" hidden="1">{#N/A,#N/A,FALSE,"손익표지";#N/A,#N/A,FALSE,"손익계산";#N/A,#N/A,FALSE,"일반관리비";#N/A,#N/A,FALSE,"영업외수익";#N/A,#N/A,FALSE,"영업외비용";#N/A,#N/A,FALSE,"매출액";#N/A,#N/A,FALSE,"요약손익";#N/A,#N/A,FALSE,"요약대차";#N/A,#N/A,FALSE,"매출채권현황";#N/A,#N/A,FALSE,"매출채권명세"}</definedName>
    <definedName name="ghjghj" localSheetId="45" hidden="1">{#N/A,#N/A,FALSE,"손익표지";#N/A,#N/A,FALSE,"손익계산";#N/A,#N/A,FALSE,"일반관리비";#N/A,#N/A,FALSE,"영업외수익";#N/A,#N/A,FALSE,"영업외비용";#N/A,#N/A,FALSE,"매출액";#N/A,#N/A,FALSE,"요약손익";#N/A,#N/A,FALSE,"요약대차";#N/A,#N/A,FALSE,"매출채권현황";#N/A,#N/A,FALSE,"매출채권명세"}</definedName>
    <definedName name="ghjghj" localSheetId="42" hidden="1">{#N/A,#N/A,FALSE,"손익표지";#N/A,#N/A,FALSE,"손익계산";#N/A,#N/A,FALSE,"일반관리비";#N/A,#N/A,FALSE,"영업외수익";#N/A,#N/A,FALSE,"영업외비용";#N/A,#N/A,FALSE,"매출액";#N/A,#N/A,FALSE,"요약손익";#N/A,#N/A,FALSE,"요약대차";#N/A,#N/A,FALSE,"매출채권현황";#N/A,#N/A,FALSE,"매출채권명세"}</definedName>
    <definedName name="ghjghj" hidden="1">{#N/A,#N/A,FALSE,"손익표지";#N/A,#N/A,FALSE,"손익계산";#N/A,#N/A,FALSE,"일반관리비";#N/A,#N/A,FALSE,"영업외수익";#N/A,#N/A,FALSE,"영업외비용";#N/A,#N/A,FALSE,"매출액";#N/A,#N/A,FALSE,"요약손익";#N/A,#N/A,FALSE,"요약대차";#N/A,#N/A,FALSE,"매출채권현황";#N/A,#N/A,FALSE,"매출채권명세"}</definedName>
    <definedName name="ghudjk" localSheetId="15" hidden="1">{#N/A,#N/A,FALSE,"정공"}</definedName>
    <definedName name="ghudjk" localSheetId="6" hidden="1">{#N/A,#N/A,FALSE,"정공"}</definedName>
    <definedName name="ghudjk" localSheetId="45" hidden="1">{#N/A,#N/A,FALSE,"정공"}</definedName>
    <definedName name="ghudjk" localSheetId="42" hidden="1">{#N/A,#N/A,FALSE,"정공"}</definedName>
    <definedName name="ghudjk" hidden="1">{#N/A,#N/A,FALSE,"정공"}</definedName>
    <definedName name="GHUTGHF" localSheetId="42" hidden="1">{#N/A,#N/A,FALSE,"96 3월물량표";#N/A,#N/A,FALSE,"96 4월물량표";#N/A,#N/A,FALSE,"96 5월물량표"}</definedName>
    <definedName name="GHUTGHF" hidden="1">{#N/A,#N/A,FALSE,"96 3월물량표";#N/A,#N/A,FALSE,"96 4월물량표";#N/A,#N/A,FALSE,"96 5월물량표"}</definedName>
    <definedName name="GML" localSheetId="15"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GML" localSheetId="6"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GML" localSheetId="45"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GML" localSheetId="42"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GML"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gsdg" localSheetId="15" hidden="1">{#N/A,#N/A,FALSE,"Yield";#N/A,#N/A,FALSE,"Loss1";#N/A,#N/A,FALSE,"Loss2";#N/A,#N/A,FALSE,"Hour-Labor(배분)";#N/A,#N/A,FALSE,"Capital Expenditure";#N/A,#N/A,FALSE,"Productivity"}</definedName>
    <definedName name="gsdg" localSheetId="6" hidden="1">{#N/A,#N/A,FALSE,"Yield";#N/A,#N/A,FALSE,"Loss1";#N/A,#N/A,FALSE,"Loss2";#N/A,#N/A,FALSE,"Hour-Labor(배분)";#N/A,#N/A,FALSE,"Capital Expenditure";#N/A,#N/A,FALSE,"Productivity"}</definedName>
    <definedName name="gsdg" localSheetId="45" hidden="1">{#N/A,#N/A,FALSE,"Yield";#N/A,#N/A,FALSE,"Loss1";#N/A,#N/A,FALSE,"Loss2";#N/A,#N/A,FALSE,"Hour-Labor(배분)";#N/A,#N/A,FALSE,"Capital Expenditure";#N/A,#N/A,FALSE,"Productivity"}</definedName>
    <definedName name="gsdg" localSheetId="42" hidden="1">{#N/A,#N/A,FALSE,"Yield";#N/A,#N/A,FALSE,"Loss1";#N/A,#N/A,FALSE,"Loss2";#N/A,#N/A,FALSE,"Hour-Labor(배분)";#N/A,#N/A,FALSE,"Capital Expenditure";#N/A,#N/A,FALSE,"Productivity"}</definedName>
    <definedName name="gsdg" hidden="1">{#N/A,#N/A,FALSE,"Yield";#N/A,#N/A,FALSE,"Loss1";#N/A,#N/A,FALSE,"Loss2";#N/A,#N/A,FALSE,"Hour-Labor(배분)";#N/A,#N/A,FALSE,"Capital Expenditure";#N/A,#N/A,FALSE,"Productivity"}</definedName>
    <definedName name="gus" localSheetId="12" hidden="1">{#N/A,#N/A,TRUE,"Summary";#N/A,#N/A,TRUE,"IS";#N/A,#N/A,TRUE,"Adj";#N/A,#N/A,TRUE,"BS";#N/A,#N/A,TRUE,"CF";#N/A,#N/A,TRUE,"Debt";#N/A,#N/A,TRUE,"IRR"}</definedName>
    <definedName name="gus" localSheetId="42" hidden="1">{#N/A,#N/A,TRUE,"Summary";#N/A,#N/A,TRUE,"IS";#N/A,#N/A,TRUE,"Adj";#N/A,#N/A,TRUE,"BS";#N/A,#N/A,TRUE,"CF";#N/A,#N/A,TRUE,"Debt";#N/A,#N/A,TRUE,"IRR"}</definedName>
    <definedName name="gus" hidden="1">{#N/A,#N/A,TRUE,"Summary";#N/A,#N/A,TRUE,"IS";#N/A,#N/A,TRUE,"Adj";#N/A,#N/A,TRUE,"BS";#N/A,#N/A,TRUE,"CF";#N/A,#N/A,TRUE,"Debt";#N/A,#N/A,TRUE,"IRR"}</definedName>
    <definedName name="gusrmagmfma" localSheetId="12" hidden="1">{#N/A,#N/A,TRUE,"Summary";#N/A,#N/A,TRUE,"IS";#N/A,#N/A,TRUE,"Adj";#N/A,#N/A,TRUE,"BS";#N/A,#N/A,TRUE,"CF";#N/A,#N/A,TRUE,"Debt";#N/A,#N/A,TRUE,"IRR"}</definedName>
    <definedName name="gusrmagmfma" localSheetId="42" hidden="1">{#N/A,#N/A,TRUE,"Summary";#N/A,#N/A,TRUE,"IS";#N/A,#N/A,TRUE,"Adj";#N/A,#N/A,TRUE,"BS";#N/A,#N/A,TRUE,"CF";#N/A,#N/A,TRUE,"Debt";#N/A,#N/A,TRUE,"IRR"}</definedName>
    <definedName name="gusrmagmfma" hidden="1">{#N/A,#N/A,TRUE,"Summary";#N/A,#N/A,TRUE,"IS";#N/A,#N/A,TRUE,"Adj";#N/A,#N/A,TRUE,"BS";#N/A,#N/A,TRUE,"CF";#N/A,#N/A,TRUE,"Debt";#N/A,#N/A,TRUE,"IRR"}</definedName>
    <definedName name="gvgvg" localSheetId="15"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gvgvg" localSheetId="6"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gvgvg" localSheetId="45"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gvgvg" localSheetId="42"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gvgvg"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H" localSheetId="4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H"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HGF" localSheetId="15" hidden="1">{#N/A,#N/A,FALSE,"손익표지";#N/A,#N/A,FALSE,"손익계산";#N/A,#N/A,FALSE,"일반관리비";#N/A,#N/A,FALSE,"영업외수익";#N/A,#N/A,FALSE,"영업외비용";#N/A,#N/A,FALSE,"매출액";#N/A,#N/A,FALSE,"요약손익";#N/A,#N/A,FALSE,"요약대차";#N/A,#N/A,FALSE,"매출채권현황";#N/A,#N/A,FALSE,"매출채권명세"}</definedName>
    <definedName name="HGF" localSheetId="6" hidden="1">{#N/A,#N/A,FALSE,"손익표지";#N/A,#N/A,FALSE,"손익계산";#N/A,#N/A,FALSE,"일반관리비";#N/A,#N/A,FALSE,"영업외수익";#N/A,#N/A,FALSE,"영업외비용";#N/A,#N/A,FALSE,"매출액";#N/A,#N/A,FALSE,"요약손익";#N/A,#N/A,FALSE,"요약대차";#N/A,#N/A,FALSE,"매출채권현황";#N/A,#N/A,FALSE,"매출채권명세"}</definedName>
    <definedName name="HGF" localSheetId="45" hidden="1">{#N/A,#N/A,FALSE,"손익표지";#N/A,#N/A,FALSE,"손익계산";#N/A,#N/A,FALSE,"일반관리비";#N/A,#N/A,FALSE,"영업외수익";#N/A,#N/A,FALSE,"영업외비용";#N/A,#N/A,FALSE,"매출액";#N/A,#N/A,FALSE,"요약손익";#N/A,#N/A,FALSE,"요약대차";#N/A,#N/A,FALSE,"매출채권현황";#N/A,#N/A,FALSE,"매출채권명세"}</definedName>
    <definedName name="HGF" localSheetId="42" hidden="1">{#N/A,#N/A,FALSE,"손익표지";#N/A,#N/A,FALSE,"손익계산";#N/A,#N/A,FALSE,"일반관리비";#N/A,#N/A,FALSE,"영업외수익";#N/A,#N/A,FALSE,"영업외비용";#N/A,#N/A,FALSE,"매출액";#N/A,#N/A,FALSE,"요약손익";#N/A,#N/A,FALSE,"요약대차";#N/A,#N/A,FALSE,"매출채권현황";#N/A,#N/A,FALSE,"매출채권명세"}</definedName>
    <definedName name="HGF" hidden="1">{#N/A,#N/A,FALSE,"손익표지";#N/A,#N/A,FALSE,"손익계산";#N/A,#N/A,FALSE,"일반관리비";#N/A,#N/A,FALSE,"영업외수익";#N/A,#N/A,FALSE,"영업외비용";#N/A,#N/A,FALSE,"매출액";#N/A,#N/A,FALSE,"요약손익";#N/A,#N/A,FALSE,"요약대차";#N/A,#N/A,FALSE,"매출채권현황";#N/A,#N/A,FALSE,"매출채권명세"}</definedName>
    <definedName name="hgkvg" localSheetId="15"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hgkvg" localSheetId="6"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hgkvg" localSheetId="45"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hgkvg" localSheetId="42"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hgkvg"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hgt" localSheetId="12" hidden="1">#REF!</definedName>
    <definedName name="hgt" localSheetId="30" hidden="1">#REF!</definedName>
    <definedName name="hgt" localSheetId="29" hidden="1">#REF!</definedName>
    <definedName name="hgt" localSheetId="33" hidden="1">#REF!</definedName>
    <definedName name="hgt" localSheetId="31" hidden="1">#REF!</definedName>
    <definedName name="hgt" hidden="1">#REF!</definedName>
    <definedName name="hh" localSheetId="42" hidden="1">{#N/A,#N/A,FALSE,"BS";#N/A,#N/A,FALSE,"PL";#N/A,#N/A,FALSE,"A";#N/A,#N/A,FALSE,"B";#N/A,#N/A,FALSE,"B1";#N/A,#N/A,FALSE,"C";#N/A,#N/A,FALSE,"C1";#N/A,#N/A,FALSE,"C2";#N/A,#N/A,FALSE,"D";#N/A,#N/A,FALSE,"E";#N/A,#N/A,FALSE,"F";#N/A,#N/A,FALSE,"AA";#N/A,#N/A,FALSE,"BB";#N/A,#N/A,FALSE,"CC";#N/A,#N/A,FALSE,"DD";#N/A,#N/A,FALSE,"EE";#N/A,#N/A,FALSE,"FF";#N/A,#N/A,FALSE,"PL10";#N/A,#N/A,FALSE,"PL20";#N/A,#N/A,FALSE,"PL30"}</definedName>
    <definedName name="hh" hidden="1">{#N/A,#N/A,FALSE,"BS";#N/A,#N/A,FALSE,"PL";#N/A,#N/A,FALSE,"A";#N/A,#N/A,FALSE,"B";#N/A,#N/A,FALSE,"B1";#N/A,#N/A,FALSE,"C";#N/A,#N/A,FALSE,"C1";#N/A,#N/A,FALSE,"C2";#N/A,#N/A,FALSE,"D";#N/A,#N/A,FALSE,"E";#N/A,#N/A,FALSE,"F";#N/A,#N/A,FALSE,"AA";#N/A,#N/A,FALSE,"BB";#N/A,#N/A,FALSE,"CC";#N/A,#N/A,FALSE,"DD";#N/A,#N/A,FALSE,"EE";#N/A,#N/A,FALSE,"FF";#N/A,#N/A,FALSE,"PL10";#N/A,#N/A,FALSE,"PL20";#N/A,#N/A,FALSE,"PL30"}</definedName>
    <definedName name="hhghg" localSheetId="15"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hhghg" localSheetId="6"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hhghg" localSheetId="45"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hhghg" localSheetId="42"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hhghg"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hhh" localSheetId="15"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hhh" localSheetId="6"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hhh" localSheetId="45"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hhh" localSheetId="42"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hhh"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hhhh" localSheetId="42" hidden="1">{#N/A,#N/A,FALSE,"BS";#N/A,#N/A,FALSE,"PL";#N/A,#N/A,FALSE,"처분";#N/A,#N/A,FALSE,"현금";#N/A,#N/A,FALSE,"매출";#N/A,#N/A,FALSE,"원가";#N/A,#N/A,FALSE,"경영"}</definedName>
    <definedName name="hhhh" hidden="1">{#N/A,#N/A,FALSE,"BS";#N/A,#N/A,FALSE,"PL";#N/A,#N/A,FALSE,"처분";#N/A,#N/A,FALSE,"현금";#N/A,#N/A,FALSE,"매출";#N/A,#N/A,FALSE,"원가";#N/A,#N/A,FALSE,"경영"}</definedName>
    <definedName name="HTML_CodePage" hidden="1">949</definedName>
    <definedName name="HTML_Control" localSheetId="12" hidden="1">{"'Sheet2'!$A$1:$G$2"}</definedName>
    <definedName name="HTML_Control" localSheetId="15" hidden="1">{"'분양원가'!$B$1:$F$113"}</definedName>
    <definedName name="HTML_Control" localSheetId="6" hidden="1">{"'분양원가'!$B$1:$F$113"}</definedName>
    <definedName name="HTML_Control" localSheetId="45" hidden="1">{"'분양원가'!$B$1:$F$113"}</definedName>
    <definedName name="HTML_Control" localSheetId="42" hidden="1">{"'분양원가'!$B$1:$F$113"}</definedName>
    <definedName name="HTML_Control" hidden="1">{"'5국공정'!$A$1:$E$128"}</definedName>
    <definedName name="HTML_Description" hidden="1">""</definedName>
    <definedName name="HTML_Email" localSheetId="12" hidden="1">""</definedName>
    <definedName name="HTML_Email" localSheetId="15" hidden="1">""</definedName>
    <definedName name="HTML_Email" localSheetId="6" hidden="1">""</definedName>
    <definedName name="HTML_Email" localSheetId="45" hidden="1">""</definedName>
    <definedName name="HTML_Email" localSheetId="42" hidden="1">""</definedName>
    <definedName name="HTML_Email" hidden="1">"jaemins@netian.co.kr"</definedName>
    <definedName name="HTML_Header" localSheetId="12" hidden="1">"Sheet2"</definedName>
    <definedName name="HTML_Header" localSheetId="15" hidden="1">"분양원가"</definedName>
    <definedName name="HTML_Header" localSheetId="6" hidden="1">"분양원가"</definedName>
    <definedName name="HTML_Header" localSheetId="45" hidden="1">"분양원가"</definedName>
    <definedName name="HTML_Header" localSheetId="42" hidden="1">"분양원가"</definedName>
    <definedName name="HTML_Header" hidden="1">""</definedName>
    <definedName name="HTML_LastUpdate" localSheetId="12" hidden="1">"98-01-20"</definedName>
    <definedName name="HTML_LastUpdate" localSheetId="15" hidden="1">"98-04-28"</definedName>
    <definedName name="HTML_LastUpdate" localSheetId="6" hidden="1">"98-04-28"</definedName>
    <definedName name="HTML_LastUpdate" localSheetId="45" hidden="1">"98-04-28"</definedName>
    <definedName name="HTML_LastUpdate" localSheetId="42" hidden="1">"98-04-28"</definedName>
    <definedName name="HTML_LastUpdate" hidden="1">"99-01-11"</definedName>
    <definedName name="HTML_LineAfter" hidden="1">FALSE</definedName>
    <definedName name="HTML_LineBefore" localSheetId="12" hidden="1">FALSE</definedName>
    <definedName name="HTML_LineBefore" localSheetId="15" hidden="1">FALSE</definedName>
    <definedName name="HTML_LineBefore" localSheetId="6" hidden="1">FALSE</definedName>
    <definedName name="HTML_LineBefore" localSheetId="45" hidden="1">FALSE</definedName>
    <definedName name="HTML_LineBefore" localSheetId="42" hidden="1">FALSE</definedName>
    <definedName name="HTML_LineBefore" hidden="1">TRUE</definedName>
    <definedName name="HTML_Name" localSheetId="12" hidden="1">"정현주"</definedName>
    <definedName name="HTML_Name" localSheetId="15" hidden="1">"대아건설"</definedName>
    <definedName name="HTML_Name" localSheetId="6" hidden="1">"대아건설"</definedName>
    <definedName name="HTML_Name" localSheetId="45" hidden="1">"대아건설"</definedName>
    <definedName name="HTML_Name" localSheetId="42" hidden="1">"대아건설"</definedName>
    <definedName name="HTML_Name" hidden="1">"김재민"</definedName>
    <definedName name="HTML_OBDlg2" hidden="1">TRUE</definedName>
    <definedName name="HTML_OBDlg3" hidden="1">TRUE</definedName>
    <definedName name="HTML_OBDlg4" hidden="1">TRUE</definedName>
    <definedName name="HTML_OS" hidden="1">0</definedName>
    <definedName name="HTML_PathFile" localSheetId="12" hidden="1">"C:\My Documents\자금\MyHTML.htm"</definedName>
    <definedName name="HTML_PathFile" localSheetId="15" hidden="1">"C:\YD1\MyHTML.htm"</definedName>
    <definedName name="HTML_PathFile" localSheetId="6" hidden="1">"C:\YD1\MyHTML.htm"</definedName>
    <definedName name="HTML_PathFile" localSheetId="45" hidden="1">"C:\YD1\MyHTML.htm"</definedName>
    <definedName name="HTML_PathFile" localSheetId="42" hidden="1">"C:\YD1\MyHTML.htm"</definedName>
    <definedName name="HTML_PathFile" hidden="1">"C:\홈페이지\일위대가.htm"</definedName>
    <definedName name="HTML_PathTemplate" hidden="1">"C:\My Documents\98양정기초.htm"</definedName>
    <definedName name="HTML_Title" localSheetId="12" hidden="1">"Book1내맘대로"</definedName>
    <definedName name="HTML_Title" localSheetId="15" hidden="1">"분양원가"</definedName>
    <definedName name="HTML_Title" localSheetId="6" hidden="1">"분양원가"</definedName>
    <definedName name="HTML_Title" localSheetId="45" hidden="1">"분양원가"</definedName>
    <definedName name="HTML_Title" localSheetId="42" hidden="1">"분양원가"</definedName>
    <definedName name="HTML_Title" hidden="1">"직접노무비"</definedName>
    <definedName name="HTML1_1" hidden="1">"[수주관리98.xls]회선현황!$A$5:$O$53"</definedName>
    <definedName name="HTML1_10" hidden="1">""</definedName>
    <definedName name="HTML1_11" hidden="1">1</definedName>
    <definedName name="HTML1_12" hidden="1">"C:\My Documents\98년\1월\영업현황\시험.htm"</definedName>
    <definedName name="HTML1_2" hidden="1">1</definedName>
    <definedName name="HTML1_3" hidden="1">"수주관리98"</definedName>
    <definedName name="HTML1_4" hidden="1">"회선현황"</definedName>
    <definedName name="HTML1_5" hidden="1">""</definedName>
    <definedName name="HTML1_6" hidden="1">-4146</definedName>
    <definedName name="HTML1_7" hidden="1">-4146</definedName>
    <definedName name="HTML1_8" hidden="1">"98-01-21"</definedName>
    <definedName name="HTML1_9" hidden="1">"김은광"</definedName>
    <definedName name="HTML10_1" hidden="1">"'[수주관리98.xls]2월1주차'!$A$1:$P$31"</definedName>
    <definedName name="HTML10_10" hidden="1">""</definedName>
    <definedName name="HTML10_11" hidden="1">1</definedName>
    <definedName name="HTML10_12" hidden="1">"C:\My Documents\98년\영업현황\일일현황-98.2.6.htm"</definedName>
    <definedName name="HTML10_2" hidden="1">1</definedName>
    <definedName name="HTML10_3" hidden="1">""</definedName>
    <definedName name="HTML10_4" hidden="1">""</definedName>
    <definedName name="HTML10_5" hidden="1">""</definedName>
    <definedName name="HTML10_6" hidden="1">-4146</definedName>
    <definedName name="HTML10_7" hidden="1">-4146</definedName>
    <definedName name="HTML10_8" hidden="1">""</definedName>
    <definedName name="HTML10_9" hidden="1">""</definedName>
    <definedName name="HTML11_1" hidden="1">"'[수주관리98.xls]2월2주차'!$A$1:$P$21"</definedName>
    <definedName name="HTML11_10" hidden="1">""</definedName>
    <definedName name="HTML11_11" hidden="1">1</definedName>
    <definedName name="HTML11_12" hidden="1">"C:\My Documents\98년\영업현황\일일현황-98.2.12.htm"</definedName>
    <definedName name="HTML11_2" hidden="1">1</definedName>
    <definedName name="HTML11_3" hidden="1">""</definedName>
    <definedName name="HTML11_4" hidden="1">""</definedName>
    <definedName name="HTML11_5" hidden="1">""</definedName>
    <definedName name="HTML11_6" hidden="1">-4146</definedName>
    <definedName name="HTML11_7" hidden="1">-4146</definedName>
    <definedName name="HTML11_8" hidden="1">""</definedName>
    <definedName name="HTML11_9" hidden="1">""</definedName>
    <definedName name="HTML12_1" hidden="1">"'[수주관리98.xls]2월2주차'!$A$1:$P$34"</definedName>
    <definedName name="HTML12_10" hidden="1">""</definedName>
    <definedName name="HTML12_11" hidden="1">1</definedName>
    <definedName name="HTML12_12" hidden="1">"C:\My Documents\98년\영업현황\일일현황-98.2.13.htm"</definedName>
    <definedName name="HTML12_2" hidden="1">1</definedName>
    <definedName name="HTML12_3" hidden="1">""</definedName>
    <definedName name="HTML12_4" hidden="1">""</definedName>
    <definedName name="HTML12_5" hidden="1">""</definedName>
    <definedName name="HTML12_6" hidden="1">-4146</definedName>
    <definedName name="HTML12_7" hidden="1">-4146</definedName>
    <definedName name="HTML12_8" hidden="1">""</definedName>
    <definedName name="HTML12_9" hidden="1">""</definedName>
    <definedName name="HTML13_1" hidden="1">"'[수주관리98.xls]2월2주차'!$A$1:$P$19"</definedName>
    <definedName name="HTML13_10" hidden="1">""</definedName>
    <definedName name="HTML13_11" hidden="1">1</definedName>
    <definedName name="HTML13_12" hidden="1">"C:\My Documents\98년\영업현황\일일현황-98.2.12.htm"</definedName>
    <definedName name="HTML13_2" hidden="1">1</definedName>
    <definedName name="HTML13_3" hidden="1">""</definedName>
    <definedName name="HTML13_4" hidden="1">""</definedName>
    <definedName name="HTML13_5" hidden="1">""</definedName>
    <definedName name="HTML13_6" hidden="1">-4146</definedName>
    <definedName name="HTML13_7" hidden="1">-4146</definedName>
    <definedName name="HTML13_8" hidden="1">""</definedName>
    <definedName name="HTML13_9" hidden="1">""</definedName>
    <definedName name="HTML14_1" hidden="1">"'[수주관리98.xls]2월2주차'!$A$1:$P$17"</definedName>
    <definedName name="HTML14_10" hidden="1">""</definedName>
    <definedName name="HTML14_11" hidden="1">1</definedName>
    <definedName name="HTML14_12" hidden="1">"C:\My Documents\98년\영업현황\일일현황-98.2.9.htm"</definedName>
    <definedName name="HTML14_2" hidden="1">1</definedName>
    <definedName name="HTML14_3" hidden="1">""</definedName>
    <definedName name="HTML14_4" hidden="1">""</definedName>
    <definedName name="HTML14_5" hidden="1">""</definedName>
    <definedName name="HTML14_6" hidden="1">-4146</definedName>
    <definedName name="HTML14_7" hidden="1">-4146</definedName>
    <definedName name="HTML14_8" hidden="1">""</definedName>
    <definedName name="HTML14_9" hidden="1">""</definedName>
    <definedName name="HTML15_1" hidden="1">"'[수주관리98.xls]2월3주차'!$A$1:$P$20"</definedName>
    <definedName name="HTML15_10" hidden="1">""</definedName>
    <definedName name="HTML15_11" hidden="1">1</definedName>
    <definedName name="HTML15_12" hidden="1">"C:\My Documents\98년\영업현황\일일현황-98.2.16.htm"</definedName>
    <definedName name="HTML15_2" hidden="1">1</definedName>
    <definedName name="HTML15_3" hidden="1">""</definedName>
    <definedName name="HTML15_4" hidden="1">""</definedName>
    <definedName name="HTML15_5" hidden="1">""</definedName>
    <definedName name="HTML15_6" hidden="1">-4146</definedName>
    <definedName name="HTML15_7" hidden="1">-4146</definedName>
    <definedName name="HTML15_8" hidden="1">""</definedName>
    <definedName name="HTML15_9" hidden="1">""</definedName>
    <definedName name="HTML16_1" hidden="1">"'[수주통합관리98_2_21.xls]2월3주차'!$A$1:$I$89"</definedName>
    <definedName name="HTML16_10" hidden="1">""</definedName>
    <definedName name="HTML16_11" hidden="1">1</definedName>
    <definedName name="HTML16_12" hidden="1">"C:\My Documents\98년\영업현황\일일현황-98.2.25.htm"</definedName>
    <definedName name="HTML16_2" hidden="1">1</definedName>
    <definedName name="HTML16_3" hidden="1">""</definedName>
    <definedName name="HTML16_4" hidden="1">""</definedName>
    <definedName name="HTML16_5" hidden="1">""</definedName>
    <definedName name="HTML16_6" hidden="1">-4146</definedName>
    <definedName name="HTML16_7" hidden="1">-4146</definedName>
    <definedName name="HTML16_8" hidden="1">""</definedName>
    <definedName name="HTML16_9" hidden="1">""</definedName>
    <definedName name="HTML17_1" hidden="1">"'[수주통합관리98_2_21.xls]2월3주차'!$A$4:$H$30"</definedName>
    <definedName name="HTML17_10" hidden="1">""</definedName>
    <definedName name="HTML17_11" hidden="1">1</definedName>
    <definedName name="HTML17_12" hidden="1">"C:\My Documents\98년\영업현황\1월 수주현황.htm"</definedName>
    <definedName name="HTML17_2" hidden="1">1</definedName>
    <definedName name="HTML17_3" hidden="1">""</definedName>
    <definedName name="HTML17_4" hidden="1">""</definedName>
    <definedName name="HTML17_5" hidden="1">""</definedName>
    <definedName name="HTML17_6" hidden="1">-4146</definedName>
    <definedName name="HTML17_7" hidden="1">-4146</definedName>
    <definedName name="HTML17_8" hidden="1">""</definedName>
    <definedName name="HTML17_9" hidden="1">""</definedName>
    <definedName name="HTML18_1" hidden="1">"'[수주통합관리98_2_21.xls]2월3주차'!$A$32:$I$58"</definedName>
    <definedName name="HTML18_10" hidden="1">""</definedName>
    <definedName name="HTML18_11" hidden="1">1</definedName>
    <definedName name="HTML18_12" hidden="1">"C:\My Documents\98년\영업현황\2월 수주현황(2월25일 현재).htm"</definedName>
    <definedName name="HTML18_2" hidden="1">1</definedName>
    <definedName name="HTML18_3" hidden="1">""</definedName>
    <definedName name="HTML18_4" hidden="1">""</definedName>
    <definedName name="HTML18_5" hidden="1">""</definedName>
    <definedName name="HTML18_6" hidden="1">-4146</definedName>
    <definedName name="HTML18_7" hidden="1">-4146</definedName>
    <definedName name="HTML18_8" hidden="1">""</definedName>
    <definedName name="HTML18_9" hidden="1">""</definedName>
    <definedName name="HTML19_1" hidden="1">"'[수주통합관리98_2_21.xls]2월3주차'!$A$63:$F$89"</definedName>
    <definedName name="HTML19_10" hidden="1">""</definedName>
    <definedName name="HTML19_11" hidden="1">1</definedName>
    <definedName name="HTML19_12" hidden="1">"C:\My Documents\98년\영업현황\월별현황(2월25일 현재).htm"</definedName>
    <definedName name="HTML19_2" hidden="1">1</definedName>
    <definedName name="HTML19_3" hidden="1">""</definedName>
    <definedName name="HTML19_4" hidden="1">""</definedName>
    <definedName name="HTML19_5" hidden="1">""</definedName>
    <definedName name="HTML19_6" hidden="1">-4146</definedName>
    <definedName name="HTML19_7" hidden="1">-4146</definedName>
    <definedName name="HTML19_8" hidden="1">""</definedName>
    <definedName name="HTML19_9" hidden="1">""</definedName>
    <definedName name="HTML2_1" hidden="1">"[수주관리98.xls]일일현황!$A$1:$L$10"</definedName>
    <definedName name="HTML2_10" hidden="1">""</definedName>
    <definedName name="HTML2_11" hidden="1">1</definedName>
    <definedName name="HTML2_12" hidden="1">"C:\My Documents\98년\1월\영업현황\일일현황-98.1.22.htm"</definedName>
    <definedName name="HTML2_2" hidden="1">1</definedName>
    <definedName name="HTML2_3" hidden="1">""</definedName>
    <definedName name="HTML2_4" hidden="1">""</definedName>
    <definedName name="HTML2_5" hidden="1">""</definedName>
    <definedName name="HTML2_6" hidden="1">-4146</definedName>
    <definedName name="HTML2_7" hidden="1">1</definedName>
    <definedName name="HTML2_8" hidden="1">"98-01-22"</definedName>
    <definedName name="HTML2_9" hidden="1">""</definedName>
    <definedName name="HTML20_1" hidden="1">"'[수주통합관리98_2_25.xls]2월4주차'!$A$71:$F$97"</definedName>
    <definedName name="HTML20_10" hidden="1">""</definedName>
    <definedName name="HTML20_11" hidden="1">1</definedName>
    <definedName name="HTML20_12" hidden="1">"C:\My Documents\98년\영업현황\월별현황(2월 마감분).htm"</definedName>
    <definedName name="HTML20_2" hidden="1">1</definedName>
    <definedName name="HTML20_3" hidden="1">""</definedName>
    <definedName name="HTML20_4" hidden="1">""</definedName>
    <definedName name="HTML20_5" hidden="1">""</definedName>
    <definedName name="HTML20_6" hidden="1">-4146</definedName>
    <definedName name="HTML20_7" hidden="1">-4146</definedName>
    <definedName name="HTML20_8" hidden="1">""</definedName>
    <definedName name="HTML20_9" hidden="1">""</definedName>
    <definedName name="HTML21_1" hidden="1">"'[수주통합관리98_2_25.xls]2월4주차'!$A$4:$H$29"</definedName>
    <definedName name="HTML21_10" hidden="1">""</definedName>
    <definedName name="HTML21_11" hidden="1">1</definedName>
    <definedName name="HTML21_12" hidden="1">"C:\My Documents\98년\영업현황\1월 수주현황(1월 마감분).htm"</definedName>
    <definedName name="HTML21_2" hidden="1">1</definedName>
    <definedName name="HTML21_3" hidden="1">""</definedName>
    <definedName name="HTML21_4" hidden="1">""</definedName>
    <definedName name="HTML21_5" hidden="1">""</definedName>
    <definedName name="HTML21_6" hidden="1">-4146</definedName>
    <definedName name="HTML21_7" hidden="1">-4146</definedName>
    <definedName name="HTML21_8" hidden="1">""</definedName>
    <definedName name="HTML21_9" hidden="1">""</definedName>
    <definedName name="HTML22_1" hidden="1">"'[수주통합관리98_2_25.xls]2월4주차'!$A$31:$I$66"</definedName>
    <definedName name="HTML22_10" hidden="1">""</definedName>
    <definedName name="HTML22_11" hidden="1">1</definedName>
    <definedName name="HTML22_12" hidden="1">"C:\My Documents\98년\영업현황\1월 수주현황(2월 마감분).htm"</definedName>
    <definedName name="HTML22_2" hidden="1">1</definedName>
    <definedName name="HTML22_3" hidden="1">""</definedName>
    <definedName name="HTML22_4" hidden="1">""</definedName>
    <definedName name="HTML22_5" hidden="1">""</definedName>
    <definedName name="HTML22_6" hidden="1">-4146</definedName>
    <definedName name="HTML22_7" hidden="1">-4146</definedName>
    <definedName name="HTML22_8" hidden="1">""</definedName>
    <definedName name="HTML22_9" hidden="1">""</definedName>
    <definedName name="HTML23_1" hidden="1">"[수주통합관리98_2_25.xls]보고양식!$A$32:$I$68"</definedName>
    <definedName name="HTML23_10" hidden="1">""</definedName>
    <definedName name="HTML23_11" hidden="1">1</definedName>
    <definedName name="HTML23_12" hidden="1">"C:\My Documents\98년\영업현황\2월 수주현황(2월 마감분).htm"</definedName>
    <definedName name="HTML23_2" hidden="1">1</definedName>
    <definedName name="HTML23_3" hidden="1">""</definedName>
    <definedName name="HTML23_4" hidden="1">""</definedName>
    <definedName name="HTML23_5" hidden="1">""</definedName>
    <definedName name="HTML23_6" hidden="1">-4146</definedName>
    <definedName name="HTML23_7" hidden="1">-4146</definedName>
    <definedName name="HTML23_8" hidden="1">""</definedName>
    <definedName name="HTML23_9" hidden="1">""</definedName>
    <definedName name="HTML24_1" hidden="1">"[수주통합관리98_2_25.xls]보고양식!$A$73:$F$98"</definedName>
    <definedName name="HTML24_10" hidden="1">""</definedName>
    <definedName name="HTML24_11" hidden="1">1</definedName>
    <definedName name="HTML24_12" hidden="1">"C:\My Documents\98년\영업현황\월별현황(2월 마감분).htm"</definedName>
    <definedName name="HTML24_2" hidden="1">1</definedName>
    <definedName name="HTML24_3" hidden="1">""</definedName>
    <definedName name="HTML24_4" hidden="1">""</definedName>
    <definedName name="HTML24_5" hidden="1">""</definedName>
    <definedName name="HTML24_6" hidden="1">-4146</definedName>
    <definedName name="HTML24_7" hidden="1">-4146</definedName>
    <definedName name="HTML24_8" hidden="1">""</definedName>
    <definedName name="HTML24_9" hidden="1">""</definedName>
    <definedName name="HTML25_1" hidden="1">"[수주통합관리98_2_25.xls]보고양식!$A$4:$I$29"</definedName>
    <definedName name="HTML25_10" hidden="1">""</definedName>
    <definedName name="HTML25_11" hidden="1">1</definedName>
    <definedName name="HTML25_12" hidden="1">"C:\My Documents\98년\영업현황\1월 수주현황(1월 마감분).htm"</definedName>
    <definedName name="HTML25_2" hidden="1">1</definedName>
    <definedName name="HTML25_3" hidden="1">""</definedName>
    <definedName name="HTML25_4" hidden="1">""</definedName>
    <definedName name="HTML25_5" hidden="1">""</definedName>
    <definedName name="HTML25_6" hidden="1">-4146</definedName>
    <definedName name="HTML25_7" hidden="1">-4146</definedName>
    <definedName name="HTML25_8" hidden="1">""</definedName>
    <definedName name="HTML25_9" hidden="1">""</definedName>
    <definedName name="HTML26_1" hidden="1">"[수주통합관리98_2_25.xls]보고양식!$A$31:$K$80"</definedName>
    <definedName name="HTML26_10" hidden="1">""</definedName>
    <definedName name="HTML26_11" hidden="1">1</definedName>
    <definedName name="HTML26_12" hidden="1">"C:\My Documents\98년\영업현황\2월 수주현황(2월 마감분).htm"</definedName>
    <definedName name="HTML26_2" hidden="1">1</definedName>
    <definedName name="HTML26_3" hidden="1">""</definedName>
    <definedName name="HTML26_4" hidden="1">""</definedName>
    <definedName name="HTML26_5" hidden="1">""</definedName>
    <definedName name="HTML26_6" hidden="1">-4146</definedName>
    <definedName name="HTML26_7" hidden="1">-4146</definedName>
    <definedName name="HTML26_8" hidden="1">""</definedName>
    <definedName name="HTML26_9" hidden="1">""</definedName>
    <definedName name="HTML27_1" hidden="1">"[수주통합관리98_2_25.xls]보고양식!$B$84:$G$109"</definedName>
    <definedName name="HTML27_10" hidden="1">""</definedName>
    <definedName name="HTML27_11" hidden="1">1</definedName>
    <definedName name="HTML27_12" hidden="1">"C:\My Documents\98년\영업현황\월별현황(2월 마감분).htm"</definedName>
    <definedName name="HTML27_2" hidden="1">1</definedName>
    <definedName name="HTML27_3" hidden="1">""</definedName>
    <definedName name="HTML27_4" hidden="1">""</definedName>
    <definedName name="HTML27_5" hidden="1">""</definedName>
    <definedName name="HTML27_6" hidden="1">-4146</definedName>
    <definedName name="HTML27_7" hidden="1">-4146</definedName>
    <definedName name="HTML27_8" hidden="1">""</definedName>
    <definedName name="HTML27_9" hidden="1">""</definedName>
    <definedName name="HTML28_1" hidden="1">"[수주통합관리98_3_2.xls]보고양식!$B$92:$G$117"</definedName>
    <definedName name="HTML28_10" hidden="1">""</definedName>
    <definedName name="HTML28_11" hidden="1">1</definedName>
    <definedName name="HTML28_12" hidden="1">"C:\My Documents\98년\영업현황\월별현황(2월 마감분).htm"</definedName>
    <definedName name="HTML28_2" hidden="1">1</definedName>
    <definedName name="HTML28_3" hidden="1">""</definedName>
    <definedName name="HTML28_4" hidden="1">""</definedName>
    <definedName name="HTML28_5" hidden="1">""</definedName>
    <definedName name="HTML28_6" hidden="1">-4146</definedName>
    <definedName name="HTML28_7" hidden="1">-4146</definedName>
    <definedName name="HTML28_8" hidden="1">""</definedName>
    <definedName name="HTML28_9" hidden="1">""</definedName>
    <definedName name="HTML29_1" hidden="1">"[수주통합관리98_3_2.xls]보고양식!$A$31:$K$88"</definedName>
    <definedName name="HTML29_10" hidden="1">""</definedName>
    <definedName name="HTML29_11" hidden="1">1</definedName>
    <definedName name="HTML29_12" hidden="1">"C:\My Documents\98년\영업현황\2월 수주현황(2월 마감분).htm"</definedName>
    <definedName name="HTML29_2" hidden="1">1</definedName>
    <definedName name="HTML29_3" hidden="1">""</definedName>
    <definedName name="HTML29_4" hidden="1">""</definedName>
    <definedName name="HTML29_5" hidden="1">""</definedName>
    <definedName name="HTML29_6" hidden="1">-4146</definedName>
    <definedName name="HTML29_7" hidden="1">-4146</definedName>
    <definedName name="HTML29_8" hidden="1">""</definedName>
    <definedName name="HTML29_9" hidden="1">""</definedName>
    <definedName name="HTML3_1" hidden="1">"[수주관리98.xls]일일현황!$A$1:$N$9"</definedName>
    <definedName name="HTML3_10" hidden="1">""</definedName>
    <definedName name="HTML3_11" hidden="1">1</definedName>
    <definedName name="HTML3_12" hidden="1">"C:\My Documents\98년\영업현황\일일현황-98.1.23.htm"</definedName>
    <definedName name="HTML3_2" hidden="1">1</definedName>
    <definedName name="HTML3_3" hidden="1">""</definedName>
    <definedName name="HTML3_4" hidden="1">""</definedName>
    <definedName name="HTML3_5" hidden="1">""</definedName>
    <definedName name="HTML3_6" hidden="1">1</definedName>
    <definedName name="HTML3_7" hidden="1">1</definedName>
    <definedName name="HTML3_8" hidden="1">""</definedName>
    <definedName name="HTML3_9" hidden="1">""</definedName>
    <definedName name="HTML30_1" hidden="1">"'[사본 - 영업통합관리(수주.매출).xls]보고양식'!$A$114:$K$131"</definedName>
    <definedName name="HTML30_10" hidden="1">""</definedName>
    <definedName name="HTML30_11" hidden="1">1</definedName>
    <definedName name="HTML30_12" hidden="1">"C:\My Documents\98년\영업현황\일일현황-98.3.12.htm"</definedName>
    <definedName name="HTML30_2" hidden="1">1</definedName>
    <definedName name="HTML30_3" hidden="1">""</definedName>
    <definedName name="HTML30_4" hidden="1">""</definedName>
    <definedName name="HTML30_5" hidden="1">""</definedName>
    <definedName name="HTML30_6" hidden="1">-4146</definedName>
    <definedName name="HTML30_7" hidden="1">-4146</definedName>
    <definedName name="HTML30_8" hidden="1">""</definedName>
    <definedName name="HTML30_9" hidden="1">""</definedName>
    <definedName name="HTML4_1" hidden="1">"[수주관리98.xls]영업!$A$1:$N$15"</definedName>
    <definedName name="HTML4_10" hidden="1">""</definedName>
    <definedName name="HTML4_11" hidden="1">1</definedName>
    <definedName name="HTML4_12" hidden="1">"C:\My Documents\98년\영업현황\일일현황-98.1.31.htm"</definedName>
    <definedName name="HTML4_2" hidden="1">1</definedName>
    <definedName name="HTML4_3" hidden="1">""</definedName>
    <definedName name="HTML4_4" hidden="1">""</definedName>
    <definedName name="HTML4_5" hidden="1">""</definedName>
    <definedName name="HTML4_6" hidden="1">1</definedName>
    <definedName name="HTML4_7" hidden="1">1</definedName>
    <definedName name="HTML4_8" hidden="1">"98-01-31"</definedName>
    <definedName name="HTML4_9" hidden="1">""</definedName>
    <definedName name="HTML5_1" hidden="1">"[수주관리98.xls]영업!$A$1:$N$29"</definedName>
    <definedName name="HTML5_10" hidden="1">""</definedName>
    <definedName name="HTML5_11" hidden="1">1</definedName>
    <definedName name="HTML5_12" hidden="1">"C:\My Documents\98년\영업현황\일일현황-98.1.31.v.htm"</definedName>
    <definedName name="HTML5_2" hidden="1">1</definedName>
    <definedName name="HTML5_3" hidden="1">""</definedName>
    <definedName name="HTML5_4" hidden="1">""</definedName>
    <definedName name="HTML5_5" hidden="1">""</definedName>
    <definedName name="HTML5_6" hidden="1">1</definedName>
    <definedName name="HTML5_7" hidden="1">1</definedName>
    <definedName name="HTML5_8" hidden="1">""</definedName>
    <definedName name="HTML5_9" hidden="1">""</definedName>
    <definedName name="HTML6_1" hidden="1">"'[수주관리98.xls]2월'!$A$1:$P$48"</definedName>
    <definedName name="HTML6_10" hidden="1">""</definedName>
    <definedName name="HTML6_11" hidden="1">1</definedName>
    <definedName name="HTML6_12" hidden="1">"C:\My Documents\98년\영업현황\일일현황-98.1.31.htm"</definedName>
    <definedName name="HTML6_2" hidden="1">1</definedName>
    <definedName name="HTML6_3" hidden="1">""</definedName>
    <definedName name="HTML6_4" hidden="1">""</definedName>
    <definedName name="HTML6_5" hidden="1">""</definedName>
    <definedName name="HTML6_6" hidden="1">-4146</definedName>
    <definedName name="HTML6_7" hidden="1">-4146</definedName>
    <definedName name="HTML6_8" hidden="1">""</definedName>
    <definedName name="HTML6_9" hidden="1">""</definedName>
    <definedName name="HTML7_1" hidden="1">"'[수주관리98.xls]2월'!$A$3:$P$30"</definedName>
    <definedName name="HTML7_10" hidden="1">""</definedName>
    <definedName name="HTML7_11" hidden="1">1</definedName>
    <definedName name="HTML7_12" hidden="1">"C:\My Documents\98년\영업현황\일일현황-98.1.31.htm"</definedName>
    <definedName name="HTML7_2" hidden="1">1</definedName>
    <definedName name="HTML7_3" hidden="1">""</definedName>
    <definedName name="HTML7_4" hidden="1">""</definedName>
    <definedName name="HTML7_5" hidden="1">""</definedName>
    <definedName name="HTML7_6" hidden="1">-4146</definedName>
    <definedName name="HTML7_7" hidden="1">-4146</definedName>
    <definedName name="HTML7_8" hidden="1">""</definedName>
    <definedName name="HTML7_9" hidden="1">""</definedName>
    <definedName name="HTML8_1" hidden="1">"'[수주관리98.xls]2월'!$A$1:$P$30"</definedName>
    <definedName name="HTML8_10" hidden="1">""</definedName>
    <definedName name="HTML8_11" hidden="1">1</definedName>
    <definedName name="HTML8_12" hidden="1">"C:\My Documents\98년\영업현황\일일현황-98.1.31.htm"</definedName>
    <definedName name="HTML8_2" hidden="1">1</definedName>
    <definedName name="HTML8_3" hidden="1">""</definedName>
    <definedName name="HTML8_4" hidden="1">""</definedName>
    <definedName name="HTML8_5" hidden="1">""</definedName>
    <definedName name="HTML8_6" hidden="1">-4146</definedName>
    <definedName name="HTML8_7" hidden="1">-4146</definedName>
    <definedName name="HTML8_8" hidden="1">""</definedName>
    <definedName name="HTML8_9" hidden="1">""</definedName>
    <definedName name="HTML9_1" hidden="1">"'[수주관리98.xls]2월'!$A$1:$P$19"</definedName>
    <definedName name="HTML9_10" hidden="1">""</definedName>
    <definedName name="HTML9_11" hidden="1">1</definedName>
    <definedName name="HTML9_12" hidden="1">"C:\My Documents\98년\영업현황\일일현황-98.2.10.htm"</definedName>
    <definedName name="HTML9_2" hidden="1">1</definedName>
    <definedName name="HTML9_3" hidden="1">""</definedName>
    <definedName name="HTML9_4" hidden="1">""</definedName>
    <definedName name="HTML9_5" hidden="1">""</definedName>
    <definedName name="HTML9_6" hidden="1">-4146</definedName>
    <definedName name="HTML9_7" hidden="1">-4146</definedName>
    <definedName name="HTML9_8" hidden="1">""</definedName>
    <definedName name="HTML9_9" hidden="1">""</definedName>
    <definedName name="HTMLCount" hidden="1">30</definedName>
    <definedName name="ia" localSheetId="12" hidden="1">{#N/A,#N/A,FALSE,"Aging Summary";#N/A,#N/A,FALSE,"Ratio Analysis";#N/A,#N/A,FALSE,"Test 120 Day Accts";#N/A,#N/A,FALSE,"Tickmarks"}</definedName>
    <definedName name="ia" localSheetId="42" hidden="1">{#N/A,#N/A,FALSE,"Aging Summary";#N/A,#N/A,FALSE,"Ratio Analysis";#N/A,#N/A,FALSE,"Test 120 Day Accts";#N/A,#N/A,FALSE,"Tickmarks"}</definedName>
    <definedName name="ia" hidden="1">{#N/A,#N/A,FALSE,"Aging Summary";#N/A,#N/A,FALSE,"Ratio Analysis";#N/A,#N/A,FALSE,"Test 120 Day Accts";#N/A,#N/A,FALSE,"Tickmarks"}</definedName>
    <definedName name="III" localSheetId="42" hidden="1">{#N/A,#N/A,FALSE,"UNIT";#N/A,#N/A,FALSE,"UNIT";#N/A,#N/A,FALSE,"계정"}</definedName>
    <definedName name="III" hidden="1">{#N/A,#N/A,FALSE,"UNIT";#N/A,#N/A,FALSE,"UNIT";#N/A,#N/A,FALSE,"계정"}</definedName>
    <definedName name="iiiooo" localSheetId="15"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iiiooo" localSheetId="6"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iiiooo" localSheetId="45"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iiiooo" localSheetId="42"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iiiooo"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interestoverall" localSheetId="12" hidden="1">{#N/A,#N/A,FALSE,"Aging Summary";#N/A,#N/A,FALSE,"Ratio Analysis";#N/A,#N/A,FALSE,"Test 120 Day Accts";#N/A,#N/A,FALSE,"Tickmarks"}</definedName>
    <definedName name="interestoverall" localSheetId="42" hidden="1">{#N/A,#N/A,FALSE,"Aging Summary";#N/A,#N/A,FALSE,"Ratio Analysis";#N/A,#N/A,FALSE,"Test 120 Day Accts";#N/A,#N/A,FALSE,"Tickmarks"}</definedName>
    <definedName name="interestoverall" hidden="1">{#N/A,#N/A,FALSE,"Aging Summary";#N/A,#N/A,FALSE,"Ratio Analysis";#N/A,#N/A,FALSE,"Test 120 Day Accts";#N/A,#N/A,FALSE,"Tickmarks"}</definedName>
    <definedName name="IS" localSheetId="12" hidden="1">{#N/A,#N/A,FALSE,"지침";#N/A,#N/A,FALSE,"환경분석";#N/A,#N/A,FALSE,"Sheet16"}</definedName>
    <definedName name="IS" localSheetId="15"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IS" localSheetId="6"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IS" localSheetId="45"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IS" localSheetId="42"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IS" hidden="1">{#N/A,#N/A,FALSE,"지침";#N/A,#N/A,FALSE,"환경분석";#N/A,#N/A,FALSE,"Sheet16"}</definedName>
    <definedName name="J" localSheetId="12" hidden="1">{"'5국공정'!$A$1:$E$128"}</definedName>
    <definedName name="J" localSheetId="42" hidden="1">{"'5국공정'!$A$1:$E$128"}</definedName>
    <definedName name="J" hidden="1">{"'5국공정'!$A$1:$E$128"}</definedName>
    <definedName name="JFJ" localSheetId="15" hidden="1">{#N/A,#N/A,FALSE,"손익표지";#N/A,#N/A,FALSE,"손익계산";#N/A,#N/A,FALSE,"일반관리비";#N/A,#N/A,FALSE,"영업외수익";#N/A,#N/A,FALSE,"영업외비용";#N/A,#N/A,FALSE,"매출액";#N/A,#N/A,FALSE,"요약손익";#N/A,#N/A,FALSE,"요약대차";#N/A,#N/A,FALSE,"매출채권현황";#N/A,#N/A,FALSE,"매출채권명세"}</definedName>
    <definedName name="JFJ" localSheetId="6" hidden="1">{#N/A,#N/A,FALSE,"손익표지";#N/A,#N/A,FALSE,"손익계산";#N/A,#N/A,FALSE,"일반관리비";#N/A,#N/A,FALSE,"영업외수익";#N/A,#N/A,FALSE,"영업외비용";#N/A,#N/A,FALSE,"매출액";#N/A,#N/A,FALSE,"요약손익";#N/A,#N/A,FALSE,"요약대차";#N/A,#N/A,FALSE,"매출채권현황";#N/A,#N/A,FALSE,"매출채권명세"}</definedName>
    <definedName name="JFJ" localSheetId="45" hidden="1">{#N/A,#N/A,FALSE,"손익표지";#N/A,#N/A,FALSE,"손익계산";#N/A,#N/A,FALSE,"일반관리비";#N/A,#N/A,FALSE,"영업외수익";#N/A,#N/A,FALSE,"영업외비용";#N/A,#N/A,FALSE,"매출액";#N/A,#N/A,FALSE,"요약손익";#N/A,#N/A,FALSE,"요약대차";#N/A,#N/A,FALSE,"매출채권현황";#N/A,#N/A,FALSE,"매출채권명세"}</definedName>
    <definedName name="JFJ" localSheetId="42" hidden="1">{#N/A,#N/A,FALSE,"손익표지";#N/A,#N/A,FALSE,"손익계산";#N/A,#N/A,FALSE,"일반관리비";#N/A,#N/A,FALSE,"영업외수익";#N/A,#N/A,FALSE,"영업외비용";#N/A,#N/A,FALSE,"매출액";#N/A,#N/A,FALSE,"요약손익";#N/A,#N/A,FALSE,"요약대차";#N/A,#N/A,FALSE,"매출채권현황";#N/A,#N/A,FALSE,"매출채권명세"}</definedName>
    <definedName name="JFJ" hidden="1">{#N/A,#N/A,FALSE,"손익표지";#N/A,#N/A,FALSE,"손익계산";#N/A,#N/A,FALSE,"일반관리비";#N/A,#N/A,FALSE,"영업외수익";#N/A,#N/A,FALSE,"영업외비용";#N/A,#N/A,FALSE,"매출액";#N/A,#N/A,FALSE,"요약손익";#N/A,#N/A,FALSE,"요약대차";#N/A,#N/A,FALSE,"매출채권현황";#N/A,#N/A,FALSE,"매출채권명세"}</definedName>
    <definedName name="jh" localSheetId="15" hidden="1">{#N/A,#N/A,FALSE,"98소지이동TOTvs99.1 (2)";#N/A,#N/A,FALSE,"TOTAL";#N/A,#N/A,FALSE,"98소지이동TOTvs99.1(b) (2)"}</definedName>
    <definedName name="jh" localSheetId="6" hidden="1">{#N/A,#N/A,FALSE,"98소지이동TOTvs99.1 (2)";#N/A,#N/A,FALSE,"TOTAL";#N/A,#N/A,FALSE,"98소지이동TOTvs99.1(b) (2)"}</definedName>
    <definedName name="jh" localSheetId="45" hidden="1">{#N/A,#N/A,FALSE,"98소지이동TOTvs99.1 (2)";#N/A,#N/A,FALSE,"TOTAL";#N/A,#N/A,FALSE,"98소지이동TOTvs99.1(b) (2)"}</definedName>
    <definedName name="jh" localSheetId="42" hidden="1">{#N/A,#N/A,FALSE,"98소지이동TOTvs99.1 (2)";#N/A,#N/A,FALSE,"TOTAL";#N/A,#N/A,FALSE,"98소지이동TOTvs99.1(b) (2)"}</definedName>
    <definedName name="jh" hidden="1">{#N/A,#N/A,FALSE,"98소지이동TOTvs99.1 (2)";#N/A,#N/A,FALSE,"TOTAL";#N/A,#N/A,FALSE,"98소지이동TOTvs99.1(b) (2)"}</definedName>
    <definedName name="JHGJ" localSheetId="15" hidden="1">{#N/A,#N/A,FALSE,"손익표지";#N/A,#N/A,FALSE,"손익계산";#N/A,#N/A,FALSE,"일반관리비";#N/A,#N/A,FALSE,"영업외수익";#N/A,#N/A,FALSE,"영업외비용";#N/A,#N/A,FALSE,"매출액";#N/A,#N/A,FALSE,"요약손익";#N/A,#N/A,FALSE,"요약대차";#N/A,#N/A,FALSE,"매출채권현황";#N/A,#N/A,FALSE,"매출채권명세"}</definedName>
    <definedName name="JHGJ" localSheetId="6" hidden="1">{#N/A,#N/A,FALSE,"손익표지";#N/A,#N/A,FALSE,"손익계산";#N/A,#N/A,FALSE,"일반관리비";#N/A,#N/A,FALSE,"영업외수익";#N/A,#N/A,FALSE,"영업외비용";#N/A,#N/A,FALSE,"매출액";#N/A,#N/A,FALSE,"요약손익";#N/A,#N/A,FALSE,"요약대차";#N/A,#N/A,FALSE,"매출채권현황";#N/A,#N/A,FALSE,"매출채권명세"}</definedName>
    <definedName name="JHGJ" localSheetId="45" hidden="1">{#N/A,#N/A,FALSE,"손익표지";#N/A,#N/A,FALSE,"손익계산";#N/A,#N/A,FALSE,"일반관리비";#N/A,#N/A,FALSE,"영업외수익";#N/A,#N/A,FALSE,"영업외비용";#N/A,#N/A,FALSE,"매출액";#N/A,#N/A,FALSE,"요약손익";#N/A,#N/A,FALSE,"요약대차";#N/A,#N/A,FALSE,"매출채권현황";#N/A,#N/A,FALSE,"매출채권명세"}</definedName>
    <definedName name="JHGJ" localSheetId="42" hidden="1">{#N/A,#N/A,FALSE,"손익표지";#N/A,#N/A,FALSE,"손익계산";#N/A,#N/A,FALSE,"일반관리비";#N/A,#N/A,FALSE,"영업외수익";#N/A,#N/A,FALSE,"영업외비용";#N/A,#N/A,FALSE,"매출액";#N/A,#N/A,FALSE,"요약손익";#N/A,#N/A,FALSE,"요약대차";#N/A,#N/A,FALSE,"매출채권현황";#N/A,#N/A,FALSE,"매출채권명세"}</definedName>
    <definedName name="JHGJ" hidden="1">{#N/A,#N/A,FALSE,"손익표지";#N/A,#N/A,FALSE,"손익계산";#N/A,#N/A,FALSE,"일반관리비";#N/A,#N/A,FALSE,"영업외수익";#N/A,#N/A,FALSE,"영업외비용";#N/A,#N/A,FALSE,"매출액";#N/A,#N/A,FALSE,"요약손익";#N/A,#N/A,FALSE,"요약대차";#N/A,#N/A,FALSE,"매출채권현황";#N/A,#N/A,FALSE,"매출채권명세"}</definedName>
    <definedName name="JHGJG" localSheetId="15" hidden="1">{#N/A,#N/A,FALSE,"손익표지";#N/A,#N/A,FALSE,"손익계산";#N/A,#N/A,FALSE,"일반관리비";#N/A,#N/A,FALSE,"영업외수익";#N/A,#N/A,FALSE,"영업외비용";#N/A,#N/A,FALSE,"매출액";#N/A,#N/A,FALSE,"요약손익";#N/A,#N/A,FALSE,"요약대차";#N/A,#N/A,FALSE,"매출채권현황";#N/A,#N/A,FALSE,"매출채권명세"}</definedName>
    <definedName name="JHGJG" localSheetId="6" hidden="1">{#N/A,#N/A,FALSE,"손익표지";#N/A,#N/A,FALSE,"손익계산";#N/A,#N/A,FALSE,"일반관리비";#N/A,#N/A,FALSE,"영업외수익";#N/A,#N/A,FALSE,"영업외비용";#N/A,#N/A,FALSE,"매출액";#N/A,#N/A,FALSE,"요약손익";#N/A,#N/A,FALSE,"요약대차";#N/A,#N/A,FALSE,"매출채권현황";#N/A,#N/A,FALSE,"매출채권명세"}</definedName>
    <definedName name="JHGJG" localSheetId="45" hidden="1">{#N/A,#N/A,FALSE,"손익표지";#N/A,#N/A,FALSE,"손익계산";#N/A,#N/A,FALSE,"일반관리비";#N/A,#N/A,FALSE,"영업외수익";#N/A,#N/A,FALSE,"영업외비용";#N/A,#N/A,FALSE,"매출액";#N/A,#N/A,FALSE,"요약손익";#N/A,#N/A,FALSE,"요약대차";#N/A,#N/A,FALSE,"매출채권현황";#N/A,#N/A,FALSE,"매출채권명세"}</definedName>
    <definedName name="JHGJG" localSheetId="42" hidden="1">{#N/A,#N/A,FALSE,"손익표지";#N/A,#N/A,FALSE,"손익계산";#N/A,#N/A,FALSE,"일반관리비";#N/A,#N/A,FALSE,"영업외수익";#N/A,#N/A,FALSE,"영업외비용";#N/A,#N/A,FALSE,"매출액";#N/A,#N/A,FALSE,"요약손익";#N/A,#N/A,FALSE,"요약대차";#N/A,#N/A,FALSE,"매출채권현황";#N/A,#N/A,FALSE,"매출채권명세"}</definedName>
    <definedName name="JHGJG" hidden="1">{#N/A,#N/A,FALSE,"손익표지";#N/A,#N/A,FALSE,"손익계산";#N/A,#N/A,FALSE,"일반관리비";#N/A,#N/A,FALSE,"영업외수익";#N/A,#N/A,FALSE,"영업외비용";#N/A,#N/A,FALSE,"매출액";#N/A,#N/A,FALSE,"요약손익";#N/A,#N/A,FALSE,"요약대차";#N/A,#N/A,FALSE,"매출채권현황";#N/A,#N/A,FALSE,"매출채권명세"}</definedName>
    <definedName name="JHJH" localSheetId="15" hidden="1">{#N/A,#N/A,FALSE,"손익표지";#N/A,#N/A,FALSE,"손익계산";#N/A,#N/A,FALSE,"일반관리비";#N/A,#N/A,FALSE,"영업외수익";#N/A,#N/A,FALSE,"영업외비용";#N/A,#N/A,FALSE,"매출액";#N/A,#N/A,FALSE,"요약손익";#N/A,#N/A,FALSE,"요약대차";#N/A,#N/A,FALSE,"매출채권현황";#N/A,#N/A,FALSE,"매출채권명세"}</definedName>
    <definedName name="JHJH" localSheetId="6" hidden="1">{#N/A,#N/A,FALSE,"손익표지";#N/A,#N/A,FALSE,"손익계산";#N/A,#N/A,FALSE,"일반관리비";#N/A,#N/A,FALSE,"영업외수익";#N/A,#N/A,FALSE,"영업외비용";#N/A,#N/A,FALSE,"매출액";#N/A,#N/A,FALSE,"요약손익";#N/A,#N/A,FALSE,"요약대차";#N/A,#N/A,FALSE,"매출채권현황";#N/A,#N/A,FALSE,"매출채권명세"}</definedName>
    <definedName name="JHJH" localSheetId="45" hidden="1">{#N/A,#N/A,FALSE,"손익표지";#N/A,#N/A,FALSE,"손익계산";#N/A,#N/A,FALSE,"일반관리비";#N/A,#N/A,FALSE,"영업외수익";#N/A,#N/A,FALSE,"영업외비용";#N/A,#N/A,FALSE,"매출액";#N/A,#N/A,FALSE,"요약손익";#N/A,#N/A,FALSE,"요약대차";#N/A,#N/A,FALSE,"매출채권현황";#N/A,#N/A,FALSE,"매출채권명세"}</definedName>
    <definedName name="JHJH" localSheetId="42" hidden="1">{#N/A,#N/A,FALSE,"손익표지";#N/A,#N/A,FALSE,"손익계산";#N/A,#N/A,FALSE,"일반관리비";#N/A,#N/A,FALSE,"영업외수익";#N/A,#N/A,FALSE,"영업외비용";#N/A,#N/A,FALSE,"매출액";#N/A,#N/A,FALSE,"요약손익";#N/A,#N/A,FALSE,"요약대차";#N/A,#N/A,FALSE,"매출채권현황";#N/A,#N/A,FALSE,"매출채권명세"}</definedName>
    <definedName name="JHJH" hidden="1">{#N/A,#N/A,FALSE,"손익표지";#N/A,#N/A,FALSE,"손익계산";#N/A,#N/A,FALSE,"일반관리비";#N/A,#N/A,FALSE,"영업외수익";#N/A,#N/A,FALSE,"영업외비용";#N/A,#N/A,FALSE,"매출액";#N/A,#N/A,FALSE,"요약손익";#N/A,#N/A,FALSE,"요약대차";#N/A,#N/A,FALSE,"매출채권현황";#N/A,#N/A,FALSE,"매출채권명세"}</definedName>
    <definedName name="JK" localSheetId="15" hidden="1">{#N/A,#N/A,TRUE,"Y생산";#N/A,#N/A,TRUE,"Y판매";#N/A,#N/A,TRUE,"Y총물량";#N/A,#N/A,TRUE,"Y능력";#N/A,#N/A,TRUE,"YKD"}</definedName>
    <definedName name="JK" localSheetId="6" hidden="1">{#N/A,#N/A,TRUE,"Y생산";#N/A,#N/A,TRUE,"Y판매";#N/A,#N/A,TRUE,"Y총물량";#N/A,#N/A,TRUE,"Y능력";#N/A,#N/A,TRUE,"YKD"}</definedName>
    <definedName name="JK" localSheetId="45" hidden="1">{#N/A,#N/A,TRUE,"Y생산";#N/A,#N/A,TRUE,"Y판매";#N/A,#N/A,TRUE,"Y총물량";#N/A,#N/A,TRUE,"Y능력";#N/A,#N/A,TRUE,"YKD"}</definedName>
    <definedName name="JK" localSheetId="42" hidden="1">{#N/A,#N/A,TRUE,"Y생산";#N/A,#N/A,TRUE,"Y판매";#N/A,#N/A,TRUE,"Y총물량";#N/A,#N/A,TRUE,"Y능력";#N/A,#N/A,TRUE,"YKD"}</definedName>
    <definedName name="JK" hidden="1">{#N/A,#N/A,TRUE,"Y생산";#N/A,#N/A,TRUE,"Y판매";#N/A,#N/A,TRUE,"Y총물량";#N/A,#N/A,TRUE,"Y능력";#N/A,#N/A,TRUE,"YKD"}</definedName>
    <definedName name="JKJ" localSheetId="15" hidden="1">{#N/A,#N/A,FALSE,"손익표지";#N/A,#N/A,FALSE,"손익계산";#N/A,#N/A,FALSE,"일반관리비";#N/A,#N/A,FALSE,"영업외수익";#N/A,#N/A,FALSE,"영업외비용";#N/A,#N/A,FALSE,"매출액";#N/A,#N/A,FALSE,"요약손익";#N/A,#N/A,FALSE,"요약대차";#N/A,#N/A,FALSE,"매출채권현황";#N/A,#N/A,FALSE,"매출채권명세"}</definedName>
    <definedName name="JKJ" localSheetId="6" hidden="1">{#N/A,#N/A,FALSE,"손익표지";#N/A,#N/A,FALSE,"손익계산";#N/A,#N/A,FALSE,"일반관리비";#N/A,#N/A,FALSE,"영업외수익";#N/A,#N/A,FALSE,"영업외비용";#N/A,#N/A,FALSE,"매출액";#N/A,#N/A,FALSE,"요약손익";#N/A,#N/A,FALSE,"요약대차";#N/A,#N/A,FALSE,"매출채권현황";#N/A,#N/A,FALSE,"매출채권명세"}</definedName>
    <definedName name="JKJ" localSheetId="45" hidden="1">{#N/A,#N/A,FALSE,"손익표지";#N/A,#N/A,FALSE,"손익계산";#N/A,#N/A,FALSE,"일반관리비";#N/A,#N/A,FALSE,"영업외수익";#N/A,#N/A,FALSE,"영업외비용";#N/A,#N/A,FALSE,"매출액";#N/A,#N/A,FALSE,"요약손익";#N/A,#N/A,FALSE,"요약대차";#N/A,#N/A,FALSE,"매출채권현황";#N/A,#N/A,FALSE,"매출채권명세"}</definedName>
    <definedName name="JKJ" localSheetId="42" hidden="1">{#N/A,#N/A,FALSE,"손익표지";#N/A,#N/A,FALSE,"손익계산";#N/A,#N/A,FALSE,"일반관리비";#N/A,#N/A,FALSE,"영업외수익";#N/A,#N/A,FALSE,"영업외비용";#N/A,#N/A,FALSE,"매출액";#N/A,#N/A,FALSE,"요약손익";#N/A,#N/A,FALSE,"요약대차";#N/A,#N/A,FALSE,"매출채권현황";#N/A,#N/A,FALSE,"매출채권명세"}</definedName>
    <definedName name="JKJ" hidden="1">{#N/A,#N/A,FALSE,"손익표지";#N/A,#N/A,FALSE,"손익계산";#N/A,#N/A,FALSE,"일반관리비";#N/A,#N/A,FALSE,"영업외수익";#N/A,#N/A,FALSE,"영업외비용";#N/A,#N/A,FALSE,"매출액";#N/A,#N/A,FALSE,"요약손익";#N/A,#N/A,FALSE,"요약대차";#N/A,#N/A,FALSE,"매출채권현황";#N/A,#N/A,FALSE,"매출채권명세"}</definedName>
    <definedName name="jyj" localSheetId="15" hidden="1">{#N/A,#N/A,FALSE,"Yield";#N/A,#N/A,FALSE,"Loss1";#N/A,#N/A,FALSE,"Loss2";#N/A,#N/A,FALSE,"Hour-Labor(배분)";#N/A,#N/A,FALSE,"Capital Expenditure";#N/A,#N/A,FALSE,"Productivity"}</definedName>
    <definedName name="jyj" localSheetId="6" hidden="1">{#N/A,#N/A,FALSE,"Yield";#N/A,#N/A,FALSE,"Loss1";#N/A,#N/A,FALSE,"Loss2";#N/A,#N/A,FALSE,"Hour-Labor(배분)";#N/A,#N/A,FALSE,"Capital Expenditure";#N/A,#N/A,FALSE,"Productivity"}</definedName>
    <definedName name="jyj" localSheetId="45" hidden="1">{#N/A,#N/A,FALSE,"Yield";#N/A,#N/A,FALSE,"Loss1";#N/A,#N/A,FALSE,"Loss2";#N/A,#N/A,FALSE,"Hour-Labor(배분)";#N/A,#N/A,FALSE,"Capital Expenditure";#N/A,#N/A,FALSE,"Productivity"}</definedName>
    <definedName name="jyj" localSheetId="42" hidden="1">{#N/A,#N/A,FALSE,"Yield";#N/A,#N/A,FALSE,"Loss1";#N/A,#N/A,FALSE,"Loss2";#N/A,#N/A,FALSE,"Hour-Labor(배분)";#N/A,#N/A,FALSE,"Capital Expenditure";#N/A,#N/A,FALSE,"Productivity"}</definedName>
    <definedName name="jyj" hidden="1">{#N/A,#N/A,FALSE,"Yield";#N/A,#N/A,FALSE,"Loss1";#N/A,#N/A,FALSE,"Loss2";#N/A,#N/A,FALSE,"Hour-Labor(배분)";#N/A,#N/A,FALSE,"Capital Expenditure";#N/A,#N/A,FALSE,"Productivity"}</definedName>
    <definedName name="jyjy" localSheetId="15" hidden="1">{#N/A,#N/A,FALSE,"Yield";#N/A,#N/A,FALSE,"Loss1";#N/A,#N/A,FALSE,"Loss2";#N/A,#N/A,FALSE,"Hour-Labor(배분)";#N/A,#N/A,FALSE,"Capital Expenditure";#N/A,#N/A,FALSE,"Productivity"}</definedName>
    <definedName name="jyjy" localSheetId="6" hidden="1">{#N/A,#N/A,FALSE,"Yield";#N/A,#N/A,FALSE,"Loss1";#N/A,#N/A,FALSE,"Loss2";#N/A,#N/A,FALSE,"Hour-Labor(배분)";#N/A,#N/A,FALSE,"Capital Expenditure";#N/A,#N/A,FALSE,"Productivity"}</definedName>
    <definedName name="jyjy" localSheetId="45" hidden="1">{#N/A,#N/A,FALSE,"Yield";#N/A,#N/A,FALSE,"Loss1";#N/A,#N/A,FALSE,"Loss2";#N/A,#N/A,FALSE,"Hour-Labor(배분)";#N/A,#N/A,FALSE,"Capital Expenditure";#N/A,#N/A,FALSE,"Productivity"}</definedName>
    <definedName name="jyjy" localSheetId="42" hidden="1">{#N/A,#N/A,FALSE,"Yield";#N/A,#N/A,FALSE,"Loss1";#N/A,#N/A,FALSE,"Loss2";#N/A,#N/A,FALSE,"Hour-Labor(배분)";#N/A,#N/A,FALSE,"Capital Expenditure";#N/A,#N/A,FALSE,"Productivity"}</definedName>
    <definedName name="jyjy" hidden="1">{#N/A,#N/A,FALSE,"Yield";#N/A,#N/A,FALSE,"Loss1";#N/A,#N/A,FALSE,"Loss2";#N/A,#N/A,FALSE,"Hour-Labor(배분)";#N/A,#N/A,FALSE,"Capital Expenditure";#N/A,#N/A,FALSE,"Productivity"}</definedName>
    <definedName name="k" localSheetId="1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 localSheetId="15"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K" localSheetId="6"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K" localSheetId="45"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K" localSheetId="42"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k" hidden="1">{"'5국공정'!$A$1:$E$128"}</definedName>
    <definedName name="kdi" localSheetId="42" hidden="1">{#N/A,#N/A,FALSE,"BS";#N/A,#N/A,FALSE,"PL";#N/A,#N/A,FALSE,"A";#N/A,#N/A,FALSE,"B";#N/A,#N/A,FALSE,"B1";#N/A,#N/A,FALSE,"C";#N/A,#N/A,FALSE,"C1";#N/A,#N/A,FALSE,"C2";#N/A,#N/A,FALSE,"D";#N/A,#N/A,FALSE,"E";#N/A,#N/A,FALSE,"F";#N/A,#N/A,FALSE,"AA";#N/A,#N/A,FALSE,"BB";#N/A,#N/A,FALSE,"CC";#N/A,#N/A,FALSE,"DD";#N/A,#N/A,FALSE,"EE";#N/A,#N/A,FALSE,"FF";#N/A,#N/A,FALSE,"PL10";#N/A,#N/A,FALSE,"PL20";#N/A,#N/A,FALSE,"PL30"}</definedName>
    <definedName name="kdi" hidden="1">{#N/A,#N/A,FALSE,"BS";#N/A,#N/A,FALSE,"PL";#N/A,#N/A,FALSE,"A";#N/A,#N/A,FALSE,"B";#N/A,#N/A,FALSE,"B1";#N/A,#N/A,FALSE,"C";#N/A,#N/A,FALSE,"C1";#N/A,#N/A,FALSE,"C2";#N/A,#N/A,FALSE,"D";#N/A,#N/A,FALSE,"E";#N/A,#N/A,FALSE,"F";#N/A,#N/A,FALSE,"AA";#N/A,#N/A,FALSE,"BB";#N/A,#N/A,FALSE,"CC";#N/A,#N/A,FALSE,"DD";#N/A,#N/A,FALSE,"EE";#N/A,#N/A,FALSE,"FF";#N/A,#N/A,FALSE,"PL10";#N/A,#N/A,FALSE,"PL20";#N/A,#N/A,FALSE,"PL30"}</definedName>
    <definedName name="KFH" localSheetId="15" hidden="1">{#N/A,#N/A,FALSE,"손익표지";#N/A,#N/A,FALSE,"손익계산";#N/A,#N/A,FALSE,"일반관리비";#N/A,#N/A,FALSE,"영업외수익";#N/A,#N/A,FALSE,"영업외비용";#N/A,#N/A,FALSE,"매출액";#N/A,#N/A,FALSE,"요약손익";#N/A,#N/A,FALSE,"요약대차";#N/A,#N/A,FALSE,"매출채권현황";#N/A,#N/A,FALSE,"매출채권명세"}</definedName>
    <definedName name="KFH" localSheetId="6" hidden="1">{#N/A,#N/A,FALSE,"손익표지";#N/A,#N/A,FALSE,"손익계산";#N/A,#N/A,FALSE,"일반관리비";#N/A,#N/A,FALSE,"영업외수익";#N/A,#N/A,FALSE,"영업외비용";#N/A,#N/A,FALSE,"매출액";#N/A,#N/A,FALSE,"요약손익";#N/A,#N/A,FALSE,"요약대차";#N/A,#N/A,FALSE,"매출채권현황";#N/A,#N/A,FALSE,"매출채권명세"}</definedName>
    <definedName name="KFH" localSheetId="45" hidden="1">{#N/A,#N/A,FALSE,"손익표지";#N/A,#N/A,FALSE,"손익계산";#N/A,#N/A,FALSE,"일반관리비";#N/A,#N/A,FALSE,"영업외수익";#N/A,#N/A,FALSE,"영업외비용";#N/A,#N/A,FALSE,"매출액";#N/A,#N/A,FALSE,"요약손익";#N/A,#N/A,FALSE,"요약대차";#N/A,#N/A,FALSE,"매출채권현황";#N/A,#N/A,FALSE,"매출채권명세"}</definedName>
    <definedName name="KFH" localSheetId="42" hidden="1">{#N/A,#N/A,FALSE,"손익표지";#N/A,#N/A,FALSE,"손익계산";#N/A,#N/A,FALSE,"일반관리비";#N/A,#N/A,FALSE,"영업외수익";#N/A,#N/A,FALSE,"영업외비용";#N/A,#N/A,FALSE,"매출액";#N/A,#N/A,FALSE,"요약손익";#N/A,#N/A,FALSE,"요약대차";#N/A,#N/A,FALSE,"매출채권현황";#N/A,#N/A,FALSE,"매출채권명세"}</definedName>
    <definedName name="KFH" hidden="1">{#N/A,#N/A,FALSE,"손익표지";#N/A,#N/A,FALSE,"손익계산";#N/A,#N/A,FALSE,"일반관리비";#N/A,#N/A,FALSE,"영업외수익";#N/A,#N/A,FALSE,"영업외비용";#N/A,#N/A,FALSE,"매출액";#N/A,#N/A,FALSE,"요약손익";#N/A,#N/A,FALSE,"요약대차";#N/A,#N/A,FALSE,"매출채권현황";#N/A,#N/A,FALSE,"매출채권명세"}</definedName>
    <definedName name="KGaap" localSheetId="15"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KGaap" localSheetId="6"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KGaap" localSheetId="45"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KGaap" localSheetId="4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KGaap"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kis" localSheetId="15"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kis" localSheetId="6"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kis" localSheetId="45"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kis" localSheetId="4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kis"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kk" hidden="1">{#N/A,#N/A,FALSE,"BS";#N/A,#N/A,FALSE,"PL";#N/A,#N/A,FALSE,"처분";#N/A,#N/A,FALSE,"현금";#N/A,#N/A,FALSE,"매출";#N/A,#N/A,FALSE,"원가";#N/A,#N/A,FALSE,"경영"}</definedName>
    <definedName name="KKK" localSheetId="1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k" localSheetId="42" hidden="1">{"adj95mult",#N/A,FALSE,"COMPCO";"adj95est",#N/A,FALSE,"COMPCO"}</definedName>
    <definedName name="kkk" hidden="1">{"adj95mult",#N/A,FALSE,"COMPCO";"adj95est",#N/A,FALSE,"COMPCO"}</definedName>
    <definedName name="KKKD" localSheetId="15" hidden="1">{#N/A,#N/A,FALSE,"Yield";#N/A,#N/A,FALSE,"Loss1";#N/A,#N/A,FALSE,"Loss2";#N/A,#N/A,FALSE,"Hour-Labor(배분)";#N/A,#N/A,FALSE,"Capital Expenditure";#N/A,#N/A,FALSE,"Productivity"}</definedName>
    <definedName name="KKKD" localSheetId="6" hidden="1">{#N/A,#N/A,FALSE,"Yield";#N/A,#N/A,FALSE,"Loss1";#N/A,#N/A,FALSE,"Loss2";#N/A,#N/A,FALSE,"Hour-Labor(배분)";#N/A,#N/A,FALSE,"Capital Expenditure";#N/A,#N/A,FALSE,"Productivity"}</definedName>
    <definedName name="KKKD" localSheetId="45" hidden="1">{#N/A,#N/A,FALSE,"Yield";#N/A,#N/A,FALSE,"Loss1";#N/A,#N/A,FALSE,"Loss2";#N/A,#N/A,FALSE,"Hour-Labor(배분)";#N/A,#N/A,FALSE,"Capital Expenditure";#N/A,#N/A,FALSE,"Productivity"}</definedName>
    <definedName name="KKKD" localSheetId="42" hidden="1">{#N/A,#N/A,FALSE,"Yield";#N/A,#N/A,FALSE,"Loss1";#N/A,#N/A,FALSE,"Loss2";#N/A,#N/A,FALSE,"Hour-Labor(배분)";#N/A,#N/A,FALSE,"Capital Expenditure";#N/A,#N/A,FALSE,"Productivity"}</definedName>
    <definedName name="KKKD" hidden="1">{#N/A,#N/A,FALSE,"Yield";#N/A,#N/A,FALSE,"Loss1";#N/A,#N/A,FALSE,"Loss2";#N/A,#N/A,FALSE,"Hour-Labor(배분)";#N/A,#N/A,FALSE,"Capital Expenditure";#N/A,#N/A,FALSE,"Productivity"}</definedName>
    <definedName name="kkkk" localSheetId="12" hidden="1">{#N/A,"수불부",FALSE,"사급자재수불서";#N/A,"수불부",FALSE,"사급자재수불서"}</definedName>
    <definedName name="kkkk" localSheetId="42" hidden="1">{#N/A,"수불부",FALSE,"사급자재수불서";#N/A,"수불부",FALSE,"사급자재수불서"}</definedName>
    <definedName name="kkkk" hidden="1">{#N/A,"수불부",FALSE,"사급자재수불서";#N/A,"수불부",FALSE,"사급자재수불서"}</definedName>
    <definedName name="KKL" localSheetId="15" hidden="1">{#N/A,#N/A,FALSE,"손익표지";#N/A,#N/A,FALSE,"손익계산";#N/A,#N/A,FALSE,"일반관리비";#N/A,#N/A,FALSE,"영업외수익";#N/A,#N/A,FALSE,"영업외비용";#N/A,#N/A,FALSE,"매출액";#N/A,#N/A,FALSE,"요약손익";#N/A,#N/A,FALSE,"요약대차";#N/A,#N/A,FALSE,"매출채권현황";#N/A,#N/A,FALSE,"매출채권명세"}</definedName>
    <definedName name="KKL" localSheetId="6" hidden="1">{#N/A,#N/A,FALSE,"손익표지";#N/A,#N/A,FALSE,"손익계산";#N/A,#N/A,FALSE,"일반관리비";#N/A,#N/A,FALSE,"영업외수익";#N/A,#N/A,FALSE,"영업외비용";#N/A,#N/A,FALSE,"매출액";#N/A,#N/A,FALSE,"요약손익";#N/A,#N/A,FALSE,"요약대차";#N/A,#N/A,FALSE,"매출채권현황";#N/A,#N/A,FALSE,"매출채권명세"}</definedName>
    <definedName name="KKL" localSheetId="45" hidden="1">{#N/A,#N/A,FALSE,"손익표지";#N/A,#N/A,FALSE,"손익계산";#N/A,#N/A,FALSE,"일반관리비";#N/A,#N/A,FALSE,"영업외수익";#N/A,#N/A,FALSE,"영업외비용";#N/A,#N/A,FALSE,"매출액";#N/A,#N/A,FALSE,"요약손익";#N/A,#N/A,FALSE,"요약대차";#N/A,#N/A,FALSE,"매출채권현황";#N/A,#N/A,FALSE,"매출채권명세"}</definedName>
    <definedName name="KKL" localSheetId="42" hidden="1">{#N/A,#N/A,FALSE,"손익표지";#N/A,#N/A,FALSE,"손익계산";#N/A,#N/A,FALSE,"일반관리비";#N/A,#N/A,FALSE,"영업외수익";#N/A,#N/A,FALSE,"영업외비용";#N/A,#N/A,FALSE,"매출액";#N/A,#N/A,FALSE,"요약손익";#N/A,#N/A,FALSE,"요약대차";#N/A,#N/A,FALSE,"매출채권현황";#N/A,#N/A,FALSE,"매출채권명세"}</definedName>
    <definedName name="KKL" hidden="1">{#N/A,#N/A,FALSE,"손익표지";#N/A,#N/A,FALSE,"손익계산";#N/A,#N/A,FALSE,"일반관리비";#N/A,#N/A,FALSE,"영업외수익";#N/A,#N/A,FALSE,"영업외비용";#N/A,#N/A,FALSE,"매출액";#N/A,#N/A,FALSE,"요약손익";#N/A,#N/A,FALSE,"요약대차";#N/A,#N/A,FALSE,"매출채권현황";#N/A,#N/A,FALSE,"매출채권명세"}</definedName>
    <definedName name="KTB" hidden="1">{#N/A,#N/A,TRUE,"COFTOT"}</definedName>
    <definedName name="ktft" hidden="1">3</definedName>
    <definedName name="KU" localSheetId="42" hidden="1">{#N/A,#N/A,TRUE,"Y생산";#N/A,#N/A,TRUE,"Y판매";#N/A,#N/A,TRUE,"Y총물량";#N/A,#N/A,TRUE,"Y능력";#N/A,#N/A,TRUE,"YKD"}</definedName>
    <definedName name="KU" hidden="1">{#N/A,#N/A,TRUE,"Y생산";#N/A,#N/A,TRUE,"Y판매";#N/A,#N/A,TRUE,"Y총물량";#N/A,#N/A,TRUE,"Y능력";#N/A,#N/A,TRUE,"YKD"}</definedName>
    <definedName name="L" localSheetId="1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 localSheetId="30" hidden="1">#REF!</definedName>
    <definedName name="l" localSheetId="29" hidden="1">#REF!</definedName>
    <definedName name="l" localSheetId="33" hidden="1">#REF!</definedName>
    <definedName name="l" localSheetId="31" hidden="1">#REF!</definedName>
    <definedName name="l" localSheetId="32" hidden="1">#REF!</definedName>
    <definedName name="l" hidden="1">#REF!</definedName>
    <definedName name="LINE검토2" localSheetId="15" hidden="1">{#N/A,#N/A,TRUE,"Y생산";#N/A,#N/A,TRUE,"Y판매";#N/A,#N/A,TRUE,"Y총물량";#N/A,#N/A,TRUE,"Y능력";#N/A,#N/A,TRUE,"YKD"}</definedName>
    <definedName name="LINE검토2" localSheetId="6" hidden="1">{#N/A,#N/A,TRUE,"Y생산";#N/A,#N/A,TRUE,"Y판매";#N/A,#N/A,TRUE,"Y총물량";#N/A,#N/A,TRUE,"Y능력";#N/A,#N/A,TRUE,"YKD"}</definedName>
    <definedName name="LINE검토2" localSheetId="45" hidden="1">{#N/A,#N/A,TRUE,"Y생산";#N/A,#N/A,TRUE,"Y판매";#N/A,#N/A,TRUE,"Y총물량";#N/A,#N/A,TRUE,"Y능력";#N/A,#N/A,TRUE,"YKD"}</definedName>
    <definedName name="LINE검토2" localSheetId="42" hidden="1">{#N/A,#N/A,TRUE,"Y생산";#N/A,#N/A,TRUE,"Y판매";#N/A,#N/A,TRUE,"Y총물량";#N/A,#N/A,TRUE,"Y능력";#N/A,#N/A,TRUE,"YKD"}</definedName>
    <definedName name="LINE검토2" hidden="1">{#N/A,#N/A,TRUE,"Y생산";#N/A,#N/A,TRUE,"Y판매";#N/A,#N/A,TRUE,"Y총물량";#N/A,#N/A,TRUE,"Y능력";#N/A,#N/A,TRUE,"YKD"}</definedName>
    <definedName name="lkll" localSheetId="42" hidden="1">{"'2 혼례가구(1)'!$C$10"}</definedName>
    <definedName name="lkll" hidden="1">{"'2 혼례가구(1)'!$C$10"}</definedName>
    <definedName name="LL" localSheetId="1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L" localSheetId="15" hidden="1">{#N/A,#N/A,FALSE,"98소지이동TOTvs99.1 (2)";#N/A,#N/A,FALSE,"TOTAL";#N/A,#N/A,FALSE,"98소지이동TOTvs99.1(b) (2)"}</definedName>
    <definedName name="LL" localSheetId="6" hidden="1">{#N/A,#N/A,FALSE,"98소지이동TOTvs99.1 (2)";#N/A,#N/A,FALSE,"TOTAL";#N/A,#N/A,FALSE,"98소지이동TOTvs99.1(b) (2)"}</definedName>
    <definedName name="LL" localSheetId="45" hidden="1">{#N/A,#N/A,FALSE,"98소지이동TOTvs99.1 (2)";#N/A,#N/A,FALSE,"TOTAL";#N/A,#N/A,FALSE,"98소지이동TOTvs99.1(b) (2)"}</definedName>
    <definedName name="LL" localSheetId="42" hidden="1">{#N/A,#N/A,FALSE,"98소지이동TOTvs99.1 (2)";#N/A,#N/A,FALSE,"TOTAL";#N/A,#N/A,FALSE,"98소지이동TOTvs99.1(b) (2)"}</definedName>
    <definedName name="ll" hidden="1">{#N/A,#N/A,FALSE,"BS";#N/A,#N/A,FALSE,"PL";#N/A,#N/A,FALSE,"처분";#N/A,#N/A,FALSE,"현금";#N/A,#N/A,FALSE,"매출";#N/A,#N/A,FALSE,"원가";#N/A,#N/A,FALSE,"경영"}</definedName>
    <definedName name="LLL" localSheetId="15"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LLL" localSheetId="6"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LLL" localSheetId="45"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LLL" localSheetId="4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LLL"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Loan" localSheetId="15"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Loan" localSheetId="6"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Loan" localSheetId="45"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Loan" localSheetId="42"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Loan"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Loss1" localSheetId="15" hidden="1">{#N/A,#N/A,FALSE,"98소지이동TOTvs99.1 (2)";#N/A,#N/A,FALSE,"TOTAL";#N/A,#N/A,FALSE,"98소지이동TOTvs99.1(b) (2)"}</definedName>
    <definedName name="Loss1" localSheetId="6" hidden="1">{#N/A,#N/A,FALSE,"98소지이동TOTvs99.1 (2)";#N/A,#N/A,FALSE,"TOTAL";#N/A,#N/A,FALSE,"98소지이동TOTvs99.1(b) (2)"}</definedName>
    <definedName name="Loss1" localSheetId="45" hidden="1">{#N/A,#N/A,FALSE,"98소지이동TOTvs99.1 (2)";#N/A,#N/A,FALSE,"TOTAL";#N/A,#N/A,FALSE,"98소지이동TOTvs99.1(b) (2)"}</definedName>
    <definedName name="Loss1" localSheetId="42" hidden="1">{#N/A,#N/A,FALSE,"98소지이동TOTvs99.1 (2)";#N/A,#N/A,FALSE,"TOTAL";#N/A,#N/A,FALSE,"98소지이동TOTvs99.1(b) (2)"}</definedName>
    <definedName name="Loss1" hidden="1">{#N/A,#N/A,FALSE,"98소지이동TOTvs99.1 (2)";#N/A,#N/A,FALSE,"TOTAL";#N/A,#N/A,FALSE,"98소지이동TOTvs99.1(b) (2)"}</definedName>
    <definedName name="LY" localSheetId="15" hidden="1">#REF!</definedName>
    <definedName name="LY" localSheetId="6" hidden="1">#REF!</definedName>
    <definedName name="LY" localSheetId="42" hidden="1">#REF!</definedName>
    <definedName name="LY" hidden="1">#REF!</definedName>
    <definedName name="M" localSheetId="15"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M" localSheetId="6"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M" localSheetId="45"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M" localSheetId="42"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m" hidden="1">{#N/A,#N/A,FALSE,"BS";#N/A,#N/A,FALSE,"PL";#N/A,#N/A,FALSE,"처분";#N/A,#N/A,FALSE,"현금";#N/A,#N/A,FALSE,"매출";#N/A,#N/A,FALSE,"원가";#N/A,#N/A,FALSE,"경영"}</definedName>
    <definedName name="mb_inputLocation" hidden="1">#N/A</definedName>
    <definedName name="mktsum" localSheetId="42" hidden="1">{#N/A,#N/A,FALSE,"Aging Summary";#N/A,#N/A,FALSE,"Ratio Analysis";#N/A,#N/A,FALSE,"Test 120 Day Accts";#N/A,#N/A,FALSE,"Tickmarks"}</definedName>
    <definedName name="mktsum" hidden="1">{#N/A,#N/A,FALSE,"Aging Summary";#N/A,#N/A,FALSE,"Ratio Analysis";#N/A,#N/A,FALSE,"Test 120 Day Accts";#N/A,#N/A,FALSE,"Tickmarks"}</definedName>
    <definedName name="ML4.0" localSheetId="15" hidden="1">{#N/A,#N/A,FALSE,"98소지이동TOTvs99.1 (2)";#N/A,#N/A,FALSE,"TOTAL";#N/A,#N/A,FALSE,"98소지이동TOTvs99.1(b) (2)"}</definedName>
    <definedName name="ML4.0" localSheetId="6" hidden="1">{#N/A,#N/A,FALSE,"98소지이동TOTvs99.1 (2)";#N/A,#N/A,FALSE,"TOTAL";#N/A,#N/A,FALSE,"98소지이동TOTvs99.1(b) (2)"}</definedName>
    <definedName name="ML4.0" localSheetId="45" hidden="1">{#N/A,#N/A,FALSE,"98소지이동TOTvs99.1 (2)";#N/A,#N/A,FALSE,"TOTAL";#N/A,#N/A,FALSE,"98소지이동TOTvs99.1(b) (2)"}</definedName>
    <definedName name="ML4.0" localSheetId="42" hidden="1">{#N/A,#N/A,FALSE,"98소지이동TOTvs99.1 (2)";#N/A,#N/A,FALSE,"TOTAL";#N/A,#N/A,FALSE,"98소지이동TOTvs99.1(b) (2)"}</definedName>
    <definedName name="ML4.0" hidden="1">{#N/A,#N/A,FALSE,"98소지이동TOTvs99.1 (2)";#N/A,#N/A,FALSE,"TOTAL";#N/A,#N/A,FALSE,"98소지이동TOTvs99.1(b) (2)"}</definedName>
    <definedName name="ML5.5" localSheetId="15" hidden="1">{#N/A,#N/A,FALSE,"98소지이동TOTvs99.1 (2)";#N/A,#N/A,FALSE,"TOTAL";#N/A,#N/A,FALSE,"98소지이동TOTvs99.1(b) (2)"}</definedName>
    <definedName name="ML5.5" localSheetId="6" hidden="1">{#N/A,#N/A,FALSE,"98소지이동TOTvs99.1 (2)";#N/A,#N/A,FALSE,"TOTAL";#N/A,#N/A,FALSE,"98소지이동TOTvs99.1(b) (2)"}</definedName>
    <definedName name="ML5.5" localSheetId="45" hidden="1">{#N/A,#N/A,FALSE,"98소지이동TOTvs99.1 (2)";#N/A,#N/A,FALSE,"TOTAL";#N/A,#N/A,FALSE,"98소지이동TOTvs99.1(b) (2)"}</definedName>
    <definedName name="ML5.5" localSheetId="42" hidden="1">{#N/A,#N/A,FALSE,"98소지이동TOTvs99.1 (2)";#N/A,#N/A,FALSE,"TOTAL";#N/A,#N/A,FALSE,"98소지이동TOTvs99.1(b) (2)"}</definedName>
    <definedName name="ML5.5" hidden="1">{#N/A,#N/A,FALSE,"98소지이동TOTvs99.1 (2)";#N/A,#N/A,FALSE,"TOTAL";#N/A,#N/A,FALSE,"98소지이동TOTvs99.1(b) (2)"}</definedName>
    <definedName name="ML6.0" localSheetId="15" hidden="1">{#N/A,#N/A,FALSE,"군산원가";#N/A,#N/A,FALSE,"팀별월별";#N/A,#N/A,FALSE,"타공정대체";#N/A,#N/A,FALSE,"기타경비";#N/A,#N/A,FALSE,"원료";#N/A,#N/A,FALSE,"연료"}</definedName>
    <definedName name="ML6.0" localSheetId="6" hidden="1">{#N/A,#N/A,FALSE,"군산원가";#N/A,#N/A,FALSE,"팀별월별";#N/A,#N/A,FALSE,"타공정대체";#N/A,#N/A,FALSE,"기타경비";#N/A,#N/A,FALSE,"원료";#N/A,#N/A,FALSE,"연료"}</definedName>
    <definedName name="ML6.0" localSheetId="45" hidden="1">{#N/A,#N/A,FALSE,"군산원가";#N/A,#N/A,FALSE,"팀별월별";#N/A,#N/A,FALSE,"타공정대체";#N/A,#N/A,FALSE,"기타경비";#N/A,#N/A,FALSE,"원료";#N/A,#N/A,FALSE,"연료"}</definedName>
    <definedName name="ML6.0" localSheetId="42" hidden="1">{#N/A,#N/A,FALSE,"군산원가";#N/A,#N/A,FALSE,"팀별월별";#N/A,#N/A,FALSE,"타공정대체";#N/A,#N/A,FALSE,"기타경비";#N/A,#N/A,FALSE,"원료";#N/A,#N/A,FALSE,"연료"}</definedName>
    <definedName name="ML6.0" hidden="1">{#N/A,#N/A,FALSE,"군산원가";#N/A,#N/A,FALSE,"팀별월별";#N/A,#N/A,FALSE,"타공정대체";#N/A,#N/A,FALSE,"기타경비";#N/A,#N/A,FALSE,"원료";#N/A,#N/A,FALSE,"연료"}</definedName>
    <definedName name="ML6.00" localSheetId="15" hidden="1">{#N/A,#N/A,FALSE,"Yield";#N/A,#N/A,FALSE,"Loss1";#N/A,#N/A,FALSE,"Loss2";#N/A,#N/A,FALSE,"Hour-Labor(배분)";#N/A,#N/A,FALSE,"Capital Expenditure";#N/A,#N/A,FALSE,"Productivity"}</definedName>
    <definedName name="ML6.00" localSheetId="6" hidden="1">{#N/A,#N/A,FALSE,"Yield";#N/A,#N/A,FALSE,"Loss1";#N/A,#N/A,FALSE,"Loss2";#N/A,#N/A,FALSE,"Hour-Labor(배분)";#N/A,#N/A,FALSE,"Capital Expenditure";#N/A,#N/A,FALSE,"Productivity"}</definedName>
    <definedName name="ML6.00" localSheetId="45" hidden="1">{#N/A,#N/A,FALSE,"Yield";#N/A,#N/A,FALSE,"Loss1";#N/A,#N/A,FALSE,"Loss2";#N/A,#N/A,FALSE,"Hour-Labor(배분)";#N/A,#N/A,FALSE,"Capital Expenditure";#N/A,#N/A,FALSE,"Productivity"}</definedName>
    <definedName name="ML6.00" localSheetId="42" hidden="1">{#N/A,#N/A,FALSE,"Yield";#N/A,#N/A,FALSE,"Loss1";#N/A,#N/A,FALSE,"Loss2";#N/A,#N/A,FALSE,"Hour-Labor(배분)";#N/A,#N/A,FALSE,"Capital Expenditure";#N/A,#N/A,FALSE,"Productivity"}</definedName>
    <definedName name="ML6.00" hidden="1">{#N/A,#N/A,FALSE,"Yield";#N/A,#N/A,FALSE,"Loss1";#N/A,#N/A,FALSE,"Loss2";#N/A,#N/A,FALSE,"Hour-Labor(배분)";#N/A,#N/A,FALSE,"Capital Expenditure";#N/A,#N/A,FALSE,"Productivity"}</definedName>
    <definedName name="ML7.00" localSheetId="15" hidden="1">{#N/A,#N/A,FALSE,"Yield";#N/A,#N/A,FALSE,"Loss1";#N/A,#N/A,FALSE,"Loss2";#N/A,#N/A,FALSE,"Hour-Labor(배분)";#N/A,#N/A,FALSE,"Capital Expenditure";#N/A,#N/A,FALSE,"Productivity"}</definedName>
    <definedName name="ML7.00" localSheetId="6" hidden="1">{#N/A,#N/A,FALSE,"Yield";#N/A,#N/A,FALSE,"Loss1";#N/A,#N/A,FALSE,"Loss2";#N/A,#N/A,FALSE,"Hour-Labor(배분)";#N/A,#N/A,FALSE,"Capital Expenditure";#N/A,#N/A,FALSE,"Productivity"}</definedName>
    <definedName name="ML7.00" localSheetId="45" hidden="1">{#N/A,#N/A,FALSE,"Yield";#N/A,#N/A,FALSE,"Loss1";#N/A,#N/A,FALSE,"Loss2";#N/A,#N/A,FALSE,"Hour-Labor(배분)";#N/A,#N/A,FALSE,"Capital Expenditure";#N/A,#N/A,FALSE,"Productivity"}</definedName>
    <definedName name="ML7.00" localSheetId="42" hidden="1">{#N/A,#N/A,FALSE,"Yield";#N/A,#N/A,FALSE,"Loss1";#N/A,#N/A,FALSE,"Loss2";#N/A,#N/A,FALSE,"Hour-Labor(배분)";#N/A,#N/A,FALSE,"Capital Expenditure";#N/A,#N/A,FALSE,"Productivity"}</definedName>
    <definedName name="ML7.00" hidden="1">{#N/A,#N/A,FALSE,"Yield";#N/A,#N/A,FALSE,"Loss1";#N/A,#N/A,FALSE,"Loss2";#N/A,#N/A,FALSE,"Hour-Labor(배분)";#N/A,#N/A,FALSE,"Capital Expenditure";#N/A,#N/A,FALSE,"Productivity"}</definedName>
    <definedName name="ML8.0" localSheetId="15" hidden="1">{#N/A,#N/A,FALSE,"군산원가";#N/A,#N/A,FALSE,"팀별월별";#N/A,#N/A,FALSE,"타공정대체";#N/A,#N/A,FALSE,"기타경비";#N/A,#N/A,FALSE,"원료";#N/A,#N/A,FALSE,"연료"}</definedName>
    <definedName name="ML8.0" localSheetId="6" hidden="1">{#N/A,#N/A,FALSE,"군산원가";#N/A,#N/A,FALSE,"팀별월별";#N/A,#N/A,FALSE,"타공정대체";#N/A,#N/A,FALSE,"기타경비";#N/A,#N/A,FALSE,"원료";#N/A,#N/A,FALSE,"연료"}</definedName>
    <definedName name="ML8.0" localSheetId="45" hidden="1">{#N/A,#N/A,FALSE,"군산원가";#N/A,#N/A,FALSE,"팀별월별";#N/A,#N/A,FALSE,"타공정대체";#N/A,#N/A,FALSE,"기타경비";#N/A,#N/A,FALSE,"원료";#N/A,#N/A,FALSE,"연료"}</definedName>
    <definedName name="ML8.0" localSheetId="42" hidden="1">{#N/A,#N/A,FALSE,"군산원가";#N/A,#N/A,FALSE,"팀별월별";#N/A,#N/A,FALSE,"타공정대체";#N/A,#N/A,FALSE,"기타경비";#N/A,#N/A,FALSE,"원료";#N/A,#N/A,FALSE,"연료"}</definedName>
    <definedName name="ML8.0" hidden="1">{#N/A,#N/A,FALSE,"군산원가";#N/A,#N/A,FALSE,"팀별월별";#N/A,#N/A,FALSE,"타공정대체";#N/A,#N/A,FALSE,"기타경비";#N/A,#N/A,FALSE,"원료";#N/A,#N/A,FALSE,"연료"}</definedName>
    <definedName name="mmm" localSheetId="1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mmm" localSheetId="15"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mmm" localSheetId="6"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mmm" localSheetId="45"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mmm" localSheetId="42"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mmm"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MMMMMM" localSheetId="15" hidden="1">{#N/A,#N/A,FALSE,"손익표지";#N/A,#N/A,FALSE,"손익계산";#N/A,#N/A,FALSE,"일반관리비";#N/A,#N/A,FALSE,"영업외수익";#N/A,#N/A,FALSE,"영업외비용";#N/A,#N/A,FALSE,"매출액";#N/A,#N/A,FALSE,"요약손익";#N/A,#N/A,FALSE,"요약대차";#N/A,#N/A,FALSE,"매출채권현황";#N/A,#N/A,FALSE,"매출채권명세"}</definedName>
    <definedName name="MMMMMM" localSheetId="6" hidden="1">{#N/A,#N/A,FALSE,"손익표지";#N/A,#N/A,FALSE,"손익계산";#N/A,#N/A,FALSE,"일반관리비";#N/A,#N/A,FALSE,"영업외수익";#N/A,#N/A,FALSE,"영업외비용";#N/A,#N/A,FALSE,"매출액";#N/A,#N/A,FALSE,"요약손익";#N/A,#N/A,FALSE,"요약대차";#N/A,#N/A,FALSE,"매출채권현황";#N/A,#N/A,FALSE,"매출채권명세"}</definedName>
    <definedName name="MMMMMM" localSheetId="45" hidden="1">{#N/A,#N/A,FALSE,"손익표지";#N/A,#N/A,FALSE,"손익계산";#N/A,#N/A,FALSE,"일반관리비";#N/A,#N/A,FALSE,"영업외수익";#N/A,#N/A,FALSE,"영업외비용";#N/A,#N/A,FALSE,"매출액";#N/A,#N/A,FALSE,"요약손익";#N/A,#N/A,FALSE,"요약대차";#N/A,#N/A,FALSE,"매출채권현황";#N/A,#N/A,FALSE,"매출채권명세"}</definedName>
    <definedName name="MMMMMM" localSheetId="42" hidden="1">{#N/A,#N/A,FALSE,"손익표지";#N/A,#N/A,FALSE,"손익계산";#N/A,#N/A,FALSE,"일반관리비";#N/A,#N/A,FALSE,"영업외수익";#N/A,#N/A,FALSE,"영업외비용";#N/A,#N/A,FALSE,"매출액";#N/A,#N/A,FALSE,"요약손익";#N/A,#N/A,FALSE,"요약대차";#N/A,#N/A,FALSE,"매출채권현황";#N/A,#N/A,FALSE,"매출채권명세"}</definedName>
    <definedName name="MMMMMM" hidden="1">{#N/A,#N/A,FALSE,"손익표지";#N/A,#N/A,FALSE,"손익계산";#N/A,#N/A,FALSE,"일반관리비";#N/A,#N/A,FALSE,"영업외수익";#N/A,#N/A,FALSE,"영업외비용";#N/A,#N/A,FALSE,"매출액";#N/A,#N/A,FALSE,"요약손익";#N/A,#N/A,FALSE,"요약대차";#N/A,#N/A,FALSE,"매출채권현황";#N/A,#N/A,FALSE,"매출채권명세"}</definedName>
    <definedName name="mn" localSheetId="12" hidden="1">{#N/A,#N/A,FALSE,"UNIT";#N/A,#N/A,FALSE,"UNIT";#N/A,#N/A,FALSE,"계정"}</definedName>
    <definedName name="mn" localSheetId="42" hidden="1">{#N/A,#N/A,FALSE,"UNIT";#N/A,#N/A,FALSE,"UNIT";#N/A,#N/A,FALSE,"계정"}</definedName>
    <definedName name="mn" hidden="1">{#N/A,#N/A,FALSE,"UNIT";#N/A,#N/A,FALSE,"UNIT";#N/A,#N/A,FALSE,"계정"}</definedName>
    <definedName name="moh" localSheetId="15" hidden="1">{#N/A,#N/A,FALSE,"98소지이동TOTvs99.1 (2)";#N/A,#N/A,FALSE,"TOTAL";#N/A,#N/A,FALSE,"98소지이동TOTvs99.1(b) (2)"}</definedName>
    <definedName name="moh" localSheetId="6" hidden="1">{#N/A,#N/A,FALSE,"98소지이동TOTvs99.1 (2)";#N/A,#N/A,FALSE,"TOTAL";#N/A,#N/A,FALSE,"98소지이동TOTvs99.1(b) (2)"}</definedName>
    <definedName name="moh" localSheetId="45" hidden="1">{#N/A,#N/A,FALSE,"98소지이동TOTvs99.1 (2)";#N/A,#N/A,FALSE,"TOTAL";#N/A,#N/A,FALSE,"98소지이동TOTvs99.1(b) (2)"}</definedName>
    <definedName name="moh" localSheetId="42" hidden="1">{#N/A,#N/A,FALSE,"98소지이동TOTvs99.1 (2)";#N/A,#N/A,FALSE,"TOTAL";#N/A,#N/A,FALSE,"98소지이동TOTvs99.1(b) (2)"}</definedName>
    <definedName name="moh" hidden="1">{#N/A,#N/A,FALSE,"98소지이동TOTvs99.1 (2)";#N/A,#N/A,FALSE,"TOTAL";#N/A,#N/A,FALSE,"98소지이동TOTvs99.1(b) (2)"}</definedName>
    <definedName name="MP" localSheetId="42" hidden="1">{#N/A,#N/A,FALSE,"BS";#N/A,#N/A,FALSE,"PL";#N/A,#N/A,FALSE,"처분";#N/A,#N/A,FALSE,"현금";#N/A,#N/A,FALSE,"매출";#N/A,#N/A,FALSE,"원가";#N/A,#N/A,FALSE,"경영"}</definedName>
    <definedName name="MP" hidden="1">{#N/A,#N/A,FALSE,"BS";#N/A,#N/A,FALSE,"PL";#N/A,#N/A,FALSE,"처분";#N/A,#N/A,FALSE,"현금";#N/A,#N/A,FALSE,"매출";#N/A,#N/A,FALSE,"원가";#N/A,#N/A,FALSE,"경영"}</definedName>
    <definedName name="MS" localSheetId="15" hidden="1">{#N/A,#N/A,FALSE,"손익표지";#N/A,#N/A,FALSE,"손익계산";#N/A,#N/A,FALSE,"일반관리비";#N/A,#N/A,FALSE,"영업외수익";#N/A,#N/A,FALSE,"영업외비용";#N/A,#N/A,FALSE,"매출액";#N/A,#N/A,FALSE,"요약손익";#N/A,#N/A,FALSE,"요약대차";#N/A,#N/A,FALSE,"매출채권현황";#N/A,#N/A,FALSE,"매출채권명세"}</definedName>
    <definedName name="MS" localSheetId="6" hidden="1">{#N/A,#N/A,FALSE,"손익표지";#N/A,#N/A,FALSE,"손익계산";#N/A,#N/A,FALSE,"일반관리비";#N/A,#N/A,FALSE,"영업외수익";#N/A,#N/A,FALSE,"영업외비용";#N/A,#N/A,FALSE,"매출액";#N/A,#N/A,FALSE,"요약손익";#N/A,#N/A,FALSE,"요약대차";#N/A,#N/A,FALSE,"매출채권현황";#N/A,#N/A,FALSE,"매출채권명세"}</definedName>
    <definedName name="MS" localSheetId="45" hidden="1">{#N/A,#N/A,FALSE,"손익표지";#N/A,#N/A,FALSE,"손익계산";#N/A,#N/A,FALSE,"일반관리비";#N/A,#N/A,FALSE,"영업외수익";#N/A,#N/A,FALSE,"영업외비용";#N/A,#N/A,FALSE,"매출액";#N/A,#N/A,FALSE,"요약손익";#N/A,#N/A,FALSE,"요약대차";#N/A,#N/A,FALSE,"매출채권현황";#N/A,#N/A,FALSE,"매출채권명세"}</definedName>
    <definedName name="MS" localSheetId="42" hidden="1">{#N/A,#N/A,FALSE,"손익표지";#N/A,#N/A,FALSE,"손익계산";#N/A,#N/A,FALSE,"일반관리비";#N/A,#N/A,FALSE,"영업외수익";#N/A,#N/A,FALSE,"영업외비용";#N/A,#N/A,FALSE,"매출액";#N/A,#N/A,FALSE,"요약손익";#N/A,#N/A,FALSE,"요약대차";#N/A,#N/A,FALSE,"매출채권현황";#N/A,#N/A,FALSE,"매출채권명세"}</definedName>
    <definedName name="MS" hidden="1">{#N/A,#N/A,FALSE,"손익표지";#N/A,#N/A,FALSE,"손익계산";#N/A,#N/A,FALSE,"일반관리비";#N/A,#N/A,FALSE,"영업외수익";#N/A,#N/A,FALSE,"영업외비용";#N/A,#N/A,FALSE,"매출액";#N/A,#N/A,FALSE,"요약손익";#N/A,#N/A,FALSE,"요약대차";#N/A,#N/A,FALSE,"매출채권현황";#N/A,#N/A,FALSE,"매출채권명세"}</definedName>
    <definedName name="MYJ" localSheetId="42" hidden="1">{#N/A,#N/A,FALSE,"UNIT";#N/A,#N/A,FALSE,"UNIT";#N/A,#N/A,FALSE,"계정"}</definedName>
    <definedName name="MYJ" hidden="1">{#N/A,#N/A,FALSE,"UNIT";#N/A,#N/A,FALSE,"UNIT";#N/A,#N/A,FALSE,"계정"}</definedName>
    <definedName name="ND제조원가" localSheetId="42" hidden="1">{#N/A,#N/A,FALSE,"UNIT";#N/A,#N/A,FALSE,"UNIT";#N/A,#N/A,FALSE,"계정"}</definedName>
    <definedName name="ND제조원가" hidden="1">{#N/A,#N/A,FALSE,"UNIT";#N/A,#N/A,FALSE,"UNIT";#N/A,#N/A,FALSE,"계정"}</definedName>
    <definedName name="NEW" localSheetId="30" hidden="1">#REF!</definedName>
    <definedName name="NEW" localSheetId="29" hidden="1">#REF!</definedName>
    <definedName name="NEW" localSheetId="33" hidden="1">#REF!</definedName>
    <definedName name="NEW" localSheetId="15" hidden="1">#REF!</definedName>
    <definedName name="NEW" localSheetId="31" hidden="1">#REF!</definedName>
    <definedName name="NEW" localSheetId="6" hidden="1">#REF!</definedName>
    <definedName name="NEW" localSheetId="32" hidden="1">#REF!</definedName>
    <definedName name="NEW" localSheetId="42" hidden="1">#REF!</definedName>
    <definedName name="NEW" hidden="1">#REF!</definedName>
    <definedName name="nlbu" localSheetId="15" hidden="1">{#N/A,#N/A,FALSE,"Yield";#N/A,#N/A,FALSE,"Loss1";#N/A,#N/A,FALSE,"Loss2";#N/A,#N/A,FALSE,"Hour-Labor(배분)";#N/A,#N/A,FALSE,"Capital Expenditure";#N/A,#N/A,FALSE,"Productivity"}</definedName>
    <definedName name="nlbu" localSheetId="6" hidden="1">{#N/A,#N/A,FALSE,"Yield";#N/A,#N/A,FALSE,"Loss1";#N/A,#N/A,FALSE,"Loss2";#N/A,#N/A,FALSE,"Hour-Labor(배분)";#N/A,#N/A,FALSE,"Capital Expenditure";#N/A,#N/A,FALSE,"Productivity"}</definedName>
    <definedName name="nlbu" localSheetId="45" hidden="1">{#N/A,#N/A,FALSE,"Yield";#N/A,#N/A,FALSE,"Loss1";#N/A,#N/A,FALSE,"Loss2";#N/A,#N/A,FALSE,"Hour-Labor(배분)";#N/A,#N/A,FALSE,"Capital Expenditure";#N/A,#N/A,FALSE,"Productivity"}</definedName>
    <definedName name="nlbu" localSheetId="42" hidden="1">{#N/A,#N/A,FALSE,"Yield";#N/A,#N/A,FALSE,"Loss1";#N/A,#N/A,FALSE,"Loss2";#N/A,#N/A,FALSE,"Hour-Labor(배분)";#N/A,#N/A,FALSE,"Capital Expenditure";#N/A,#N/A,FALSE,"Productivity"}</definedName>
    <definedName name="nlbu" hidden="1">{#N/A,#N/A,FALSE,"Yield";#N/A,#N/A,FALSE,"Loss1";#N/A,#N/A,FALSE,"Loss2";#N/A,#N/A,FALSE,"Hour-Labor(배분)";#N/A,#N/A,FALSE,"Capital Expenditure";#N/A,#N/A,FALSE,"Productivity"}</definedName>
    <definedName name="NN" localSheetId="30" hidden="1">#REF!</definedName>
    <definedName name="NN" localSheetId="29" hidden="1">#REF!</definedName>
    <definedName name="NN" localSheetId="33" hidden="1">#REF!</definedName>
    <definedName name="NN" localSheetId="31" hidden="1">#REF!</definedName>
    <definedName name="NN" localSheetId="32" hidden="1">#REF!</definedName>
    <definedName name="NN" hidden="1">#REF!</definedName>
    <definedName name="nnn" localSheetId="15"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nnn" localSheetId="6"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nnn" localSheetId="45"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nnn" localSheetId="42"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nnn"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o" localSheetId="15" hidden="1">#REF!</definedName>
    <definedName name="o" localSheetId="6" hidden="1">#REF!</definedName>
    <definedName name="o" localSheetId="45" hidden="1">#REF!</definedName>
    <definedName name="o" localSheetId="42" hidden="1">#REF!</definedName>
    <definedName name="O" hidden="1">{#N/A,#N/A,TRUE,"Y생산";#N/A,#N/A,TRUE,"Y판매";#N/A,#N/A,TRUE,"Y총물량";#N/A,#N/A,TRUE,"Y능력";#N/A,#N/A,TRUE,"YKD"}</definedName>
    <definedName name="ocf" localSheetId="30" hidden="1">#REF!</definedName>
    <definedName name="ocf" localSheetId="29" hidden="1">#REF!</definedName>
    <definedName name="ocf" localSheetId="33" hidden="1">#REF!</definedName>
    <definedName name="ocf" localSheetId="31" hidden="1">#REF!</definedName>
    <definedName name="ocf" localSheetId="32" hidden="1">#REF!</definedName>
    <definedName name="ocf" hidden="1">#REF!</definedName>
    <definedName name="on" localSheetId="30" hidden="1">#REF!</definedName>
    <definedName name="on" localSheetId="29" hidden="1">#REF!</definedName>
    <definedName name="on" localSheetId="33" hidden="1">#REF!</definedName>
    <definedName name="on" localSheetId="31" hidden="1">#REF!</definedName>
    <definedName name="on" localSheetId="32" hidden="1">#REF!</definedName>
    <definedName name="on" hidden="1">#REF!</definedName>
    <definedName name="OOO" localSheetId="42" hidden="1">{#N/A,#N/A,FALSE,"UNIT";#N/A,#N/A,FALSE,"UNIT";#N/A,#N/A,FALSE,"계정"}</definedName>
    <definedName name="OOO" hidden="1">{#N/A,#N/A,FALSE,"UNIT";#N/A,#N/A,FALSE,"UNIT";#N/A,#N/A,FALSE,"계정"}</definedName>
    <definedName name="ooop" localSheetId="12" hidden="1">{"'매출'!$A$1:$I$22"}</definedName>
    <definedName name="ooop" localSheetId="42" hidden="1">{"'매출'!$A$1:$I$22"}</definedName>
    <definedName name="ooop" hidden="1">{"'매출'!$A$1:$I$22"}</definedName>
    <definedName name="opo" localSheetId="12" hidden="1">{#N/A,#N/A,FALSE,"지침";#N/A,#N/A,FALSE,"환경분석";#N/A,#N/A,FALSE,"Sheet16"}</definedName>
    <definedName name="opo" localSheetId="42" hidden="1">{#N/A,#N/A,FALSE,"지침";#N/A,#N/A,FALSE,"환경분석";#N/A,#N/A,FALSE,"Sheet16"}</definedName>
    <definedName name="opo" hidden="1">{#N/A,#N/A,FALSE,"지침";#N/A,#N/A,FALSE,"환경분석";#N/A,#N/A,FALSE,"Sheet16"}</definedName>
    <definedName name="ownership" localSheetId="12" hidden="1">{#N/A,#N/A,TRUE,"Summary";#N/A,#N/A,TRUE,"IS";#N/A,#N/A,TRUE,"Adj";#N/A,#N/A,TRUE,"BS";#N/A,#N/A,TRUE,"CF";#N/A,#N/A,TRUE,"Debt";#N/A,#N/A,TRUE,"IRR"}</definedName>
    <definedName name="ownership" localSheetId="15" hidden="1">{#N/A,#N/A,TRUE,"Summary";#N/A,#N/A,TRUE,"IS";#N/A,#N/A,TRUE,"Adj";#N/A,#N/A,TRUE,"BS";#N/A,#N/A,TRUE,"CF";#N/A,#N/A,TRUE,"Debt";#N/A,#N/A,TRUE,"IRR"}</definedName>
    <definedName name="ownership" localSheetId="6" hidden="1">{#N/A,#N/A,TRUE,"Summary";#N/A,#N/A,TRUE,"IS";#N/A,#N/A,TRUE,"Adj";#N/A,#N/A,TRUE,"BS";#N/A,#N/A,TRUE,"CF";#N/A,#N/A,TRUE,"Debt";#N/A,#N/A,TRUE,"IRR"}</definedName>
    <definedName name="ownership" localSheetId="45" hidden="1">{#N/A,#N/A,TRUE,"Summary";#N/A,#N/A,TRUE,"IS";#N/A,#N/A,TRUE,"Adj";#N/A,#N/A,TRUE,"BS";#N/A,#N/A,TRUE,"CF";#N/A,#N/A,TRUE,"Debt";#N/A,#N/A,TRUE,"IRR"}</definedName>
    <definedName name="ownership" localSheetId="42" hidden="1">{#N/A,#N/A,TRUE,"Summary";#N/A,#N/A,TRUE,"IS";#N/A,#N/A,TRUE,"Adj";#N/A,#N/A,TRUE,"BS";#N/A,#N/A,TRUE,"CF";#N/A,#N/A,TRUE,"Debt";#N/A,#N/A,TRUE,"IRR"}</definedName>
    <definedName name="ownership" hidden="1">{#N/A,#N/A,TRUE,"Summary";#N/A,#N/A,TRUE,"IS";#N/A,#N/A,TRUE,"Adj";#N/A,#N/A,TRUE,"BS";#N/A,#N/A,TRUE,"CF";#N/A,#N/A,TRUE,"Debt";#N/A,#N/A,TRUE,"IRR"}</definedName>
    <definedName name="ownership2" localSheetId="12" hidden="1">{#N/A,#N/A,TRUE,"Summary";#N/A,#N/A,TRUE,"IS";#N/A,#N/A,TRUE,"Adj";#N/A,#N/A,TRUE,"BS";#N/A,#N/A,TRUE,"CF";#N/A,#N/A,TRUE,"Debt";#N/A,#N/A,TRUE,"IRR"}</definedName>
    <definedName name="ownership2" localSheetId="42" hidden="1">{#N/A,#N/A,TRUE,"Summary";#N/A,#N/A,TRUE,"IS";#N/A,#N/A,TRUE,"Adj";#N/A,#N/A,TRUE,"BS";#N/A,#N/A,TRUE,"CF";#N/A,#N/A,TRUE,"Debt";#N/A,#N/A,TRUE,"IRR"}</definedName>
    <definedName name="ownership2" hidden="1">{#N/A,#N/A,TRUE,"Summary";#N/A,#N/A,TRUE,"IS";#N/A,#N/A,TRUE,"Adj";#N/A,#N/A,TRUE,"BS";#N/A,#N/A,TRUE,"CF";#N/A,#N/A,TRUE,"Debt";#N/A,#N/A,TRUE,"IRR"}</definedName>
    <definedName name="pay" localSheetId="30" hidden="1">#REF!</definedName>
    <definedName name="pay" localSheetId="29" hidden="1">#REF!</definedName>
    <definedName name="pay" localSheetId="33" hidden="1">#REF!</definedName>
    <definedName name="pay" localSheetId="31" hidden="1">#REF!</definedName>
    <definedName name="pay" hidden="1">#REF!</definedName>
    <definedName name="payment1" localSheetId="30" hidden="1">#REF!</definedName>
    <definedName name="payment1" localSheetId="29" hidden="1">#REF!</definedName>
    <definedName name="payment1" localSheetId="33" hidden="1">#REF!</definedName>
    <definedName name="payment1" localSheetId="31" hidden="1">#REF!</definedName>
    <definedName name="payment1" hidden="1">#REF!</definedName>
    <definedName name="pe" localSheetId="4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p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PPK" localSheetId="15" hidden="1">{#N/A,#N/A,FALSE,"96 3월물량표";#N/A,#N/A,FALSE,"96 4월물량표";#N/A,#N/A,FALSE,"96 5월물량표"}</definedName>
    <definedName name="PPK" localSheetId="6" hidden="1">{#N/A,#N/A,FALSE,"96 3월물량표";#N/A,#N/A,FALSE,"96 4월물량표";#N/A,#N/A,FALSE,"96 5월물량표"}</definedName>
    <definedName name="PPK" localSheetId="45" hidden="1">{#N/A,#N/A,FALSE,"96 3월물량표";#N/A,#N/A,FALSE,"96 4월물량표";#N/A,#N/A,FALSE,"96 5월물량표"}</definedName>
    <definedName name="PPK" localSheetId="42" hidden="1">{#N/A,#N/A,FALSE,"96 3월물량표";#N/A,#N/A,FALSE,"96 4월물량표";#N/A,#N/A,FALSE,"96 5월물량표"}</definedName>
    <definedName name="PPK" hidden="1">{#N/A,#N/A,FALSE,"96 3월물량표";#N/A,#N/A,FALSE,"96 4월물량표";#N/A,#N/A,FALSE,"96 5월물량표"}</definedName>
    <definedName name="PPP" localSheetId="42" hidden="1">{#N/A,#N/A,TRUE,"일정"}</definedName>
    <definedName name="PPP" hidden="1">{#N/A,#N/A,TRUE,"일정"}</definedName>
    <definedName name="pppp" localSheetId="12" hidden="1">{#N/A,#N/A,FALSE,"UNIT";#N/A,#N/A,FALSE,"UNIT";#N/A,#N/A,FALSE,"계정"}</definedName>
    <definedName name="pppp" localSheetId="42" hidden="1">{#N/A,#N/A,FALSE,"UNIT";#N/A,#N/A,FALSE,"UNIT";#N/A,#N/A,FALSE,"계정"}</definedName>
    <definedName name="pppp" hidden="1">{#N/A,#N/A,FALSE,"UNIT";#N/A,#N/A,FALSE,"UNIT";#N/A,#N/A,FALSE,"계정"}</definedName>
    <definedName name="ppppppp" localSheetId="42" hidden="1">{#N/A,#N/A,FALSE,"BS";#N/A,#N/A,FALSE,"PL";#N/A,#N/A,FALSE,"처분";#N/A,#N/A,FALSE,"현금";#N/A,#N/A,FALSE,"매출";#N/A,#N/A,FALSE,"원가";#N/A,#N/A,FALSE,"경영"}</definedName>
    <definedName name="ppppppp" hidden="1">{#N/A,#N/A,FALSE,"BS";#N/A,#N/A,FALSE,"PL";#N/A,#N/A,FALSE,"처분";#N/A,#N/A,FALSE,"현금";#N/A,#N/A,FALSE,"매출";#N/A,#N/A,FALSE,"원가";#N/A,#N/A,FALSE,"경영"}</definedName>
    <definedName name="_xlnm.Print_Area" localSheetId="4">연결PL!$A$1:$F$115</definedName>
    <definedName name="PROPOSED" localSheetId="15"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PROPOSED" localSheetId="6"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PROPOSED" localSheetId="45"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PROPOSED" localSheetId="4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PROPOSED"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qa" localSheetId="12" hidden="1">{#N/A,#N/A,FALSE,"Aging Summary";#N/A,#N/A,FALSE,"Ratio Analysis";#N/A,#N/A,FALSE,"Test 120 Day Accts";#N/A,#N/A,FALSE,"Tickmarks"}</definedName>
    <definedName name="qa" localSheetId="42" hidden="1">{#N/A,#N/A,FALSE,"Aging Summary";#N/A,#N/A,FALSE,"Ratio Analysis";#N/A,#N/A,FALSE,"Test 120 Day Accts";#N/A,#N/A,FALSE,"Tickmarks"}</definedName>
    <definedName name="qa" hidden="1">{#N/A,#N/A,FALSE,"Aging Summary";#N/A,#N/A,FALSE,"Ratio Analysis";#N/A,#N/A,FALSE,"Test 120 Day Accts";#N/A,#N/A,FALSE,"Tickmarks"}</definedName>
    <definedName name="QKR" localSheetId="1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KR" localSheetId="4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KR"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NQNNQ" localSheetId="15" hidden="1">{#N/A,#N/A,FALSE,"Yield";#N/A,#N/A,FALSE,"Loss1";#N/A,#N/A,FALSE,"Loss2";#N/A,#N/A,FALSE,"Hour-Labor(배분)";#N/A,#N/A,FALSE,"Capital Expenditure";#N/A,#N/A,FALSE,"Productivity"}</definedName>
    <definedName name="QNQNNQ" localSheetId="6" hidden="1">{#N/A,#N/A,FALSE,"Yield";#N/A,#N/A,FALSE,"Loss1";#N/A,#N/A,FALSE,"Loss2";#N/A,#N/A,FALSE,"Hour-Labor(배분)";#N/A,#N/A,FALSE,"Capital Expenditure";#N/A,#N/A,FALSE,"Productivity"}</definedName>
    <definedName name="QNQNNQ" localSheetId="45" hidden="1">{#N/A,#N/A,FALSE,"Yield";#N/A,#N/A,FALSE,"Loss1";#N/A,#N/A,FALSE,"Loss2";#N/A,#N/A,FALSE,"Hour-Labor(배분)";#N/A,#N/A,FALSE,"Capital Expenditure";#N/A,#N/A,FALSE,"Productivity"}</definedName>
    <definedName name="QNQNNQ" localSheetId="42" hidden="1">{#N/A,#N/A,FALSE,"Yield";#N/A,#N/A,FALSE,"Loss1";#N/A,#N/A,FALSE,"Loss2";#N/A,#N/A,FALSE,"Hour-Labor(배분)";#N/A,#N/A,FALSE,"Capital Expenditure";#N/A,#N/A,FALSE,"Productivity"}</definedName>
    <definedName name="QNQNNQ" hidden="1">{#N/A,#N/A,FALSE,"Yield";#N/A,#N/A,FALSE,"Loss1";#N/A,#N/A,FALSE,"Loss2";#N/A,#N/A,FALSE,"Hour-Labor(배분)";#N/A,#N/A,FALSE,"Capital Expenditure";#N/A,#N/A,FALSE,"Productivity"}</definedName>
    <definedName name="qq" localSheetId="15" hidden="1">{#N/A,#N/A,FALSE,"손익표지";#N/A,#N/A,FALSE,"손익계산";#N/A,#N/A,FALSE,"일반관리비";#N/A,#N/A,FALSE,"영업외수익";#N/A,#N/A,FALSE,"영업외비용";#N/A,#N/A,FALSE,"매출액";#N/A,#N/A,FALSE,"요약손익";#N/A,#N/A,FALSE,"요약대차";#N/A,#N/A,FALSE,"매출채권현황";#N/A,#N/A,FALSE,"매출채권명세"}</definedName>
    <definedName name="qq" localSheetId="6" hidden="1">{#N/A,#N/A,FALSE,"손익표지";#N/A,#N/A,FALSE,"손익계산";#N/A,#N/A,FALSE,"일반관리비";#N/A,#N/A,FALSE,"영업외수익";#N/A,#N/A,FALSE,"영업외비용";#N/A,#N/A,FALSE,"매출액";#N/A,#N/A,FALSE,"요약손익";#N/A,#N/A,FALSE,"요약대차";#N/A,#N/A,FALSE,"매출채권현황";#N/A,#N/A,FALSE,"매출채권명세"}</definedName>
    <definedName name="qq" localSheetId="45" hidden="1">{#N/A,#N/A,FALSE,"손익표지";#N/A,#N/A,FALSE,"손익계산";#N/A,#N/A,FALSE,"일반관리비";#N/A,#N/A,FALSE,"영업외수익";#N/A,#N/A,FALSE,"영업외비용";#N/A,#N/A,FALSE,"매출액";#N/A,#N/A,FALSE,"요약손익";#N/A,#N/A,FALSE,"요약대차";#N/A,#N/A,FALSE,"매출채권현황";#N/A,#N/A,FALSE,"매출채권명세"}</definedName>
    <definedName name="qq" localSheetId="42" hidden="1">{#N/A,#N/A,FALSE,"손익표지";#N/A,#N/A,FALSE,"손익계산";#N/A,#N/A,FALSE,"일반관리비";#N/A,#N/A,FALSE,"영업외수익";#N/A,#N/A,FALSE,"영업외비용";#N/A,#N/A,FALSE,"매출액";#N/A,#N/A,FALSE,"요약손익";#N/A,#N/A,FALSE,"요약대차";#N/A,#N/A,FALSE,"매출채권현황";#N/A,#N/A,FALSE,"매출채권명세"}</definedName>
    <definedName name="QQ" hidden="1">{#N/A,#N/A,FALSE,"UNIT";#N/A,#N/A,FALSE,"UNIT";#N/A,#N/A,FALSE,"계정"}</definedName>
    <definedName name="qqq" localSheetId="12" hidden="1">{#N/A,#N/A,TRUE,"일정"}</definedName>
    <definedName name="QQQ" localSheetId="15"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QQQ" localSheetId="6"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QQQ" localSheetId="45"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QQQ" localSheetId="42"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QQQ"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QQQAAASSS" localSheetId="42" hidden="1">{#N/A,#N/A,TRUE,"Y생산";#N/A,#N/A,TRUE,"Y판매";#N/A,#N/A,TRUE,"Y총물량";#N/A,#N/A,TRUE,"Y능력";#N/A,#N/A,TRUE,"YKD"}</definedName>
    <definedName name="QQQAAASSS" hidden="1">{#N/A,#N/A,TRUE,"Y생산";#N/A,#N/A,TRUE,"Y판매";#N/A,#N/A,TRUE,"Y총물량";#N/A,#N/A,TRUE,"Y능력";#N/A,#N/A,TRUE,"YKD"}</definedName>
    <definedName name="QQQQ" localSheetId="42" hidden="1">{#N/A,#N/A,FALSE,"UNIT";#N/A,#N/A,FALSE,"UNIT";#N/A,#N/A,FALSE,"계정"}</definedName>
    <definedName name="QQQQ" hidden="1">{#N/A,#N/A,FALSE,"UNIT";#N/A,#N/A,FALSE,"UNIT";#N/A,#N/A,FALSE,"계정"}</definedName>
    <definedName name="QQQQQ" localSheetId="42" hidden="1">{#N/A,#N/A,FALSE,"UNIT";#N/A,#N/A,FALSE,"UNIT";#N/A,#N/A,FALSE,"계정"}</definedName>
    <definedName name="QQQQQ" hidden="1">{#N/A,#N/A,FALSE,"UNIT";#N/A,#N/A,FALSE,"UNIT";#N/A,#N/A,FALSE,"계정"}</definedName>
    <definedName name="QQQQQQQ" localSheetId="42" hidden="1">{#N/A,#N/A,TRUE,"Y생산";#N/A,#N/A,TRUE,"Y판매";#N/A,#N/A,TRUE,"Y총물량";#N/A,#N/A,TRUE,"Y능력";#N/A,#N/A,TRUE,"YKD"}</definedName>
    <definedName name="QQQQQQQ" hidden="1">{#N/A,#N/A,TRUE,"Y생산";#N/A,#N/A,TRUE,"Y판매";#N/A,#N/A,TRUE,"Y총물량";#N/A,#N/A,TRUE,"Y능력";#N/A,#N/A,TRUE,"YKD"}</definedName>
    <definedName name="qqqqqqqqqqqqq" localSheetId="15" hidden="1">#REF!</definedName>
    <definedName name="qqqqqqqqqqqqq" localSheetId="6" hidden="1">#REF!</definedName>
    <definedName name="qqqqqqqqqqqqq" localSheetId="42" hidden="1">#REF!</definedName>
    <definedName name="qqqqqqqqqqqqq" hidden="1">#REF!</definedName>
    <definedName name="qw" localSheetId="12" hidden="1">{#N/A,#N/A,FALSE,"Aging Summary";#N/A,#N/A,FALSE,"Ratio Analysis";#N/A,#N/A,FALSE,"Test 120 Day Accts";#N/A,#N/A,FALSE,"Tickmarks"}</definedName>
    <definedName name="qw" localSheetId="42" hidden="1">{#N/A,#N/A,FALSE,"Aging Summary";#N/A,#N/A,FALSE,"Ratio Analysis";#N/A,#N/A,FALSE,"Test 120 Day Accts";#N/A,#N/A,FALSE,"Tickmarks"}</definedName>
    <definedName name="qw" hidden="1">{#N/A,#N/A,FALSE,"Aging Summary";#N/A,#N/A,FALSE,"Ratio Analysis";#N/A,#N/A,FALSE,"Test 120 Day Accts";#N/A,#N/A,FALSE,"Tickmarks"}</definedName>
    <definedName name="qwer" localSheetId="42" hidden="1">{#N/A,#N/A,TRUE,"매출진척-1";#N/A,#N/A,TRUE,"매출진척-2";#N/A,#N/A,TRUE,"제품실적";#N/A,#N/A,TRUE,"RAC";#N/A,#N/A,TRUE,"PAC ";#N/A,#N/A,TRUE,"재고현황";#N/A,#N/A,TRUE,"공지사항"}</definedName>
    <definedName name="qwer" hidden="1">{#N/A,#N/A,TRUE,"매출진척-1";#N/A,#N/A,TRUE,"매출진척-2";#N/A,#N/A,TRUE,"제품실적";#N/A,#N/A,TRUE,"RAC";#N/A,#N/A,TRUE,"PAC ";#N/A,#N/A,TRUE,"재고현황";#N/A,#N/A,TRUE,"공지사항"}</definedName>
    <definedName name="qwert" localSheetId="42" hidden="1">{#N/A,#N/A,TRUE,"매출진척-1";#N/A,#N/A,TRUE,"매출진척-2";#N/A,#N/A,TRUE,"제품실적";#N/A,#N/A,TRUE,"RAC";#N/A,#N/A,TRUE,"PAC ";#N/A,#N/A,TRUE,"재고현황";#N/A,#N/A,TRUE,"공지사항"}</definedName>
    <definedName name="qwert" hidden="1">{#N/A,#N/A,TRUE,"매출진척-1";#N/A,#N/A,TRUE,"매출진척-2";#N/A,#N/A,TRUE,"제품실적";#N/A,#N/A,TRUE,"RAC";#N/A,#N/A,TRUE,"PAC ";#N/A,#N/A,TRUE,"재고현황";#N/A,#N/A,TRUE,"공지사항"}</definedName>
    <definedName name="qwerty" localSheetId="42" hidden="1">{#N/A,#N/A,FALSE,"BS";#N/A,#N/A,FALSE,"PL";#N/A,#N/A,FALSE,"처분";#N/A,#N/A,FALSE,"현금";#N/A,#N/A,FALSE,"매출";#N/A,#N/A,FALSE,"원가";#N/A,#N/A,FALSE,"경영"}</definedName>
    <definedName name="qwerty" hidden="1">{#N/A,#N/A,FALSE,"BS";#N/A,#N/A,FALSE,"PL";#N/A,#N/A,FALSE,"처분";#N/A,#N/A,FALSE,"현금";#N/A,#N/A,FALSE,"매출";#N/A,#N/A,FALSE,"원가";#N/A,#N/A,FALSE,"경영"}</definedName>
    <definedName name="qwqwqwww" localSheetId="12" hidden="1">{#N/A,#N/A,FALSE,"UNIT";#N/A,#N/A,FALSE,"UNIT";#N/A,#N/A,FALSE,"계정"}</definedName>
    <definedName name="qwqwqwww" localSheetId="42" hidden="1">{#N/A,#N/A,FALSE,"UNIT";#N/A,#N/A,FALSE,"UNIT";#N/A,#N/A,FALSE,"계정"}</definedName>
    <definedName name="qwqwqwww" hidden="1">{#N/A,#N/A,FALSE,"UNIT";#N/A,#N/A,FALSE,"UNIT";#N/A,#N/A,FALSE,"계정"}</definedName>
    <definedName name="qwqwwww" localSheetId="12" hidden="1">{#N/A,#N/A,FALSE,"UNIT";#N/A,#N/A,FALSE,"UNIT";#N/A,#N/A,FALSE,"계정"}</definedName>
    <definedName name="qwqwwww" localSheetId="42" hidden="1">{#N/A,#N/A,FALSE,"UNIT";#N/A,#N/A,FALSE,"UNIT";#N/A,#N/A,FALSE,"계정"}</definedName>
    <definedName name="qwqwwww" hidden="1">{#N/A,#N/A,FALSE,"UNIT";#N/A,#N/A,FALSE,"UNIT";#N/A,#N/A,FALSE,"계정"}</definedName>
    <definedName name="qwwqwqw" localSheetId="12" hidden="1">{#N/A,#N/A,FALSE,"UNIT";#N/A,#N/A,FALSE,"UNIT";#N/A,#N/A,FALSE,"계정"}</definedName>
    <definedName name="qwwqwqw" localSheetId="42" hidden="1">{#N/A,#N/A,FALSE,"UNIT";#N/A,#N/A,FALSE,"UNIT";#N/A,#N/A,FALSE,"계정"}</definedName>
    <definedName name="qwwqwqw" hidden="1">{#N/A,#N/A,FALSE,"UNIT";#N/A,#N/A,FALSE,"UNIT";#N/A,#N/A,FALSE,"계정"}</definedName>
    <definedName name="RF">#REF!</definedName>
    <definedName name="RHKS" localSheetId="15"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RHKS" localSheetId="6"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RHKS" localSheetId="45"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RHKS" localSheetId="4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RHKS"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RISK내용" localSheetId="42" hidden="1">{#N/A,#N/A,FALSE,"UNIT";#N/A,#N/A,FALSE,"UNIT";#N/A,#N/A,FALSE,"계정"}</definedName>
    <definedName name="RISK내용" hidden="1">{#N/A,#N/A,FALSE,"UNIT";#N/A,#N/A,FALSE,"UNIT";#N/A,#N/A,FALSE,"계정"}</definedName>
    <definedName name="rkrkrrk" localSheetId="42" hidden="1">{#N/A,#N/A,FALSE,"1.CRITERIA";#N/A,#N/A,FALSE,"2.IS";#N/A,#N/A,FALSE,"3.BS";#N/A,#N/A,FALSE,"4.PER PL";#N/A,#N/A,FALSE,"5.INVESTMENT";#N/A,#N/A,FALSE,"6.공문";#N/A,#N/A,FALSE,"7.netinvest"}</definedName>
    <definedName name="rkrkrrk" hidden="1">{#N/A,#N/A,FALSE,"1.CRITERIA";#N/A,#N/A,FALSE,"2.IS";#N/A,#N/A,FALSE,"3.BS";#N/A,#N/A,FALSE,"4.PER PL";#N/A,#N/A,FALSE,"5.INVESTMENT";#N/A,#N/A,FALSE,"6.공문";#N/A,#N/A,FALSE,"7.netinvest"}</definedName>
    <definedName name="RKSK" localSheetId="30" hidden="1">#REF!</definedName>
    <definedName name="RKSK" localSheetId="29" hidden="1">#REF!</definedName>
    <definedName name="RKSK" localSheetId="33" hidden="1">#REF!</definedName>
    <definedName name="RKSK" localSheetId="15" hidden="1">#REF!</definedName>
    <definedName name="RKSK" localSheetId="31" hidden="1">#REF!</definedName>
    <definedName name="RKSK" localSheetId="6" hidden="1">#REF!</definedName>
    <definedName name="RKSK" localSheetId="32" hidden="1">#REF!</definedName>
    <definedName name="RKSK" localSheetId="42" hidden="1">#REF!</definedName>
    <definedName name="RKSK" hidden="1">#REF!</definedName>
    <definedName name="RLDJE" localSheetId="15"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RLDJE" localSheetId="6"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RLDJE" localSheetId="45"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RLDJE" localSheetId="42"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RLDJE"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rldje1" localSheetId="15"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rldje1" localSheetId="6"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rldje1" localSheetId="45"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rldje1" localSheetId="42"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rldje1"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rlghlrwpvnc" localSheetId="42" hidden="1">{"'경비내역'!$E$11"}</definedName>
    <definedName name="rlghlrwpvnc" hidden="1">{"'경비내역'!$E$11"}</definedName>
    <definedName name="RLTNF" localSheetId="15" hidden="1">{#N/A,#N/A,FALSE,"Yield";#N/A,#N/A,FALSE,"Loss1";#N/A,#N/A,FALSE,"Loss2";#N/A,#N/A,FALSE,"Hour-Labor(배분)";#N/A,#N/A,FALSE,"Capital Expenditure";#N/A,#N/A,FALSE,"Productivity"}</definedName>
    <definedName name="RLTNF" localSheetId="6" hidden="1">{#N/A,#N/A,FALSE,"Yield";#N/A,#N/A,FALSE,"Loss1";#N/A,#N/A,FALSE,"Loss2";#N/A,#N/A,FALSE,"Hour-Labor(배분)";#N/A,#N/A,FALSE,"Capital Expenditure";#N/A,#N/A,FALSE,"Productivity"}</definedName>
    <definedName name="RLTNF" localSheetId="45" hidden="1">{#N/A,#N/A,FALSE,"Yield";#N/A,#N/A,FALSE,"Loss1";#N/A,#N/A,FALSE,"Loss2";#N/A,#N/A,FALSE,"Hour-Labor(배분)";#N/A,#N/A,FALSE,"Capital Expenditure";#N/A,#N/A,FALSE,"Productivity"}</definedName>
    <definedName name="RLTNF" localSheetId="42" hidden="1">{#N/A,#N/A,FALSE,"Yield";#N/A,#N/A,FALSE,"Loss1";#N/A,#N/A,FALSE,"Loss2";#N/A,#N/A,FALSE,"Hour-Labor(배분)";#N/A,#N/A,FALSE,"Capital Expenditure";#N/A,#N/A,FALSE,"Productivity"}</definedName>
    <definedName name="RLTNF" hidden="1">{#N/A,#N/A,FALSE,"Yield";#N/A,#N/A,FALSE,"Loss1";#N/A,#N/A,FALSE,"Loss2";#N/A,#N/A,FALSE,"Hour-Labor(배분)";#N/A,#N/A,FALSE,"Capital Expenditure";#N/A,#N/A,FALSE,"Productivity"}</definedName>
    <definedName name="rms" localSheetId="15" hidden="1">{"adj95mult",#N/A,FALSE,"COMPCO";"adj95est",#N/A,FALSE,"COMPCO"}</definedName>
    <definedName name="rms" localSheetId="6" hidden="1">{"adj95mult",#N/A,FALSE,"COMPCO";"adj95est",#N/A,FALSE,"COMPCO"}</definedName>
    <definedName name="rms" localSheetId="45" hidden="1">{"adj95mult",#N/A,FALSE,"COMPCO";"adj95est",#N/A,FALSE,"COMPCO"}</definedName>
    <definedName name="rms" localSheetId="42" hidden="1">{"adj95mult",#N/A,FALSE,"COMPCO";"adj95est",#N/A,FALSE,"COMPCO"}</definedName>
    <definedName name="rms" hidden="1">{"adj95mult",#N/A,FALSE,"COMPCO";"adj95est",#N/A,FALSE,"COMPCO"}</definedName>
    <definedName name="rPghlr" localSheetId="42" hidden="1">{#N/A,#N/A,FALSE,"기술료 비교"}</definedName>
    <definedName name="rPghlr" hidden="1">{#N/A,#N/A,FALSE,"기술료 비교"}</definedName>
    <definedName name="RR" localSheetId="15" hidden="1">{#N/A,#N/A,FALSE,"98소지이동TOTvs99.1 (2)";#N/A,#N/A,FALSE,"TOTAL";#N/A,#N/A,FALSE,"98소지이동TOTvs99.1(b) (2)"}</definedName>
    <definedName name="RR" localSheetId="6" hidden="1">{#N/A,#N/A,FALSE,"98소지이동TOTvs99.1 (2)";#N/A,#N/A,FALSE,"TOTAL";#N/A,#N/A,FALSE,"98소지이동TOTvs99.1(b) (2)"}</definedName>
    <definedName name="RR" localSheetId="45" hidden="1">{#N/A,#N/A,FALSE,"98소지이동TOTvs99.1 (2)";#N/A,#N/A,FALSE,"TOTAL";#N/A,#N/A,FALSE,"98소지이동TOTvs99.1(b) (2)"}</definedName>
    <definedName name="RR" localSheetId="42" hidden="1">{#N/A,#N/A,FALSE,"98소지이동TOTvs99.1 (2)";#N/A,#N/A,FALSE,"TOTAL";#N/A,#N/A,FALSE,"98소지이동TOTvs99.1(b) (2)"}</definedName>
    <definedName name="RR" hidden="1">{#N/A,#N/A,FALSE,"98소지이동TOTvs99.1 (2)";#N/A,#N/A,FALSE,"TOTAL";#N/A,#N/A,FALSE,"98소지이동TOTvs99.1(b) (2)"}</definedName>
    <definedName name="rrr" localSheetId="12" hidden="1">{#N/A,#N/A,FALSE,"UNIT";#N/A,#N/A,FALSE,"UNIT";#N/A,#N/A,FALSE,"계정"}</definedName>
    <definedName name="rrr" localSheetId="15"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rrr" localSheetId="6"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rrr" localSheetId="45"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rrr" localSheetId="42"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RRR" hidden="1">#REF!</definedName>
    <definedName name="rrrrrr" localSheetId="30" hidden="1">#REF!</definedName>
    <definedName name="rrrrrr" localSheetId="29" hidden="1">#REF!</definedName>
    <definedName name="rrrrrr" localSheetId="33" hidden="1">#REF!</definedName>
    <definedName name="rrrrrr" localSheetId="31" hidden="1">#REF!</definedName>
    <definedName name="rrrrrr" hidden="1">#REF!</definedName>
    <definedName name="rrrw" localSheetId="15"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rrrw" localSheetId="6"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rrrw" localSheetId="45"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rrrw" localSheetId="42"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rrrw"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rtty" localSheetId="12" hidden="1">{#N/A,#N/A,FALSE,"UNIT";#N/A,#N/A,FALSE,"UNIT";#N/A,#N/A,FALSE,"계정"}</definedName>
    <definedName name="rtty" localSheetId="42" hidden="1">{#N/A,#N/A,FALSE,"UNIT";#N/A,#N/A,FALSE,"UNIT";#N/A,#N/A,FALSE,"계정"}</definedName>
    <definedName name="rtty" hidden="1">{#N/A,#N/A,FALSE,"UNIT";#N/A,#N/A,FALSE,"UNIT";#N/A,#N/A,FALSE,"계정"}</definedName>
    <definedName name="ryrty" localSheetId="15" hidden="1">{#N/A,#N/A,FALSE,"손익표지";#N/A,#N/A,FALSE,"손익계산";#N/A,#N/A,FALSE,"일반관리비";#N/A,#N/A,FALSE,"영업외수익";#N/A,#N/A,FALSE,"영업외비용";#N/A,#N/A,FALSE,"매출액";#N/A,#N/A,FALSE,"요약손익";#N/A,#N/A,FALSE,"요약대차";#N/A,#N/A,FALSE,"매출채권현황";#N/A,#N/A,FALSE,"매출채권명세"}</definedName>
    <definedName name="ryrty" localSheetId="6" hidden="1">{#N/A,#N/A,FALSE,"손익표지";#N/A,#N/A,FALSE,"손익계산";#N/A,#N/A,FALSE,"일반관리비";#N/A,#N/A,FALSE,"영업외수익";#N/A,#N/A,FALSE,"영업외비용";#N/A,#N/A,FALSE,"매출액";#N/A,#N/A,FALSE,"요약손익";#N/A,#N/A,FALSE,"요약대차";#N/A,#N/A,FALSE,"매출채권현황";#N/A,#N/A,FALSE,"매출채권명세"}</definedName>
    <definedName name="ryrty" localSheetId="45" hidden="1">{#N/A,#N/A,FALSE,"손익표지";#N/A,#N/A,FALSE,"손익계산";#N/A,#N/A,FALSE,"일반관리비";#N/A,#N/A,FALSE,"영업외수익";#N/A,#N/A,FALSE,"영업외비용";#N/A,#N/A,FALSE,"매출액";#N/A,#N/A,FALSE,"요약손익";#N/A,#N/A,FALSE,"요약대차";#N/A,#N/A,FALSE,"매출채권현황";#N/A,#N/A,FALSE,"매출채권명세"}</definedName>
    <definedName name="ryrty" localSheetId="42" hidden="1">{#N/A,#N/A,FALSE,"손익표지";#N/A,#N/A,FALSE,"손익계산";#N/A,#N/A,FALSE,"일반관리비";#N/A,#N/A,FALSE,"영업외수익";#N/A,#N/A,FALSE,"영업외비용";#N/A,#N/A,FALSE,"매출액";#N/A,#N/A,FALSE,"요약손익";#N/A,#N/A,FALSE,"요약대차";#N/A,#N/A,FALSE,"매출채권현황";#N/A,#N/A,FALSE,"매출채권명세"}</definedName>
    <definedName name="ryrty" hidden="1">{#N/A,#N/A,FALSE,"손익표지";#N/A,#N/A,FALSE,"손익계산";#N/A,#N/A,FALSE,"일반관리비";#N/A,#N/A,FALSE,"영업외수익";#N/A,#N/A,FALSE,"영업외비용";#N/A,#N/A,FALSE,"매출액";#N/A,#N/A,FALSE,"요약손익";#N/A,#N/A,FALSE,"요약대차";#N/A,#N/A,FALSE,"매출채권현황";#N/A,#N/A,FALSE,"매출채권명세"}</definedName>
    <definedName name="S" localSheetId="1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 localSheetId="42" hidden="1">{#N/A,#N/A,FALSE,"UNIT";#N/A,#N/A,FALSE,"UNIT";#N/A,#N/A,FALSE,"계정"}</definedName>
    <definedName name="s" hidden="1">{#N/A,#N/A,FALSE,"UNIT";#N/A,#N/A,FALSE,"UNIT";#N/A,#N/A,FALSE,"계정"}</definedName>
    <definedName name="sadadsa" localSheetId="15" hidden="1">{#N/A,#N/A,FALSE,"Yield";#N/A,#N/A,FALSE,"Loss1";#N/A,#N/A,FALSE,"Loss2";#N/A,#N/A,FALSE,"Hour-Labor(배분)";#N/A,#N/A,FALSE,"Capital Expenditure";#N/A,#N/A,FALSE,"Productivity"}</definedName>
    <definedName name="sadadsa" localSheetId="6" hidden="1">{#N/A,#N/A,FALSE,"Yield";#N/A,#N/A,FALSE,"Loss1";#N/A,#N/A,FALSE,"Loss2";#N/A,#N/A,FALSE,"Hour-Labor(배분)";#N/A,#N/A,FALSE,"Capital Expenditure";#N/A,#N/A,FALSE,"Productivity"}</definedName>
    <definedName name="sadadsa" localSheetId="45" hidden="1">{#N/A,#N/A,FALSE,"Yield";#N/A,#N/A,FALSE,"Loss1";#N/A,#N/A,FALSE,"Loss2";#N/A,#N/A,FALSE,"Hour-Labor(배분)";#N/A,#N/A,FALSE,"Capital Expenditure";#N/A,#N/A,FALSE,"Productivity"}</definedName>
    <definedName name="sadadsa" localSheetId="42" hidden="1">{#N/A,#N/A,FALSE,"Yield";#N/A,#N/A,FALSE,"Loss1";#N/A,#N/A,FALSE,"Loss2";#N/A,#N/A,FALSE,"Hour-Labor(배분)";#N/A,#N/A,FALSE,"Capital Expenditure";#N/A,#N/A,FALSE,"Productivity"}</definedName>
    <definedName name="sadadsa" hidden="1">{#N/A,#N/A,FALSE,"Yield";#N/A,#N/A,FALSE,"Loss1";#N/A,#N/A,FALSE,"Loss2";#N/A,#N/A,FALSE,"Hour-Labor(배분)";#N/A,#N/A,FALSE,"Capital Expenditure";#N/A,#N/A,FALSE,"Productivity"}</definedName>
    <definedName name="sadas" localSheetId="15" hidden="1">{#N/A,#N/A,FALSE,"98소지이동TOTvs99.1 (2)";#N/A,#N/A,FALSE,"TOTAL";#N/A,#N/A,FALSE,"98소지이동TOTvs99.1(b) (2)"}</definedName>
    <definedName name="sadas" localSheetId="6" hidden="1">{#N/A,#N/A,FALSE,"98소지이동TOTvs99.1 (2)";#N/A,#N/A,FALSE,"TOTAL";#N/A,#N/A,FALSE,"98소지이동TOTvs99.1(b) (2)"}</definedName>
    <definedName name="sadas" localSheetId="45" hidden="1">{#N/A,#N/A,FALSE,"98소지이동TOTvs99.1 (2)";#N/A,#N/A,FALSE,"TOTAL";#N/A,#N/A,FALSE,"98소지이동TOTvs99.1(b) (2)"}</definedName>
    <definedName name="sadas" localSheetId="42" hidden="1">{#N/A,#N/A,FALSE,"98소지이동TOTvs99.1 (2)";#N/A,#N/A,FALSE,"TOTAL";#N/A,#N/A,FALSE,"98소지이동TOTvs99.1(b) (2)"}</definedName>
    <definedName name="sadas" hidden="1">{#N/A,#N/A,FALSE,"98소지이동TOTvs99.1 (2)";#N/A,#N/A,FALSE,"TOTAL";#N/A,#N/A,FALSE,"98소지이동TOTvs99.1(b) (2)"}</definedName>
    <definedName name="SAPBEXdnldView" hidden="1">"40LRAMD42LJ31I29U5NQUXIF9"</definedName>
    <definedName name="SAPBEXhrIndnt" hidden="1">"Wide"</definedName>
    <definedName name="SAPBEXrevision" localSheetId="12" hidden="1">6</definedName>
    <definedName name="SAPBEXrevision" hidden="1">1</definedName>
    <definedName name="SAPBEXsysID" hidden="1">"PW1"</definedName>
    <definedName name="SAPBEXwbID" localSheetId="12" hidden="1">"3UEYV8A0GECVJX7DNFPBI7MUW"</definedName>
    <definedName name="SAPBEXwbID" hidden="1">"417K8AVZZ0J3G8LKHTIBCL23C"</definedName>
    <definedName name="SAPsysID" hidden="1">"708C5W7SBKP804JT78WJ0JNKI"</definedName>
    <definedName name="SAPwbID" hidden="1">"ARS"</definedName>
    <definedName name="sasa" localSheetId="1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sasa" localSheetId="4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sasa"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sdadasasdas" localSheetId="15"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sdadasasdas" localSheetId="6"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sdadasasdas" localSheetId="45"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sdadasasdas" localSheetId="42"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sdadasasdas"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SDAFADF" localSheetId="15" hidden="1">{#N/A,#N/A,FALSE,"손익표지";#N/A,#N/A,FALSE,"손익계산";#N/A,#N/A,FALSE,"일반관리비";#N/A,#N/A,FALSE,"영업외수익";#N/A,#N/A,FALSE,"영업외비용";#N/A,#N/A,FALSE,"매출액";#N/A,#N/A,FALSE,"요약손익";#N/A,#N/A,FALSE,"요약대차";#N/A,#N/A,FALSE,"매출채권현황";#N/A,#N/A,FALSE,"매출채권명세"}</definedName>
    <definedName name="SDAFADF" localSheetId="6" hidden="1">{#N/A,#N/A,FALSE,"손익표지";#N/A,#N/A,FALSE,"손익계산";#N/A,#N/A,FALSE,"일반관리비";#N/A,#N/A,FALSE,"영업외수익";#N/A,#N/A,FALSE,"영업외비용";#N/A,#N/A,FALSE,"매출액";#N/A,#N/A,FALSE,"요약손익";#N/A,#N/A,FALSE,"요약대차";#N/A,#N/A,FALSE,"매출채권현황";#N/A,#N/A,FALSE,"매출채권명세"}</definedName>
    <definedName name="SDAFADF" localSheetId="45" hidden="1">{#N/A,#N/A,FALSE,"손익표지";#N/A,#N/A,FALSE,"손익계산";#N/A,#N/A,FALSE,"일반관리비";#N/A,#N/A,FALSE,"영업외수익";#N/A,#N/A,FALSE,"영업외비용";#N/A,#N/A,FALSE,"매출액";#N/A,#N/A,FALSE,"요약손익";#N/A,#N/A,FALSE,"요약대차";#N/A,#N/A,FALSE,"매출채권현황";#N/A,#N/A,FALSE,"매출채권명세"}</definedName>
    <definedName name="SDAFADF" localSheetId="42" hidden="1">{#N/A,#N/A,FALSE,"손익표지";#N/A,#N/A,FALSE,"손익계산";#N/A,#N/A,FALSE,"일반관리비";#N/A,#N/A,FALSE,"영업외수익";#N/A,#N/A,FALSE,"영업외비용";#N/A,#N/A,FALSE,"매출액";#N/A,#N/A,FALSE,"요약손익";#N/A,#N/A,FALSE,"요약대차";#N/A,#N/A,FALSE,"매출채권현황";#N/A,#N/A,FALSE,"매출채권명세"}</definedName>
    <definedName name="SDAFADF" hidden="1">{#N/A,#N/A,FALSE,"손익표지";#N/A,#N/A,FALSE,"손익계산";#N/A,#N/A,FALSE,"일반관리비";#N/A,#N/A,FALSE,"영업외수익";#N/A,#N/A,FALSE,"영업외비용";#N/A,#N/A,FALSE,"매출액";#N/A,#N/A,FALSE,"요약손익";#N/A,#N/A,FALSE,"요약대차";#N/A,#N/A,FALSE,"매출채권현황";#N/A,#N/A,FALSE,"매출채권명세"}</definedName>
    <definedName name="SDF" localSheetId="15"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SDF" localSheetId="6"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SDF" localSheetId="45"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SDF" localSheetId="4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SDF"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sdfjk\" localSheetId="42" hidden="1">{"'9월'!$F$38"}</definedName>
    <definedName name="sdfjk\" hidden="1">{"'9월'!$F$38"}</definedName>
    <definedName name="sdfs" localSheetId="15" hidden="1">{#N/A,#N/A,FALSE,"손익표지";#N/A,#N/A,FALSE,"손익계산";#N/A,#N/A,FALSE,"일반관리비";#N/A,#N/A,FALSE,"영업외수익";#N/A,#N/A,FALSE,"영업외비용";#N/A,#N/A,FALSE,"매출액";#N/A,#N/A,FALSE,"요약손익";#N/A,#N/A,FALSE,"요약대차";#N/A,#N/A,FALSE,"매출채권현황";#N/A,#N/A,FALSE,"매출채권명세"}</definedName>
    <definedName name="sdfs" localSheetId="6" hidden="1">{#N/A,#N/A,FALSE,"손익표지";#N/A,#N/A,FALSE,"손익계산";#N/A,#N/A,FALSE,"일반관리비";#N/A,#N/A,FALSE,"영업외수익";#N/A,#N/A,FALSE,"영업외비용";#N/A,#N/A,FALSE,"매출액";#N/A,#N/A,FALSE,"요약손익";#N/A,#N/A,FALSE,"요약대차";#N/A,#N/A,FALSE,"매출채권현황";#N/A,#N/A,FALSE,"매출채권명세"}</definedName>
    <definedName name="sdfs" localSheetId="45" hidden="1">{#N/A,#N/A,FALSE,"손익표지";#N/A,#N/A,FALSE,"손익계산";#N/A,#N/A,FALSE,"일반관리비";#N/A,#N/A,FALSE,"영업외수익";#N/A,#N/A,FALSE,"영업외비용";#N/A,#N/A,FALSE,"매출액";#N/A,#N/A,FALSE,"요약손익";#N/A,#N/A,FALSE,"요약대차";#N/A,#N/A,FALSE,"매출채권현황";#N/A,#N/A,FALSE,"매출채권명세"}</definedName>
    <definedName name="sdfs" localSheetId="42" hidden="1">{#N/A,#N/A,FALSE,"손익표지";#N/A,#N/A,FALSE,"손익계산";#N/A,#N/A,FALSE,"일반관리비";#N/A,#N/A,FALSE,"영업외수익";#N/A,#N/A,FALSE,"영업외비용";#N/A,#N/A,FALSE,"매출액";#N/A,#N/A,FALSE,"요약손익";#N/A,#N/A,FALSE,"요약대차";#N/A,#N/A,FALSE,"매출채권현황";#N/A,#N/A,FALSE,"매출채권명세"}</definedName>
    <definedName name="sdfs" hidden="1">{#N/A,#N/A,FALSE,"손익표지";#N/A,#N/A,FALSE,"손익계산";#N/A,#N/A,FALSE,"일반관리비";#N/A,#N/A,FALSE,"영업외수익";#N/A,#N/A,FALSE,"영업외비용";#N/A,#N/A,FALSE,"매출액";#N/A,#N/A,FALSE,"요약손익";#N/A,#N/A,FALSE,"요약대차";#N/A,#N/A,FALSE,"매출채권현황";#N/A,#N/A,FALSE,"매출채권명세"}</definedName>
    <definedName name="sdsgrth" localSheetId="15"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sdsgrth" localSheetId="6"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sdsgrth" localSheetId="45"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sdsgrth" localSheetId="42"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sdsgrth"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SEJINBS" localSheetId="15" hidden="1">{#N/A,#N/A,FALSE,"정공"}</definedName>
    <definedName name="SEJINBS" localSheetId="6" hidden="1">{#N/A,#N/A,FALSE,"정공"}</definedName>
    <definedName name="SEJINBS" localSheetId="45" hidden="1">{#N/A,#N/A,FALSE,"정공"}</definedName>
    <definedName name="SEJINBS" localSheetId="42" hidden="1">{#N/A,#N/A,FALSE,"정공"}</definedName>
    <definedName name="SEJINBS" hidden="1">{#N/A,#N/A,FALSE,"정공"}</definedName>
    <definedName name="sfdfdfd" localSheetId="15"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sfdfdfd" localSheetId="6"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sfdfdfd" localSheetId="45"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sfdfdfd" localSheetId="42"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sfdfdfd"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sheet" localSheetId="42" hidden="1">{#N/A,#N/A,FALSE,"UNIT";#N/A,#N/A,FALSE,"UNIT";#N/A,#N/A,FALSE,"계정"}</definedName>
    <definedName name="sheet" hidden="1">{#N/A,#N/A,FALSE,"UNIT";#N/A,#N/A,FALSE,"UNIT";#N/A,#N/A,FALSE,"계정"}</definedName>
    <definedName name="sks" localSheetId="42" hidden="1">{#N/A,#N/A,FALSE,"DAOCM 2차 검토"}</definedName>
    <definedName name="sks" hidden="1">{#N/A,#N/A,FALSE,"DAOCM 2차 검토"}</definedName>
    <definedName name="so" localSheetId="30" hidden="1">#REF!</definedName>
    <definedName name="so" localSheetId="29" hidden="1">#REF!</definedName>
    <definedName name="so" localSheetId="33" hidden="1">#REF!</definedName>
    <definedName name="so" localSheetId="15" hidden="1">#REF!</definedName>
    <definedName name="so" localSheetId="31" hidden="1">#REF!</definedName>
    <definedName name="so" localSheetId="6" hidden="1">#REF!</definedName>
    <definedName name="so" localSheetId="32" hidden="1">#REF!</definedName>
    <definedName name="so" localSheetId="42" hidden="1">#REF!</definedName>
    <definedName name="so" hidden="1">#REF!</definedName>
    <definedName name="solver_lin" hidden="1">0</definedName>
    <definedName name="solver_num" hidden="1">0</definedName>
    <definedName name="solver_opt" hidden="1">#N/A</definedName>
    <definedName name="solver_tmp" hidden="1">#NULL!</definedName>
    <definedName name="solver_typ" hidden="1">1</definedName>
    <definedName name="solver_val" hidden="1">0</definedName>
    <definedName name="ss" localSheetId="42" hidden="1">{"'5국공정'!$A$1:$E$128"}</definedName>
    <definedName name="ss" hidden="1">{"'5국공정'!$A$1:$E$128"}</definedName>
    <definedName name="SSS" localSheetId="4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 localSheetId="1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 localSheetId="4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S" localSheetId="1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S" localSheetId="4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S"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ss" localSheetId="15" hidden="1">{#N/A,#N/A,FALSE,"Yield";#N/A,#N/A,FALSE,"Loss1";#N/A,#N/A,FALSE,"Loss2";#N/A,#N/A,FALSE,"Hour-Labor(배분)";#N/A,#N/A,FALSE,"Capital Expenditure";#N/A,#N/A,FALSE,"Productivity"}</definedName>
    <definedName name="sssss" localSheetId="6" hidden="1">{#N/A,#N/A,FALSE,"Yield";#N/A,#N/A,FALSE,"Loss1";#N/A,#N/A,FALSE,"Loss2";#N/A,#N/A,FALSE,"Hour-Labor(배분)";#N/A,#N/A,FALSE,"Capital Expenditure";#N/A,#N/A,FALSE,"Productivity"}</definedName>
    <definedName name="sssss" localSheetId="45" hidden="1">{#N/A,#N/A,FALSE,"Yield";#N/A,#N/A,FALSE,"Loss1";#N/A,#N/A,FALSE,"Loss2";#N/A,#N/A,FALSE,"Hour-Labor(배분)";#N/A,#N/A,FALSE,"Capital Expenditure";#N/A,#N/A,FALSE,"Productivity"}</definedName>
    <definedName name="sssss" localSheetId="42" hidden="1">{#N/A,#N/A,FALSE,"Yield";#N/A,#N/A,FALSE,"Loss1";#N/A,#N/A,FALSE,"Loss2";#N/A,#N/A,FALSE,"Hour-Labor(배분)";#N/A,#N/A,FALSE,"Capital Expenditure";#N/A,#N/A,FALSE,"Productivity"}</definedName>
    <definedName name="sssss" hidden="1">{#N/A,#N/A,FALSE,"Yield";#N/A,#N/A,FALSE,"Loss1";#N/A,#N/A,FALSE,"Loss2";#N/A,#N/A,FALSE,"Hour-Labor(배분)";#N/A,#N/A,FALSE,"Capital Expenditure";#N/A,#N/A,FALSE,"Productivity"}</definedName>
    <definedName name="SSSSSS" localSheetId="15" hidden="1">{#N/A,#N/A,FALSE,"98소지이동TOTvs99.1 (2)";#N/A,#N/A,FALSE,"TOTAL";#N/A,#N/A,FALSE,"98소지이동TOTvs99.1(b) (2)"}</definedName>
    <definedName name="SSSSSS" localSheetId="6" hidden="1">{#N/A,#N/A,FALSE,"98소지이동TOTvs99.1 (2)";#N/A,#N/A,FALSE,"TOTAL";#N/A,#N/A,FALSE,"98소지이동TOTvs99.1(b) (2)"}</definedName>
    <definedName name="SSSSSS" localSheetId="45" hidden="1">{#N/A,#N/A,FALSE,"98소지이동TOTvs99.1 (2)";#N/A,#N/A,FALSE,"TOTAL";#N/A,#N/A,FALSE,"98소지이동TOTvs99.1(b) (2)"}</definedName>
    <definedName name="SSSSSS" localSheetId="42" hidden="1">{#N/A,#N/A,FALSE,"98소지이동TOTvs99.1 (2)";#N/A,#N/A,FALSE,"TOTAL";#N/A,#N/A,FALSE,"98소지이동TOTvs99.1(b) (2)"}</definedName>
    <definedName name="SSSSSS" hidden="1">{#N/A,#N/A,FALSE,"98소지이동TOTvs99.1 (2)";#N/A,#N/A,FALSE,"TOTAL";#N/A,#N/A,FALSE,"98소지이동TOTvs99.1(b) (2)"}</definedName>
    <definedName name="Start" localSheetId="42" hidden="1">{#N/A,#N/A,TRUE,"일정"}</definedName>
    <definedName name="Start" hidden="1">{#N/A,#N/A,TRUE,"일정"}</definedName>
    <definedName name="Swvu.시간대별예약." localSheetId="30" hidden="1">#REF!</definedName>
    <definedName name="Swvu.시간대별예약." localSheetId="29" hidden="1">#REF!</definedName>
    <definedName name="Swvu.시간대별예약." localSheetId="33" hidden="1">#REF!</definedName>
    <definedName name="Swvu.시간대별예약." localSheetId="31" hidden="1">#REF!</definedName>
    <definedName name="Swvu.시간대별예약." localSheetId="32" hidden="1">#REF!</definedName>
    <definedName name="Swvu.시간대별예약." hidden="1">#REF!</definedName>
    <definedName name="T" localSheetId="42" hidden="1">{#N/A,#N/A,FALSE,"UNIT";#N/A,#N/A,FALSE,"UNIT";#N/A,#N/A,FALSE,"계정"}</definedName>
    <definedName name="T" hidden="1">{#N/A,#N/A,FALSE,"UNIT";#N/A,#N/A,FALSE,"UNIT";#N/A,#N/A,FALSE,"계정"}</definedName>
    <definedName name="ta" localSheetId="42" hidden="1">{#N/A,#N/A,FALSE,"Aging Summary";#N/A,#N/A,FALSE,"Ratio Analysis";#N/A,#N/A,FALSE,"Test 120 Day Accts";#N/A,#N/A,FALSE,"Tickmarks"}</definedName>
    <definedName name="ta" hidden="1">{#N/A,#N/A,FALSE,"Aging Summary";#N/A,#N/A,FALSE,"Ratio Analysis";#N/A,#N/A,FALSE,"Test 120 Day Accts";#N/A,#N/A,FALSE,"Tickmarks"}</definedName>
    <definedName name="TAB" localSheetId="12" hidden="1">#REF!</definedName>
    <definedName name="TAB" localSheetId="30" hidden="1">#REF!</definedName>
    <definedName name="TAB" localSheetId="29" hidden="1">#REF!</definedName>
    <definedName name="TAB" localSheetId="33" hidden="1">#REF!</definedName>
    <definedName name="TAB" localSheetId="31" hidden="1">#REF!</definedName>
    <definedName name="TAB" hidden="1">#REF!</definedName>
    <definedName name="TABLE" localSheetId="12" hidden="1">#REF!</definedName>
    <definedName name="TABLE" localSheetId="30" hidden="1">#REF!</definedName>
    <definedName name="TABLE" localSheetId="29" hidden="1">#REF!</definedName>
    <definedName name="TABLE" localSheetId="33" hidden="1">#REF!</definedName>
    <definedName name="TABLE" localSheetId="31" hidden="1">#REF!</definedName>
    <definedName name="TABLE" hidden="1">#REF!</definedName>
    <definedName name="table11" localSheetId="12" hidden="1">#REF!</definedName>
    <definedName name="table11" localSheetId="30" hidden="1">#REF!</definedName>
    <definedName name="table11" localSheetId="29" hidden="1">#REF!</definedName>
    <definedName name="table11" localSheetId="33" hidden="1">#REF!</definedName>
    <definedName name="table11" localSheetId="31" hidden="1">#REF!</definedName>
    <definedName name="table11" hidden="1">#REF!</definedName>
    <definedName name="table23" localSheetId="12" hidden="1">#REF!</definedName>
    <definedName name="table23" localSheetId="30" hidden="1">#REF!</definedName>
    <definedName name="table23" localSheetId="29" hidden="1">#REF!</definedName>
    <definedName name="table23" localSheetId="33" hidden="1">#REF!</definedName>
    <definedName name="table23" localSheetId="31" hidden="1">#REF!</definedName>
    <definedName name="table23" hidden="1">#REF!</definedName>
    <definedName name="table23_" localSheetId="12" hidden="1">#REF!</definedName>
    <definedName name="table23_" localSheetId="30" hidden="1">#REF!</definedName>
    <definedName name="table23_" localSheetId="29" hidden="1">#REF!</definedName>
    <definedName name="table23_" localSheetId="33" hidden="1">#REF!</definedName>
    <definedName name="table23_" localSheetId="31" hidden="1">#REF!</definedName>
    <definedName name="table23_" hidden="1">#REF!</definedName>
    <definedName name="table24" localSheetId="12" hidden="1">#REF!</definedName>
    <definedName name="table24" localSheetId="30" hidden="1">#REF!</definedName>
    <definedName name="table24" localSheetId="29" hidden="1">#REF!</definedName>
    <definedName name="table24" localSheetId="33" hidden="1">#REF!</definedName>
    <definedName name="table24" localSheetId="31" hidden="1">#REF!</definedName>
    <definedName name="table24" hidden="1">#REF!</definedName>
    <definedName name="tax" localSheetId="42" hidden="1">{#N/A,#N/A,FALSE,"Aging Summary";#N/A,#N/A,FALSE,"Ratio Analysis";#N/A,#N/A,FALSE,"Test 120 Day Accts";#N/A,#N/A,FALSE,"Tickmarks"}</definedName>
    <definedName name="tax" hidden="1">{#N/A,#N/A,FALSE,"Aging Summary";#N/A,#N/A,FALSE,"Ratio Analysis";#N/A,#N/A,FALSE,"Test 120 Day Accts";#N/A,#N/A,FALSE,"Tickmarks"}</definedName>
    <definedName name="TextRefCopyRangeCount" localSheetId="15" hidden="1">4</definedName>
    <definedName name="TextRefCopyRangeCount" localSheetId="6" hidden="1">4</definedName>
    <definedName name="TextRefCopyRangeCount" localSheetId="45" hidden="1">4</definedName>
    <definedName name="TextRefCopyRangeCount" localSheetId="42" hidden="1">4</definedName>
    <definedName name="TextRefCopyRangeCount" hidden="1">1</definedName>
    <definedName name="THEME2" localSheetId="15" hidden="1">{#N/A,#N/A,FALSE,"96 3월물량표";#N/A,#N/A,FALSE,"96 4월물량표";#N/A,#N/A,FALSE,"96 5월물량표"}</definedName>
    <definedName name="THEME2" localSheetId="6" hidden="1">{#N/A,#N/A,FALSE,"96 3월물량표";#N/A,#N/A,FALSE,"96 4월물량표";#N/A,#N/A,FALSE,"96 5월물량표"}</definedName>
    <definedName name="THEME2" localSheetId="45" hidden="1">{#N/A,#N/A,FALSE,"96 3월물량표";#N/A,#N/A,FALSE,"96 4월물량표";#N/A,#N/A,FALSE,"96 5월물량표"}</definedName>
    <definedName name="THEME2" localSheetId="42" hidden="1">{#N/A,#N/A,FALSE,"96 3월물량표";#N/A,#N/A,FALSE,"96 4월물량표";#N/A,#N/A,FALSE,"96 5월물량표"}</definedName>
    <definedName name="THEME2" hidden="1">{#N/A,#N/A,FALSE,"96 3월물량표";#N/A,#N/A,FALSE,"96 4월물량표";#N/A,#N/A,FALSE,"96 5월물량표"}</definedName>
    <definedName name="TKTKTK" localSheetId="15" hidden="1">{"'미착금액'!$A$4:$G$14"}</definedName>
    <definedName name="TKTKTK" localSheetId="6" hidden="1">{"'미착금액'!$A$4:$G$14"}</definedName>
    <definedName name="TKTKTK" localSheetId="45" hidden="1">{"'미착금액'!$A$4:$G$14"}</definedName>
    <definedName name="TKTKTK" localSheetId="42" hidden="1">{"'미착금액'!$A$4:$G$14"}</definedName>
    <definedName name="TKTKTK" hidden="1">{"'미착금액'!$A$4:$G$14"}</definedName>
    <definedName name="tmp" localSheetId="12" hidden="1">{#N/A,#N/A,FALSE,"회선임차현황"}</definedName>
    <definedName name="tmp" localSheetId="42" hidden="1">{#N/A,#N/A,FALSE,"회선임차현황"}</definedName>
    <definedName name="tmp" hidden="1">{#N/A,#N/A,FALSE,"회선임차현황"}</definedName>
    <definedName name="tryrye" localSheetId="15" hidden="1">{#N/A,#N/A,FALSE,"손익표지";#N/A,#N/A,FALSE,"손익계산";#N/A,#N/A,FALSE,"일반관리비";#N/A,#N/A,FALSE,"영업외수익";#N/A,#N/A,FALSE,"영업외비용";#N/A,#N/A,FALSE,"매출액";#N/A,#N/A,FALSE,"요약손익";#N/A,#N/A,FALSE,"요약대차";#N/A,#N/A,FALSE,"매출채권현황";#N/A,#N/A,FALSE,"매출채권명세"}</definedName>
    <definedName name="tryrye" localSheetId="6" hidden="1">{#N/A,#N/A,FALSE,"손익표지";#N/A,#N/A,FALSE,"손익계산";#N/A,#N/A,FALSE,"일반관리비";#N/A,#N/A,FALSE,"영업외수익";#N/A,#N/A,FALSE,"영업외비용";#N/A,#N/A,FALSE,"매출액";#N/A,#N/A,FALSE,"요약손익";#N/A,#N/A,FALSE,"요약대차";#N/A,#N/A,FALSE,"매출채권현황";#N/A,#N/A,FALSE,"매출채권명세"}</definedName>
    <definedName name="tryrye" localSheetId="45" hidden="1">{#N/A,#N/A,FALSE,"손익표지";#N/A,#N/A,FALSE,"손익계산";#N/A,#N/A,FALSE,"일반관리비";#N/A,#N/A,FALSE,"영업외수익";#N/A,#N/A,FALSE,"영업외비용";#N/A,#N/A,FALSE,"매출액";#N/A,#N/A,FALSE,"요약손익";#N/A,#N/A,FALSE,"요약대차";#N/A,#N/A,FALSE,"매출채권현황";#N/A,#N/A,FALSE,"매출채권명세"}</definedName>
    <definedName name="tryrye" localSheetId="42" hidden="1">{#N/A,#N/A,FALSE,"손익표지";#N/A,#N/A,FALSE,"손익계산";#N/A,#N/A,FALSE,"일반관리비";#N/A,#N/A,FALSE,"영업외수익";#N/A,#N/A,FALSE,"영업외비용";#N/A,#N/A,FALSE,"매출액";#N/A,#N/A,FALSE,"요약손익";#N/A,#N/A,FALSE,"요약대차";#N/A,#N/A,FALSE,"매출채권현황";#N/A,#N/A,FALSE,"매출채권명세"}</definedName>
    <definedName name="tryrye" hidden="1">{#N/A,#N/A,FALSE,"손익표지";#N/A,#N/A,FALSE,"손익계산";#N/A,#N/A,FALSE,"일반관리비";#N/A,#N/A,FALSE,"영업외수익";#N/A,#N/A,FALSE,"영업외비용";#N/A,#N/A,FALSE,"매출액";#N/A,#N/A,FALSE,"요약손익";#N/A,#N/A,FALSE,"요약대차";#N/A,#N/A,FALSE,"매출채권현황";#N/A,#N/A,FALSE,"매출채권명세"}</definedName>
    <definedName name="TT" localSheetId="42" hidden="1">{#N/A,#N/A,FALSE,"UNIT";#N/A,#N/A,FALSE,"UNIT";#N/A,#N/A,FALSE,"계정"}</definedName>
    <definedName name="TT" hidden="1">{#N/A,#N/A,FALSE,"UNIT";#N/A,#N/A,FALSE,"UNIT";#N/A,#N/A,FALSE,"계정"}</definedName>
    <definedName name="ttp" localSheetId="15" hidden="1">{#N/A,#N/A,FALSE,"Yield";#N/A,#N/A,FALSE,"Loss1";#N/A,#N/A,FALSE,"Loss2";#N/A,#N/A,FALSE,"Hour-Labor(배분)";#N/A,#N/A,FALSE,"Capital Expenditure";#N/A,#N/A,FALSE,"Productivity"}</definedName>
    <definedName name="ttp" localSheetId="6" hidden="1">{#N/A,#N/A,FALSE,"Yield";#N/A,#N/A,FALSE,"Loss1";#N/A,#N/A,FALSE,"Loss2";#N/A,#N/A,FALSE,"Hour-Labor(배분)";#N/A,#N/A,FALSE,"Capital Expenditure";#N/A,#N/A,FALSE,"Productivity"}</definedName>
    <definedName name="ttp" localSheetId="45" hidden="1">{#N/A,#N/A,FALSE,"Yield";#N/A,#N/A,FALSE,"Loss1";#N/A,#N/A,FALSE,"Loss2";#N/A,#N/A,FALSE,"Hour-Labor(배분)";#N/A,#N/A,FALSE,"Capital Expenditure";#N/A,#N/A,FALSE,"Productivity"}</definedName>
    <definedName name="ttp" localSheetId="42" hidden="1">{#N/A,#N/A,FALSE,"Yield";#N/A,#N/A,FALSE,"Loss1";#N/A,#N/A,FALSE,"Loss2";#N/A,#N/A,FALSE,"Hour-Labor(배분)";#N/A,#N/A,FALSE,"Capital Expenditure";#N/A,#N/A,FALSE,"Productivity"}</definedName>
    <definedName name="ttp" hidden="1">{#N/A,#N/A,FALSE,"Yield";#N/A,#N/A,FALSE,"Loss1";#N/A,#N/A,FALSE,"Loss2";#N/A,#N/A,FALSE,"Hour-Labor(배분)";#N/A,#N/A,FALSE,"Capital Expenditure";#N/A,#N/A,FALSE,"Productivity"}</definedName>
    <definedName name="TTT" localSheetId="15"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TTT" localSheetId="6"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TTT" localSheetId="45"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TTT" localSheetId="4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TTT"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tttq" localSheetId="15"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tttq" localSheetId="6"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tttq" localSheetId="45"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tttq" localSheetId="42"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tttq"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ttttt" localSheetId="12" hidden="1">{#N/A,#N/A,FALSE,"지침";#N/A,#N/A,FALSE,"환경분석";#N/A,#N/A,FALSE,"Sheet16"}</definedName>
    <definedName name="ttttt" localSheetId="42" hidden="1">{#N/A,#N/A,FALSE,"지침";#N/A,#N/A,FALSE,"환경분석";#N/A,#N/A,FALSE,"Sheet16"}</definedName>
    <definedName name="ttttt" hidden="1">{#N/A,#N/A,FALSE,"지침";#N/A,#N/A,FALSE,"환경분석";#N/A,#N/A,FALSE,"Sheet16"}</definedName>
    <definedName name="tttttttttttt" localSheetId="15" hidden="1">{#N/A,#N/A,FALSE,"손익표지";#N/A,#N/A,FALSE,"손익계산";#N/A,#N/A,FALSE,"일반관리비";#N/A,#N/A,FALSE,"영업외수익";#N/A,#N/A,FALSE,"영업외비용";#N/A,#N/A,FALSE,"매출액";#N/A,#N/A,FALSE,"요약손익";#N/A,#N/A,FALSE,"요약대차";#N/A,#N/A,FALSE,"매출채권현황";#N/A,#N/A,FALSE,"매출채권명세"}</definedName>
    <definedName name="tttttttttttt" localSheetId="6" hidden="1">{#N/A,#N/A,FALSE,"손익표지";#N/A,#N/A,FALSE,"손익계산";#N/A,#N/A,FALSE,"일반관리비";#N/A,#N/A,FALSE,"영업외수익";#N/A,#N/A,FALSE,"영업외비용";#N/A,#N/A,FALSE,"매출액";#N/A,#N/A,FALSE,"요약손익";#N/A,#N/A,FALSE,"요약대차";#N/A,#N/A,FALSE,"매출채권현황";#N/A,#N/A,FALSE,"매출채권명세"}</definedName>
    <definedName name="tttttttttttt" localSheetId="45" hidden="1">{#N/A,#N/A,FALSE,"손익표지";#N/A,#N/A,FALSE,"손익계산";#N/A,#N/A,FALSE,"일반관리비";#N/A,#N/A,FALSE,"영업외수익";#N/A,#N/A,FALSE,"영업외비용";#N/A,#N/A,FALSE,"매출액";#N/A,#N/A,FALSE,"요약손익";#N/A,#N/A,FALSE,"요약대차";#N/A,#N/A,FALSE,"매출채권현황";#N/A,#N/A,FALSE,"매출채권명세"}</definedName>
    <definedName name="tttttttttttt" localSheetId="42" hidden="1">{#N/A,#N/A,FALSE,"손익표지";#N/A,#N/A,FALSE,"손익계산";#N/A,#N/A,FALSE,"일반관리비";#N/A,#N/A,FALSE,"영업외수익";#N/A,#N/A,FALSE,"영업외비용";#N/A,#N/A,FALSE,"매출액";#N/A,#N/A,FALSE,"요약손익";#N/A,#N/A,FALSE,"요약대차";#N/A,#N/A,FALSE,"매출채권현황";#N/A,#N/A,FALSE,"매출채권명세"}</definedName>
    <definedName name="tttttttttttt" hidden="1">{#N/A,#N/A,FALSE,"손익표지";#N/A,#N/A,FALSE,"손익계산";#N/A,#N/A,FALSE,"일반관리비";#N/A,#N/A,FALSE,"영업외수익";#N/A,#N/A,FALSE,"영업외비용";#N/A,#N/A,FALSE,"매출액";#N/A,#N/A,FALSE,"요약손익";#N/A,#N/A,FALSE,"요약대차";#N/A,#N/A,FALSE,"매출채권현황";#N/A,#N/A,FALSE,"매출채권명세"}</definedName>
    <definedName name="tyut" localSheetId="15" hidden="1">{#N/A,#N/A,FALSE,"손익표지";#N/A,#N/A,FALSE,"손익계산";#N/A,#N/A,FALSE,"일반관리비";#N/A,#N/A,FALSE,"영업외수익";#N/A,#N/A,FALSE,"영업외비용";#N/A,#N/A,FALSE,"매출액";#N/A,#N/A,FALSE,"요약손익";#N/A,#N/A,FALSE,"요약대차";#N/A,#N/A,FALSE,"매출채권현황";#N/A,#N/A,FALSE,"매출채권명세"}</definedName>
    <definedName name="tyut" localSheetId="6" hidden="1">{#N/A,#N/A,FALSE,"손익표지";#N/A,#N/A,FALSE,"손익계산";#N/A,#N/A,FALSE,"일반관리비";#N/A,#N/A,FALSE,"영업외수익";#N/A,#N/A,FALSE,"영업외비용";#N/A,#N/A,FALSE,"매출액";#N/A,#N/A,FALSE,"요약손익";#N/A,#N/A,FALSE,"요약대차";#N/A,#N/A,FALSE,"매출채권현황";#N/A,#N/A,FALSE,"매출채권명세"}</definedName>
    <definedName name="tyut" localSheetId="45" hidden="1">{#N/A,#N/A,FALSE,"손익표지";#N/A,#N/A,FALSE,"손익계산";#N/A,#N/A,FALSE,"일반관리비";#N/A,#N/A,FALSE,"영업외수익";#N/A,#N/A,FALSE,"영업외비용";#N/A,#N/A,FALSE,"매출액";#N/A,#N/A,FALSE,"요약손익";#N/A,#N/A,FALSE,"요약대차";#N/A,#N/A,FALSE,"매출채권현황";#N/A,#N/A,FALSE,"매출채권명세"}</definedName>
    <definedName name="tyut" localSheetId="42" hidden="1">{#N/A,#N/A,FALSE,"손익표지";#N/A,#N/A,FALSE,"손익계산";#N/A,#N/A,FALSE,"일반관리비";#N/A,#N/A,FALSE,"영업외수익";#N/A,#N/A,FALSE,"영업외비용";#N/A,#N/A,FALSE,"매출액";#N/A,#N/A,FALSE,"요약손익";#N/A,#N/A,FALSE,"요약대차";#N/A,#N/A,FALSE,"매출채권현황";#N/A,#N/A,FALSE,"매출채권명세"}</definedName>
    <definedName name="tyut" hidden="1">{#N/A,#N/A,FALSE,"손익표지";#N/A,#N/A,FALSE,"손익계산";#N/A,#N/A,FALSE,"일반관리비";#N/A,#N/A,FALSE,"영업외수익";#N/A,#N/A,FALSE,"영업외비용";#N/A,#N/A,FALSE,"매출액";#N/A,#N/A,FALSE,"요약손익";#N/A,#N/A,FALSE,"요약대차";#N/A,#N/A,FALSE,"매출채권현황";#N/A,#N/A,FALSE,"매출채권명세"}</definedName>
    <definedName name="ua" localSheetId="12" hidden="1">{#N/A,#N/A,FALSE,"Aging Summary";#N/A,#N/A,FALSE,"Ratio Analysis";#N/A,#N/A,FALSE,"Test 120 Day Accts";#N/A,#N/A,FALSE,"Tickmarks"}</definedName>
    <definedName name="ua" localSheetId="42" hidden="1">{#N/A,#N/A,FALSE,"Aging Summary";#N/A,#N/A,FALSE,"Ratio Analysis";#N/A,#N/A,FALSE,"Test 120 Day Accts";#N/A,#N/A,FALSE,"Tickmarks"}</definedName>
    <definedName name="ua" hidden="1">{#N/A,#N/A,FALSE,"Aging Summary";#N/A,#N/A,FALSE,"Ratio Analysis";#N/A,#N/A,FALSE,"Test 120 Day Accts";#N/A,#N/A,FALSE,"Tickmarks"}</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p" localSheetId="42" hidden="1">{#N/A,#N/A,FALSE,"지침";#N/A,#N/A,FALSE,"환경분석";#N/A,#N/A,FALSE,"Sheet16"}</definedName>
    <definedName name="up" hidden="1">{#N/A,#N/A,FALSE,"지침";#N/A,#N/A,FALSE,"환경분석";#N/A,#N/A,FALSE,"Sheet16"}</definedName>
    <definedName name="uuu" localSheetId="15"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uuu" localSheetId="6"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uuu" localSheetId="45"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uuu" localSheetId="42"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uuu"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uuui" localSheetId="15"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uuui" localSheetId="6"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uuui" localSheetId="45"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uuui" localSheetId="42"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uuui"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uuuu" localSheetId="15"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uuuu" localSheetId="6"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uuuu" localSheetId="45"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uuuu" localSheetId="42"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uuuu"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v" localSheetId="12" hidden="1">{#N/A,#N/A,FALSE,"Aging Summary";#N/A,#N/A,FALSE,"Ratio Analysis";#N/A,#N/A,FALSE,"Test 120 Day Accts";#N/A,#N/A,FALSE,"Tickmarks"}</definedName>
    <definedName name="v" localSheetId="42" hidden="1">{#N/A,#N/A,FALSE,"Aging Summary";#N/A,#N/A,FALSE,"Ratio Analysis";#N/A,#N/A,FALSE,"Test 120 Day Accts";#N/A,#N/A,FALSE,"Tickmarks"}</definedName>
    <definedName name="v" hidden="1">{#N/A,#N/A,FALSE,"Aging Summary";#N/A,#N/A,FALSE,"Ratio Analysis";#N/A,#N/A,FALSE,"Test 120 Day Accts";#N/A,#N/A,FALSE,"Tickmarks"}</definedName>
    <definedName name="vb" localSheetId="42" hidden="1">{#N/A,#N/A,FALSE,"2000";#N/A,#N/A,FALSE,"1999_1998"}</definedName>
    <definedName name="vb" hidden="1">{#N/A,#N/A,FALSE,"2000";#N/A,#N/A,FALSE,"1999_1998"}</definedName>
    <definedName name="vision2" localSheetId="15" hidden="1">{#N/A,#N/A,FALSE,"손익표지";#N/A,#N/A,FALSE,"손익계산";#N/A,#N/A,FALSE,"일반관리비";#N/A,#N/A,FALSE,"영업외수익";#N/A,#N/A,FALSE,"영업외비용";#N/A,#N/A,FALSE,"매출액";#N/A,#N/A,FALSE,"요약손익";#N/A,#N/A,FALSE,"요약대차";#N/A,#N/A,FALSE,"매출채권현황";#N/A,#N/A,FALSE,"매출채권명세"}</definedName>
    <definedName name="vision2" localSheetId="6" hidden="1">{#N/A,#N/A,FALSE,"손익표지";#N/A,#N/A,FALSE,"손익계산";#N/A,#N/A,FALSE,"일반관리비";#N/A,#N/A,FALSE,"영업외수익";#N/A,#N/A,FALSE,"영업외비용";#N/A,#N/A,FALSE,"매출액";#N/A,#N/A,FALSE,"요약손익";#N/A,#N/A,FALSE,"요약대차";#N/A,#N/A,FALSE,"매출채권현황";#N/A,#N/A,FALSE,"매출채권명세"}</definedName>
    <definedName name="vision2" localSheetId="45" hidden="1">{#N/A,#N/A,FALSE,"손익표지";#N/A,#N/A,FALSE,"손익계산";#N/A,#N/A,FALSE,"일반관리비";#N/A,#N/A,FALSE,"영업외수익";#N/A,#N/A,FALSE,"영업외비용";#N/A,#N/A,FALSE,"매출액";#N/A,#N/A,FALSE,"요약손익";#N/A,#N/A,FALSE,"요약대차";#N/A,#N/A,FALSE,"매출채권현황";#N/A,#N/A,FALSE,"매출채권명세"}</definedName>
    <definedName name="vision2" localSheetId="42" hidden="1">{#N/A,#N/A,FALSE,"손익표지";#N/A,#N/A,FALSE,"손익계산";#N/A,#N/A,FALSE,"일반관리비";#N/A,#N/A,FALSE,"영업외수익";#N/A,#N/A,FALSE,"영업외비용";#N/A,#N/A,FALSE,"매출액";#N/A,#N/A,FALSE,"요약손익";#N/A,#N/A,FALSE,"요약대차";#N/A,#N/A,FALSE,"매출채권현황";#N/A,#N/A,FALSE,"매출채권명세"}</definedName>
    <definedName name="vision2" hidden="1">{#N/A,#N/A,FALSE,"손익표지";#N/A,#N/A,FALSE,"손익계산";#N/A,#N/A,FALSE,"일반관리비";#N/A,#N/A,FALSE,"영업외수익";#N/A,#N/A,FALSE,"영업외비용";#N/A,#N/A,FALSE,"매출액";#N/A,#N/A,FALSE,"요약손익";#N/A,#N/A,FALSE,"요약대차";#N/A,#N/A,FALSE,"매출채권현황";#N/A,#N/A,FALSE,"매출채권명세"}</definedName>
    <definedName name="vv" localSheetId="12" hidden="1">#REF!</definedName>
    <definedName name="vv" localSheetId="30" hidden="1">#REF!</definedName>
    <definedName name="vv" localSheetId="29" hidden="1">#REF!</definedName>
    <definedName name="vv" localSheetId="33" hidden="1">#REF!</definedName>
    <definedName name="vv" localSheetId="31" hidden="1">#REF!</definedName>
    <definedName name="vv" hidden="1">#REF!</definedName>
    <definedName name="vvv" localSheetId="15"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vvv" localSheetId="6"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vvv" localSheetId="45"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vvv" localSheetId="42"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vvv"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w" localSheetId="42" hidden="1">{#N/A,#N/A,FALSE,"UNIT";#N/A,#N/A,FALSE,"UNIT";#N/A,#N/A,FALSE,"계정"}</definedName>
    <definedName name="w" hidden="1">{#N/A,#N/A,FALSE,"UNIT";#N/A,#N/A,FALSE,"UNIT";#N/A,#N/A,FALSE,"계정"}</definedName>
    <definedName name="wddw" localSheetId="12" hidden="1">{#N/A,#N/A,FALSE,"지침";#N/A,#N/A,FALSE,"환경분석";#N/A,#N/A,FALSE,"Sheet16"}</definedName>
    <definedName name="wddw" localSheetId="42" hidden="1">{#N/A,#N/A,FALSE,"지침";#N/A,#N/A,FALSE,"환경분석";#N/A,#N/A,FALSE,"Sheet16"}</definedName>
    <definedName name="wddw" hidden="1">{#N/A,#N/A,FALSE,"지침";#N/A,#N/A,FALSE,"환경분석";#N/A,#N/A,FALSE,"Sheet16"}</definedName>
    <definedName name="WEARF" localSheetId="42" hidden="1">{#N/A,#N/A,TRUE,"Y생산";#N/A,#N/A,TRUE,"Y판매";#N/A,#N/A,TRUE,"Y총물량";#N/A,#N/A,TRUE,"Y능력";#N/A,#N/A,TRUE,"YKD"}</definedName>
    <definedName name="WEARF" hidden="1">{#N/A,#N/A,TRUE,"Y생산";#N/A,#N/A,TRUE,"Y판매";#N/A,#N/A,TRUE,"Y총물량";#N/A,#N/A,TRUE,"Y능력";#N/A,#N/A,TRUE,"YKD"}</definedName>
    <definedName name="weee" localSheetId="15"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weee" localSheetId="6"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weee" localSheetId="45"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weee" localSheetId="42"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weee"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werew" localSheetId="15" hidden="1">{#N/A,#N/A,FALSE,"손익표지";#N/A,#N/A,FALSE,"손익계산";#N/A,#N/A,FALSE,"일반관리비";#N/A,#N/A,FALSE,"영업외수익";#N/A,#N/A,FALSE,"영업외비용";#N/A,#N/A,FALSE,"매출액";#N/A,#N/A,FALSE,"요약손익";#N/A,#N/A,FALSE,"요약대차";#N/A,#N/A,FALSE,"매출채권현황";#N/A,#N/A,FALSE,"매출채권명세"}</definedName>
    <definedName name="werew" localSheetId="6" hidden="1">{#N/A,#N/A,FALSE,"손익표지";#N/A,#N/A,FALSE,"손익계산";#N/A,#N/A,FALSE,"일반관리비";#N/A,#N/A,FALSE,"영업외수익";#N/A,#N/A,FALSE,"영업외비용";#N/A,#N/A,FALSE,"매출액";#N/A,#N/A,FALSE,"요약손익";#N/A,#N/A,FALSE,"요약대차";#N/A,#N/A,FALSE,"매출채권현황";#N/A,#N/A,FALSE,"매출채권명세"}</definedName>
    <definedName name="werew" localSheetId="45" hidden="1">{#N/A,#N/A,FALSE,"손익표지";#N/A,#N/A,FALSE,"손익계산";#N/A,#N/A,FALSE,"일반관리비";#N/A,#N/A,FALSE,"영업외수익";#N/A,#N/A,FALSE,"영업외비용";#N/A,#N/A,FALSE,"매출액";#N/A,#N/A,FALSE,"요약손익";#N/A,#N/A,FALSE,"요약대차";#N/A,#N/A,FALSE,"매출채권현황";#N/A,#N/A,FALSE,"매출채권명세"}</definedName>
    <definedName name="werew" localSheetId="42" hidden="1">{#N/A,#N/A,FALSE,"손익표지";#N/A,#N/A,FALSE,"손익계산";#N/A,#N/A,FALSE,"일반관리비";#N/A,#N/A,FALSE,"영업외수익";#N/A,#N/A,FALSE,"영업외비용";#N/A,#N/A,FALSE,"매출액";#N/A,#N/A,FALSE,"요약손익";#N/A,#N/A,FALSE,"요약대차";#N/A,#N/A,FALSE,"매출채권현황";#N/A,#N/A,FALSE,"매출채권명세"}</definedName>
    <definedName name="werew" hidden="1">{#N/A,#N/A,FALSE,"손익표지";#N/A,#N/A,FALSE,"손익계산";#N/A,#N/A,FALSE,"일반관리비";#N/A,#N/A,FALSE,"영업외수익";#N/A,#N/A,FALSE,"영업외비용";#N/A,#N/A,FALSE,"매출액";#N/A,#N/A,FALSE,"요약손익";#N/A,#N/A,FALSE,"요약대차";#N/A,#N/A,FALSE,"매출채권현황";#N/A,#N/A,FALSE,"매출채권명세"}</definedName>
    <definedName name="werw" localSheetId="15" hidden="1">{#N/A,#N/A,FALSE,"손익표지";#N/A,#N/A,FALSE,"손익계산";#N/A,#N/A,FALSE,"일반관리비";#N/A,#N/A,FALSE,"영업외수익";#N/A,#N/A,FALSE,"영업외비용";#N/A,#N/A,FALSE,"매출액";#N/A,#N/A,FALSE,"요약손익";#N/A,#N/A,FALSE,"요약대차";#N/A,#N/A,FALSE,"매출채권현황";#N/A,#N/A,FALSE,"매출채권명세"}</definedName>
    <definedName name="werw" localSheetId="6" hidden="1">{#N/A,#N/A,FALSE,"손익표지";#N/A,#N/A,FALSE,"손익계산";#N/A,#N/A,FALSE,"일반관리비";#N/A,#N/A,FALSE,"영업외수익";#N/A,#N/A,FALSE,"영업외비용";#N/A,#N/A,FALSE,"매출액";#N/A,#N/A,FALSE,"요약손익";#N/A,#N/A,FALSE,"요약대차";#N/A,#N/A,FALSE,"매출채권현황";#N/A,#N/A,FALSE,"매출채권명세"}</definedName>
    <definedName name="werw" localSheetId="45" hidden="1">{#N/A,#N/A,FALSE,"손익표지";#N/A,#N/A,FALSE,"손익계산";#N/A,#N/A,FALSE,"일반관리비";#N/A,#N/A,FALSE,"영업외수익";#N/A,#N/A,FALSE,"영업외비용";#N/A,#N/A,FALSE,"매출액";#N/A,#N/A,FALSE,"요약손익";#N/A,#N/A,FALSE,"요약대차";#N/A,#N/A,FALSE,"매출채권현황";#N/A,#N/A,FALSE,"매출채권명세"}</definedName>
    <definedName name="werw" localSheetId="42" hidden="1">{#N/A,#N/A,FALSE,"손익표지";#N/A,#N/A,FALSE,"손익계산";#N/A,#N/A,FALSE,"일반관리비";#N/A,#N/A,FALSE,"영업외수익";#N/A,#N/A,FALSE,"영업외비용";#N/A,#N/A,FALSE,"매출액";#N/A,#N/A,FALSE,"요약손익";#N/A,#N/A,FALSE,"요약대차";#N/A,#N/A,FALSE,"매출채권현황";#N/A,#N/A,FALSE,"매출채권명세"}</definedName>
    <definedName name="werw" hidden="1">{#N/A,#N/A,FALSE,"손익표지";#N/A,#N/A,FALSE,"손익계산";#N/A,#N/A,FALSE,"일반관리비";#N/A,#N/A,FALSE,"영업외수익";#N/A,#N/A,FALSE,"영업외비용";#N/A,#N/A,FALSE,"매출액";#N/A,#N/A,FALSE,"요약손익";#N/A,#N/A,FALSE,"요약대차";#N/A,#N/A,FALSE,"매출채권현황";#N/A,#N/A,FALSE,"매출채권명세"}</definedName>
    <definedName name="werwe" localSheetId="15" hidden="1">{#N/A,#N/A,FALSE,"손익표지";#N/A,#N/A,FALSE,"손익계산";#N/A,#N/A,FALSE,"일반관리비";#N/A,#N/A,FALSE,"영업외수익";#N/A,#N/A,FALSE,"영업외비용";#N/A,#N/A,FALSE,"매출액";#N/A,#N/A,FALSE,"요약손익";#N/A,#N/A,FALSE,"요약대차";#N/A,#N/A,FALSE,"매출채권현황";#N/A,#N/A,FALSE,"매출채권명세"}</definedName>
    <definedName name="werwe" localSheetId="6" hidden="1">{#N/A,#N/A,FALSE,"손익표지";#N/A,#N/A,FALSE,"손익계산";#N/A,#N/A,FALSE,"일반관리비";#N/A,#N/A,FALSE,"영업외수익";#N/A,#N/A,FALSE,"영업외비용";#N/A,#N/A,FALSE,"매출액";#N/A,#N/A,FALSE,"요약손익";#N/A,#N/A,FALSE,"요약대차";#N/A,#N/A,FALSE,"매출채권현황";#N/A,#N/A,FALSE,"매출채권명세"}</definedName>
    <definedName name="werwe" localSheetId="45" hidden="1">{#N/A,#N/A,FALSE,"손익표지";#N/A,#N/A,FALSE,"손익계산";#N/A,#N/A,FALSE,"일반관리비";#N/A,#N/A,FALSE,"영업외수익";#N/A,#N/A,FALSE,"영업외비용";#N/A,#N/A,FALSE,"매출액";#N/A,#N/A,FALSE,"요약손익";#N/A,#N/A,FALSE,"요약대차";#N/A,#N/A,FALSE,"매출채권현황";#N/A,#N/A,FALSE,"매출채권명세"}</definedName>
    <definedName name="werwe" localSheetId="42" hidden="1">{#N/A,#N/A,FALSE,"손익표지";#N/A,#N/A,FALSE,"손익계산";#N/A,#N/A,FALSE,"일반관리비";#N/A,#N/A,FALSE,"영업외수익";#N/A,#N/A,FALSE,"영업외비용";#N/A,#N/A,FALSE,"매출액";#N/A,#N/A,FALSE,"요약손익";#N/A,#N/A,FALSE,"요약대차";#N/A,#N/A,FALSE,"매출채권현황";#N/A,#N/A,FALSE,"매출채권명세"}</definedName>
    <definedName name="werwe" hidden="1">{#N/A,#N/A,FALSE,"손익표지";#N/A,#N/A,FALSE,"손익계산";#N/A,#N/A,FALSE,"일반관리비";#N/A,#N/A,FALSE,"영업외수익";#N/A,#N/A,FALSE,"영업외비용";#N/A,#N/A,FALSE,"매출액";#N/A,#N/A,FALSE,"요약손익";#N/A,#N/A,FALSE,"요약대차";#N/A,#N/A,FALSE,"매출채권현황";#N/A,#N/A,FALSE,"매출채권명세"}</definedName>
    <definedName name="werwr" localSheetId="15" hidden="1">{#N/A,#N/A,FALSE,"손익표지";#N/A,#N/A,FALSE,"손익계산";#N/A,#N/A,FALSE,"일반관리비";#N/A,#N/A,FALSE,"영업외수익";#N/A,#N/A,FALSE,"영업외비용";#N/A,#N/A,FALSE,"매출액";#N/A,#N/A,FALSE,"요약손익";#N/A,#N/A,FALSE,"요약대차";#N/A,#N/A,FALSE,"매출채권현황";#N/A,#N/A,FALSE,"매출채권명세"}</definedName>
    <definedName name="werwr" localSheetId="6" hidden="1">{#N/A,#N/A,FALSE,"손익표지";#N/A,#N/A,FALSE,"손익계산";#N/A,#N/A,FALSE,"일반관리비";#N/A,#N/A,FALSE,"영업외수익";#N/A,#N/A,FALSE,"영업외비용";#N/A,#N/A,FALSE,"매출액";#N/A,#N/A,FALSE,"요약손익";#N/A,#N/A,FALSE,"요약대차";#N/A,#N/A,FALSE,"매출채권현황";#N/A,#N/A,FALSE,"매출채권명세"}</definedName>
    <definedName name="werwr" localSheetId="45" hidden="1">{#N/A,#N/A,FALSE,"손익표지";#N/A,#N/A,FALSE,"손익계산";#N/A,#N/A,FALSE,"일반관리비";#N/A,#N/A,FALSE,"영업외수익";#N/A,#N/A,FALSE,"영업외비용";#N/A,#N/A,FALSE,"매출액";#N/A,#N/A,FALSE,"요약손익";#N/A,#N/A,FALSE,"요약대차";#N/A,#N/A,FALSE,"매출채권현황";#N/A,#N/A,FALSE,"매출채권명세"}</definedName>
    <definedName name="werwr" localSheetId="42" hidden="1">{#N/A,#N/A,FALSE,"손익표지";#N/A,#N/A,FALSE,"손익계산";#N/A,#N/A,FALSE,"일반관리비";#N/A,#N/A,FALSE,"영업외수익";#N/A,#N/A,FALSE,"영업외비용";#N/A,#N/A,FALSE,"매출액";#N/A,#N/A,FALSE,"요약손익";#N/A,#N/A,FALSE,"요약대차";#N/A,#N/A,FALSE,"매출채권현황";#N/A,#N/A,FALSE,"매출채권명세"}</definedName>
    <definedName name="werwr" hidden="1">{#N/A,#N/A,FALSE,"손익표지";#N/A,#N/A,FALSE,"손익계산";#N/A,#N/A,FALSE,"일반관리비";#N/A,#N/A,FALSE,"영업외수익";#N/A,#N/A,FALSE,"영업외비용";#N/A,#N/A,FALSE,"매출액";#N/A,#N/A,FALSE,"요약손익";#N/A,#N/A,FALSE,"요약대차";#N/A,#N/A,FALSE,"매출채권현황";#N/A,#N/A,FALSE,"매출채권명세"}</definedName>
    <definedName name="wewdew" localSheetId="12" hidden="1">{#N/A,#N/A,FALSE,"UNIT";#N/A,#N/A,FALSE,"UNIT";#N/A,#N/A,FALSE,"계정"}</definedName>
    <definedName name="wewdew" localSheetId="42" hidden="1">{#N/A,#N/A,FALSE,"UNIT";#N/A,#N/A,FALSE,"UNIT";#N/A,#N/A,FALSE,"계정"}</definedName>
    <definedName name="wewdew" hidden="1">{#N/A,#N/A,FALSE,"UNIT";#N/A,#N/A,FALSE,"UNIT";#N/A,#N/A,FALSE,"계정"}</definedName>
    <definedName name="wewewew" localSheetId="12" hidden="1">{#N/A,#N/A,FALSE,"UNIT";#N/A,#N/A,FALSE,"UNIT";#N/A,#N/A,FALSE,"계정"}</definedName>
    <definedName name="wewewew" localSheetId="42" hidden="1">{#N/A,#N/A,FALSE,"UNIT";#N/A,#N/A,FALSE,"UNIT";#N/A,#N/A,FALSE,"계정"}</definedName>
    <definedName name="wewewew" hidden="1">{#N/A,#N/A,FALSE,"UNIT";#N/A,#N/A,FALSE,"UNIT";#N/A,#N/A,FALSE,"계정"}</definedName>
    <definedName name="wewewewewwww" localSheetId="12" hidden="1">{#N/A,#N/A,FALSE,"UNIT";#N/A,#N/A,FALSE,"UNIT";#N/A,#N/A,FALSE,"계정"}</definedName>
    <definedName name="wewewewewwww" localSheetId="42" hidden="1">{#N/A,#N/A,FALSE,"UNIT";#N/A,#N/A,FALSE,"UNIT";#N/A,#N/A,FALSE,"계정"}</definedName>
    <definedName name="wewewewewwww" hidden="1">{#N/A,#N/A,FALSE,"UNIT";#N/A,#N/A,FALSE,"UNIT";#N/A,#N/A,FALSE,"계정"}</definedName>
    <definedName name="wewewewwwww" localSheetId="12" hidden="1">{#N/A,#N/A,FALSE,"UNIT";#N/A,#N/A,FALSE,"UNIT";#N/A,#N/A,FALSE,"계정"}</definedName>
    <definedName name="wewewewwwww" localSheetId="42" hidden="1">{#N/A,#N/A,FALSE,"UNIT";#N/A,#N/A,FALSE,"UNIT";#N/A,#N/A,FALSE,"계정"}</definedName>
    <definedName name="wewewewwwww" hidden="1">{#N/A,#N/A,FALSE,"UNIT";#N/A,#N/A,FALSE,"UNIT";#N/A,#N/A,FALSE,"계정"}</definedName>
    <definedName name="WJRCL" localSheetId="15" hidden="1">{#N/A,#N/A,FALSE,"군산원가";#N/A,#N/A,FALSE,"팀별월별";#N/A,#N/A,FALSE,"타공정대체";#N/A,#N/A,FALSE,"기타경비";#N/A,#N/A,FALSE,"원료";#N/A,#N/A,FALSE,"연료"}</definedName>
    <definedName name="WJRCL" localSheetId="6" hidden="1">{#N/A,#N/A,FALSE,"군산원가";#N/A,#N/A,FALSE,"팀별월별";#N/A,#N/A,FALSE,"타공정대체";#N/A,#N/A,FALSE,"기타경비";#N/A,#N/A,FALSE,"원료";#N/A,#N/A,FALSE,"연료"}</definedName>
    <definedName name="WJRCL" localSheetId="45" hidden="1">{#N/A,#N/A,FALSE,"군산원가";#N/A,#N/A,FALSE,"팀별월별";#N/A,#N/A,FALSE,"타공정대체";#N/A,#N/A,FALSE,"기타경비";#N/A,#N/A,FALSE,"원료";#N/A,#N/A,FALSE,"연료"}</definedName>
    <definedName name="WJRCL" localSheetId="42" hidden="1">{#N/A,#N/A,FALSE,"군산원가";#N/A,#N/A,FALSE,"팀별월별";#N/A,#N/A,FALSE,"타공정대체";#N/A,#N/A,FALSE,"기타경비";#N/A,#N/A,FALSE,"원료";#N/A,#N/A,FALSE,"연료"}</definedName>
    <definedName name="WJRCL" hidden="1">{#N/A,#N/A,FALSE,"군산원가";#N/A,#N/A,FALSE,"팀별월별";#N/A,#N/A,FALSE,"타공정대체";#N/A,#N/A,FALSE,"기타경비";#N/A,#N/A,FALSE,"원료";#N/A,#N/A,FALSE,"연료"}</definedName>
    <definedName name="wkgk" localSheetId="42" hidden="1">{#N/A,#N/A,FALSE,"BS";#N/A,#N/A,FALSE,"PL";#N/A,#N/A,FALSE,"처분";#N/A,#N/A,FALSE,"현금";#N/A,#N/A,FALSE,"매출";#N/A,#N/A,FALSE,"원가";#N/A,#N/A,FALSE,"경영"}</definedName>
    <definedName name="wkgk" hidden="1">{#N/A,#N/A,FALSE,"BS";#N/A,#N/A,FALSE,"PL";#N/A,#N/A,FALSE,"처분";#N/A,#N/A,FALSE,"현금";#N/A,#N/A,FALSE,"매출";#N/A,#N/A,FALSE,"원가";#N/A,#N/A,FALSE,"경영"}</definedName>
    <definedName name="wnwn" localSheetId="4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nwn"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O\\\\\\재료비" localSheetId="1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O\\\\\\재료비" localSheetId="4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O\\\\\\재료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owowowo" localSheetId="42" hidden="1">{#N/A,#N/A,FALSE,"BS";#N/A,#N/A,FALSE,"PL";#N/A,#N/A,FALSE,"처분";#N/A,#N/A,FALSE,"현금";#N/A,#N/A,FALSE,"매출";#N/A,#N/A,FALSE,"원가";#N/A,#N/A,FALSE,"경영"}</definedName>
    <definedName name="wowowowo" hidden="1">{#N/A,#N/A,FALSE,"BS";#N/A,#N/A,FALSE,"PL";#N/A,#N/A,FALSE,"처분";#N/A,#N/A,FALSE,"현금";#N/A,#N/A,FALSE,"매출";#N/A,#N/A,FALSE,"원가";#N/A,#N/A,FALSE,"경영"}</definedName>
    <definedName name="wrn.1" localSheetId="42" hidden="1">{#N/A,#N/A,FALSE,"2000";#N/A,#N/A,FALSE,"1999_1998"}</definedName>
    <definedName name="wrn.1" hidden="1">{#N/A,#N/A,FALSE,"2000";#N/A,#N/A,FALSE,"1999_1998"}</definedName>
    <definedName name="wrn.345." localSheetId="15" hidden="1">{#N/A,#N/A,FALSE,"96 3월물량표";#N/A,#N/A,FALSE,"96 4월물량표";#N/A,#N/A,FALSE,"96 5월물량표"}</definedName>
    <definedName name="wrn.345." localSheetId="6" hidden="1">{#N/A,#N/A,FALSE,"96 3월물량표";#N/A,#N/A,FALSE,"96 4월물량표";#N/A,#N/A,FALSE,"96 5월물량표"}</definedName>
    <definedName name="wrn.345." localSheetId="45" hidden="1">{#N/A,#N/A,FALSE,"96 3월물량표";#N/A,#N/A,FALSE,"96 4월물량표";#N/A,#N/A,FALSE,"96 5월물량표"}</definedName>
    <definedName name="wrn.345." localSheetId="42" hidden="1">{#N/A,#N/A,FALSE,"96 3월물량표";#N/A,#N/A,FALSE,"96 4월물량표";#N/A,#N/A,FALSE,"96 5월물량표"}</definedName>
    <definedName name="wrn.345." hidden="1">{#N/A,#N/A,FALSE,"96 3월물량표";#N/A,#N/A,FALSE,"96 4월물량표";#N/A,#N/A,FALSE,"96 5월물량표"}</definedName>
    <definedName name="wrn.5월사장단회의." localSheetId="15" hidden="1">{#N/A,#N/A,FALSE,"9905";#N/A,#N/A,FALSE,"5누적";#N/A,#N/A,FALSE,"99년trim (2)";#N/A,#N/A,FALSE,"Loss1(5)";#N/A,#N/A,FALSE,"Yield(5)";#N/A,#N/A,FALSE,"Sheet2"}</definedName>
    <definedName name="wrn.5월사장단회의." localSheetId="6" hidden="1">{#N/A,#N/A,FALSE,"9905";#N/A,#N/A,FALSE,"5누적";#N/A,#N/A,FALSE,"99년trim (2)";#N/A,#N/A,FALSE,"Loss1(5)";#N/A,#N/A,FALSE,"Yield(5)";#N/A,#N/A,FALSE,"Sheet2"}</definedName>
    <definedName name="wrn.5월사장단회의." localSheetId="45" hidden="1">{#N/A,#N/A,FALSE,"9905";#N/A,#N/A,FALSE,"5누적";#N/A,#N/A,FALSE,"99년trim (2)";#N/A,#N/A,FALSE,"Loss1(5)";#N/A,#N/A,FALSE,"Yield(5)";#N/A,#N/A,FALSE,"Sheet2"}</definedName>
    <definedName name="wrn.5월사장단회의." localSheetId="42" hidden="1">{#N/A,#N/A,FALSE,"9905";#N/A,#N/A,FALSE,"5누적";#N/A,#N/A,FALSE,"99년trim (2)";#N/A,#N/A,FALSE,"Loss1(5)";#N/A,#N/A,FALSE,"Yield(5)";#N/A,#N/A,FALSE,"Sheet2"}</definedName>
    <definedName name="wrn.5월사장단회의." hidden="1">{#N/A,#N/A,FALSE,"9905";#N/A,#N/A,FALSE,"5누적";#N/A,#N/A,FALSE,"99년trim (2)";#N/A,#N/A,FALSE,"Loss1(5)";#N/A,#N/A,FALSE,"Yield(5)";#N/A,#N/A,FALSE,"Sheet2"}</definedName>
    <definedName name="wrn.96사업계획." localSheetId="42" hidden="1">{#N/A,#N/A,FALSE,"96자동차사 계획";#N/A,#N/A,FALSE,"96자동차사 계획"}</definedName>
    <definedName name="wrn.96사업계획." hidden="1">{#N/A,#N/A,FALSE,"96자동차사 계획";#N/A,#N/A,FALSE,"96자동차사 계획"}</definedName>
    <definedName name="wrn.97." localSheetId="12" hidden="1">{#N/A,#N/A,FALSE,"지침";#N/A,#N/A,FALSE,"환경분석";#N/A,#N/A,FALSE,"Sheet16"}</definedName>
    <definedName name="wrn.97." localSheetId="42" hidden="1">{#N/A,#N/A,FALSE,"지침";#N/A,#N/A,FALSE,"환경분석";#N/A,#N/A,FALSE,"Sheet16"}</definedName>
    <definedName name="wrn.97." hidden="1">{#N/A,#N/A,FALSE,"지침";#N/A,#N/A,FALSE,"환경분석";#N/A,#N/A,FALSE,"Sheet16"}</definedName>
    <definedName name="wrn.aa." localSheetId="12" hidden="1">{#N/A,#N/A,FALSE,"UNIT";#N/A,#N/A,FALSE,"UNIT";#N/A,#N/A,FALSE,"계정"}</definedName>
    <definedName name="wrn.aa." localSheetId="42" hidden="1">{#N/A,#N/A,FALSE,"UNIT";#N/A,#N/A,FALSE,"UNIT";#N/A,#N/A,FALSE,"계정"}</definedName>
    <definedName name="wrn.aa." hidden="1">{#N/A,#N/A,FALSE,"UNIT";#N/A,#N/A,FALSE,"UNIT";#N/A,#N/A,FALSE,"계정"}</definedName>
    <definedName name="wrn.ACHESON94TAXRETURN." localSheetId="42" hidden="1">{#N/A,#N/A,FALSE,"일반적사항";#N/A,#N/A,FALSE,"주요재무자료";#N/A,#N/A,FALSE,"표지";#N/A,#N/A,FALSE,"총괄표";#N/A,#N/A,FALSE,"1호 과표세액";#N/A,#N/A,FALSE,"1-2호 농어촌과표";#N/A,#N/A,FALSE,"2호 서식";#N/A,#N/A,FALSE,"3(1)호 공제감면";#N/A,#N/A,FALSE,"임시특별감면";#N/A,#N/A,FALSE,"3(1)부7 기업합리";#N/A,#N/A,FALSE,"3(3)호(갑) 원천납부";#N/A,#N/A,FALSE,"5호 농어촌";#N/A,#N/A,FALSE,"6호 소득금액";#N/A,#N/A,FALSE,"6호 첨부(익)";#N/A,#N/A,FALSE,"6호 첨부(손)";#N/A,#N/A,FALSE,"6-1호 수입금액";#N/A,#N/A,FALSE,"6-3호 퇴충";#N/A,#N/A,FALSE,"6-3(4)호 대손";#N/A,#N/A,FALSE,"6-4호 접대(갑)";#N/A,#N/A,FALSE,"6-4호 접대(을)";#N/A,#N/A,FALSE,"6-6호(부표) 자본적지출";#N/A,#N/A,FALSE,"6-10호 재고자산";#N/A,#N/A,FALSE,"6-11호 세금과공과";#N/A,#N/A,FALSE,"6-12호 선급비용";#N/A,#N/A,FALSE,"6-14호 부동산보유";#N/A,#N/A,FALSE,"9호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wrn.ACHESON94TAXRETURN." hidden="1">{#N/A,#N/A,FALSE,"일반적사항";#N/A,#N/A,FALSE,"주요재무자료";#N/A,#N/A,FALSE,"표지";#N/A,#N/A,FALSE,"총괄표";#N/A,#N/A,FALSE,"1호 과표세액";#N/A,#N/A,FALSE,"1-2호 농어촌과표";#N/A,#N/A,FALSE,"2호 서식";#N/A,#N/A,FALSE,"3(1)호 공제감면";#N/A,#N/A,FALSE,"임시특별감면";#N/A,#N/A,FALSE,"3(1)부7 기업합리";#N/A,#N/A,FALSE,"3(3)호(갑) 원천납부";#N/A,#N/A,FALSE,"5호 농어촌";#N/A,#N/A,FALSE,"6호 소득금액";#N/A,#N/A,FALSE,"6호 첨부(익)";#N/A,#N/A,FALSE,"6호 첨부(손)";#N/A,#N/A,FALSE,"6-1호 수입금액";#N/A,#N/A,FALSE,"6-3호 퇴충";#N/A,#N/A,FALSE,"6-3(4)호 대손";#N/A,#N/A,FALSE,"6-4호 접대(갑)";#N/A,#N/A,FALSE,"6-4호 접대(을)";#N/A,#N/A,FALSE,"6-6호(부표) 자본적지출";#N/A,#N/A,FALSE,"6-10호 재고자산";#N/A,#N/A,FALSE,"6-11호 세금과공과";#N/A,#N/A,FALSE,"6-12호 선급비용";#N/A,#N/A,FALSE,"6-14호 부동산보유";#N/A,#N/A,FALSE,"9호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wrn.adj95." localSheetId="15" hidden="1">{"adj95mult",#N/A,FALSE,"COMPCO";"adj95est",#N/A,FALSE,"COMPCO"}</definedName>
    <definedName name="wrn.adj95." localSheetId="6" hidden="1">{"adj95mult",#N/A,FALSE,"COMPCO";"adj95est",#N/A,FALSE,"COMPCO"}</definedName>
    <definedName name="wrn.adj95." localSheetId="45" hidden="1">{"adj95mult",#N/A,FALSE,"COMPCO";"adj95est",#N/A,FALSE,"COMPCO"}</definedName>
    <definedName name="wrn.adj95." localSheetId="42" hidden="1">{"adj95mult",#N/A,FALSE,"COMPCO";"adj95est",#N/A,FALSE,"COMPCO"}</definedName>
    <definedName name="wrn.adj95." hidden="1">{"adj95mult",#N/A,FALSE,"COMPCO";"adj95est",#N/A,FALSE,"COMPCO"}</definedName>
    <definedName name="wrn.Aging._.and._.Trend._.Analysis." localSheetId="12" hidden="1">{#N/A,#N/A,FALSE,"Aging Summary";#N/A,#N/A,FALSE,"Ratio Analysis";#N/A,#N/A,FALSE,"Test 120 Day Accts";#N/A,#N/A,FALSE,"Tickmarks"}</definedName>
    <definedName name="wrn.Aging._.and._.Trend._.Analysis." localSheetId="15" hidden="1">{#N/A,#N/A,FALSE,"Aging Summary";#N/A,#N/A,FALSE,"Ratio Analysis";#N/A,#N/A,FALSE,"Test 120 Day Accts";#N/A,#N/A,FALSE,"Tickmarks"}</definedName>
    <definedName name="wrn.Aging._.and._.Trend._.Analysis." localSheetId="6" hidden="1">{#N/A,#N/A,FALSE,"Aging Summary";#N/A,#N/A,FALSE,"Ratio Analysis";#N/A,#N/A,FALSE,"Test 120 Day Accts";#N/A,#N/A,FALSE,"Tickmarks"}</definedName>
    <definedName name="wrn.Aging._.and._.Trend._.Analysis." localSheetId="45" hidden="1">{#N/A,#N/A,FALSE,"Aging Summary";#N/A,#N/A,FALSE,"Ratio Analysis";#N/A,#N/A,FALSE,"Test 120 Day Accts";#N/A,#N/A,FALSE,"Tickmarks"}</definedName>
    <definedName name="wrn.Aging._.and._.Trend._.Analysis." localSheetId="42"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ksdjk" localSheetId="42" hidden="1">{"adj95mult",#N/A,FALSE,"COMPCO";"adj95est",#N/A,FALSE,"COMPCO"}</definedName>
    <definedName name="wrn.aksdjk" hidden="1">{"adj95mult",#N/A,FALSE,"COMPCO";"adj95est",#N/A,FALSE,"COMPCO"}</definedName>
    <definedName name="wrn.BL94TAXRETURN." localSheetId="42"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wrn.BL94TAXRETURN."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wrn.CIC94TAX." localSheetId="12" hidden="1">{#N/A,#N/A,FALSE,"일반적사항";#N/A,#N/A,FALSE,"주요재무자료";#N/A,#N/A,FALSE,"표지";#N/A,#N/A,FALSE,"총괄표";#N/A,#N/A,FALSE,"1호 과표세액";#N/A,#N/A,FALSE,"2호 서식";#N/A,#N/A,FALSE,"3(3)호(갑) 원천납부";#N/A,#N/A,FALSE,"6호 소득금액";#N/A,#N/A,FALSE,"6호 첨부(익)";#N/A,#N/A,FALSE,"6호 첨부(익)";#N/A,#N/A,FALSE,"6호 첨부(손)";#N/A,#N/A,FALSE,"6-1호 수입금액";#N/A,#N/A,FALSE,"6-3호 퇴충";#N/A,#N/A,FALSE,"6-4호 접대(갑)";#N/A,#N/A,FALSE,"6-4호 접대(을)";#N/A,#N/A,FALSE,"감가총괄";#N/A,#N/A,FALSE,"6-6(3)호 감가(정액)";#N/A,#N/A,FALSE,"전기부인액추인";#N/A,#N/A,FALSE,"6-6호(부표) 자본적지출";#N/A,#N/A,FALSE,"6-10호 재고자산";#N/A,#N/A,FALSE,"6-11호 세금과공과";#N/A,#N/A,FALSE,"6-12호 선급비용";#N/A,#N/A,FALSE,"9호 자본금(갑)";#N/A,#N/A,FALSE,"9호 자본금(을)";#N/A,#N/A,FALSE,"10(4)호 조정수입";#N/A,#N/A,FALSE,"59호 해외특수"}</definedName>
    <definedName name="wrn.CIC94TAX." localSheetId="42" hidden="1">{#N/A,#N/A,FALSE,"일반적사항";#N/A,#N/A,FALSE,"주요재무자료";#N/A,#N/A,FALSE,"표지";#N/A,#N/A,FALSE,"총괄표";#N/A,#N/A,FALSE,"1호 과표세액";#N/A,#N/A,FALSE,"2호 서식";#N/A,#N/A,FALSE,"3(3)호(갑) 원천납부";#N/A,#N/A,FALSE,"6호 소득금액";#N/A,#N/A,FALSE,"6호 첨부(익)";#N/A,#N/A,FALSE,"6호 첨부(익)";#N/A,#N/A,FALSE,"6호 첨부(손)";#N/A,#N/A,FALSE,"6-1호 수입금액";#N/A,#N/A,FALSE,"6-3호 퇴충";#N/A,#N/A,FALSE,"6-4호 접대(갑)";#N/A,#N/A,FALSE,"6-4호 접대(을)";#N/A,#N/A,FALSE,"감가총괄";#N/A,#N/A,FALSE,"6-6(3)호 감가(정액)";#N/A,#N/A,FALSE,"전기부인액추인";#N/A,#N/A,FALSE,"6-6호(부표) 자본적지출";#N/A,#N/A,FALSE,"6-10호 재고자산";#N/A,#N/A,FALSE,"6-11호 세금과공과";#N/A,#N/A,FALSE,"6-12호 선급비용";#N/A,#N/A,FALSE,"9호 자본금(갑)";#N/A,#N/A,FALSE,"9호 자본금(을)";#N/A,#N/A,FALSE,"10(4)호 조정수입";#N/A,#N/A,FALSE,"59호 해외특수"}</definedName>
    <definedName name="wrn.CIC94TAX." hidden="1">{#N/A,#N/A,FALSE,"일반적사항";#N/A,#N/A,FALSE,"주요재무자료";#N/A,#N/A,FALSE,"표지";#N/A,#N/A,FALSE,"총괄표";#N/A,#N/A,FALSE,"1호 과표세액";#N/A,#N/A,FALSE,"2호 서식";#N/A,#N/A,FALSE,"3(3)호(갑) 원천납부";#N/A,#N/A,FALSE,"6호 소득금액";#N/A,#N/A,FALSE,"6호 첨부(익)";#N/A,#N/A,FALSE,"6호 첨부(익)";#N/A,#N/A,FALSE,"6호 첨부(손)";#N/A,#N/A,FALSE,"6-1호 수입금액";#N/A,#N/A,FALSE,"6-3호 퇴충";#N/A,#N/A,FALSE,"6-4호 접대(갑)";#N/A,#N/A,FALSE,"6-4호 접대(을)";#N/A,#N/A,FALSE,"감가총괄";#N/A,#N/A,FALSE,"6-6(3)호 감가(정액)";#N/A,#N/A,FALSE,"전기부인액추인";#N/A,#N/A,FALSE,"6-6호(부표) 자본적지출";#N/A,#N/A,FALSE,"6-10호 재고자산";#N/A,#N/A,FALSE,"6-11호 세금과공과";#N/A,#N/A,FALSE,"6-12호 선급비용";#N/A,#N/A,FALSE,"9호 자본금(갑)";#N/A,#N/A,FALSE,"9호 자본금(을)";#N/A,#N/A,FALSE,"10(4)호 조정수입";#N/A,#N/A,FALSE,"59호 해외특수"}</definedName>
    <definedName name="wrn.COMMISSION." localSheetId="15" hidden="1">{"FORM17",#N/A,FALSE,"Commission1";"FORM17.1",#N/A,FALSE,"Commission2"}</definedName>
    <definedName name="wrn.COMMISSION." localSheetId="6" hidden="1">{"FORM17",#N/A,FALSE,"Commission1";"FORM17.1",#N/A,FALSE,"Commission2"}</definedName>
    <definedName name="wrn.COMMISSION." localSheetId="45" hidden="1">{"FORM17",#N/A,FALSE,"Commission1";"FORM17.1",#N/A,FALSE,"Commission2"}</definedName>
    <definedName name="wrn.COMMISSION." localSheetId="42" hidden="1">{"FORM17",#N/A,FALSE,"Commission1";"FORM17.1",#N/A,FALSE,"Commission2"}</definedName>
    <definedName name="wrn.COMMISSION." hidden="1">{"FORM17",#N/A,FALSE,"Commission1";"FORM17.1",#N/A,FALSE,"Commission2"}</definedName>
    <definedName name="wrn.compco." localSheetId="15" hidden="1">{"mult96",#N/A,FALSE,"PETCOMP";"est96",#N/A,FALSE,"PETCOMP";"mult95",#N/A,FALSE,"PETCOMP";"est95",#N/A,FALSE,"PETCOMP";"multltm",#N/A,FALSE,"PETCOMP";"resultltm",#N/A,FALSE,"PETCOMP"}</definedName>
    <definedName name="wrn.compco." localSheetId="6" hidden="1">{"mult96",#N/A,FALSE,"PETCOMP";"est96",#N/A,FALSE,"PETCOMP";"mult95",#N/A,FALSE,"PETCOMP";"est95",#N/A,FALSE,"PETCOMP";"multltm",#N/A,FALSE,"PETCOMP";"resultltm",#N/A,FALSE,"PETCOMP"}</definedName>
    <definedName name="wrn.compco." localSheetId="45" hidden="1">{"mult96",#N/A,FALSE,"PETCOMP";"est96",#N/A,FALSE,"PETCOMP";"mult95",#N/A,FALSE,"PETCOMP";"est95",#N/A,FALSE,"PETCOMP";"multltm",#N/A,FALSE,"PETCOMP";"resultltm",#N/A,FALSE,"PETCOMP"}</definedName>
    <definedName name="wrn.compco." localSheetId="42" hidden="1">{"mult96",#N/A,FALSE,"PETCOMP";"est96",#N/A,FALSE,"PETCOMP";"mult95",#N/A,FALSE,"PETCOMP";"est95",#N/A,FALSE,"PETCOMP";"multltm",#N/A,FALSE,"PETCOMP";"resultltm",#N/A,FALSE,"PETCOMP"}</definedName>
    <definedName name="wrn.compco." hidden="1">{"mult96",#N/A,FALSE,"PETCOMP";"est96",#N/A,FALSE,"PETCOMP";"mult95",#N/A,FALSE,"PETCOMP";"est95",#N/A,FALSE,"PETCOMP";"multltm",#N/A,FALSE,"PETCOMP";"resultltm",#N/A,FALSE,"PETCOMP"}</definedName>
    <definedName name="wrn.COSA._.FS._.국문." localSheetId="15" hidden="1">{#N/A,#N/A,FALSE,"BS";#N/A,#N/A,FALSE,"PL";#N/A,#N/A,FALSE,"처분";#N/A,#N/A,FALSE,"현금";#N/A,#N/A,FALSE,"매출";#N/A,#N/A,FALSE,"원가";#N/A,#N/A,FALSE,"경영"}</definedName>
    <definedName name="wrn.COSA._.FS._.국문." localSheetId="6" hidden="1">{#N/A,#N/A,FALSE,"BS";#N/A,#N/A,FALSE,"PL";#N/A,#N/A,FALSE,"처분";#N/A,#N/A,FALSE,"현금";#N/A,#N/A,FALSE,"매출";#N/A,#N/A,FALSE,"원가";#N/A,#N/A,FALSE,"경영"}</definedName>
    <definedName name="wrn.COSA._.FS._.국문." localSheetId="45" hidden="1">{#N/A,#N/A,FALSE,"BS";#N/A,#N/A,FALSE,"PL";#N/A,#N/A,FALSE,"처분";#N/A,#N/A,FALSE,"현금";#N/A,#N/A,FALSE,"매출";#N/A,#N/A,FALSE,"원가";#N/A,#N/A,FALSE,"경영"}</definedName>
    <definedName name="wrn.COSA._.FS._.국문." localSheetId="42" hidden="1">{#N/A,#N/A,FALSE,"BS";#N/A,#N/A,FALSE,"PL";#N/A,#N/A,FALSE,"처분";#N/A,#N/A,FALSE,"현금";#N/A,#N/A,FALSE,"매출";#N/A,#N/A,FALSE,"원가";#N/A,#N/A,FALSE,"경영"}</definedName>
    <definedName name="wrn.COSA._.FS._.국문." hidden="1">{#N/A,#N/A,FALSE,"BS";#N/A,#N/A,FALSE,"PL";#N/A,#N/A,FALSE,"처분";#N/A,#N/A,FALSE,"현금";#N/A,#N/A,FALSE,"매출";#N/A,#N/A,FALSE,"원가";#N/A,#N/A,FALSE,"경영"}</definedName>
    <definedName name="wrn.COSA94TAXRETURN." localSheetId="15"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OSA94TAXRETURN." localSheetId="6"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OSA94TAXRETURN." localSheetId="45"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OSA94TAXRETURN." localSheetId="4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OSA94TAXRETURN."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riteria.95p." localSheetId="15" hidden="1">{#N/A,#N/A,FALSE,"1.CRITERIA";#N/A,#N/A,FALSE,"2.IS";#N/A,#N/A,FALSE,"3.BS";#N/A,#N/A,FALSE,"4.PER PL";#N/A,#N/A,FALSE,"5.INVESTMENT";#N/A,#N/A,FALSE,"6.공문";#N/A,#N/A,FALSE,"7.netinvest"}</definedName>
    <definedName name="wrn.criteria.95p." localSheetId="6" hidden="1">{#N/A,#N/A,FALSE,"1.CRITERIA";#N/A,#N/A,FALSE,"2.IS";#N/A,#N/A,FALSE,"3.BS";#N/A,#N/A,FALSE,"4.PER PL";#N/A,#N/A,FALSE,"5.INVESTMENT";#N/A,#N/A,FALSE,"6.공문";#N/A,#N/A,FALSE,"7.netinvest"}</definedName>
    <definedName name="wrn.criteria.95p." localSheetId="45" hidden="1">{#N/A,#N/A,FALSE,"1.CRITERIA";#N/A,#N/A,FALSE,"2.IS";#N/A,#N/A,FALSE,"3.BS";#N/A,#N/A,FALSE,"4.PER PL";#N/A,#N/A,FALSE,"5.INVESTMENT";#N/A,#N/A,FALSE,"6.공문";#N/A,#N/A,FALSE,"7.netinvest"}</definedName>
    <definedName name="wrn.criteria.95p." localSheetId="42" hidden="1">{#N/A,#N/A,FALSE,"1.CRITERIA";#N/A,#N/A,FALSE,"2.IS";#N/A,#N/A,FALSE,"3.BS";#N/A,#N/A,FALSE,"4.PER PL";#N/A,#N/A,FALSE,"5.INVESTMENT";#N/A,#N/A,FALSE,"6.공문";#N/A,#N/A,FALSE,"7.netinvest"}</definedName>
    <definedName name="wrn.criteria.95p." hidden="1">{#N/A,#N/A,FALSE,"1.CRITERIA";#N/A,#N/A,FALSE,"2.IS";#N/A,#N/A,FALSE,"3.BS";#N/A,#N/A,FALSE,"4.PER PL";#N/A,#N/A,FALSE,"5.INVESTMENT";#N/A,#N/A,FALSE,"6.공문";#N/A,#N/A,FALSE,"7.netinvest"}</definedName>
    <definedName name="wrn.DACOM._.광전송장치._.투찰가._.검토." localSheetId="12" hidden="1">{#N/A,#N/A,FALSE,"DAOCM 2차 검토"}</definedName>
    <definedName name="wrn.DACOM._.광전송장치._.투찰가._.검토." localSheetId="15" hidden="1">{#N/A,#N/A,FALSE,"DAOCM 2차 검토"}</definedName>
    <definedName name="wrn.DACOM._.광전송장치._.투찰가._.검토." localSheetId="6" hidden="1">{#N/A,#N/A,FALSE,"DAOCM 2차 검토"}</definedName>
    <definedName name="wrn.DACOM._.광전송장치._.투찰가._.검토." localSheetId="45" hidden="1">{#N/A,#N/A,FALSE,"DAOCM 2차 검토"}</definedName>
    <definedName name="wrn.DACOM._.광전송장치._.투찰가._.검토." localSheetId="42" hidden="1">{#N/A,#N/A,FALSE,"DAOCM 2차 검토"}</definedName>
    <definedName name="wrn.DACOM._.광전송장치._.투찰가._.검토." hidden="1">{#N/A,#N/A,FALSE,"DAOCM 2차 검토"}</definedName>
    <definedName name="wrn.dd" localSheetId="4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dd"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DDD." localSheetId="1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DD." localSheetId="4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D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Economic._.Value._.Added._.Analysis." localSheetId="15" hidden="1">{"EVA",#N/A,FALSE,"EVA";"WACC",#N/A,FALSE,"WACC"}</definedName>
    <definedName name="wrn.Economic._.Value._.Added._.Analysis." localSheetId="6" hidden="1">{"EVA",#N/A,FALSE,"EVA";"WACC",#N/A,FALSE,"WACC"}</definedName>
    <definedName name="wrn.Economic._.Value._.Added._.Analysis." localSheetId="45" hidden="1">{"EVA",#N/A,FALSE,"EVA";"WACC",#N/A,FALSE,"WACC"}</definedName>
    <definedName name="wrn.Economic._.Value._.Added._.Analysis." localSheetId="42" hidden="1">{"EVA",#N/A,FALSE,"EVA";"WACC",#N/A,FALSE,"WACC"}</definedName>
    <definedName name="wrn.Economic._.Value._.Added._.Analysis." hidden="1">{"EVA",#N/A,FALSE,"EVA";"WACC",#N/A,FALSE,"WACC"}</definedName>
    <definedName name="wrn.exco." localSheetId="15" hidden="1">{#N/A,#N/A,FALSE,"Yield";#N/A,#N/A,FALSE,"Loss1";#N/A,#N/A,FALSE,"Loss2";#N/A,#N/A,FALSE,"Hour-Labor(배분)";#N/A,#N/A,FALSE,"Capital Expenditure";#N/A,#N/A,FALSE,"Productivity"}</definedName>
    <definedName name="wrn.exco." localSheetId="6" hidden="1">{#N/A,#N/A,FALSE,"Yield";#N/A,#N/A,FALSE,"Loss1";#N/A,#N/A,FALSE,"Loss2";#N/A,#N/A,FALSE,"Hour-Labor(배분)";#N/A,#N/A,FALSE,"Capital Expenditure";#N/A,#N/A,FALSE,"Productivity"}</definedName>
    <definedName name="wrn.exco." localSheetId="45" hidden="1">{#N/A,#N/A,FALSE,"Yield";#N/A,#N/A,FALSE,"Loss1";#N/A,#N/A,FALSE,"Loss2";#N/A,#N/A,FALSE,"Hour-Labor(배분)";#N/A,#N/A,FALSE,"Capital Expenditure";#N/A,#N/A,FALSE,"Productivity"}</definedName>
    <definedName name="wrn.exco." localSheetId="42" hidden="1">{#N/A,#N/A,FALSE,"Yield";#N/A,#N/A,FALSE,"Loss1";#N/A,#N/A,FALSE,"Loss2";#N/A,#N/A,FALSE,"Hour-Labor(배분)";#N/A,#N/A,FALSE,"Capital Expenditure";#N/A,#N/A,FALSE,"Productivity"}</definedName>
    <definedName name="wrn.exco." hidden="1">{#N/A,#N/A,FALSE,"Yield";#N/A,#N/A,FALSE,"Loss1";#N/A,#N/A,FALSE,"Loss2";#N/A,#N/A,FALSE,"Hour-Labor(배분)";#N/A,#N/A,FALSE,"Capital Expenditure";#N/A,#N/A,FALSE,"Productivity"}</definedName>
    <definedName name="wrn.EXCO1월loss현황분석자료." localSheetId="15" hidden="1">{#N/A,#N/A,FALSE,"98소지이동TOTvs99.1 (2)";#N/A,#N/A,FALSE,"TOTAL";#N/A,#N/A,FALSE,"98소지이동TOTvs99.1(b) (2)"}</definedName>
    <definedName name="wrn.EXCO1월loss현황분석자료." localSheetId="6" hidden="1">{#N/A,#N/A,FALSE,"98소지이동TOTvs99.1 (2)";#N/A,#N/A,FALSE,"TOTAL";#N/A,#N/A,FALSE,"98소지이동TOTvs99.1(b) (2)"}</definedName>
    <definedName name="wrn.EXCO1월loss현황분석자료." localSheetId="45" hidden="1">{#N/A,#N/A,FALSE,"98소지이동TOTvs99.1 (2)";#N/A,#N/A,FALSE,"TOTAL";#N/A,#N/A,FALSE,"98소지이동TOTvs99.1(b) (2)"}</definedName>
    <definedName name="wrn.EXCO1월loss현황분석자료." localSheetId="42" hidden="1">{#N/A,#N/A,FALSE,"98소지이동TOTvs99.1 (2)";#N/A,#N/A,FALSE,"TOTAL";#N/A,#N/A,FALSE,"98소지이동TOTvs99.1(b) (2)"}</definedName>
    <definedName name="wrn.EXCO1월loss현황분석자료." hidden="1">{#N/A,#N/A,FALSE,"98소지이동TOTvs99.1 (2)";#N/A,#N/A,FALSE,"TOTAL";#N/A,#N/A,FALSE,"98소지이동TOTvs99.1(b) (2)"}</definedName>
    <definedName name="wrn.IFF94TAX." localSheetId="12" hidden="1">{#N/A,#N/A,FALSE,"일반적사항";#N/A,#N/A,FALSE,"주요재무자료";#N/A,#N/A,FALSE,"표지";#N/A,#N/A,FALSE,"총괄표";#N/A,#N/A,FALSE,"1호 과표세액";#N/A,#N/A,FALSE,"2호 서식";#N/A,#N/A,FALSE,"3(3)호(갑) 원천납부";#N/A,#N/A,FALSE,"6호 소득금액";#N/A,#N/A,FALSE,"6호 첨부(익)";#N/A,#N/A,FALSE,"6호 첨부(손)";#N/A,#N/A,FALSE,"6-1호 수입금액";#N/A,#N/A,FALSE,"6-3호 퇴충";#N/A,#N/A,FALSE,"6-4호 접대(갑)";#N/A,#N/A,FALSE,"6-4호 접대(을)";#N/A,#N/A,FALSE,"6-5 갑 외화";#N/A,#N/A,FALSE,"6-5을 외화";#N/A,#N/A,FALSE,"감가총괄";#N/A,#N/A,FALSE,"전기부인액추인";#N/A,#N/A,FALSE,"6-6호(부표) 자본적지출";#N/A,#N/A,FALSE,"6-11호 세금과공과";#N/A,#N/A,FALSE,"6-12호 선급비용";#N/A,#N/A,FALSE,"9호 자본금(갑)";#N/A,#N/A,FALSE,"9호 자본금(을)";#N/A,#N/A,FALSE,"10(3)호 주요계정";#N/A,#N/A,FALSE,"10(4)호 조정수입";#N/A,#N/A,FALSE,"12호 중소검토";#N/A,#N/A,FALSE,"14(1) 주주이동(갑)";#N/A,#N/A,FALSE,"59호 해외특수";#N/A,#N/A,FALSE,"해외명세";#N/A,#N/A,FALSE,"요약 BS";#N/A,#N/A,FALSE,"요약RE";#N/A,#N/A,FALSE,"요약 PL"}</definedName>
    <definedName name="wrn.IFF94TAX." localSheetId="42" hidden="1">{#N/A,#N/A,FALSE,"일반적사항";#N/A,#N/A,FALSE,"주요재무자료";#N/A,#N/A,FALSE,"표지";#N/A,#N/A,FALSE,"총괄표";#N/A,#N/A,FALSE,"1호 과표세액";#N/A,#N/A,FALSE,"2호 서식";#N/A,#N/A,FALSE,"3(3)호(갑) 원천납부";#N/A,#N/A,FALSE,"6호 소득금액";#N/A,#N/A,FALSE,"6호 첨부(익)";#N/A,#N/A,FALSE,"6호 첨부(손)";#N/A,#N/A,FALSE,"6-1호 수입금액";#N/A,#N/A,FALSE,"6-3호 퇴충";#N/A,#N/A,FALSE,"6-4호 접대(갑)";#N/A,#N/A,FALSE,"6-4호 접대(을)";#N/A,#N/A,FALSE,"6-5 갑 외화";#N/A,#N/A,FALSE,"6-5을 외화";#N/A,#N/A,FALSE,"감가총괄";#N/A,#N/A,FALSE,"전기부인액추인";#N/A,#N/A,FALSE,"6-6호(부표) 자본적지출";#N/A,#N/A,FALSE,"6-11호 세금과공과";#N/A,#N/A,FALSE,"6-12호 선급비용";#N/A,#N/A,FALSE,"9호 자본금(갑)";#N/A,#N/A,FALSE,"9호 자본금(을)";#N/A,#N/A,FALSE,"10(3)호 주요계정";#N/A,#N/A,FALSE,"10(4)호 조정수입";#N/A,#N/A,FALSE,"12호 중소검토";#N/A,#N/A,FALSE,"14(1) 주주이동(갑)";#N/A,#N/A,FALSE,"59호 해외특수";#N/A,#N/A,FALSE,"해외명세";#N/A,#N/A,FALSE,"요약 BS";#N/A,#N/A,FALSE,"요약RE";#N/A,#N/A,FALSE,"요약 PL"}</definedName>
    <definedName name="wrn.IFF94TAX." hidden="1">{#N/A,#N/A,FALSE,"일반적사항";#N/A,#N/A,FALSE,"주요재무자료";#N/A,#N/A,FALSE,"표지";#N/A,#N/A,FALSE,"총괄표";#N/A,#N/A,FALSE,"1호 과표세액";#N/A,#N/A,FALSE,"2호 서식";#N/A,#N/A,FALSE,"3(3)호(갑) 원천납부";#N/A,#N/A,FALSE,"6호 소득금액";#N/A,#N/A,FALSE,"6호 첨부(익)";#N/A,#N/A,FALSE,"6호 첨부(손)";#N/A,#N/A,FALSE,"6-1호 수입금액";#N/A,#N/A,FALSE,"6-3호 퇴충";#N/A,#N/A,FALSE,"6-4호 접대(갑)";#N/A,#N/A,FALSE,"6-4호 접대(을)";#N/A,#N/A,FALSE,"6-5 갑 외화";#N/A,#N/A,FALSE,"6-5을 외화";#N/A,#N/A,FALSE,"감가총괄";#N/A,#N/A,FALSE,"전기부인액추인";#N/A,#N/A,FALSE,"6-6호(부표) 자본적지출";#N/A,#N/A,FALSE,"6-11호 세금과공과";#N/A,#N/A,FALSE,"6-12호 선급비용";#N/A,#N/A,FALSE,"9호 자본금(갑)";#N/A,#N/A,FALSE,"9호 자본금(을)";#N/A,#N/A,FALSE,"10(3)호 주요계정";#N/A,#N/A,FALSE,"10(4)호 조정수입";#N/A,#N/A,FALSE,"12호 중소검토";#N/A,#N/A,FALSE,"14(1) 주주이동(갑)";#N/A,#N/A,FALSE,"59호 해외특수";#N/A,#N/A,FALSE,"해외명세";#N/A,#N/A,FALSE,"요약 BS";#N/A,#N/A,FALSE,"요약RE";#N/A,#N/A,FALSE,"요약 PL"}</definedName>
    <definedName name="wrn.imprim." hidden="1">{#N/A,#N/A,TRUE,"COFTOT"}</definedName>
    <definedName name="wrn.jck94TAXRETURN." localSheetId="1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 localSheetId="15"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 localSheetId="6"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 localSheetId="45"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 localSheetId="4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Lead._.Schedule." localSheetId="15" hidden="1">{#N/A,#N/A,FALSE,"BS";#N/A,#N/A,FALSE,"PL";#N/A,#N/A,FALSE,"A";#N/A,#N/A,FALSE,"B";#N/A,#N/A,FALSE,"B1";#N/A,#N/A,FALSE,"C";#N/A,#N/A,FALSE,"C1";#N/A,#N/A,FALSE,"C2";#N/A,#N/A,FALSE,"D";#N/A,#N/A,FALSE,"E";#N/A,#N/A,FALSE,"F";#N/A,#N/A,FALSE,"AA";#N/A,#N/A,FALSE,"BB";#N/A,#N/A,FALSE,"CC";#N/A,#N/A,FALSE,"DD";#N/A,#N/A,FALSE,"EE";#N/A,#N/A,FALSE,"FF";#N/A,#N/A,FALSE,"PL10";#N/A,#N/A,FALSE,"PL20";#N/A,#N/A,FALSE,"PL30"}</definedName>
    <definedName name="wrn.Lead._.Schedule." localSheetId="6" hidden="1">{#N/A,#N/A,FALSE,"BS";#N/A,#N/A,FALSE,"PL";#N/A,#N/A,FALSE,"A";#N/A,#N/A,FALSE,"B";#N/A,#N/A,FALSE,"B1";#N/A,#N/A,FALSE,"C";#N/A,#N/A,FALSE,"C1";#N/A,#N/A,FALSE,"C2";#N/A,#N/A,FALSE,"D";#N/A,#N/A,FALSE,"E";#N/A,#N/A,FALSE,"F";#N/A,#N/A,FALSE,"AA";#N/A,#N/A,FALSE,"BB";#N/A,#N/A,FALSE,"CC";#N/A,#N/A,FALSE,"DD";#N/A,#N/A,FALSE,"EE";#N/A,#N/A,FALSE,"FF";#N/A,#N/A,FALSE,"PL10";#N/A,#N/A,FALSE,"PL20";#N/A,#N/A,FALSE,"PL30"}</definedName>
    <definedName name="wrn.Lead._.Schedule." localSheetId="45" hidden="1">{#N/A,#N/A,FALSE,"BS";#N/A,#N/A,FALSE,"PL";#N/A,#N/A,FALSE,"A";#N/A,#N/A,FALSE,"B";#N/A,#N/A,FALSE,"B1";#N/A,#N/A,FALSE,"C";#N/A,#N/A,FALSE,"C1";#N/A,#N/A,FALSE,"C2";#N/A,#N/A,FALSE,"D";#N/A,#N/A,FALSE,"E";#N/A,#N/A,FALSE,"F";#N/A,#N/A,FALSE,"AA";#N/A,#N/A,FALSE,"BB";#N/A,#N/A,FALSE,"CC";#N/A,#N/A,FALSE,"DD";#N/A,#N/A,FALSE,"EE";#N/A,#N/A,FALSE,"FF";#N/A,#N/A,FALSE,"PL10";#N/A,#N/A,FALSE,"PL20";#N/A,#N/A,FALSE,"PL30"}</definedName>
    <definedName name="wrn.Lead._.Schedule." localSheetId="42" hidden="1">{#N/A,#N/A,FALSE,"BS";#N/A,#N/A,FALSE,"PL";#N/A,#N/A,FALSE,"A";#N/A,#N/A,FALSE,"B";#N/A,#N/A,FALSE,"B1";#N/A,#N/A,FALSE,"C";#N/A,#N/A,FALSE,"C1";#N/A,#N/A,FALSE,"C2";#N/A,#N/A,FALSE,"D";#N/A,#N/A,FALSE,"E";#N/A,#N/A,FALSE,"F";#N/A,#N/A,FALSE,"AA";#N/A,#N/A,FALSE,"BB";#N/A,#N/A,FALSE,"CC";#N/A,#N/A,FALSE,"DD";#N/A,#N/A,FALSE,"EE";#N/A,#N/A,FALSE,"FF";#N/A,#N/A,FALSE,"PL10";#N/A,#N/A,FALSE,"PL20";#N/A,#N/A,FALSE,"PL30"}</definedName>
    <definedName name="wrn.Lead._.Schedule." hidden="1">{#N/A,#N/A,FALSE,"BS";#N/A,#N/A,FALSE,"PL";#N/A,#N/A,FALSE,"A";#N/A,#N/A,FALSE,"B";#N/A,#N/A,FALSE,"B1";#N/A,#N/A,FALSE,"C";#N/A,#N/A,FALSE,"C1";#N/A,#N/A,FALSE,"C2";#N/A,#N/A,FALSE,"D";#N/A,#N/A,FALSE,"E";#N/A,#N/A,FALSE,"F";#N/A,#N/A,FALSE,"AA";#N/A,#N/A,FALSE,"BB";#N/A,#N/A,FALSE,"CC";#N/A,#N/A,FALSE,"DD";#N/A,#N/A,FALSE,"EE";#N/A,#N/A,FALSE,"FF";#N/A,#N/A,FALSE,"PL10";#N/A,#N/A,FALSE,"PL20";#N/A,#N/A,FALSE,"PL30"}</definedName>
    <definedName name="wrn.oa" localSheetId="42" hidden="1">{"DCF","UPSIDE CASE",FALSE,"Sheet1";"DCF","BASE CASE",FALSE,"Sheet1";"DCF","DOWNSIDE CASE",FALSE,"Sheet1"}</definedName>
    <definedName name="wrn.oa" hidden="1">{"DCF","UPSIDE CASE",FALSE,"Sheet1";"DCF","BASE CASE",FALSE,"Sheet1";"DCF","DOWNSIDE CASE",FALSE,"Sheet1"}</definedName>
    <definedName name="wrn.Oas" localSheetId="42" hidden="1">{"DCF","UPSIDE CASE",FALSE,"Sheet1";"DCF","BASE CASE",FALSE,"Sheet1";"DCF","DOWNSIDE CASE",FALSE,"Sheet1"}</definedName>
    <definedName name="wrn.Oas" hidden="1">{"DCF","UPSIDE CASE",FALSE,"Sheet1";"DCF","BASE CASE",FALSE,"Sheet1";"DCF","DOWNSIDE CASE",FALSE,"Sheet1"}</definedName>
    <definedName name="wrn.OUTPUT." localSheetId="15" hidden="1">{"DCF","UPSIDE CASE",FALSE,"Sheet1";"DCF","BASE CASE",FALSE,"Sheet1";"DCF","DOWNSIDE CASE",FALSE,"Sheet1"}</definedName>
    <definedName name="wrn.OUTPUT." localSheetId="6" hidden="1">{"DCF","UPSIDE CASE",FALSE,"Sheet1";"DCF","BASE CASE",FALSE,"Sheet1";"DCF","DOWNSIDE CASE",FALSE,"Sheet1"}</definedName>
    <definedName name="wrn.OUTPUT." localSheetId="45" hidden="1">{"DCF","UPSIDE CASE",FALSE,"Sheet1";"DCF","BASE CASE",FALSE,"Sheet1";"DCF","DOWNSIDE CASE",FALSE,"Sheet1"}</definedName>
    <definedName name="wrn.OUTPUT." localSheetId="42" hidden="1">{"DCF","UPSIDE CASE",FALSE,"Sheet1";"DCF","BASE CASE",FALSE,"Sheet1";"DCF","DOWNSIDE CASE",FALSE,"Sheet1"}</definedName>
    <definedName name="wrn.OUTPUT." hidden="1">{"DCF","UPSIDE CASE",FALSE,"Sheet1";"DCF","BASE CASE",FALSE,"Sheet1";"DCF","DOWNSIDE CASE",FALSE,"Sheet1"}</definedName>
    <definedName name="wrn.PAIM._.TAX._.PRO." localSheetId="12"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wrn.PAIM._.TAX._.PRO." localSheetId="42"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wrn.PAIM._.TAX._.PRO."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wrn.PERSONNEL." localSheetId="15" hidden="1">{"FORM16",#N/A,TRUE,"Personnel1";"FORM16.2",#N/A,TRUE,"Personnel2";"FORM16.2",#N/A,TRUE,"Personnel3";"FORM16.3",#N/A,TRUE,"Personnel4";"FORM16.4",#N/A,TRUE,"Personnel5"}</definedName>
    <definedName name="wrn.PERSONNEL." localSheetId="6" hidden="1">{"FORM16",#N/A,TRUE,"Personnel1";"FORM16.2",#N/A,TRUE,"Personnel2";"FORM16.2",#N/A,TRUE,"Personnel3";"FORM16.3",#N/A,TRUE,"Personnel4";"FORM16.4",#N/A,TRUE,"Personnel5"}</definedName>
    <definedName name="wrn.PERSONNEL." localSheetId="45" hidden="1">{"FORM16",#N/A,TRUE,"Personnel1";"FORM16.2",#N/A,TRUE,"Personnel2";"FORM16.2",#N/A,TRUE,"Personnel3";"FORM16.3",#N/A,TRUE,"Personnel4";"FORM16.4",#N/A,TRUE,"Personnel5"}</definedName>
    <definedName name="wrn.PERSONNEL." localSheetId="42" hidden="1">{"FORM16",#N/A,TRUE,"Personnel1";"FORM16.2",#N/A,TRUE,"Personnel2";"FORM16.2",#N/A,TRUE,"Personnel3";"FORM16.3",#N/A,TRUE,"Personnel4";"FORM16.4",#N/A,TRUE,"Personnel5"}</definedName>
    <definedName name="wrn.PERSONNEL." hidden="1">{"FORM16",#N/A,TRUE,"Personnel1";"FORM16.2",#N/A,TRUE,"Personnel2";"FORM16.2",#N/A,TRUE,"Personnel3";"FORM16.3",#N/A,TRUE,"Personnel4";"FORM16.4",#N/A,TRUE,"Personnel5"}</definedName>
    <definedName name="wrn.Plan._.Europe._.pdts._.transparents." localSheetId="15" hidden="1">{#N/A,#N/A,FALSE,"TRANSP2";#N/A,#N/A,FALSE,"VISOL2";#N/A,#N/A,FALSE,"ITR2";#N/A,#N/A,FALSE,"CSOL2";#N/A,#N/A,FALSE,"FEUILLETE2";#N/A,#N/A,FALSE,"TRMP2";#N/A,#N/A,FALSE,"ARG2";#N/A,#N/A,FALSE,"VIMP2"}</definedName>
    <definedName name="wrn.Plan._.Europe._.pdts._.transparents." localSheetId="6" hidden="1">{#N/A,#N/A,FALSE,"TRANSP2";#N/A,#N/A,FALSE,"VISOL2";#N/A,#N/A,FALSE,"ITR2";#N/A,#N/A,FALSE,"CSOL2";#N/A,#N/A,FALSE,"FEUILLETE2";#N/A,#N/A,FALSE,"TRMP2";#N/A,#N/A,FALSE,"ARG2";#N/A,#N/A,FALSE,"VIMP2"}</definedName>
    <definedName name="wrn.Plan._.Europe._.pdts._.transparents." localSheetId="45" hidden="1">{#N/A,#N/A,FALSE,"TRANSP2";#N/A,#N/A,FALSE,"VISOL2";#N/A,#N/A,FALSE,"ITR2";#N/A,#N/A,FALSE,"CSOL2";#N/A,#N/A,FALSE,"FEUILLETE2";#N/A,#N/A,FALSE,"TRMP2";#N/A,#N/A,FALSE,"ARG2";#N/A,#N/A,FALSE,"VIMP2"}</definedName>
    <definedName name="wrn.Plan._.Europe._.pdts._.transparents." localSheetId="42" hidden="1">{#N/A,#N/A,FALSE,"TRANSP2";#N/A,#N/A,FALSE,"VISOL2";#N/A,#N/A,FALSE,"ITR2";#N/A,#N/A,FALSE,"CSOL2";#N/A,#N/A,FALSE,"FEUILLETE2";#N/A,#N/A,FALSE,"TRMP2";#N/A,#N/A,FALSE,"ARG2";#N/A,#N/A,FALSE,"VIMP2"}</definedName>
    <definedName name="wrn.Plan._.Europe._.pdts._.transparents." hidden="1">{#N/A,#N/A,FALSE,"TRANSP2";#N/A,#N/A,FALSE,"VISOL2";#N/A,#N/A,FALSE,"ITR2";#N/A,#N/A,FALSE,"CSOL2";#N/A,#N/A,FALSE,"FEUILLETE2";#N/A,#N/A,FALSE,"TRMP2";#N/A,#N/A,FALSE,"ARG2";#N/A,#N/A,FALSE,"VIMP2"}</definedName>
    <definedName name="wrn.Planone." localSheetId="15" hidden="1">{#N/A,#N/A,FALSE,"TRANSP1";#N/A,#N/A,FALSE,"VISOL1";#N/A,#N/A,FALSE,"ITR1";#N/A,#N/A,FALSE,"CSOL1";#N/A,#N/A,FALSE,"FEUILLETE1";#N/A,#N/A,FALSE,"TRMP1";#N/A,#N/A,FALSE,"ARG1";#N/A,#N/A,FALSE,"VIMP1"}</definedName>
    <definedName name="wrn.Planone." localSheetId="6" hidden="1">{#N/A,#N/A,FALSE,"TRANSP1";#N/A,#N/A,FALSE,"VISOL1";#N/A,#N/A,FALSE,"ITR1";#N/A,#N/A,FALSE,"CSOL1";#N/A,#N/A,FALSE,"FEUILLETE1";#N/A,#N/A,FALSE,"TRMP1";#N/A,#N/A,FALSE,"ARG1";#N/A,#N/A,FALSE,"VIMP1"}</definedName>
    <definedName name="wrn.Planone." localSheetId="45" hidden="1">{#N/A,#N/A,FALSE,"TRANSP1";#N/A,#N/A,FALSE,"VISOL1";#N/A,#N/A,FALSE,"ITR1";#N/A,#N/A,FALSE,"CSOL1";#N/A,#N/A,FALSE,"FEUILLETE1";#N/A,#N/A,FALSE,"TRMP1";#N/A,#N/A,FALSE,"ARG1";#N/A,#N/A,FALSE,"VIMP1"}</definedName>
    <definedName name="wrn.Planone." localSheetId="42" hidden="1">{#N/A,#N/A,FALSE,"TRANSP1";#N/A,#N/A,FALSE,"VISOL1";#N/A,#N/A,FALSE,"ITR1";#N/A,#N/A,FALSE,"CSOL1";#N/A,#N/A,FALSE,"FEUILLETE1";#N/A,#N/A,FALSE,"TRMP1";#N/A,#N/A,FALSE,"ARG1";#N/A,#N/A,FALSE,"VIMP1"}</definedName>
    <definedName name="wrn.Planone." hidden="1">{#N/A,#N/A,FALSE,"TRANSP1";#N/A,#N/A,FALSE,"VISOL1";#N/A,#N/A,FALSE,"ITR1";#N/A,#N/A,FALSE,"CSOL1";#N/A,#N/A,FALSE,"FEUILLETE1";#N/A,#N/A,FALSE,"TRMP1";#N/A,#N/A,FALSE,"ARG1";#N/A,#N/A,FALSE,"VIMP1"}</definedName>
    <definedName name="wrn.PrintAll." localSheetId="12" hidden="1">{#N/A,#N/A,TRUE,"Summary";#N/A,#N/A,TRUE,"IS";#N/A,#N/A,TRUE,"Adj";#N/A,#N/A,TRUE,"BS";#N/A,#N/A,TRUE,"CF";#N/A,#N/A,TRUE,"Debt";#N/A,#N/A,TRUE,"IRR"}</definedName>
    <definedName name="wrn.PrintAll." localSheetId="15" hidden="1">{#N/A,#N/A,TRUE,"Summary";#N/A,#N/A,TRUE,"IS";#N/A,#N/A,TRUE,"Adj";#N/A,#N/A,TRUE,"BS";#N/A,#N/A,TRUE,"CF";#N/A,#N/A,TRUE,"Debt";#N/A,#N/A,TRUE,"IRR"}</definedName>
    <definedName name="wrn.PrintAll." localSheetId="6" hidden="1">{#N/A,#N/A,TRUE,"Summary";#N/A,#N/A,TRUE,"IS";#N/A,#N/A,TRUE,"Adj";#N/A,#N/A,TRUE,"BS";#N/A,#N/A,TRUE,"CF";#N/A,#N/A,TRUE,"Debt";#N/A,#N/A,TRUE,"IRR"}</definedName>
    <definedName name="wrn.PrintAll." localSheetId="45" hidden="1">{#N/A,#N/A,TRUE,"Summary";#N/A,#N/A,TRUE,"IS";#N/A,#N/A,TRUE,"Adj";#N/A,#N/A,TRUE,"BS";#N/A,#N/A,TRUE,"CF";#N/A,#N/A,TRUE,"Debt";#N/A,#N/A,TRUE,"IRR"}</definedName>
    <definedName name="wrn.PrintAll." localSheetId="42" hidden="1">{#N/A,#N/A,TRUE,"Summary";#N/A,#N/A,TRUE,"IS";#N/A,#N/A,TRUE,"Adj";#N/A,#N/A,TRUE,"BS";#N/A,#N/A,TRUE,"CF";#N/A,#N/A,TRUE,"Debt";#N/A,#N/A,TRUE,"IRR"}</definedName>
    <definedName name="wrn.PrintAll." hidden="1">{#N/A,#N/A,TRUE,"Summary";#N/A,#N/A,TRUE,"IS";#N/A,#N/A,TRUE,"Adj";#N/A,#N/A,TRUE,"BS";#N/A,#N/A,TRUE,"CF";#N/A,#N/A,TRUE,"Debt";#N/A,#N/A,TRUE,"IRR"}</definedName>
    <definedName name="wrn.REV1." localSheetId="15" hidden="1">{"FORM1",#N/A,FALSE,"Revenue";"FORMTR",#N/A,FALSE,"Revenue";"FORM3.1",#N/A,FALSE,"Revenue"}</definedName>
    <definedName name="wrn.REV1." localSheetId="6" hidden="1">{"FORM1",#N/A,FALSE,"Revenue";"FORMTR",#N/A,FALSE,"Revenue";"FORM3.1",#N/A,FALSE,"Revenue"}</definedName>
    <definedName name="wrn.REV1." localSheetId="45" hidden="1">{"FORM1",#N/A,FALSE,"Revenue";"FORMTR",#N/A,FALSE,"Revenue";"FORM3.1",#N/A,FALSE,"Revenue"}</definedName>
    <definedName name="wrn.REV1." localSheetId="42" hidden="1">{"FORM1",#N/A,FALSE,"Revenue";"FORMTR",#N/A,FALSE,"Revenue";"FORM3.1",#N/A,FALSE,"Revenue"}</definedName>
    <definedName name="wrn.REV1." hidden="1">{"FORM1",#N/A,FALSE,"Revenue";"FORMTR",#N/A,FALSE,"Revenue";"FORM3.1",#N/A,FALSE,"Revenue"}</definedName>
    <definedName name="wrn.REVENUE." localSheetId="15" hidden="1">{"FORM1",#N/A,TRUE,"Revenue";"FORM1.1",#N/A,TRUE,"Revenue";"FORM1.2",#N/A,TRUE,"Revenue";"FORM2",#N/A,TRUE,"Revenue";"FORM2.1",#N/A,TRUE,"Revenue"}</definedName>
    <definedName name="wrn.REVENUE." localSheetId="6" hidden="1">{"FORM1",#N/A,TRUE,"Revenue";"FORM1.1",#N/A,TRUE,"Revenue";"FORM1.2",#N/A,TRUE,"Revenue";"FORM2",#N/A,TRUE,"Revenue";"FORM2.1",#N/A,TRUE,"Revenue"}</definedName>
    <definedName name="wrn.REVENUE." localSheetId="45" hidden="1">{"FORM1",#N/A,TRUE,"Revenue";"FORM1.1",#N/A,TRUE,"Revenue";"FORM1.2",#N/A,TRUE,"Revenue";"FORM2",#N/A,TRUE,"Revenue";"FORM2.1",#N/A,TRUE,"Revenue"}</definedName>
    <definedName name="wrn.REVENUE." localSheetId="42" hidden="1">{"FORM1",#N/A,TRUE,"Revenue";"FORM1.1",#N/A,TRUE,"Revenue";"FORM1.2",#N/A,TRUE,"Revenue";"FORM2",#N/A,TRUE,"Revenue";"FORM2.1",#N/A,TRUE,"Revenue"}</definedName>
    <definedName name="wrn.REVENUE." hidden="1">{"FORM1",#N/A,TRUE,"Revenue";"FORM1.1",#N/A,TRUE,"Revenue";"FORM1.2",#N/A,TRUE,"Revenue";"FORM2",#N/A,TRUE,"Revenue";"FORM2.1",#N/A,TRUE,"Revenue"}</definedName>
    <definedName name="wrn.SAA94TAX." localSheetId="15"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SAA94TAX." localSheetId="6"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SAA94TAX." localSheetId="45"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SAA94TAX." localSheetId="42"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SAA94TAX."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saasimple." localSheetId="12"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aasimple." localSheetId="15"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aasimple." localSheetId="6"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aasimple." localSheetId="45"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aasimple." localSheetId="42"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aasimple."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UNIONGAS94TAXRETURN." localSheetId="42"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wrn.UNIONGAS94TAXRETURN."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wrn.xkdslkjfjaksla" localSheetId="42" hidden="1">{"EVA",#N/A,FALSE,"EVA";"WACC",#N/A,FALSE,"WACC"}</definedName>
    <definedName name="wrn.xkdslkjfjaksla" hidden="1">{"EVA",#N/A,FALSE,"EVA";"WACC",#N/A,FALSE,"WACC"}</definedName>
    <definedName name="wrn.YUH33400." localSheetId="42" hidden="1">{#N/A,#N/A,FALSE,"2000";#N/A,#N/A,FALSE,"1999_1998"}</definedName>
    <definedName name="wrn.YUH33400." hidden="1">{#N/A,#N/A,FALSE,"2000";#N/A,#N/A,FALSE,"1999_1998"}</definedName>
    <definedName name="wrn.Y차._.종합." localSheetId="15" hidden="1">{#N/A,#N/A,TRUE,"Y생산";#N/A,#N/A,TRUE,"Y판매";#N/A,#N/A,TRUE,"Y총물량";#N/A,#N/A,TRUE,"Y능력";#N/A,#N/A,TRUE,"YKD"}</definedName>
    <definedName name="wrn.Y차._.종합." localSheetId="6" hidden="1">{#N/A,#N/A,TRUE,"Y생산";#N/A,#N/A,TRUE,"Y판매";#N/A,#N/A,TRUE,"Y총물량";#N/A,#N/A,TRUE,"Y능력";#N/A,#N/A,TRUE,"YKD"}</definedName>
    <definedName name="wrn.Y차._.종합." localSheetId="45" hidden="1">{#N/A,#N/A,TRUE,"Y생산";#N/A,#N/A,TRUE,"Y판매";#N/A,#N/A,TRUE,"Y총물량";#N/A,#N/A,TRUE,"Y능력";#N/A,#N/A,TRUE,"YKD"}</definedName>
    <definedName name="wrn.Y차._.종합." localSheetId="42" hidden="1">{#N/A,#N/A,TRUE,"Y생산";#N/A,#N/A,TRUE,"Y판매";#N/A,#N/A,TRUE,"Y총물량";#N/A,#N/A,TRUE,"Y능력";#N/A,#N/A,TRUE,"YKD"}</definedName>
    <definedName name="wrn.Y차._.종합." hidden="1">{#N/A,#N/A,TRUE,"Y생산";#N/A,#N/A,TRUE,"Y판매";#N/A,#N/A,TRUE,"Y총물량";#N/A,#N/A,TRUE,"Y능력";#N/A,#N/A,TRUE,"YKD"}</definedName>
    <definedName name="wrn.간단한세무조정계산서." localSheetId="1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간단한세무조정계산서." localSheetId="1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간단한세무조정계산서."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간단한세무조정계산서." localSheetId="4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간단한세무조정계산서." localSheetId="4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간단한세무조정계산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감가." localSheetId="12" hidden="1">{#N/A,#N/A,FALSE,"buildings"}</definedName>
    <definedName name="wrn.감가." localSheetId="42" hidden="1">{#N/A,#N/A,FALSE,"buildings"}</definedName>
    <definedName name="wrn.감가." hidden="1">{#N/A,#N/A,FALSE,"buildings"}</definedName>
    <definedName name="wrn.관섬예산." localSheetId="15"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wrn.관섬예산." localSheetId="6"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wrn.관섬예산." localSheetId="45"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wrn.관섬예산." localSheetId="4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wrn.관섬예산."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wrn.급여인상안." localSheetId="15" hidden="1">{#N/A,#N/A,FALSE,"계약직(여)"}</definedName>
    <definedName name="wrn.급여인상안." localSheetId="6" hidden="1">{#N/A,#N/A,FALSE,"계약직(여)"}</definedName>
    <definedName name="wrn.급여인상안." localSheetId="45" hidden="1">{#N/A,#N/A,FALSE,"계약직(여)"}</definedName>
    <definedName name="wrn.급여인상안." localSheetId="42" hidden="1">{#N/A,#N/A,FALSE,"계약직(여)"}</definedName>
    <definedName name="wrn.급여인상안." hidden="1">{#N/A,#N/A,FALSE,"계약직(여)"}</definedName>
    <definedName name="wrn.기술료._.비교." localSheetId="42" hidden="1">{#N/A,#N/A,FALSE,"기술료 비교"}</definedName>
    <definedName name="wrn.기술료._.비교." hidden="1">{#N/A,#N/A,FALSE,"기술료 비교"}</definedName>
    <definedName name="wrn.부문손익." localSheetId="12" hidden="1">{#N/A,#N/A,FALSE,"매출이익"}</definedName>
    <definedName name="wrn.부문손익." localSheetId="42" hidden="1">{#N/A,#N/A,FALSE,"매출이익"}</definedName>
    <definedName name="wrn.부문손익." hidden="1">{#N/A,#N/A,FALSE,"매출이익"}</definedName>
    <definedName name="wrn.설변현황." localSheetId="15" hidden="1">{#N/A,#N/A,FALSE,"KMC최종회의(7월) 자료"}</definedName>
    <definedName name="wrn.설변현황." localSheetId="6" hidden="1">{#N/A,#N/A,FALSE,"KMC최종회의(7월) 자료"}</definedName>
    <definedName name="wrn.설변현황." localSheetId="45" hidden="1">{#N/A,#N/A,FALSE,"KMC최종회의(7월) 자료"}</definedName>
    <definedName name="wrn.설변현황." localSheetId="42" hidden="1">{#N/A,#N/A,FALSE,"KMC최종회의(7월) 자료"}</definedName>
    <definedName name="wrn.설변현황." hidden="1">{#N/A,#N/A,FALSE,"KMC최종회의(7월) 자료"}</definedName>
    <definedName name="wrn.세무" localSheetId="4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 localSheetId="1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 localSheetId="15"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 localSheetId="6"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 localSheetId="45"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 localSheetId="4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 localSheetId="1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 localSheetId="15"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 localSheetId="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 localSheetId="45"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 localSheetId="4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손익보고." localSheetId="15"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6"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45"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42"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수." localSheetId="12" hidden="1">{#N/A,"수불부",FALSE,"사급자재수불서";#N/A,"수불부",FALSE,"사급자재수불서"}</definedName>
    <definedName name="wrn.수." localSheetId="42" hidden="1">{#N/A,"수불부",FALSE,"사급자재수불서";#N/A,"수불부",FALSE,"사급자재수불서"}</definedName>
    <definedName name="wrn.수." hidden="1">{#N/A,"수불부",FALSE,"사급자재수불서";#N/A,"수불부",FALSE,"사급자재수불서"}</definedName>
    <definedName name="wrn.에실대비." localSheetId="15"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wrn.에실대비." localSheetId="6"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wrn.에실대비." localSheetId="45"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wrn.에실대비." localSheetId="42"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wrn.에실대비."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wrn.예실대비." localSheetId="15"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wrn.예실대비." localSheetId="6"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wrn.예실대비." localSheetId="45"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wrn.예실대비." localSheetId="42"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wrn.예실대비."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wrn.월말보고서." localSheetId="12" hidden="1">{#N/A,#N/A,FALSE,"목차";#N/A,#N/A,FALSE,"목차(2)";#N/A,#N/A,FALSE,"손익요약(당월)";#N/A,#N/A,FALSE,"손익요약(누계)";#N/A,#N/A,FALSE,"전기동기대비손익요약";#N/A,#N/A,FALSE,"손익분기점(월계)";#N/A,#N/A,FALSE,"손익분기점분석";#N/A,#N/A,FALSE,"요약대차대조표";#N/A,#N/A,FALSE,"현금흐름표";#N/A,#N/A,FALSE,"계획대비손익계산서비교";#N/A,#N/A,FALSE,"계획대비제조원가비교";#N/A,#N/A,FALSE,"전기동기대비손익계산서비교";#N/A,#N/A,FALSE,"전기동기대비제조원가비교";#N/A,#N/A,FALSE,"인건비비교";#N/A,#N/A,FALSE,"대차대조표";#N/A,#N/A,FALSE,"손익배부전(월계)";#N/A,#N/A,FALSE,"손익배부전(누계) ";#N/A,#N/A,FALSE,"손익배부후(월계)";#N/A,#N/A,FALSE,"손익배부후(누계)";#N/A,#N/A,FALSE,"제조원가월계(배부전)";#N/A,#N/A,FALSE,"제조원가누계(배부전)";#N/A,#N/A,FALSE,"제조원가당월(배부후)";#N/A,#N/A,FALSE,"제조원가누계(배부후)"}</definedName>
    <definedName name="wrn.월말보고서." localSheetId="42" hidden="1">{#N/A,#N/A,FALSE,"목차";#N/A,#N/A,FALSE,"목차(2)";#N/A,#N/A,FALSE,"손익요약(당월)";#N/A,#N/A,FALSE,"손익요약(누계)";#N/A,#N/A,FALSE,"전기동기대비손익요약";#N/A,#N/A,FALSE,"손익분기점(월계)";#N/A,#N/A,FALSE,"손익분기점분석";#N/A,#N/A,FALSE,"요약대차대조표";#N/A,#N/A,FALSE,"현금흐름표";#N/A,#N/A,FALSE,"계획대비손익계산서비교";#N/A,#N/A,FALSE,"계획대비제조원가비교";#N/A,#N/A,FALSE,"전기동기대비손익계산서비교";#N/A,#N/A,FALSE,"전기동기대비제조원가비교";#N/A,#N/A,FALSE,"인건비비교";#N/A,#N/A,FALSE,"대차대조표";#N/A,#N/A,FALSE,"손익배부전(월계)";#N/A,#N/A,FALSE,"손익배부전(누계) ";#N/A,#N/A,FALSE,"손익배부후(월계)";#N/A,#N/A,FALSE,"손익배부후(누계)";#N/A,#N/A,FALSE,"제조원가월계(배부전)";#N/A,#N/A,FALSE,"제조원가누계(배부전)";#N/A,#N/A,FALSE,"제조원가당월(배부후)";#N/A,#N/A,FALSE,"제조원가누계(배부후)"}</definedName>
    <definedName name="wrn.월말보고서." hidden="1">{#N/A,#N/A,FALSE,"목차";#N/A,#N/A,FALSE,"목차(2)";#N/A,#N/A,FALSE,"손익요약(당월)";#N/A,#N/A,FALSE,"손익요약(누계)";#N/A,#N/A,FALSE,"전기동기대비손익요약";#N/A,#N/A,FALSE,"손익분기점(월계)";#N/A,#N/A,FALSE,"손익분기점분석";#N/A,#N/A,FALSE,"요약대차대조표";#N/A,#N/A,FALSE,"현금흐름표";#N/A,#N/A,FALSE,"계획대비손익계산서비교";#N/A,#N/A,FALSE,"계획대비제조원가비교";#N/A,#N/A,FALSE,"전기동기대비손익계산서비교";#N/A,#N/A,FALSE,"전기동기대비제조원가비교";#N/A,#N/A,FALSE,"인건비비교";#N/A,#N/A,FALSE,"대차대조표";#N/A,#N/A,FALSE,"손익배부전(월계)";#N/A,#N/A,FALSE,"손익배부전(누계) ";#N/A,#N/A,FALSE,"손익배부후(월계)";#N/A,#N/A,FALSE,"손익배부후(누계)";#N/A,#N/A,FALSE,"제조원가월계(배부전)";#N/A,#N/A,FALSE,"제조원가누계(배부전)";#N/A,#N/A,FALSE,"제조원가당월(배부후)";#N/A,#N/A,FALSE,"제조원가누계(배부후)"}</definedName>
    <definedName name="wrn.월추정." localSheetId="15" hidden="1">{#N/A,#N/A,FALSE,"월추정감가상각비";#N/A,#N/A,FALSE,"main_prog"}</definedName>
    <definedName name="wrn.월추정." localSheetId="6" hidden="1">{#N/A,#N/A,FALSE,"월추정감가상각비";#N/A,#N/A,FALSE,"main_prog"}</definedName>
    <definedName name="wrn.월추정." localSheetId="45" hidden="1">{#N/A,#N/A,FALSE,"월추정감가상각비";#N/A,#N/A,FALSE,"main_prog"}</definedName>
    <definedName name="wrn.월추정." localSheetId="42" hidden="1">{#N/A,#N/A,FALSE,"월추정감가상각비";#N/A,#N/A,FALSE,"main_prog"}</definedName>
    <definedName name="wrn.월추정." hidden="1">{#N/A,#N/A,FALSE,"월추정감가상각비";#N/A,#N/A,FALSE,"main_prog"}</definedName>
    <definedName name="wrn.일일보고." localSheetId="15" hidden="1">{#N/A,#N/A,FALSE,"보통예금";#N/A,#N/A,FALSE,"입.출금명세서";#N/A,#N/A,FALSE,"현금출납현황 ";#N/A,#N/A,FALSE,"차입금,예금"}</definedName>
    <definedName name="wrn.일일보고." localSheetId="6" hidden="1">{#N/A,#N/A,FALSE,"보통예금";#N/A,#N/A,FALSE,"입.출금명세서";#N/A,#N/A,FALSE,"현금출납현황 ";#N/A,#N/A,FALSE,"차입금,예금"}</definedName>
    <definedName name="wrn.일일보고." localSheetId="45" hidden="1">{#N/A,#N/A,FALSE,"보통예금";#N/A,#N/A,FALSE,"입.출금명세서";#N/A,#N/A,FALSE,"현금출납현황 ";#N/A,#N/A,FALSE,"차입금,예금"}</definedName>
    <definedName name="wrn.일일보고." localSheetId="42" hidden="1">{#N/A,#N/A,FALSE,"보통예금";#N/A,#N/A,FALSE,"입.출금명세서";#N/A,#N/A,FALSE,"현금출납현황 ";#N/A,#N/A,FALSE,"차입금,예금"}</definedName>
    <definedName name="wrn.일일보고." hidden="1">{#N/A,#N/A,FALSE,"보통예금";#N/A,#N/A,FALSE,"입.출금명세서";#N/A,#N/A,FALSE,"현금출납현황 ";#N/A,#N/A,FALSE,"차입금,예금"}</definedName>
    <definedName name="wrn.자재코드집." localSheetId="12" hidden="1">{#N/A,#N/A,FALSE,"Sheet1"}</definedName>
    <definedName name="wrn.자재코드집." localSheetId="42" hidden="1">{#N/A,#N/A,FALSE,"Sheet1"}</definedName>
    <definedName name="wrn.자재코드집." hidden="1">{#N/A,#N/A,FALSE,"Sheet1"}</definedName>
    <definedName name="wrn.재무제표." localSheetId="15" hidden="1">{#N/A,#N/A,FALSE,"BS";#N/A,#N/A,FALSE,"IS";#N/A,#N/A,FALSE,"결손금처리";#N/A,#N/A,FALSE,"cashflow"}</definedName>
    <definedName name="wrn.재무제표." localSheetId="6" hidden="1">{#N/A,#N/A,FALSE,"BS";#N/A,#N/A,FALSE,"IS";#N/A,#N/A,FALSE,"결손금처리";#N/A,#N/A,FALSE,"cashflow"}</definedName>
    <definedName name="wrn.재무제표." localSheetId="45" hidden="1">{#N/A,#N/A,FALSE,"BS";#N/A,#N/A,FALSE,"IS";#N/A,#N/A,FALSE,"결손금처리";#N/A,#N/A,FALSE,"cashflow"}</definedName>
    <definedName name="wrn.재무제표." localSheetId="42" hidden="1">{#N/A,#N/A,FALSE,"BS";#N/A,#N/A,FALSE,"IS";#N/A,#N/A,FALSE,"결손금처리";#N/A,#N/A,FALSE,"cashflow"}</definedName>
    <definedName name="wrn.재무제표." hidden="1">{#N/A,#N/A,FALSE,"BS";#N/A,#N/A,FALSE,"IS";#N/A,#N/A,FALSE,"결손금처리";#N/A,#N/A,FALSE,"cashflow"}</definedName>
    <definedName name="wrn.전부인쇄." localSheetId="42" hidden="1">{#N/A,#N/A,FALSE,"단축1";#N/A,#N/A,FALSE,"단축2";#N/A,#N/A,FALSE,"단축3";#N/A,#N/A,FALSE,"장축";#N/A,#N/A,FALSE,"4WD"}</definedName>
    <definedName name="wrn.전부인쇄." hidden="1">{#N/A,#N/A,FALSE,"단축1";#N/A,#N/A,FALSE,"단축2";#N/A,#N/A,FALSE,"단축3";#N/A,#N/A,FALSE,"장축";#N/A,#N/A,FALSE,"4WD"}</definedName>
    <definedName name="wrn.전사예산." localSheetId="15"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wrn.전사예산." localSheetId="6"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wrn.전사예산." localSheetId="45"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wrn.전사예산." localSheetId="42"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wrn.전사예산."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wrn.조흥94세무." localSheetId="15"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94세무." localSheetId="6"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94세무." localSheetId="45"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94세무." localSheetId="42"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94세무."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축약94." localSheetId="12"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조흥축약94." localSheetId="15"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조흥축약94." localSheetId="6"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조흥축약94." localSheetId="45"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조흥축약94." localSheetId="42"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조흥축약94."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주간._.보고." localSheetId="12" hidden="1">{#N/A,#N/A,TRUE,"일정"}</definedName>
    <definedName name="wrn.주간._.보고." localSheetId="42" hidden="1">{#N/A,#N/A,TRUE,"일정"}</definedName>
    <definedName name="wrn.주간._.보고." hidden="1">{#N/A,#N/A,TRUE,"일정"}</definedName>
    <definedName name="wrn.채권채무조회서." localSheetId="15" hidden="1">{#N/A,#N/A,FALSE,"채권채무";#N/A,#N/A,FALSE,"control sheet"}</definedName>
    <definedName name="wrn.채권채무조회서." localSheetId="6" hidden="1">{#N/A,#N/A,FALSE,"채권채무";#N/A,#N/A,FALSE,"control sheet"}</definedName>
    <definedName name="wrn.채권채무조회서." localSheetId="45" hidden="1">{#N/A,#N/A,FALSE,"채권채무";#N/A,#N/A,FALSE,"control sheet"}</definedName>
    <definedName name="wrn.채권채무조회서." localSheetId="42" hidden="1">{#N/A,#N/A,FALSE,"채권채무";#N/A,#N/A,FALSE,"control sheet"}</definedName>
    <definedName name="wrn.채권채무조회서." hidden="1">{#N/A,#N/A,FALSE,"채권채무";#N/A,#N/A,FALSE,"control sheet"}</definedName>
    <definedName name="wrn.판유리예산." localSheetId="15"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wrn.판유리예산." localSheetId="6"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wrn.판유리예산." localSheetId="45"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wrn.판유리예산." localSheetId="42"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wrn.판유리예산."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wrn.포항강판." localSheetId="15" hidden="1">{"현수",#N/A,FALSE,"월추정감가상각비"}</definedName>
    <definedName name="wrn.포항강판." localSheetId="6" hidden="1">{"현수",#N/A,FALSE,"월추정감가상각비"}</definedName>
    <definedName name="wrn.포항강판." localSheetId="45" hidden="1">{"현수",#N/A,FALSE,"월추정감가상각비"}</definedName>
    <definedName name="wrn.포항강판." localSheetId="42" hidden="1">{"현수",#N/A,FALSE,"월추정감가상각비"}</definedName>
    <definedName name="wrn.포항강판." hidden="1">{"현수",#N/A,FALSE,"월추정감가상각비"}</definedName>
    <definedName name="wrn.함영민." localSheetId="15" hidden="1">{#N/A,#N/A,FALSE,"범우구미";#N/A,#N/A,FALSE,"세한케미칼";#N/A,#N/A,FALSE,"세명화학";#N/A,#N/A,FALSE,"신영케미칼";#N/A,#N/A,FALSE,"일석상사"}</definedName>
    <definedName name="wrn.함영민." localSheetId="6" hidden="1">{#N/A,#N/A,FALSE,"범우구미";#N/A,#N/A,FALSE,"세한케미칼";#N/A,#N/A,FALSE,"세명화학";#N/A,#N/A,FALSE,"신영케미칼";#N/A,#N/A,FALSE,"일석상사"}</definedName>
    <definedName name="wrn.함영민." localSheetId="45" hidden="1">{#N/A,#N/A,FALSE,"범우구미";#N/A,#N/A,FALSE,"세한케미칼";#N/A,#N/A,FALSE,"세명화학";#N/A,#N/A,FALSE,"신영케미칼";#N/A,#N/A,FALSE,"일석상사"}</definedName>
    <definedName name="wrn.함영민." localSheetId="42" hidden="1">{#N/A,#N/A,FALSE,"범우구미";#N/A,#N/A,FALSE,"세한케미칼";#N/A,#N/A,FALSE,"세명화학";#N/A,#N/A,FALSE,"신영케미칼";#N/A,#N/A,FALSE,"일석상사"}</definedName>
    <definedName name="wrn.함영민." hidden="1">{#N/A,#N/A,FALSE,"범우구미";#N/A,#N/A,FALSE,"세한케미칼";#N/A,#N/A,FALSE,"세명화학";#N/A,#N/A,FALSE,"신영케미칼";#N/A,#N/A,FALSE,"일석상사"}</definedName>
    <definedName name="wrn.현대정공구매현황." localSheetId="15" hidden="1">{#N/A,#N/A,FALSE,"정공"}</definedName>
    <definedName name="wrn.현대정공구매현황." localSheetId="6" hidden="1">{#N/A,#N/A,FALSE,"정공"}</definedName>
    <definedName name="wrn.현대정공구매현황." localSheetId="45" hidden="1">{#N/A,#N/A,FALSE,"정공"}</definedName>
    <definedName name="wrn.현대정공구매현황." localSheetId="42" hidden="1">{#N/A,#N/A,FALSE,"정공"}</definedName>
    <definedName name="wrn.현대정공구매현황." hidden="1">{#N/A,#N/A,FALSE,"정공"}</definedName>
    <definedName name="wrn.현장._.NCR._.분석." localSheetId="12" hidden="1">{#N/A,#N/A,FALSE,"현장 NCR 분석";#N/A,#N/A,FALSE,"현장품질감사";#N/A,#N/A,FALSE,"현장품질감사"}</definedName>
    <definedName name="wrn.현장._.NCR._.분석." localSheetId="15" hidden="1">{#N/A,#N/A,FALSE,"현장 NCR 분석";#N/A,#N/A,FALSE,"현장품질감사";#N/A,#N/A,FALSE,"현장품질감사"}</definedName>
    <definedName name="wrn.현장._.NCR._.분석." localSheetId="6" hidden="1">{#N/A,#N/A,FALSE,"현장 NCR 분석";#N/A,#N/A,FALSE,"현장품질감사";#N/A,#N/A,FALSE,"현장품질감사"}</definedName>
    <definedName name="wrn.현장._.NCR._.분석." localSheetId="45" hidden="1">{#N/A,#N/A,FALSE,"현장 NCR 분석";#N/A,#N/A,FALSE,"현장품질감사";#N/A,#N/A,FALSE,"현장품질감사"}</definedName>
    <definedName name="wrn.현장._.NCR._.분석." localSheetId="42" hidden="1">{#N/A,#N/A,FALSE,"현장 NCR 분석";#N/A,#N/A,FALSE,"현장품질감사";#N/A,#N/A,FALSE,"현장품질감사"}</definedName>
    <definedName name="wrn.현장._.NCR._.분석." hidden="1">{#N/A,#N/A,FALSE,"현장 NCR 분석";#N/A,#N/A,FALSE,"현장품질감사";#N/A,#N/A,FALSE,"현장품질감사"}</definedName>
    <definedName name="wrn.회선임차현황." localSheetId="12" hidden="1">{#N/A,#N/A,FALSE,"회선임차현황"}</definedName>
    <definedName name="wrn.회선임차현황." localSheetId="42" hidden="1">{#N/A,#N/A,FALSE,"회선임차현황"}</definedName>
    <definedName name="wrn.회선임차현황." hidden="1">{#N/A,#N/A,FALSE,"회선임차현황"}</definedName>
    <definedName name="wrn.회의0104.XLS." localSheetId="12" hidden="1">{#N/A,#N/A,TRUE,"매출진척-1";#N/A,#N/A,TRUE,"매출진척-2";#N/A,#N/A,TRUE,"제품실적";#N/A,#N/A,TRUE,"RAC";#N/A,#N/A,TRUE,"PAC ";#N/A,#N/A,TRUE,"재고현황";#N/A,#N/A,TRUE,"공지사항"}</definedName>
    <definedName name="wrn.회의0104.XLS." localSheetId="42" hidden="1">{#N/A,#N/A,TRUE,"매출진척-1";#N/A,#N/A,TRUE,"매출진척-2";#N/A,#N/A,TRUE,"제품실적";#N/A,#N/A,TRUE,"RAC";#N/A,#N/A,TRUE,"PAC ";#N/A,#N/A,TRUE,"재고현황";#N/A,#N/A,TRUE,"공지사항"}</definedName>
    <definedName name="wrn.회의0104.XLS." hidden="1">{#N/A,#N/A,TRUE,"매출진척-1";#N/A,#N/A,TRUE,"매출진척-2";#N/A,#N/A,TRUE,"제품실적";#N/A,#N/A,TRUE,"RAC";#N/A,#N/A,TRUE,"PAC ";#N/A,#N/A,TRUE,"재고현황";#N/A,#N/A,TRUE,"공지사항"}</definedName>
    <definedName name="ws" localSheetId="12" hidden="1">#REF!</definedName>
    <definedName name="ws" localSheetId="30" hidden="1">#REF!</definedName>
    <definedName name="ws" localSheetId="29" hidden="1">#REF!</definedName>
    <definedName name="ws" localSheetId="33" hidden="1">#REF!</definedName>
    <definedName name="ws" localSheetId="31" hidden="1">#REF!</definedName>
    <definedName name="ws" hidden="1">#REF!</definedName>
    <definedName name="wvu.시간대별예약." localSheetId="42"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wvu.시간대별예약."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ww" localSheetId="12" hidden="1">{#N/A,#N/A,FALSE,"회선임차현황"}</definedName>
    <definedName name="ww" localSheetId="15" hidden="1">{#N/A,#N/A,FALSE,"손익표지";#N/A,#N/A,FALSE,"손익계산";#N/A,#N/A,FALSE,"일반관리비";#N/A,#N/A,FALSE,"영업외수익";#N/A,#N/A,FALSE,"영업외비용";#N/A,#N/A,FALSE,"매출액";#N/A,#N/A,FALSE,"요약손익";#N/A,#N/A,FALSE,"요약대차";#N/A,#N/A,FALSE,"매출채권현황";#N/A,#N/A,FALSE,"매출채권명세"}</definedName>
    <definedName name="ww" localSheetId="6" hidden="1">{#N/A,#N/A,FALSE,"손익표지";#N/A,#N/A,FALSE,"손익계산";#N/A,#N/A,FALSE,"일반관리비";#N/A,#N/A,FALSE,"영업외수익";#N/A,#N/A,FALSE,"영업외비용";#N/A,#N/A,FALSE,"매출액";#N/A,#N/A,FALSE,"요약손익";#N/A,#N/A,FALSE,"요약대차";#N/A,#N/A,FALSE,"매출채권현황";#N/A,#N/A,FALSE,"매출채권명세"}</definedName>
    <definedName name="ww" localSheetId="45" hidden="1">{#N/A,#N/A,FALSE,"손익표지";#N/A,#N/A,FALSE,"손익계산";#N/A,#N/A,FALSE,"일반관리비";#N/A,#N/A,FALSE,"영업외수익";#N/A,#N/A,FALSE,"영업외비용";#N/A,#N/A,FALSE,"매출액";#N/A,#N/A,FALSE,"요약손익";#N/A,#N/A,FALSE,"요약대차";#N/A,#N/A,FALSE,"매출채권현황";#N/A,#N/A,FALSE,"매출채권명세"}</definedName>
    <definedName name="ww" localSheetId="42" hidden="1">{#N/A,#N/A,FALSE,"손익표지";#N/A,#N/A,FALSE,"손익계산";#N/A,#N/A,FALSE,"일반관리비";#N/A,#N/A,FALSE,"영업외수익";#N/A,#N/A,FALSE,"영업외비용";#N/A,#N/A,FALSE,"매출액";#N/A,#N/A,FALSE,"요약손익";#N/A,#N/A,FALSE,"요약대차";#N/A,#N/A,FALSE,"매출채권현황";#N/A,#N/A,FALSE,"매출채권명세"}</definedName>
    <definedName name="ww" hidden="1">{#N/A,#N/A,FALSE,"회선임차현황"}</definedName>
    <definedName name="wwew" localSheetId="12" hidden="1">{#N/A,#N/A,FALSE,"UNIT";#N/A,#N/A,FALSE,"UNIT";#N/A,#N/A,FALSE,"계정"}</definedName>
    <definedName name="wwew" localSheetId="42" hidden="1">{#N/A,#N/A,FALSE,"UNIT";#N/A,#N/A,FALSE,"UNIT";#N/A,#N/A,FALSE,"계정"}</definedName>
    <definedName name="wwew" hidden="1">{#N/A,#N/A,FALSE,"UNIT";#N/A,#N/A,FALSE,"UNIT";#N/A,#N/A,FALSE,"계정"}</definedName>
    <definedName name="wwewewewe" localSheetId="12" hidden="1">{#N/A,#N/A,TRUE,"Summary";#N/A,#N/A,TRUE,"IS";#N/A,#N/A,TRUE,"Adj";#N/A,#N/A,TRUE,"BS";#N/A,#N/A,TRUE,"CF";#N/A,#N/A,TRUE,"Debt";#N/A,#N/A,TRUE,"IRR"}</definedName>
    <definedName name="wwewewewe" localSheetId="42" hidden="1">{#N/A,#N/A,TRUE,"Summary";#N/A,#N/A,TRUE,"IS";#N/A,#N/A,TRUE,"Adj";#N/A,#N/A,TRUE,"BS";#N/A,#N/A,TRUE,"CF";#N/A,#N/A,TRUE,"Debt";#N/A,#N/A,TRUE,"IRR"}</definedName>
    <definedName name="wwewewewe" hidden="1">{#N/A,#N/A,TRUE,"Summary";#N/A,#N/A,TRUE,"IS";#N/A,#N/A,TRUE,"Adj";#N/A,#N/A,TRUE,"BS";#N/A,#N/A,TRUE,"CF";#N/A,#N/A,TRUE,"Debt";#N/A,#N/A,TRUE,"IRR"}</definedName>
    <definedName name="wwewww" localSheetId="12" hidden="1">{#N/A,#N/A,FALSE,"UNIT";#N/A,#N/A,FALSE,"UNIT";#N/A,#N/A,FALSE,"계정"}</definedName>
    <definedName name="wwewww" localSheetId="42" hidden="1">{#N/A,#N/A,FALSE,"UNIT";#N/A,#N/A,FALSE,"UNIT";#N/A,#N/A,FALSE,"계정"}</definedName>
    <definedName name="wwewww" hidden="1">{#N/A,#N/A,FALSE,"UNIT";#N/A,#N/A,FALSE,"UNIT";#N/A,#N/A,FALSE,"계정"}</definedName>
    <definedName name="WWW" localSheetId="1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WW" localSheetId="15"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WWW" localSheetId="6"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WWW" localSheetId="45"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WWW" localSheetId="42"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www" hidden="1">{#N/A,#N/A,FALSE,"UNIT";#N/A,#N/A,FALSE,"UNIT";#N/A,#N/A,FALSE,"계정"}</definedName>
    <definedName name="wwww" localSheetId="42" hidden="1">{#N/A,#N/A,FALSE,"기술료 비교"}</definedName>
    <definedName name="wwww" hidden="1">{#N/A,#N/A,FALSE,"기술료 비교"}</definedName>
    <definedName name="wwwww" localSheetId="12" hidden="1">{#N/A,#N/A,FALSE,"UNIT";#N/A,#N/A,FALSE,"UNIT";#N/A,#N/A,FALSE,"계정"}</definedName>
    <definedName name="wwwww" localSheetId="42" hidden="1">{#N/A,#N/A,FALSE,"UNIT";#N/A,#N/A,FALSE,"UNIT";#N/A,#N/A,FALSE,"계정"}</definedName>
    <definedName name="wwwww" hidden="1">{#N/A,#N/A,FALSE,"UNIT";#N/A,#N/A,FALSE,"UNIT";#N/A,#N/A,FALSE,"계정"}</definedName>
    <definedName name="wwwwww" localSheetId="12" hidden="1">{#N/A,#N/A,FALSE,"UNIT";#N/A,#N/A,FALSE,"UNIT";#N/A,#N/A,FALSE,"계정"}</definedName>
    <definedName name="wwwwww" localSheetId="42" hidden="1">{#N/A,#N/A,FALSE,"UNIT";#N/A,#N/A,FALSE,"UNIT";#N/A,#N/A,FALSE,"계정"}</definedName>
    <definedName name="wwwwww" hidden="1">{#N/A,#N/A,FALSE,"UNIT";#N/A,#N/A,FALSE,"UNIT";#N/A,#N/A,FALSE,"계정"}</definedName>
    <definedName name="wwwwwww" localSheetId="12" hidden="1">{#N/A,#N/A,FALSE,"UNIT";#N/A,#N/A,FALSE,"UNIT";#N/A,#N/A,FALSE,"계정"}</definedName>
    <definedName name="wwwwwww" localSheetId="42" hidden="1">{#N/A,#N/A,FALSE,"UNIT";#N/A,#N/A,FALSE,"UNIT";#N/A,#N/A,FALSE,"계정"}</definedName>
    <definedName name="wwwwwww" hidden="1">{#N/A,#N/A,FALSE,"UNIT";#N/A,#N/A,FALSE,"UNIT";#N/A,#N/A,FALSE,"계정"}</definedName>
    <definedName name="wwwwwwww" localSheetId="12" hidden="1">{#N/A,#N/A,FALSE,"UNIT";#N/A,#N/A,FALSE,"UNIT";#N/A,#N/A,FALSE,"계정"}</definedName>
    <definedName name="wwwwwwww" localSheetId="42" hidden="1">{#N/A,#N/A,FALSE,"UNIT";#N/A,#N/A,FALSE,"UNIT";#N/A,#N/A,FALSE,"계정"}</definedName>
    <definedName name="wwwwwwww" hidden="1">{#N/A,#N/A,FALSE,"UNIT";#N/A,#N/A,FALSE,"UNIT";#N/A,#N/A,FALSE,"계정"}</definedName>
    <definedName name="wwwwwwwwdw" localSheetId="12" hidden="1">{#N/A,#N/A,FALSE,"UNIT";#N/A,#N/A,FALSE,"UNIT";#N/A,#N/A,FALSE,"계정"}</definedName>
    <definedName name="wwwwwwwwdw" localSheetId="42" hidden="1">{#N/A,#N/A,FALSE,"UNIT";#N/A,#N/A,FALSE,"UNIT";#N/A,#N/A,FALSE,"계정"}</definedName>
    <definedName name="wwwwwwwwdw" hidden="1">{#N/A,#N/A,FALSE,"UNIT";#N/A,#N/A,FALSE,"UNIT";#N/A,#N/A,FALSE,"계정"}</definedName>
    <definedName name="wwwwwwwww" localSheetId="12" hidden="1">{#N/A,#N/A,FALSE,"UNIT";#N/A,#N/A,FALSE,"UNIT";#N/A,#N/A,FALSE,"계정"}</definedName>
    <definedName name="wwwwwwwww" localSheetId="42" hidden="1">{#N/A,#N/A,FALSE,"UNIT";#N/A,#N/A,FALSE,"UNIT";#N/A,#N/A,FALSE,"계정"}</definedName>
    <definedName name="wwwwwwwww" hidden="1">{#N/A,#N/A,FALSE,"UNIT";#N/A,#N/A,FALSE,"UNIT";#N/A,#N/A,FALSE,"계정"}</definedName>
    <definedName name="wwwwwwwwwwww" localSheetId="12" hidden="1">{#N/A,#N/A,FALSE,"UNIT";#N/A,#N/A,FALSE,"UNIT";#N/A,#N/A,FALSE,"계정"}</definedName>
    <definedName name="wwwwwwwwwwww" localSheetId="42" hidden="1">{#N/A,#N/A,FALSE,"UNIT";#N/A,#N/A,FALSE,"UNIT";#N/A,#N/A,FALSE,"계정"}</definedName>
    <definedName name="wwwwwwwwwwww" hidden="1">{#N/A,#N/A,FALSE,"UNIT";#N/A,#N/A,FALSE,"UNIT";#N/A,#N/A,FALSE,"계정"}</definedName>
    <definedName name="wwwwwwwwwwwwwww" localSheetId="12" hidden="1">{#N/A,#N/A,FALSE,"UNIT";#N/A,#N/A,FALSE,"UNIT";#N/A,#N/A,FALSE,"계정"}</definedName>
    <definedName name="wwwwwwwwwwwwwww" localSheetId="42" hidden="1">{#N/A,#N/A,FALSE,"UNIT";#N/A,#N/A,FALSE,"UNIT";#N/A,#N/A,FALSE,"계정"}</definedName>
    <definedName name="wwwwwwwwwwwwwww" hidden="1">{#N/A,#N/A,FALSE,"UNIT";#N/A,#N/A,FALSE,"UNIT";#N/A,#N/A,FALSE,"계정"}</definedName>
    <definedName name="x" localSheetId="12" hidden="1">{#N/A,#N/A,FALSE,"Aging Summary";#N/A,#N/A,FALSE,"Ratio Analysis";#N/A,#N/A,FALSE,"Test 120 Day Accts";#N/A,#N/A,FALSE,"Tickmarks"}</definedName>
    <definedName name="x" localSheetId="42" hidden="1">{"FORM1",#N/A,FALSE,"Revenue";"FORMTR",#N/A,FALSE,"Revenue";"FORM3.1",#N/A,FALSE,"Revenue"}</definedName>
    <definedName name="x" hidden="1">{"FORM1",#N/A,FALSE,"Revenue";"FORMTR",#N/A,FALSE,"Revenue";"FORM3.1",#N/A,FALSE,"Revenue"}</definedName>
    <definedName name="xc" localSheetId="42" hidden="1">{#N/A,#N/A,FALSE,"BS";#N/A,#N/A,FALSE,"PL";#N/A,#N/A,FALSE,"처분";#N/A,#N/A,FALSE,"현금";#N/A,#N/A,FALSE,"매출";#N/A,#N/A,FALSE,"원가";#N/A,#N/A,FALSE,"경영"}</definedName>
    <definedName name="xc" hidden="1">{#N/A,#N/A,FALSE,"BS";#N/A,#N/A,FALSE,"PL";#N/A,#N/A,FALSE,"처분";#N/A,#N/A,FALSE,"현금";#N/A,#N/A,FALSE,"매출";#N/A,#N/A,FALSE,"원가";#N/A,#N/A,FALSE,"경영"}</definedName>
    <definedName name="XREF_COLUMN_1" localSheetId="12" hidden="1">#REF!</definedName>
    <definedName name="XREF_COLUMN_1" localSheetId="30" hidden="1">#REF!</definedName>
    <definedName name="XREF_COLUMN_1" localSheetId="29" hidden="1">#REF!</definedName>
    <definedName name="XREF_COLUMN_1" localSheetId="33" hidden="1">#REF!</definedName>
    <definedName name="XREF_COLUMN_1" localSheetId="15" hidden="1">#REF!</definedName>
    <definedName name="XREF_COLUMN_1" localSheetId="31" hidden="1">#REF!</definedName>
    <definedName name="XREF_COLUMN_1" localSheetId="6" hidden="1">#REF!</definedName>
    <definedName name="XREF_COLUMN_1" localSheetId="32" hidden="1">#REF!</definedName>
    <definedName name="XREF_COLUMN_1" localSheetId="42" hidden="1">#REF!</definedName>
    <definedName name="XREF_COLUMN_1" hidden="1">#REF!</definedName>
    <definedName name="XREF_COLUMN_10" localSheetId="30" hidden="1">#REF!</definedName>
    <definedName name="XREF_COLUMN_10" localSheetId="29" hidden="1">#REF!</definedName>
    <definedName name="XREF_COLUMN_10" localSheetId="33" hidden="1">#REF!</definedName>
    <definedName name="XREF_COLUMN_10" localSheetId="31" hidden="1">#REF!</definedName>
    <definedName name="XREF_COLUMN_10" localSheetId="32" hidden="1">#REF!</definedName>
    <definedName name="XREF_COLUMN_10" hidden="1">#REF!</definedName>
    <definedName name="XREF_COLUMN_11" localSheetId="30" hidden="1">#REF!</definedName>
    <definedName name="XREF_COLUMN_11" localSheetId="29" hidden="1">#REF!</definedName>
    <definedName name="XREF_COLUMN_11" localSheetId="33" hidden="1">#REF!</definedName>
    <definedName name="XREF_COLUMN_11" localSheetId="31" hidden="1">#REF!</definedName>
    <definedName name="XREF_COLUMN_11" localSheetId="32" hidden="1">#REF!</definedName>
    <definedName name="XREF_COLUMN_11" hidden="1">#REF!</definedName>
    <definedName name="XREF_COLUMN_12" localSheetId="30" hidden="1">#REF!</definedName>
    <definedName name="XREF_COLUMN_12" localSheetId="29" hidden="1">#REF!</definedName>
    <definedName name="XREF_COLUMN_12" localSheetId="33" hidden="1">#REF!</definedName>
    <definedName name="XREF_COLUMN_12" localSheetId="31" hidden="1">#REF!</definedName>
    <definedName name="XREF_COLUMN_12" localSheetId="32" hidden="1">#REF!</definedName>
    <definedName name="XREF_COLUMN_12" hidden="1">#REF!</definedName>
    <definedName name="XREF_COLUMN_13" localSheetId="30" hidden="1">#REF!</definedName>
    <definedName name="XREF_COLUMN_13" localSheetId="29" hidden="1">#REF!</definedName>
    <definedName name="XREF_COLUMN_13" localSheetId="33" hidden="1">#REF!</definedName>
    <definedName name="XREF_COLUMN_13" localSheetId="31" hidden="1">#REF!</definedName>
    <definedName name="XREF_COLUMN_13" localSheetId="32" hidden="1">#REF!</definedName>
    <definedName name="XREF_COLUMN_13" hidden="1">#REF!</definedName>
    <definedName name="XREF_COLUMN_14" localSheetId="30" hidden="1">#REF!</definedName>
    <definedName name="XREF_COLUMN_14" localSheetId="29" hidden="1">#REF!</definedName>
    <definedName name="XREF_COLUMN_14" localSheetId="33" hidden="1">#REF!</definedName>
    <definedName name="XREF_COLUMN_14" localSheetId="15" hidden="1">#REF!</definedName>
    <definedName name="XREF_COLUMN_14" localSheetId="31" hidden="1">#REF!</definedName>
    <definedName name="XREF_COLUMN_14" localSheetId="6" hidden="1">#REF!</definedName>
    <definedName name="XREF_COLUMN_14" localSheetId="32" hidden="1">#REF!</definedName>
    <definedName name="XREF_COLUMN_14" localSheetId="42" hidden="1">#REF!</definedName>
    <definedName name="XREF_COLUMN_14" hidden="1">#REF!</definedName>
    <definedName name="XREF_COLUMN_15" localSheetId="30" hidden="1">#REF!</definedName>
    <definedName name="XREF_COLUMN_15" localSheetId="29" hidden="1">#REF!</definedName>
    <definedName name="XREF_COLUMN_15" localSheetId="33" hidden="1">#REF!</definedName>
    <definedName name="XREF_COLUMN_15" localSheetId="15" hidden="1">#REF!</definedName>
    <definedName name="XREF_COLUMN_15" localSheetId="31" hidden="1">#REF!</definedName>
    <definedName name="XREF_COLUMN_15" localSheetId="6" hidden="1">#REF!</definedName>
    <definedName name="XREF_COLUMN_15" localSheetId="32" hidden="1">#REF!</definedName>
    <definedName name="XREF_COLUMN_15" localSheetId="42" hidden="1">#REF!</definedName>
    <definedName name="XREF_COLUMN_15" hidden="1">#REF!</definedName>
    <definedName name="XREF_COLUMN_16" localSheetId="30" hidden="1">#REF!</definedName>
    <definedName name="XREF_COLUMN_16" localSheetId="29" hidden="1">#REF!</definedName>
    <definedName name="XREF_COLUMN_16" localSheetId="33" hidden="1">#REF!</definedName>
    <definedName name="XREF_COLUMN_16" localSheetId="31" hidden="1">#REF!</definedName>
    <definedName name="XREF_COLUMN_16" localSheetId="32" hidden="1">#REF!</definedName>
    <definedName name="XREF_COLUMN_16" hidden="1">#REF!</definedName>
    <definedName name="XREF_COLUMN_17" localSheetId="12" hidden="1">#REF!</definedName>
    <definedName name="XREF_COLUMN_17" hidden="1">#REF!</definedName>
    <definedName name="XREF_COLUMN_18" localSheetId="30" hidden="1">#REF!</definedName>
    <definedName name="XREF_COLUMN_18" localSheetId="29" hidden="1">#REF!</definedName>
    <definedName name="XREF_COLUMN_18" localSheetId="33" hidden="1">#REF!</definedName>
    <definedName name="XREF_COLUMN_18" localSheetId="31" hidden="1">#REF!</definedName>
    <definedName name="XREF_COLUMN_18" localSheetId="32" hidden="1">#REF!</definedName>
    <definedName name="XREF_COLUMN_18" hidden="1">#REF!</definedName>
    <definedName name="XREF_COLUMN_19" localSheetId="30" hidden="1">#REF!</definedName>
    <definedName name="XREF_COLUMN_19" localSheetId="29" hidden="1">#REF!</definedName>
    <definedName name="XREF_COLUMN_19" localSheetId="33" hidden="1">#REF!</definedName>
    <definedName name="XREF_COLUMN_19" localSheetId="31" hidden="1">#REF!</definedName>
    <definedName name="XREF_COLUMN_19" localSheetId="32" hidden="1">#REF!</definedName>
    <definedName name="XREF_COLUMN_19" hidden="1">#REF!</definedName>
    <definedName name="XREF_COLUMN_2" localSheetId="12" hidden="1">#REF!</definedName>
    <definedName name="XREF_COLUMN_2" localSheetId="30" hidden="1">#REF!</definedName>
    <definedName name="XREF_COLUMN_2" localSheetId="29" hidden="1">#REF!</definedName>
    <definedName name="XREF_COLUMN_2" localSheetId="33" hidden="1">#REF!</definedName>
    <definedName name="XREF_COLUMN_2" localSheetId="15" hidden="1">#REF!</definedName>
    <definedName name="XREF_COLUMN_2" localSheetId="31" hidden="1">#REF!</definedName>
    <definedName name="XREF_COLUMN_2" localSheetId="32" hidden="1">#REF!</definedName>
    <definedName name="XREF_COLUMN_2" hidden="1">#REF!</definedName>
    <definedName name="XREF_COLUMN_22" localSheetId="30" hidden="1">#REF!</definedName>
    <definedName name="XREF_COLUMN_22" localSheetId="29" hidden="1">#REF!</definedName>
    <definedName name="XREF_COLUMN_22" localSheetId="33" hidden="1">#REF!</definedName>
    <definedName name="XREF_COLUMN_22" localSheetId="31" hidden="1">#REF!</definedName>
    <definedName name="XREF_COLUMN_22" localSheetId="32" hidden="1">#REF!</definedName>
    <definedName name="XREF_COLUMN_22" hidden="1">#REF!</definedName>
    <definedName name="XREF_COLUMN_3" localSheetId="15" hidden="1">#REF!</definedName>
    <definedName name="XREF_COLUMN_3" hidden="1">#REF!</definedName>
    <definedName name="XREF_COLUMN_4" localSheetId="30" hidden="1">#REF!</definedName>
    <definedName name="XREF_COLUMN_4" localSheetId="29" hidden="1">#REF!</definedName>
    <definedName name="XREF_COLUMN_4" localSheetId="33" hidden="1">#REF!</definedName>
    <definedName name="XREF_COLUMN_4" localSheetId="15" hidden="1">#REF!</definedName>
    <definedName name="XREF_COLUMN_4" localSheetId="31" hidden="1">#REF!</definedName>
    <definedName name="XREF_COLUMN_4" localSheetId="32" hidden="1">#REF!</definedName>
    <definedName name="XREF_COLUMN_4" hidden="1">#REF!</definedName>
    <definedName name="XREF_COLUMN_5" localSheetId="30" hidden="1">#REF!</definedName>
    <definedName name="XREF_COLUMN_5" localSheetId="29" hidden="1">#REF!</definedName>
    <definedName name="XREF_COLUMN_5" localSheetId="33" hidden="1">#REF!</definedName>
    <definedName name="XREF_COLUMN_5" localSheetId="15" hidden="1">#REF!</definedName>
    <definedName name="XREF_COLUMN_5" localSheetId="31" hidden="1">#REF!</definedName>
    <definedName name="XREF_COLUMN_5" localSheetId="32" hidden="1">#REF!</definedName>
    <definedName name="XREF_COLUMN_5" hidden="1">#REF!</definedName>
    <definedName name="XREF_COLUMN_6" localSheetId="12" hidden="1">#REF!</definedName>
    <definedName name="XREF_COLUMN_6" localSheetId="30" hidden="1">#REF!</definedName>
    <definedName name="XREF_COLUMN_6" localSheetId="29" hidden="1">#REF!</definedName>
    <definedName name="XREF_COLUMN_6" localSheetId="33" hidden="1">#REF!</definedName>
    <definedName name="XREF_COLUMN_6" localSheetId="31" hidden="1">#REF!</definedName>
    <definedName name="XREF_COLUMN_6" localSheetId="32" hidden="1">#REF!</definedName>
    <definedName name="XREF_COLUMN_6" hidden="1">#REF!</definedName>
    <definedName name="XREF_COLUMN_7" localSheetId="12" hidden="1">#REF!</definedName>
    <definedName name="XREF_COLUMN_7" localSheetId="30" hidden="1">#REF!</definedName>
    <definedName name="XREF_COLUMN_7" localSheetId="29" hidden="1">#REF!</definedName>
    <definedName name="XREF_COLUMN_7" localSheetId="33" hidden="1">#REF!</definedName>
    <definedName name="XREF_COLUMN_7" localSheetId="15" hidden="1">#REF!</definedName>
    <definedName name="XREF_COLUMN_7" localSheetId="31" hidden="1">#REF!</definedName>
    <definedName name="XREF_COLUMN_7" localSheetId="6" hidden="1">#REF!</definedName>
    <definedName name="XREF_COLUMN_7" localSheetId="32" hidden="1">#REF!</definedName>
    <definedName name="XREF_COLUMN_7" localSheetId="42" hidden="1">#REF!</definedName>
    <definedName name="XREF_COLUMN_7" hidden="1">#REF!</definedName>
    <definedName name="XREF_COLUMN_8" localSheetId="30" hidden="1">#REF!</definedName>
    <definedName name="XREF_COLUMN_8" localSheetId="29" hidden="1">#REF!</definedName>
    <definedName name="XREF_COLUMN_8" localSheetId="33" hidden="1">#REF!</definedName>
    <definedName name="XREF_COLUMN_8" localSheetId="31" hidden="1">#REF!</definedName>
    <definedName name="XREF_COLUMN_8" localSheetId="32" hidden="1">#REF!</definedName>
    <definedName name="XREF_COLUMN_8" hidden="1">#REF!</definedName>
    <definedName name="XREF_COLUMN_9" localSheetId="30" hidden="1">#REF!</definedName>
    <definedName name="XREF_COLUMN_9" localSheetId="29" hidden="1">#REF!</definedName>
    <definedName name="XREF_COLUMN_9" localSheetId="33" hidden="1">#REF!</definedName>
    <definedName name="XREF_COLUMN_9" localSheetId="31" hidden="1">#REF!</definedName>
    <definedName name="XREF_COLUMN_9" localSheetId="32" hidden="1">#REF!</definedName>
    <definedName name="XREF_COLUMN_9" hidden="1">#REF!</definedName>
    <definedName name="XRefActiveRow" localSheetId="12" hidden="1">#REF!</definedName>
    <definedName name="XRefActiveRow" localSheetId="30" hidden="1">#REF!</definedName>
    <definedName name="XRefActiveRow" localSheetId="29" hidden="1">#REF!</definedName>
    <definedName name="XRefActiveRow" localSheetId="33" hidden="1">#REF!</definedName>
    <definedName name="XRefActiveRow" localSheetId="15" hidden="1">#REF!</definedName>
    <definedName name="XRefActiveRow" localSheetId="31" hidden="1">#REF!</definedName>
    <definedName name="XRefActiveRow" localSheetId="6" hidden="1">#REF!</definedName>
    <definedName name="XRefActiveRow" localSheetId="32" hidden="1">#REF!</definedName>
    <definedName name="XRefActiveRow" localSheetId="42" hidden="1">#REF!</definedName>
    <definedName name="XRefActiveRow" hidden="1">#REF!</definedName>
    <definedName name="XRefColumnsCount" localSheetId="12" hidden="1">1</definedName>
    <definedName name="XRefColumnsCount" localSheetId="15" hidden="1">9</definedName>
    <definedName name="XRefColumnsCount" localSheetId="6" hidden="1">9</definedName>
    <definedName name="XRefColumnsCount" localSheetId="45" hidden="1">9</definedName>
    <definedName name="XRefColumnsCount" localSheetId="42" hidden="1">9</definedName>
    <definedName name="XRefColumnsCount" hidden="1">2</definedName>
    <definedName name="XRefCopy1" localSheetId="12" hidden="1">#REF!</definedName>
    <definedName name="XRefCopy1" localSheetId="30" hidden="1">#REF!</definedName>
    <definedName name="XRefCopy1" localSheetId="29" hidden="1">#REF!</definedName>
    <definedName name="XRefCopy1" localSheetId="33" hidden="1">#REF!</definedName>
    <definedName name="XRefCopy1" localSheetId="15" hidden="1">#REF!</definedName>
    <definedName name="XRefCopy1" localSheetId="31" hidden="1">#REF!</definedName>
    <definedName name="XRefCopy1" localSheetId="6" hidden="1">#REF!</definedName>
    <definedName name="XRefCopy1" localSheetId="32" hidden="1">#REF!</definedName>
    <definedName name="XRefCopy1" localSheetId="42" hidden="1">#REF!</definedName>
    <definedName name="XRefCopy1" hidden="1">#REF!</definedName>
    <definedName name="XRefCopy10" localSheetId="30" hidden="1">#REF!</definedName>
    <definedName name="XRefCopy10" localSheetId="29" hidden="1">#REF!</definedName>
    <definedName name="XRefCopy10" localSheetId="33" hidden="1">#REF!</definedName>
    <definedName name="XRefCopy10" localSheetId="15" hidden="1">#REF!</definedName>
    <definedName name="XRefCopy10" localSheetId="31" hidden="1">#REF!</definedName>
    <definedName name="XRefCopy10" localSheetId="6" hidden="1">#REF!</definedName>
    <definedName name="XRefCopy10" localSheetId="32" hidden="1">#REF!</definedName>
    <definedName name="XRefCopy10" localSheetId="42" hidden="1">#REF!</definedName>
    <definedName name="XRefCopy10" hidden="1">#REF!</definedName>
    <definedName name="XRefCopy10Row" localSheetId="30" hidden="1">#REF!</definedName>
    <definedName name="XRefCopy10Row" localSheetId="29" hidden="1">#REF!</definedName>
    <definedName name="XRefCopy10Row" localSheetId="33" hidden="1">#REF!</definedName>
    <definedName name="XRefCopy10Row" localSheetId="15" hidden="1">#REF!</definedName>
    <definedName name="XRefCopy10Row" localSheetId="31" hidden="1">#REF!</definedName>
    <definedName name="XRefCopy10Row" localSheetId="6" hidden="1">#REF!</definedName>
    <definedName name="XRefCopy10Row" localSheetId="32" hidden="1">#REF!</definedName>
    <definedName name="XRefCopy10Row" localSheetId="42" hidden="1">#REF!</definedName>
    <definedName name="XRefCopy10Row" hidden="1">#REF!</definedName>
    <definedName name="XRefCopy11" localSheetId="30" hidden="1">#REF!</definedName>
    <definedName name="XRefCopy11" localSheetId="29" hidden="1">#REF!</definedName>
    <definedName name="XRefCopy11" localSheetId="33" hidden="1">#REF!</definedName>
    <definedName name="XRefCopy11" localSheetId="15" hidden="1">#REF!</definedName>
    <definedName name="XRefCopy11" localSheetId="31" hidden="1">#REF!</definedName>
    <definedName name="XRefCopy11" localSheetId="32" hidden="1">#REF!</definedName>
    <definedName name="XRefCopy11" hidden="1">#REF!</definedName>
    <definedName name="XRefCopy11Row" localSheetId="30" hidden="1">#REF!</definedName>
    <definedName name="XRefCopy11Row" localSheetId="29" hidden="1">#REF!</definedName>
    <definedName name="XRefCopy11Row" localSheetId="33" hidden="1">#REF!</definedName>
    <definedName name="XRefCopy11Row" localSheetId="15" hidden="1">#REF!</definedName>
    <definedName name="XRefCopy11Row" localSheetId="31" hidden="1">#REF!</definedName>
    <definedName name="XRefCopy11Row" localSheetId="32" hidden="1">#REF!</definedName>
    <definedName name="XRefCopy11Row" hidden="1">#REF!</definedName>
    <definedName name="XRefCopy12" localSheetId="30" hidden="1">#REF!</definedName>
    <definedName name="XRefCopy12" localSheetId="29" hidden="1">#REF!</definedName>
    <definedName name="XRefCopy12" localSheetId="33" hidden="1">#REF!</definedName>
    <definedName name="XRefCopy12" localSheetId="15" hidden="1">#REF!</definedName>
    <definedName name="XRefCopy12" localSheetId="31" hidden="1">#REF!</definedName>
    <definedName name="XRefCopy12" localSheetId="32" hidden="1">#REF!</definedName>
    <definedName name="XRefCopy12" hidden="1">#REF!</definedName>
    <definedName name="XRefCopy12Row" localSheetId="30" hidden="1">#REF!</definedName>
    <definedName name="XRefCopy12Row" localSheetId="29" hidden="1">#REF!</definedName>
    <definedName name="XRefCopy12Row" localSheetId="33" hidden="1">#REF!</definedName>
    <definedName name="XRefCopy12Row" localSheetId="15" hidden="1">#REF!</definedName>
    <definedName name="XRefCopy12Row" localSheetId="31" hidden="1">#REF!</definedName>
    <definedName name="XRefCopy12Row" localSheetId="32" hidden="1">#REF!</definedName>
    <definedName name="XRefCopy12Row" hidden="1">#REF!</definedName>
    <definedName name="XRefCopy13" localSheetId="30" hidden="1">#REF!</definedName>
    <definedName name="XRefCopy13" localSheetId="29" hidden="1">#REF!</definedName>
    <definedName name="XRefCopy13" localSheetId="33" hidden="1">#REF!</definedName>
    <definedName name="XRefCopy13" localSheetId="15" hidden="1">#REF!</definedName>
    <definedName name="XRefCopy13" localSheetId="31" hidden="1">#REF!</definedName>
    <definedName name="XRefCopy13" localSheetId="32" hidden="1">#REF!</definedName>
    <definedName name="XRefCopy13" hidden="1">#REF!</definedName>
    <definedName name="XRefCopy13Row" localSheetId="30" hidden="1">#REF!</definedName>
    <definedName name="XRefCopy13Row" localSheetId="29" hidden="1">#REF!</definedName>
    <definedName name="XRefCopy13Row" localSheetId="33" hidden="1">#REF!</definedName>
    <definedName name="XRefCopy13Row" localSheetId="15" hidden="1">#REF!</definedName>
    <definedName name="XRefCopy13Row" localSheetId="31" hidden="1">#REF!</definedName>
    <definedName name="XRefCopy13Row" localSheetId="32" hidden="1">#REF!</definedName>
    <definedName name="XRefCopy13Row" hidden="1">#REF!</definedName>
    <definedName name="XRefCopy14" localSheetId="30" hidden="1">#REF!</definedName>
    <definedName name="XRefCopy14" localSheetId="29" hidden="1">#REF!</definedName>
    <definedName name="XRefCopy14" localSheetId="33" hidden="1">#REF!</definedName>
    <definedName name="XRefCopy14" localSheetId="15" hidden="1">#REF!</definedName>
    <definedName name="XRefCopy14" localSheetId="31" hidden="1">#REF!</definedName>
    <definedName name="XRefCopy14" localSheetId="32" hidden="1">#REF!</definedName>
    <definedName name="XRefCopy14" hidden="1">#REF!</definedName>
    <definedName name="XRefCopy14Row" localSheetId="30" hidden="1">#REF!</definedName>
    <definedName name="XRefCopy14Row" localSheetId="29" hidden="1">#REF!</definedName>
    <definedName name="XRefCopy14Row" localSheetId="33" hidden="1">#REF!</definedName>
    <definedName name="XRefCopy14Row" localSheetId="15" hidden="1">#REF!</definedName>
    <definedName name="XRefCopy14Row" localSheetId="31" hidden="1">#REF!</definedName>
    <definedName name="XRefCopy14Row" localSheetId="32" hidden="1">#REF!</definedName>
    <definedName name="XRefCopy14Row" hidden="1">#REF!</definedName>
    <definedName name="XRefCopy15" localSheetId="30" hidden="1">#REF!</definedName>
    <definedName name="XRefCopy15" localSheetId="29" hidden="1">#REF!</definedName>
    <definedName name="XRefCopy15" localSheetId="33" hidden="1">#REF!</definedName>
    <definedName name="XRefCopy15" localSheetId="15" hidden="1">#REF!</definedName>
    <definedName name="XRefCopy15" localSheetId="31" hidden="1">#REF!</definedName>
    <definedName name="XRefCopy15" localSheetId="32" hidden="1">#REF!</definedName>
    <definedName name="XRefCopy15" hidden="1">#REF!</definedName>
    <definedName name="XRefCopy15Row" localSheetId="30" hidden="1">#REF!</definedName>
    <definedName name="XRefCopy15Row" localSheetId="29" hidden="1">#REF!</definedName>
    <definedName name="XRefCopy15Row" localSheetId="33" hidden="1">#REF!</definedName>
    <definedName name="XRefCopy15Row" localSheetId="15" hidden="1">#REF!</definedName>
    <definedName name="XRefCopy15Row" localSheetId="31" hidden="1">#REF!</definedName>
    <definedName name="XRefCopy15Row" localSheetId="32" hidden="1">#REF!</definedName>
    <definedName name="XRefCopy15Row" hidden="1">#REF!</definedName>
    <definedName name="XRefCopy16" localSheetId="30" hidden="1">#REF!</definedName>
    <definedName name="XRefCopy16" localSheetId="29" hidden="1">#REF!</definedName>
    <definedName name="XRefCopy16" localSheetId="33" hidden="1">#REF!</definedName>
    <definedName name="XRefCopy16" localSheetId="15" hidden="1">#REF!</definedName>
    <definedName name="XRefCopy16" localSheetId="31" hidden="1">#REF!</definedName>
    <definedName name="XRefCopy16" localSheetId="32" hidden="1">#REF!</definedName>
    <definedName name="XRefCopy16" hidden="1">#REF!</definedName>
    <definedName name="XRefCopy16Row" localSheetId="30" hidden="1">#REF!</definedName>
    <definedName name="XRefCopy16Row" localSheetId="29" hidden="1">#REF!</definedName>
    <definedName name="XRefCopy16Row" localSheetId="33" hidden="1">#REF!</definedName>
    <definedName name="XRefCopy16Row" localSheetId="15" hidden="1">#REF!</definedName>
    <definedName name="XRefCopy16Row" localSheetId="31" hidden="1">#REF!</definedName>
    <definedName name="XRefCopy16Row" localSheetId="32" hidden="1">#REF!</definedName>
    <definedName name="XRefCopy16Row" hidden="1">#REF!</definedName>
    <definedName name="XRefCopy17" localSheetId="30" hidden="1">#REF!</definedName>
    <definedName name="XRefCopy17" localSheetId="29" hidden="1">#REF!</definedName>
    <definedName name="XRefCopy17" localSheetId="33" hidden="1">#REF!</definedName>
    <definedName name="XRefCopy17" localSheetId="15" hidden="1">#REF!</definedName>
    <definedName name="XRefCopy17" localSheetId="31" hidden="1">#REF!</definedName>
    <definedName name="XRefCopy17" localSheetId="32" hidden="1">#REF!</definedName>
    <definedName name="XRefCopy17" hidden="1">#REF!</definedName>
    <definedName name="XRefCopy17Row" localSheetId="30" hidden="1">#REF!</definedName>
    <definedName name="XRefCopy17Row" localSheetId="29" hidden="1">#REF!</definedName>
    <definedName name="XRefCopy17Row" localSheetId="33" hidden="1">#REF!</definedName>
    <definedName name="XRefCopy17Row" localSheetId="31" hidden="1">#REF!</definedName>
    <definedName name="XRefCopy17Row" localSheetId="32" hidden="1">#REF!</definedName>
    <definedName name="XRefCopy17Row" hidden="1">#REF!</definedName>
    <definedName name="XRefCopy18" localSheetId="30" hidden="1">#REF!</definedName>
    <definedName name="XRefCopy18" localSheetId="29" hidden="1">#REF!</definedName>
    <definedName name="XRefCopy18" localSheetId="33" hidden="1">#REF!</definedName>
    <definedName name="XRefCopy18" localSheetId="15" hidden="1">#REF!</definedName>
    <definedName name="XRefCopy18" localSheetId="31" hidden="1">#REF!</definedName>
    <definedName name="XRefCopy18" localSheetId="32" hidden="1">#REF!</definedName>
    <definedName name="XRefCopy18" hidden="1">#REF!</definedName>
    <definedName name="XRefCopy18Row" localSheetId="30" hidden="1">#REF!</definedName>
    <definedName name="XRefCopy18Row" localSheetId="29" hidden="1">#REF!</definedName>
    <definedName name="XRefCopy18Row" localSheetId="33" hidden="1">#REF!</definedName>
    <definedName name="XRefCopy18Row" localSheetId="31" hidden="1">#REF!</definedName>
    <definedName name="XRefCopy18Row" localSheetId="32" hidden="1">#REF!</definedName>
    <definedName name="XRefCopy18Row" hidden="1">#REF!</definedName>
    <definedName name="XRefCopy19" localSheetId="30" hidden="1">#REF!</definedName>
    <definedName name="XRefCopy19" localSheetId="29" hidden="1">#REF!</definedName>
    <definedName name="XRefCopy19" localSheetId="33" hidden="1">#REF!</definedName>
    <definedName name="XRefCopy19" localSheetId="15" hidden="1">#REF!</definedName>
    <definedName name="XRefCopy19" localSheetId="31" hidden="1">#REF!</definedName>
    <definedName name="XRefCopy19" localSheetId="32" hidden="1">#REF!</definedName>
    <definedName name="XRefCopy19" hidden="1">#REF!</definedName>
    <definedName name="XRefCopy19Row" localSheetId="30" hidden="1">#REF!</definedName>
    <definedName name="XRefCopy19Row" localSheetId="29" hidden="1">#REF!</definedName>
    <definedName name="XRefCopy19Row" localSheetId="33" hidden="1">#REF!</definedName>
    <definedName name="XRefCopy19Row" localSheetId="31" hidden="1">#REF!</definedName>
    <definedName name="XRefCopy19Row" localSheetId="32" hidden="1">#REF!</definedName>
    <definedName name="XRefCopy19Row" hidden="1">#REF!</definedName>
    <definedName name="XRefCopy1Row" localSheetId="12" hidden="1">#REF!</definedName>
    <definedName name="XRefCopy1Row" localSheetId="30" hidden="1">#REF!</definedName>
    <definedName name="XRefCopy1Row" localSheetId="29" hidden="1">#REF!</definedName>
    <definedName name="XRefCopy1Row" localSheetId="33" hidden="1">#REF!</definedName>
    <definedName name="XRefCopy1Row" localSheetId="15" hidden="1">#REF!</definedName>
    <definedName name="XRefCopy1Row" localSheetId="31" hidden="1">#REF!</definedName>
    <definedName name="XRefCopy1Row" localSheetId="32" hidden="1">#REF!</definedName>
    <definedName name="XRefCopy1Row" hidden="1">#REF!</definedName>
    <definedName name="XRefCopy2" localSheetId="12" hidden="1">#REF!</definedName>
    <definedName name="XRefCopy2" localSheetId="30" hidden="1">#REF!</definedName>
    <definedName name="XRefCopy2" localSheetId="29" hidden="1">#REF!</definedName>
    <definedName name="XRefCopy2" localSheetId="33" hidden="1">#REF!</definedName>
    <definedName name="XRefCopy2" localSheetId="15" hidden="1">#REF!</definedName>
    <definedName name="XRefCopy2" localSheetId="31" hidden="1">#REF!</definedName>
    <definedName name="XRefCopy2" localSheetId="32" hidden="1">#REF!</definedName>
    <definedName name="XRefCopy2" hidden="1">#REF!</definedName>
    <definedName name="XRefCopy20" localSheetId="30" hidden="1">#REF!</definedName>
    <definedName name="XRefCopy20" localSheetId="29" hidden="1">#REF!</definedName>
    <definedName name="XRefCopy20" localSheetId="33" hidden="1">#REF!</definedName>
    <definedName name="XRefCopy20" localSheetId="15" hidden="1">#REF!</definedName>
    <definedName name="XRefCopy20" localSheetId="31" hidden="1">#REF!</definedName>
    <definedName name="XRefCopy20" localSheetId="32" hidden="1">#REF!</definedName>
    <definedName name="XRefCopy20" hidden="1">#REF!</definedName>
    <definedName name="XRefCopy20Row" localSheetId="30" hidden="1">#REF!</definedName>
    <definedName name="XRefCopy20Row" localSheetId="29" hidden="1">#REF!</definedName>
    <definedName name="XRefCopy20Row" localSheetId="33" hidden="1">#REF!</definedName>
    <definedName name="XRefCopy20Row" localSheetId="31" hidden="1">#REF!</definedName>
    <definedName name="XRefCopy20Row" localSheetId="32" hidden="1">#REF!</definedName>
    <definedName name="XRefCopy20Row" hidden="1">#REF!</definedName>
    <definedName name="XRefCopy21" localSheetId="30" hidden="1">#REF!</definedName>
    <definedName name="XRefCopy21" localSheetId="29" hidden="1">#REF!</definedName>
    <definedName name="XRefCopy21" localSheetId="33" hidden="1">#REF!</definedName>
    <definedName name="XRefCopy21" localSheetId="15" hidden="1">#REF!</definedName>
    <definedName name="XRefCopy21" localSheetId="31" hidden="1">#REF!</definedName>
    <definedName name="XRefCopy21" localSheetId="32" hidden="1">#REF!</definedName>
    <definedName name="XRefCopy21" hidden="1">#REF!</definedName>
    <definedName name="XRefCopy21Row" localSheetId="30" hidden="1">#REF!</definedName>
    <definedName name="XRefCopy21Row" localSheetId="29" hidden="1">#REF!</definedName>
    <definedName name="XRefCopy21Row" localSheetId="33" hidden="1">#REF!</definedName>
    <definedName name="XRefCopy21Row" localSheetId="31" hidden="1">#REF!</definedName>
    <definedName name="XRefCopy21Row" localSheetId="32" hidden="1">#REF!</definedName>
    <definedName name="XRefCopy21Row" hidden="1">#REF!</definedName>
    <definedName name="XRefCopy22" localSheetId="30" hidden="1">#REF!</definedName>
    <definedName name="XRefCopy22" localSheetId="29" hidden="1">#REF!</definedName>
    <definedName name="XRefCopy22" localSheetId="33" hidden="1">#REF!</definedName>
    <definedName name="XRefCopy22" localSheetId="15" hidden="1">#REF!</definedName>
    <definedName name="XRefCopy22" localSheetId="31" hidden="1">#REF!</definedName>
    <definedName name="XRefCopy22" localSheetId="32" hidden="1">#REF!</definedName>
    <definedName name="XRefCopy22" hidden="1">#REF!</definedName>
    <definedName name="XRefCopy22Row" localSheetId="30" hidden="1">#REF!</definedName>
    <definedName name="XRefCopy22Row" localSheetId="29" hidden="1">#REF!</definedName>
    <definedName name="XRefCopy22Row" localSheetId="33" hidden="1">#REF!</definedName>
    <definedName name="XRefCopy22Row" localSheetId="31" hidden="1">#REF!</definedName>
    <definedName name="XRefCopy22Row" localSheetId="32" hidden="1">#REF!</definedName>
    <definedName name="XRefCopy22Row" hidden="1">#REF!</definedName>
    <definedName name="XRefCopy23" localSheetId="30" hidden="1">#REF!</definedName>
    <definedName name="XRefCopy23" localSheetId="29" hidden="1">#REF!</definedName>
    <definedName name="XRefCopy23" localSheetId="33" hidden="1">#REF!</definedName>
    <definedName name="XRefCopy23" localSheetId="15" hidden="1">#REF!</definedName>
    <definedName name="XRefCopy23" localSheetId="31" hidden="1">#REF!</definedName>
    <definedName name="XRefCopy23" localSheetId="32" hidden="1">#REF!</definedName>
    <definedName name="XRefCopy23" hidden="1">#REF!</definedName>
    <definedName name="XRefCopy23Row" localSheetId="30" hidden="1">#REF!</definedName>
    <definedName name="XRefCopy23Row" localSheetId="29" hidden="1">#REF!</definedName>
    <definedName name="XRefCopy23Row" localSheetId="33" hidden="1">#REF!</definedName>
    <definedName name="XRefCopy23Row" localSheetId="31" hidden="1">#REF!</definedName>
    <definedName name="XRefCopy23Row" localSheetId="32" hidden="1">#REF!</definedName>
    <definedName name="XRefCopy23Row" hidden="1">#REF!</definedName>
    <definedName name="XRefCopy24" localSheetId="30" hidden="1">#REF!</definedName>
    <definedName name="XRefCopy24" localSheetId="29" hidden="1">#REF!</definedName>
    <definedName name="XRefCopy24" localSheetId="33" hidden="1">#REF!</definedName>
    <definedName name="XRefCopy24" localSheetId="15" hidden="1">#REF!</definedName>
    <definedName name="XRefCopy24" localSheetId="31" hidden="1">#REF!</definedName>
    <definedName name="XRefCopy24" localSheetId="32" hidden="1">#REF!</definedName>
    <definedName name="XRefCopy24" hidden="1">#REF!</definedName>
    <definedName name="XRefCopy24Row" localSheetId="30" hidden="1">#REF!</definedName>
    <definedName name="XRefCopy24Row" localSheetId="29" hidden="1">#REF!</definedName>
    <definedName name="XRefCopy24Row" localSheetId="33" hidden="1">#REF!</definedName>
    <definedName name="XRefCopy24Row" localSheetId="31" hidden="1">#REF!</definedName>
    <definedName name="XRefCopy24Row" localSheetId="32" hidden="1">#REF!</definedName>
    <definedName name="XRefCopy24Row" hidden="1">#REF!</definedName>
    <definedName name="XRefCopy25" localSheetId="30" hidden="1">#REF!</definedName>
    <definedName name="XRefCopy25" localSheetId="29" hidden="1">#REF!</definedName>
    <definedName name="XRefCopy25" localSheetId="33" hidden="1">#REF!</definedName>
    <definedName name="XRefCopy25" localSheetId="15" hidden="1">#REF!</definedName>
    <definedName name="XRefCopy25" localSheetId="31" hidden="1">#REF!</definedName>
    <definedName name="XRefCopy25" localSheetId="32" hidden="1">#REF!</definedName>
    <definedName name="XRefCopy25" hidden="1">#REF!</definedName>
    <definedName name="XRefCopy25Row" localSheetId="30" hidden="1">#REF!</definedName>
    <definedName name="XRefCopy25Row" localSheetId="29" hidden="1">#REF!</definedName>
    <definedName name="XRefCopy25Row" localSheetId="33" hidden="1">#REF!</definedName>
    <definedName name="XRefCopy25Row" localSheetId="31" hidden="1">#REF!</definedName>
    <definedName name="XRefCopy25Row" localSheetId="32" hidden="1">#REF!</definedName>
    <definedName name="XRefCopy25Row" hidden="1">#REF!</definedName>
    <definedName name="XRefCopy26" localSheetId="30" hidden="1">#REF!</definedName>
    <definedName name="XRefCopy26" localSheetId="29" hidden="1">#REF!</definedName>
    <definedName name="XRefCopy26" localSheetId="33" hidden="1">#REF!</definedName>
    <definedName name="XRefCopy26" localSheetId="15" hidden="1">#REF!</definedName>
    <definedName name="XRefCopy26" localSheetId="31" hidden="1">#REF!</definedName>
    <definedName name="XRefCopy26" localSheetId="32" hidden="1">#REF!</definedName>
    <definedName name="XRefCopy26" hidden="1">#REF!</definedName>
    <definedName name="XRefCopy26Row" localSheetId="30" hidden="1">#REF!</definedName>
    <definedName name="XRefCopy26Row" localSheetId="29" hidden="1">#REF!</definedName>
    <definedName name="XRefCopy26Row" localSheetId="33" hidden="1">#REF!</definedName>
    <definedName name="XRefCopy26Row" localSheetId="31" hidden="1">#REF!</definedName>
    <definedName name="XRefCopy26Row" localSheetId="32" hidden="1">#REF!</definedName>
    <definedName name="XRefCopy26Row" hidden="1">#REF!</definedName>
    <definedName name="XRefCopy27" localSheetId="30" hidden="1">#REF!</definedName>
    <definedName name="XRefCopy27" localSheetId="29" hidden="1">#REF!</definedName>
    <definedName name="XRefCopy27" localSheetId="33" hidden="1">#REF!</definedName>
    <definedName name="XRefCopy27" localSheetId="15" hidden="1">#REF!</definedName>
    <definedName name="XRefCopy27" localSheetId="31" hidden="1">#REF!</definedName>
    <definedName name="XRefCopy27" localSheetId="32" hidden="1">#REF!</definedName>
    <definedName name="XRefCopy27" hidden="1">#REF!</definedName>
    <definedName name="XRefCopy27Row" localSheetId="30" hidden="1">#REF!</definedName>
    <definedName name="XRefCopy27Row" localSheetId="29" hidden="1">#REF!</definedName>
    <definedName name="XRefCopy27Row" localSheetId="33" hidden="1">#REF!</definedName>
    <definedName name="XRefCopy27Row" localSheetId="31" hidden="1">#REF!</definedName>
    <definedName name="XRefCopy27Row" localSheetId="32" hidden="1">#REF!</definedName>
    <definedName name="XRefCopy27Row" hidden="1">#REF!</definedName>
    <definedName name="XRefCopy28" localSheetId="30" hidden="1">#REF!</definedName>
    <definedName name="XRefCopy28" localSheetId="29" hidden="1">#REF!</definedName>
    <definedName name="XRefCopy28" localSheetId="33" hidden="1">#REF!</definedName>
    <definedName name="XRefCopy28" localSheetId="15" hidden="1">#REF!</definedName>
    <definedName name="XRefCopy28" localSheetId="31" hidden="1">#REF!</definedName>
    <definedName name="XRefCopy28" localSheetId="32" hidden="1">#REF!</definedName>
    <definedName name="XRefCopy28" hidden="1">#REF!</definedName>
    <definedName name="XRefCopy28Row" localSheetId="30" hidden="1">#REF!</definedName>
    <definedName name="XRefCopy28Row" localSheetId="29" hidden="1">#REF!</definedName>
    <definedName name="XRefCopy28Row" localSheetId="33" hidden="1">#REF!</definedName>
    <definedName name="XRefCopy28Row" localSheetId="31" hidden="1">#REF!</definedName>
    <definedName name="XRefCopy28Row" localSheetId="32" hidden="1">#REF!</definedName>
    <definedName name="XRefCopy28Row" hidden="1">#REF!</definedName>
    <definedName name="XRefCopy29" localSheetId="30" hidden="1">#REF!</definedName>
    <definedName name="XRefCopy29" localSheetId="29" hidden="1">#REF!</definedName>
    <definedName name="XRefCopy29" localSheetId="33" hidden="1">#REF!</definedName>
    <definedName name="XRefCopy29" localSheetId="15" hidden="1">#REF!</definedName>
    <definedName name="XRefCopy29" localSheetId="31" hidden="1">#REF!</definedName>
    <definedName name="XRefCopy29" localSheetId="32" hidden="1">#REF!</definedName>
    <definedName name="XRefCopy29" hidden="1">#REF!</definedName>
    <definedName name="XRefCopy29Row" localSheetId="30" hidden="1">#REF!</definedName>
    <definedName name="XRefCopy29Row" localSheetId="29" hidden="1">#REF!</definedName>
    <definedName name="XRefCopy29Row" localSheetId="33" hidden="1">#REF!</definedName>
    <definedName name="XRefCopy29Row" localSheetId="31" hidden="1">#REF!</definedName>
    <definedName name="XRefCopy29Row" localSheetId="32" hidden="1">#REF!</definedName>
    <definedName name="XRefCopy29Row" hidden="1">#REF!</definedName>
    <definedName name="XRefCopy2Row" localSheetId="12" hidden="1">#REF!</definedName>
    <definedName name="XRefCopy2Row" localSheetId="30" hidden="1">#REF!</definedName>
    <definedName name="XRefCopy2Row" localSheetId="29" hidden="1">#REF!</definedName>
    <definedName name="XRefCopy2Row" localSheetId="33" hidden="1">#REF!</definedName>
    <definedName name="XRefCopy2Row" localSheetId="15" hidden="1">#REF!</definedName>
    <definedName name="XRefCopy2Row" localSheetId="31" hidden="1">#REF!</definedName>
    <definedName name="XRefCopy2Row" localSheetId="32" hidden="1">#REF!</definedName>
    <definedName name="XRefCopy2Row" hidden="1">#REF!</definedName>
    <definedName name="XRefCopy3" localSheetId="12" hidden="1">#REF!</definedName>
    <definedName name="XRefCopy3" localSheetId="15" hidden="1">#REF!</definedName>
    <definedName name="XRefCopy3" hidden="1">#REF!</definedName>
    <definedName name="XRefCopy30" localSheetId="30" hidden="1">#REF!</definedName>
    <definedName name="XRefCopy30" localSheetId="29" hidden="1">#REF!</definedName>
    <definedName name="XRefCopy30" localSheetId="33" hidden="1">#REF!</definedName>
    <definedName name="XRefCopy30" localSheetId="15" hidden="1">#REF!</definedName>
    <definedName name="XRefCopy30" localSheetId="31" hidden="1">#REF!</definedName>
    <definedName name="XRefCopy30" localSheetId="32" hidden="1">#REF!</definedName>
    <definedName name="XRefCopy30" hidden="1">#REF!</definedName>
    <definedName name="XRefCopy30Row" localSheetId="30" hidden="1">#REF!</definedName>
    <definedName name="XRefCopy30Row" localSheetId="29" hidden="1">#REF!</definedName>
    <definedName name="XRefCopy30Row" localSheetId="33" hidden="1">#REF!</definedName>
    <definedName name="XRefCopy30Row" localSheetId="31" hidden="1">#REF!</definedName>
    <definedName name="XRefCopy30Row" localSheetId="32" hidden="1">#REF!</definedName>
    <definedName name="XRefCopy30Row" hidden="1">#REF!</definedName>
    <definedName name="XRefCopy31" localSheetId="30" hidden="1">#REF!</definedName>
    <definedName name="XRefCopy31" localSheetId="29" hidden="1">#REF!</definedName>
    <definedName name="XRefCopy31" localSheetId="33" hidden="1">#REF!</definedName>
    <definedName name="XRefCopy31" localSheetId="15" hidden="1">#REF!</definedName>
    <definedName name="XRefCopy31" localSheetId="31" hidden="1">#REF!</definedName>
    <definedName name="XRefCopy31" localSheetId="32" hidden="1">#REF!</definedName>
    <definedName name="XRefCopy31" hidden="1">#REF!</definedName>
    <definedName name="XRefCopy31Row" localSheetId="30" hidden="1">#REF!</definedName>
    <definedName name="XRefCopy31Row" localSheetId="29" hidden="1">#REF!</definedName>
    <definedName name="XRefCopy31Row" localSheetId="33" hidden="1">#REF!</definedName>
    <definedName name="XRefCopy31Row" localSheetId="31" hidden="1">#REF!</definedName>
    <definedName name="XRefCopy31Row" localSheetId="32" hidden="1">#REF!</definedName>
    <definedName name="XRefCopy31Row" hidden="1">#REF!</definedName>
    <definedName name="XRefCopy32" localSheetId="30" hidden="1">#REF!</definedName>
    <definedName name="XRefCopy32" localSheetId="29" hidden="1">#REF!</definedName>
    <definedName name="XRefCopy32" localSheetId="33" hidden="1">#REF!</definedName>
    <definedName name="XRefCopy32" localSheetId="15" hidden="1">#REF!</definedName>
    <definedName name="XRefCopy32" localSheetId="31" hidden="1">#REF!</definedName>
    <definedName name="XRefCopy32" localSheetId="32" hidden="1">#REF!</definedName>
    <definedName name="XRefCopy32" hidden="1">#REF!</definedName>
    <definedName name="XRefCopy32Row" localSheetId="30" hidden="1">#REF!</definedName>
    <definedName name="XRefCopy32Row" localSheetId="29" hidden="1">#REF!</definedName>
    <definedName name="XRefCopy32Row" localSheetId="33" hidden="1">#REF!</definedName>
    <definedName name="XRefCopy32Row" localSheetId="31" hidden="1">#REF!</definedName>
    <definedName name="XRefCopy32Row" localSheetId="32" hidden="1">#REF!</definedName>
    <definedName name="XRefCopy32Row" hidden="1">#REF!</definedName>
    <definedName name="XRefCopy33" localSheetId="30" hidden="1">#REF!</definedName>
    <definedName name="XRefCopy33" localSheetId="29" hidden="1">#REF!</definedName>
    <definedName name="XRefCopy33" localSheetId="33" hidden="1">#REF!</definedName>
    <definedName name="XRefCopy33" localSheetId="15" hidden="1">#REF!</definedName>
    <definedName name="XRefCopy33" localSheetId="31" hidden="1">#REF!</definedName>
    <definedName name="XRefCopy33" localSheetId="32" hidden="1">#REF!</definedName>
    <definedName name="XRefCopy33" hidden="1">#REF!</definedName>
    <definedName name="XRefCopy33Row" localSheetId="30" hidden="1">#REF!</definedName>
    <definedName name="XRefCopy33Row" localSheetId="29" hidden="1">#REF!</definedName>
    <definedName name="XRefCopy33Row" localSheetId="33" hidden="1">#REF!</definedName>
    <definedName name="XRefCopy33Row" localSheetId="31" hidden="1">#REF!</definedName>
    <definedName name="XRefCopy33Row" localSheetId="32" hidden="1">#REF!</definedName>
    <definedName name="XRefCopy33Row" hidden="1">#REF!</definedName>
    <definedName name="XRefCopy34" localSheetId="15" hidden="1">#REF!</definedName>
    <definedName name="XRefCopy34" hidden="1">#REF!</definedName>
    <definedName name="XRefCopy34Row" localSheetId="30" hidden="1">#REF!</definedName>
    <definedName name="XRefCopy34Row" localSheetId="29" hidden="1">#REF!</definedName>
    <definedName name="XRefCopy34Row" localSheetId="33" hidden="1">#REF!</definedName>
    <definedName name="XRefCopy34Row" localSheetId="31" hidden="1">#REF!</definedName>
    <definedName name="XRefCopy34Row" localSheetId="32" hidden="1">#REF!</definedName>
    <definedName name="XRefCopy34Row" hidden="1">#REF!</definedName>
    <definedName name="XRefCopy35" localSheetId="30" hidden="1">#REF!</definedName>
    <definedName name="XRefCopy35" localSheetId="29" hidden="1">#REF!</definedName>
    <definedName name="XRefCopy35" localSheetId="33" hidden="1">#REF!</definedName>
    <definedName name="XRefCopy35" localSheetId="15" hidden="1">#REF!</definedName>
    <definedName name="XRefCopy35" localSheetId="31" hidden="1">#REF!</definedName>
    <definedName name="XRefCopy35" localSheetId="32" hidden="1">#REF!</definedName>
    <definedName name="XRefCopy35" hidden="1">#REF!</definedName>
    <definedName name="XRefCopy35Row" localSheetId="30" hidden="1">#REF!</definedName>
    <definedName name="XRefCopy35Row" localSheetId="29" hidden="1">#REF!</definedName>
    <definedName name="XRefCopy35Row" localSheetId="33" hidden="1">#REF!</definedName>
    <definedName name="XRefCopy35Row" localSheetId="31" hidden="1">#REF!</definedName>
    <definedName name="XRefCopy35Row" localSheetId="32" hidden="1">#REF!</definedName>
    <definedName name="XRefCopy35Row" hidden="1">#REF!</definedName>
    <definedName name="XRefCopy36" localSheetId="30" hidden="1">#REF!</definedName>
    <definedName name="XRefCopy36" localSheetId="29" hidden="1">#REF!</definedName>
    <definedName name="XRefCopy36" localSheetId="33" hidden="1">#REF!</definedName>
    <definedName name="XRefCopy36" localSheetId="15" hidden="1">#REF!</definedName>
    <definedName name="XRefCopy36" localSheetId="31" hidden="1">#REF!</definedName>
    <definedName name="XRefCopy36" localSheetId="32" hidden="1">#REF!</definedName>
    <definedName name="XRefCopy36" hidden="1">#REF!</definedName>
    <definedName name="XRefCopy36Row" localSheetId="30" hidden="1">#REF!</definedName>
    <definedName name="XRefCopy36Row" localSheetId="29" hidden="1">#REF!</definedName>
    <definedName name="XRefCopy36Row" localSheetId="33" hidden="1">#REF!</definedName>
    <definedName name="XRefCopy36Row" localSheetId="31" hidden="1">#REF!</definedName>
    <definedName name="XRefCopy36Row" localSheetId="32" hidden="1">#REF!</definedName>
    <definedName name="XRefCopy36Row" hidden="1">#REF!</definedName>
    <definedName name="XRefCopy37" localSheetId="15" hidden="1">#REF!</definedName>
    <definedName name="XRefCopy37" hidden="1">#REF!</definedName>
    <definedName name="XRefCopy38" localSheetId="15" hidden="1">#REF!</definedName>
    <definedName name="XRefCopy38" hidden="1">#REF!</definedName>
    <definedName name="XRefCopy38Row" localSheetId="30" hidden="1">#REF!</definedName>
    <definedName name="XRefCopy38Row" localSheetId="29" hidden="1">#REF!</definedName>
    <definedName name="XRefCopy38Row" localSheetId="33" hidden="1">#REF!</definedName>
    <definedName name="XRefCopy38Row" localSheetId="31" hidden="1">#REF!</definedName>
    <definedName name="XRefCopy38Row" localSheetId="32" hidden="1">#REF!</definedName>
    <definedName name="XRefCopy38Row" hidden="1">#REF!</definedName>
    <definedName name="XRefCopy39" localSheetId="15" hidden="1">#REF!</definedName>
    <definedName name="XRefCopy39" hidden="1">#REF!</definedName>
    <definedName name="XRefCopy39Row" localSheetId="30" hidden="1">#REF!</definedName>
    <definedName name="XRefCopy39Row" localSheetId="29" hidden="1">#REF!</definedName>
    <definedName name="XRefCopy39Row" localSheetId="33" hidden="1">#REF!</definedName>
    <definedName name="XRefCopy39Row" localSheetId="31" hidden="1">#REF!</definedName>
    <definedName name="XRefCopy39Row" localSheetId="32" hidden="1">#REF!</definedName>
    <definedName name="XRefCopy39Row" hidden="1">#REF!</definedName>
    <definedName name="XRefCopy3Row" localSheetId="12" hidden="1">#REF!</definedName>
    <definedName name="XRefCopy3Row" localSheetId="30" hidden="1">#REF!</definedName>
    <definedName name="XRefCopy3Row" localSheetId="29" hidden="1">#REF!</definedName>
    <definedName name="XRefCopy3Row" localSheetId="33" hidden="1">#REF!</definedName>
    <definedName name="XRefCopy3Row" localSheetId="15" hidden="1">#REF!</definedName>
    <definedName name="XRefCopy3Row" localSheetId="31" hidden="1">#REF!</definedName>
    <definedName name="XRefCopy3Row" localSheetId="6" hidden="1">#REF!</definedName>
    <definedName name="XRefCopy3Row" localSheetId="32" hidden="1">#REF!</definedName>
    <definedName name="XRefCopy3Row" localSheetId="42" hidden="1">#REF!</definedName>
    <definedName name="XRefCopy3Row" hidden="1">#REF!</definedName>
    <definedName name="XRefCopy4" localSheetId="15" hidden="1">#REF!</definedName>
    <definedName name="XRefCopy4" localSheetId="6" hidden="1">#REF!</definedName>
    <definedName name="XRefCopy4" localSheetId="42" hidden="1">#REF!</definedName>
    <definedName name="XRefCopy4" hidden="1">#REF!</definedName>
    <definedName name="XRefCopy40" localSheetId="15" hidden="1">#REF!</definedName>
    <definedName name="XRefCopy40" localSheetId="6" hidden="1">#REF!</definedName>
    <definedName name="XRefCopy40" localSheetId="42" hidden="1">#REF!</definedName>
    <definedName name="XRefCopy40" hidden="1">#REF!</definedName>
    <definedName name="XRefCopy40Row" localSheetId="30" hidden="1">#REF!</definedName>
    <definedName name="XRefCopy40Row" localSheetId="29" hidden="1">#REF!</definedName>
    <definedName name="XRefCopy40Row" localSheetId="33" hidden="1">#REF!</definedName>
    <definedName name="XRefCopy40Row" localSheetId="31" hidden="1">#REF!</definedName>
    <definedName name="XRefCopy40Row" localSheetId="32" hidden="1">#REF!</definedName>
    <definedName name="XRefCopy40Row" hidden="1">#REF!</definedName>
    <definedName name="XRefCopy41" localSheetId="15" hidden="1">#REF!</definedName>
    <definedName name="XRefCopy41" localSheetId="6" hidden="1">#REF!</definedName>
    <definedName name="XRefCopy41" localSheetId="42" hidden="1">#REF!</definedName>
    <definedName name="XRefCopy41" hidden="1">#REF!</definedName>
    <definedName name="XRefCopy41Row" localSheetId="30" hidden="1">#REF!</definedName>
    <definedName name="XRefCopy41Row" localSheetId="29" hidden="1">#REF!</definedName>
    <definedName name="XRefCopy41Row" localSheetId="33" hidden="1">#REF!</definedName>
    <definedName name="XRefCopy41Row" localSheetId="31" hidden="1">#REF!</definedName>
    <definedName name="XRefCopy41Row" localSheetId="32" hidden="1">#REF!</definedName>
    <definedName name="XRefCopy41Row" hidden="1">#REF!</definedName>
    <definedName name="XRefCopy42" localSheetId="15" hidden="1">#REF!</definedName>
    <definedName name="XRefCopy42" localSheetId="6" hidden="1">#REF!</definedName>
    <definedName name="XRefCopy42" localSheetId="42" hidden="1">#REF!</definedName>
    <definedName name="XRefCopy42" hidden="1">#REF!</definedName>
    <definedName name="XRefCopy42Row" localSheetId="30" hidden="1">#REF!</definedName>
    <definedName name="XRefCopy42Row" localSheetId="29" hidden="1">#REF!</definedName>
    <definedName name="XRefCopy42Row" localSheetId="33" hidden="1">#REF!</definedName>
    <definedName name="XRefCopy42Row" localSheetId="31" hidden="1">#REF!</definedName>
    <definedName name="XRefCopy42Row" localSheetId="32" hidden="1">#REF!</definedName>
    <definedName name="XRefCopy42Row" hidden="1">#REF!</definedName>
    <definedName name="XRefCopy43" localSheetId="15" hidden="1">#REF!</definedName>
    <definedName name="XRefCopy43" hidden="1">#REF!</definedName>
    <definedName name="XRefCopy43Row" localSheetId="30" hidden="1">#REF!</definedName>
    <definedName name="XRefCopy43Row" localSheetId="29" hidden="1">#REF!</definedName>
    <definedName name="XRefCopy43Row" localSheetId="33" hidden="1">#REF!</definedName>
    <definedName name="XRefCopy43Row" localSheetId="31" hidden="1">#REF!</definedName>
    <definedName name="XRefCopy43Row" localSheetId="32" hidden="1">#REF!</definedName>
    <definedName name="XRefCopy43Row" hidden="1">#REF!</definedName>
    <definedName name="XRefCopy44" localSheetId="30" hidden="1">#REF!</definedName>
    <definedName name="XRefCopy44" localSheetId="29" hidden="1">#REF!</definedName>
    <definedName name="XRefCopy44" localSheetId="33" hidden="1">#REF!</definedName>
    <definedName name="XRefCopy44" localSheetId="15" hidden="1">#REF!</definedName>
    <definedName name="XRefCopy44" localSheetId="31" hidden="1">#REF!</definedName>
    <definedName name="XRefCopy44" localSheetId="32" hidden="1">#REF!</definedName>
    <definedName name="XRefCopy44" hidden="1">#REF!</definedName>
    <definedName name="XRefCopy44Row" localSheetId="30" hidden="1">#REF!</definedName>
    <definedName name="XRefCopy44Row" localSheetId="29" hidden="1">#REF!</definedName>
    <definedName name="XRefCopy44Row" localSheetId="33" hidden="1">#REF!</definedName>
    <definedName name="XRefCopy44Row" localSheetId="31" hidden="1">#REF!</definedName>
    <definedName name="XRefCopy44Row" localSheetId="32" hidden="1">#REF!</definedName>
    <definedName name="XRefCopy44Row" hidden="1">#REF!</definedName>
    <definedName name="XRefCopy45" localSheetId="15" hidden="1">#REF!</definedName>
    <definedName name="XRefCopy45" hidden="1">#REF!</definedName>
    <definedName name="XRefCopy46" localSheetId="15" hidden="1">#REF!</definedName>
    <definedName name="XRefCopy46" hidden="1">#REF!</definedName>
    <definedName name="XRefCopy47" localSheetId="15" hidden="1">#REF!</definedName>
    <definedName name="XRefCopy47" hidden="1">#REF!</definedName>
    <definedName name="XRefCopy48" localSheetId="15" hidden="1">#REF!</definedName>
    <definedName name="XRefCopy48" hidden="1">#REF!</definedName>
    <definedName name="XRefCopy49" localSheetId="15" hidden="1">#REF!</definedName>
    <definedName name="XRefCopy49" hidden="1">#REF!</definedName>
    <definedName name="XRefCopy4Row" localSheetId="30" hidden="1">#REF!</definedName>
    <definedName name="XRefCopy4Row" localSheetId="29" hidden="1">#REF!</definedName>
    <definedName name="XRefCopy4Row" localSheetId="33" hidden="1">#REF!</definedName>
    <definedName name="XRefCopy4Row" localSheetId="15" hidden="1">#REF!</definedName>
    <definedName name="XRefCopy4Row" localSheetId="31" hidden="1">#REF!</definedName>
    <definedName name="XRefCopy4Row" localSheetId="6" hidden="1">#REF!</definedName>
    <definedName name="XRefCopy4Row" localSheetId="32" hidden="1">#REF!</definedName>
    <definedName name="XRefCopy4Row" localSheetId="42" hidden="1">#REF!</definedName>
    <definedName name="XRefCopy4Row" hidden="1">#REF!</definedName>
    <definedName name="XRefCopy5" localSheetId="15" hidden="1">#REF!</definedName>
    <definedName name="XRefCopy5" localSheetId="6" hidden="1">#REF!</definedName>
    <definedName name="XRefCopy5" localSheetId="42" hidden="1">#REF!</definedName>
    <definedName name="XRefCopy5" hidden="1">#REF!</definedName>
    <definedName name="XRefCopy50" localSheetId="15" hidden="1">#REF!</definedName>
    <definedName name="XRefCopy50" localSheetId="6" hidden="1">#REF!</definedName>
    <definedName name="XRefCopy50" localSheetId="42" hidden="1">#REF!</definedName>
    <definedName name="XRefCopy50" hidden="1">#REF!</definedName>
    <definedName name="XRefCopy5Row" localSheetId="30" hidden="1">#REF!</definedName>
    <definedName name="XRefCopy5Row" localSheetId="29" hidden="1">#REF!</definedName>
    <definedName name="XRefCopy5Row" localSheetId="33" hidden="1">#REF!</definedName>
    <definedName name="XRefCopy5Row" localSheetId="15" hidden="1">#REF!</definedName>
    <definedName name="XRefCopy5Row" localSheetId="31" hidden="1">#REF!</definedName>
    <definedName name="XRefCopy5Row" localSheetId="6" hidden="1">#REF!</definedName>
    <definedName name="XRefCopy5Row" localSheetId="32" hidden="1">#REF!</definedName>
    <definedName name="XRefCopy5Row" localSheetId="42" hidden="1">#REF!</definedName>
    <definedName name="XRefCopy5Row" hidden="1">#REF!</definedName>
    <definedName name="XRefCopy6" localSheetId="15" hidden="1">#REF!</definedName>
    <definedName name="XRefCopy6" localSheetId="6" hidden="1">#REF!</definedName>
    <definedName name="XRefCopy6" localSheetId="42" hidden="1">#REF!</definedName>
    <definedName name="XRefCopy6" hidden="1">#REF!</definedName>
    <definedName name="XRefCopy6Row" localSheetId="30" hidden="1">#REF!</definedName>
    <definedName name="XRefCopy6Row" localSheetId="29" hidden="1">#REF!</definedName>
    <definedName name="XRefCopy6Row" localSheetId="33" hidden="1">#REF!</definedName>
    <definedName name="XRefCopy6Row" localSheetId="15" hidden="1">#REF!</definedName>
    <definedName name="XRefCopy6Row" localSheetId="31" hidden="1">#REF!</definedName>
    <definedName name="XRefCopy6Row" localSheetId="6" hidden="1">#REF!</definedName>
    <definedName name="XRefCopy6Row" localSheetId="32" hidden="1">#REF!</definedName>
    <definedName name="XRefCopy6Row" localSheetId="42" hidden="1">#REF!</definedName>
    <definedName name="XRefCopy6Row" hidden="1">#REF!</definedName>
    <definedName name="XRefCopy7" localSheetId="15" hidden="1">#REF!</definedName>
    <definedName name="XRefCopy7" localSheetId="6" hidden="1">#REF!</definedName>
    <definedName name="XRefCopy7" localSheetId="42" hidden="1">#REF!</definedName>
    <definedName name="XRefCopy7" hidden="1">#REF!</definedName>
    <definedName name="XRefCopy7Row" localSheetId="30" hidden="1">#REF!</definedName>
    <definedName name="XRefCopy7Row" localSheetId="29" hidden="1">#REF!</definedName>
    <definedName name="XRefCopy7Row" localSheetId="33" hidden="1">#REF!</definedName>
    <definedName name="XRefCopy7Row" localSheetId="31" hidden="1">#REF!</definedName>
    <definedName name="XRefCopy7Row" localSheetId="32" hidden="1">#REF!</definedName>
    <definedName name="XRefCopy7Row" hidden="1">#REF!</definedName>
    <definedName name="XRefCopy8" localSheetId="30" hidden="1">#REF!</definedName>
    <definedName name="XRefCopy8" localSheetId="29" hidden="1">#REF!</definedName>
    <definedName name="XRefCopy8" localSheetId="33" hidden="1">#REF!</definedName>
    <definedName name="XRefCopy8" localSheetId="15" hidden="1">#REF!</definedName>
    <definedName name="XRefCopy8" localSheetId="31" hidden="1">#REF!</definedName>
    <definedName name="XRefCopy8" localSheetId="32" hidden="1">#REF!</definedName>
    <definedName name="XRefCopy8" hidden="1">#REF!</definedName>
    <definedName name="XRefCopy8Row" localSheetId="30" hidden="1">#REF!</definedName>
    <definedName name="XRefCopy8Row" localSheetId="29" hidden="1">#REF!</definedName>
    <definedName name="XRefCopy8Row" localSheetId="33" hidden="1">#REF!</definedName>
    <definedName name="XRefCopy8Row" localSheetId="15" hidden="1">#REF!</definedName>
    <definedName name="XRefCopy8Row" localSheetId="31" hidden="1">#REF!</definedName>
    <definedName name="XRefCopy8Row" localSheetId="32" hidden="1">#REF!</definedName>
    <definedName name="XRefCopy8Row" hidden="1">#REF!</definedName>
    <definedName name="XRefCopy9" localSheetId="30" hidden="1">#REF!</definedName>
    <definedName name="XRefCopy9" localSheetId="29" hidden="1">#REF!</definedName>
    <definedName name="XRefCopy9" localSheetId="33" hidden="1">#REF!</definedName>
    <definedName name="XRefCopy9" localSheetId="15" hidden="1">#REF!</definedName>
    <definedName name="XRefCopy9" localSheetId="31" hidden="1">#REF!</definedName>
    <definedName name="XRefCopy9" localSheetId="32" hidden="1">#REF!</definedName>
    <definedName name="XRefCopy9" hidden="1">#REF!</definedName>
    <definedName name="XRefCopy9Row" localSheetId="30" hidden="1">#REF!</definedName>
    <definedName name="XRefCopy9Row" localSheetId="29" hidden="1">#REF!</definedName>
    <definedName name="XRefCopy9Row" localSheetId="33" hidden="1">#REF!</definedName>
    <definedName name="XRefCopy9Row" localSheetId="15" hidden="1">#REF!</definedName>
    <definedName name="XRefCopy9Row" localSheetId="31" hidden="1">#REF!</definedName>
    <definedName name="XRefCopy9Row" localSheetId="32" hidden="1">#REF!</definedName>
    <definedName name="XRefCopy9Row" hidden="1">#REF!</definedName>
    <definedName name="XRefCopyRangeCount" localSheetId="12" hidden="1">2</definedName>
    <definedName name="XRefCopyRangeCount" localSheetId="15" hidden="1">8</definedName>
    <definedName name="XRefCopyRangeCount" localSheetId="6" hidden="1">8</definedName>
    <definedName name="XRefCopyRangeCount" localSheetId="45" hidden="1">8</definedName>
    <definedName name="XRefCopyRangeCount" localSheetId="42" hidden="1">8</definedName>
    <definedName name="XRefCopyRangeCount" hidden="1">35</definedName>
    <definedName name="XRefPaste1" localSheetId="30" hidden="1">#REF!</definedName>
    <definedName name="XRefPaste1" localSheetId="29" hidden="1">#REF!</definedName>
    <definedName name="XRefPaste1" localSheetId="33" hidden="1">#REF!</definedName>
    <definedName name="XRefPaste1" localSheetId="15" hidden="1">#REF!</definedName>
    <definedName name="XRefPaste1" localSheetId="31" hidden="1">#REF!</definedName>
    <definedName name="XRefPaste1" localSheetId="6" hidden="1">#REF!</definedName>
    <definedName name="XRefPaste1" localSheetId="32" hidden="1">#REF!</definedName>
    <definedName name="XRefPaste1" localSheetId="42" hidden="1">#REF!</definedName>
    <definedName name="XRefPaste1" hidden="1">#REF!</definedName>
    <definedName name="XRefPaste10" localSheetId="15" hidden="1">#REF!</definedName>
    <definedName name="XRefPaste10" localSheetId="6" hidden="1">#REF!</definedName>
    <definedName name="XRefPaste10" localSheetId="42" hidden="1">#REF!</definedName>
    <definedName name="XRefPaste10" hidden="1">#REF!</definedName>
    <definedName name="XRefPaste10Row" localSheetId="30" hidden="1">#REF!</definedName>
    <definedName name="XRefPaste10Row" localSheetId="29" hidden="1">#REF!</definedName>
    <definedName name="XRefPaste10Row" localSheetId="33" hidden="1">#REF!</definedName>
    <definedName name="XRefPaste10Row" localSheetId="15" hidden="1">#REF!</definedName>
    <definedName name="XRefPaste10Row" localSheetId="31" hidden="1">#REF!</definedName>
    <definedName name="XRefPaste10Row" localSheetId="6" hidden="1">#REF!</definedName>
    <definedName name="XRefPaste10Row" localSheetId="32" hidden="1">#REF!</definedName>
    <definedName name="XRefPaste10Row" localSheetId="42" hidden="1">#REF!</definedName>
    <definedName name="XRefPaste10Row" hidden="1">#REF!</definedName>
    <definedName name="XRefPaste11" localSheetId="15" hidden="1">#REF!</definedName>
    <definedName name="XRefPaste11" hidden="1">#REF!</definedName>
    <definedName name="XRefPaste11Row" localSheetId="30" hidden="1">#REF!</definedName>
    <definedName name="XRefPaste11Row" localSheetId="29" hidden="1">#REF!</definedName>
    <definedName name="XRefPaste11Row" localSheetId="33" hidden="1">#REF!</definedName>
    <definedName name="XRefPaste11Row" localSheetId="15" hidden="1">#REF!</definedName>
    <definedName name="XRefPaste11Row" localSheetId="31" hidden="1">#REF!</definedName>
    <definedName name="XRefPaste11Row" localSheetId="32" hidden="1">#REF!</definedName>
    <definedName name="XRefPaste11Row" hidden="1">#REF!</definedName>
    <definedName name="XRefPaste12" localSheetId="12" hidden="1">#REF!</definedName>
    <definedName name="XRefPaste12" localSheetId="15" hidden="1">#REF!</definedName>
    <definedName name="XRefPaste12" hidden="1">#REF!</definedName>
    <definedName name="XRefPaste12Row" localSheetId="30" hidden="1">#REF!</definedName>
    <definedName name="XRefPaste12Row" localSheetId="29" hidden="1">#REF!</definedName>
    <definedName name="XRefPaste12Row" localSheetId="33" hidden="1">#REF!</definedName>
    <definedName name="XRefPaste12Row" localSheetId="15" hidden="1">#REF!</definedName>
    <definedName name="XRefPaste12Row" localSheetId="31" hidden="1">#REF!</definedName>
    <definedName name="XRefPaste12Row" localSheetId="32" hidden="1">#REF!</definedName>
    <definedName name="XRefPaste12Row" hidden="1">#REF!</definedName>
    <definedName name="XRefPaste13" localSheetId="12" hidden="1">#REF!</definedName>
    <definedName name="XRefPaste13" localSheetId="15" hidden="1">#REF!</definedName>
    <definedName name="XRefPaste13" hidden="1">#REF!</definedName>
    <definedName name="XRefPaste13Row" localSheetId="30" hidden="1">#REF!</definedName>
    <definedName name="XRefPaste13Row" localSheetId="29" hidden="1">#REF!</definedName>
    <definedName name="XRefPaste13Row" localSheetId="33" hidden="1">#REF!</definedName>
    <definedName name="XRefPaste13Row" localSheetId="15" hidden="1">#REF!</definedName>
    <definedName name="XRefPaste13Row" localSheetId="31" hidden="1">#REF!</definedName>
    <definedName name="XRefPaste13Row" localSheetId="32" hidden="1">#REF!</definedName>
    <definedName name="XRefPaste13Row" hidden="1">#REF!</definedName>
    <definedName name="XRefPaste14" localSheetId="12" hidden="1">#REF!</definedName>
    <definedName name="XRefPaste14" localSheetId="15" hidden="1">#REF!</definedName>
    <definedName name="XRefPaste14" hidden="1">#REF!</definedName>
    <definedName name="XRefPaste14Row" localSheetId="30" hidden="1">#REF!</definedName>
    <definedName name="XRefPaste14Row" localSheetId="29" hidden="1">#REF!</definedName>
    <definedName name="XRefPaste14Row" localSheetId="33" hidden="1">#REF!</definedName>
    <definedName name="XRefPaste14Row" localSheetId="15" hidden="1">#REF!</definedName>
    <definedName name="XRefPaste14Row" localSheetId="31" hidden="1">#REF!</definedName>
    <definedName name="XRefPaste14Row" localSheetId="32" hidden="1">#REF!</definedName>
    <definedName name="XRefPaste14Row" hidden="1">#REF!</definedName>
    <definedName name="XRefPaste15" localSheetId="15" hidden="1">#REF!</definedName>
    <definedName name="XRefPaste15" hidden="1">#REF!</definedName>
    <definedName name="XRefPaste15Row" localSheetId="30" hidden="1">#REF!</definedName>
    <definedName name="XRefPaste15Row" localSheetId="29" hidden="1">#REF!</definedName>
    <definedName name="XRefPaste15Row" localSheetId="33" hidden="1">#REF!</definedName>
    <definedName name="XRefPaste15Row" localSheetId="15" hidden="1">#REF!</definedName>
    <definedName name="XRefPaste15Row" localSheetId="31" hidden="1">#REF!</definedName>
    <definedName name="XRefPaste15Row" localSheetId="32" hidden="1">#REF!</definedName>
    <definedName name="XRefPaste15Row" hidden="1">#REF!</definedName>
    <definedName name="XRefPaste16" localSheetId="30" hidden="1">#REF!</definedName>
    <definedName name="XRefPaste16" localSheetId="29" hidden="1">#REF!</definedName>
    <definedName name="XRefPaste16" localSheetId="33" hidden="1">#REF!</definedName>
    <definedName name="XRefPaste16" localSheetId="15" hidden="1">#REF!</definedName>
    <definedName name="XRefPaste16" localSheetId="31" hidden="1">#REF!</definedName>
    <definedName name="XRefPaste16" localSheetId="32" hidden="1">#REF!</definedName>
    <definedName name="XRefPaste16" hidden="1">#REF!</definedName>
    <definedName name="XRefPaste16Row" localSheetId="30" hidden="1">#REF!</definedName>
    <definedName name="XRefPaste16Row" localSheetId="29" hidden="1">#REF!</definedName>
    <definedName name="XRefPaste16Row" localSheetId="33" hidden="1">#REF!</definedName>
    <definedName name="XRefPaste16Row" localSheetId="15" hidden="1">#REF!</definedName>
    <definedName name="XRefPaste16Row" localSheetId="31" hidden="1">#REF!</definedName>
    <definedName name="XRefPaste16Row" localSheetId="32" hidden="1">#REF!</definedName>
    <definedName name="XRefPaste16Row" hidden="1">#REF!</definedName>
    <definedName name="XRefPaste17" localSheetId="15" hidden="1">#REF!</definedName>
    <definedName name="XRefPaste17" hidden="1">#REF!</definedName>
    <definedName name="XRefPaste17Row" localSheetId="30" hidden="1">#REF!</definedName>
    <definedName name="XRefPaste17Row" localSheetId="29" hidden="1">#REF!</definedName>
    <definedName name="XRefPaste17Row" localSheetId="33" hidden="1">#REF!</definedName>
    <definedName name="XRefPaste17Row" localSheetId="15" hidden="1">#REF!</definedName>
    <definedName name="XRefPaste17Row" localSheetId="31" hidden="1">#REF!</definedName>
    <definedName name="XRefPaste17Row" localSheetId="32" hidden="1">#REF!</definedName>
    <definedName name="XRefPaste17Row" hidden="1">#REF!</definedName>
    <definedName name="XRefPaste18" localSheetId="30" hidden="1">#REF!</definedName>
    <definedName name="XRefPaste18" localSheetId="29" hidden="1">#REF!</definedName>
    <definedName name="XRefPaste18" localSheetId="33" hidden="1">#REF!</definedName>
    <definedName name="XRefPaste18" localSheetId="15" hidden="1">#REF!</definedName>
    <definedName name="XRefPaste18" localSheetId="31" hidden="1">#REF!</definedName>
    <definedName name="XRefPaste18" localSheetId="32" hidden="1">#REF!</definedName>
    <definedName name="XRefPaste18" hidden="1">#REF!</definedName>
    <definedName name="XRefPaste18Row" localSheetId="30" hidden="1">#REF!</definedName>
    <definedName name="XRefPaste18Row" localSheetId="29" hidden="1">#REF!</definedName>
    <definedName name="XRefPaste18Row" localSheetId="33" hidden="1">#REF!</definedName>
    <definedName name="XRefPaste18Row" localSheetId="15" hidden="1">#REF!</definedName>
    <definedName name="XRefPaste18Row" localSheetId="31" hidden="1">#REF!</definedName>
    <definedName name="XRefPaste18Row" localSheetId="32" hidden="1">#REF!</definedName>
    <definedName name="XRefPaste18Row" hidden="1">#REF!</definedName>
    <definedName name="XRefPaste19" localSheetId="30" hidden="1">#REF!</definedName>
    <definedName name="XRefPaste19" localSheetId="29" hidden="1">#REF!</definedName>
    <definedName name="XRefPaste19" localSheetId="33" hidden="1">#REF!</definedName>
    <definedName name="XRefPaste19" localSheetId="15" hidden="1">#REF!</definedName>
    <definedName name="XRefPaste19" localSheetId="31" hidden="1">#REF!</definedName>
    <definedName name="XRefPaste19" localSheetId="32" hidden="1">#REF!</definedName>
    <definedName name="XRefPaste19" hidden="1">#REF!</definedName>
    <definedName name="XRefPaste19Row" localSheetId="30" hidden="1">#REF!</definedName>
    <definedName name="XRefPaste19Row" localSheetId="29" hidden="1">#REF!</definedName>
    <definedName name="XRefPaste19Row" localSheetId="33" hidden="1">#REF!</definedName>
    <definedName name="XRefPaste19Row" localSheetId="15" hidden="1">#REF!</definedName>
    <definedName name="XRefPaste19Row" localSheetId="31" hidden="1">#REF!</definedName>
    <definedName name="XRefPaste19Row" localSheetId="32" hidden="1">#REF!</definedName>
    <definedName name="XRefPaste19Row" hidden="1">#REF!</definedName>
    <definedName name="XRefPaste1Row" localSheetId="30" hidden="1">#REF!</definedName>
    <definedName name="XRefPaste1Row" localSheetId="29" hidden="1">#REF!</definedName>
    <definedName name="XRefPaste1Row" localSheetId="33" hidden="1">#REF!</definedName>
    <definedName name="XRefPaste1Row" localSheetId="15" hidden="1">#REF!</definedName>
    <definedName name="XRefPaste1Row" localSheetId="31" hidden="1">#REF!</definedName>
    <definedName name="XRefPaste1Row" localSheetId="6" hidden="1">#REF!</definedName>
    <definedName name="XRefPaste1Row" localSheetId="32" hidden="1">#REF!</definedName>
    <definedName name="XRefPaste1Row" localSheetId="42" hidden="1">#REF!</definedName>
    <definedName name="XRefPaste1Row" hidden="1">#REF!</definedName>
    <definedName name="XRefPaste2" localSheetId="30" hidden="1">#REF!</definedName>
    <definedName name="XRefPaste2" localSheetId="29" hidden="1">#REF!</definedName>
    <definedName name="XRefPaste2" localSheetId="33" hidden="1">#REF!</definedName>
    <definedName name="XRefPaste2" localSheetId="15" hidden="1">#REF!</definedName>
    <definedName name="XRefPaste2" localSheetId="31" hidden="1">#REF!</definedName>
    <definedName name="XRefPaste2" localSheetId="6" hidden="1">#REF!</definedName>
    <definedName name="XRefPaste2" localSheetId="32" hidden="1">#REF!</definedName>
    <definedName name="XRefPaste2" localSheetId="42" hidden="1">#REF!</definedName>
    <definedName name="XRefPaste2" hidden="1">#REF!</definedName>
    <definedName name="XRefPaste20" localSheetId="30" hidden="1">#REF!</definedName>
    <definedName name="XRefPaste20" localSheetId="29" hidden="1">#REF!</definedName>
    <definedName name="XRefPaste20" localSheetId="33" hidden="1">#REF!</definedName>
    <definedName name="XRefPaste20" localSheetId="15" hidden="1">#REF!</definedName>
    <definedName name="XRefPaste20" localSheetId="31" hidden="1">#REF!</definedName>
    <definedName name="XRefPaste20" localSheetId="6" hidden="1">#REF!</definedName>
    <definedName name="XRefPaste20" localSheetId="32" hidden="1">#REF!</definedName>
    <definedName name="XRefPaste20" localSheetId="42" hidden="1">#REF!</definedName>
    <definedName name="XRefPaste20" hidden="1">#REF!</definedName>
    <definedName name="XRefPaste20Row" localSheetId="30" hidden="1">#REF!</definedName>
    <definedName name="XRefPaste20Row" localSheetId="29" hidden="1">#REF!</definedName>
    <definedName name="XRefPaste20Row" localSheetId="33" hidden="1">#REF!</definedName>
    <definedName name="XRefPaste20Row" localSheetId="15" hidden="1">#REF!</definedName>
    <definedName name="XRefPaste20Row" localSheetId="31" hidden="1">#REF!</definedName>
    <definedName name="XRefPaste20Row" localSheetId="6" hidden="1">#REF!</definedName>
    <definedName name="XRefPaste20Row" localSheetId="32" hidden="1">#REF!</definedName>
    <definedName name="XRefPaste20Row" localSheetId="42" hidden="1">#REF!</definedName>
    <definedName name="XRefPaste20Row" hidden="1">#REF!</definedName>
    <definedName name="XRefPaste21" localSheetId="30" hidden="1">#REF!</definedName>
    <definedName name="XRefPaste21" localSheetId="29" hidden="1">#REF!</definedName>
    <definedName name="XRefPaste21" localSheetId="33" hidden="1">#REF!</definedName>
    <definedName name="XRefPaste21" localSheetId="15" hidden="1">#REF!</definedName>
    <definedName name="XRefPaste21" localSheetId="31" hidden="1">#REF!</definedName>
    <definedName name="XRefPaste21" localSheetId="32" hidden="1">#REF!</definedName>
    <definedName name="XRefPaste21" hidden="1">#REF!</definedName>
    <definedName name="XRefPaste21Row" localSheetId="30" hidden="1">#REF!</definedName>
    <definedName name="XRefPaste21Row" localSheetId="29" hidden="1">#REF!</definedName>
    <definedName name="XRefPaste21Row" localSheetId="33" hidden="1">#REF!</definedName>
    <definedName name="XRefPaste21Row" localSheetId="15" hidden="1">#REF!</definedName>
    <definedName name="XRefPaste21Row" localSheetId="31" hidden="1">#REF!</definedName>
    <definedName name="XRefPaste21Row" localSheetId="32" hidden="1">#REF!</definedName>
    <definedName name="XRefPaste21Row" hidden="1">#REF!</definedName>
    <definedName name="XRefPaste22" localSheetId="30" hidden="1">#REF!</definedName>
    <definedName name="XRefPaste22" localSheetId="29" hidden="1">#REF!</definedName>
    <definedName name="XRefPaste22" localSheetId="33" hidden="1">#REF!</definedName>
    <definedName name="XRefPaste22" localSheetId="15" hidden="1">#REF!</definedName>
    <definedName name="XRefPaste22" localSheetId="31" hidden="1">#REF!</definedName>
    <definedName name="XRefPaste22" localSheetId="32" hidden="1">#REF!</definedName>
    <definedName name="XRefPaste22" hidden="1">#REF!</definedName>
    <definedName name="XRefPaste22Row" localSheetId="30" hidden="1">#REF!</definedName>
    <definedName name="XRefPaste22Row" localSheetId="29" hidden="1">#REF!</definedName>
    <definedName name="XRefPaste22Row" localSheetId="33" hidden="1">#REF!</definedName>
    <definedName name="XRefPaste22Row" localSheetId="15" hidden="1">#REF!</definedName>
    <definedName name="XRefPaste22Row" localSheetId="31" hidden="1">#REF!</definedName>
    <definedName name="XRefPaste22Row" localSheetId="32" hidden="1">#REF!</definedName>
    <definedName name="XRefPaste22Row" hidden="1">#REF!</definedName>
    <definedName name="XRefPaste23" localSheetId="30" hidden="1">#REF!</definedName>
    <definedName name="XRefPaste23" localSheetId="29" hidden="1">#REF!</definedName>
    <definedName name="XRefPaste23" localSheetId="33" hidden="1">#REF!</definedName>
    <definedName name="XRefPaste23" localSheetId="15" hidden="1">#REF!</definedName>
    <definedName name="XRefPaste23" localSheetId="31" hidden="1">#REF!</definedName>
    <definedName name="XRefPaste23" localSheetId="32" hidden="1">#REF!</definedName>
    <definedName name="XRefPaste23" hidden="1">#REF!</definedName>
    <definedName name="XRefPaste23Row" localSheetId="30" hidden="1">#REF!</definedName>
    <definedName name="XRefPaste23Row" localSheetId="29" hidden="1">#REF!</definedName>
    <definedName name="XRefPaste23Row" localSheetId="33" hidden="1">#REF!</definedName>
    <definedName name="XRefPaste23Row" localSheetId="15" hidden="1">#REF!</definedName>
    <definedName name="XRefPaste23Row" localSheetId="31" hidden="1">#REF!</definedName>
    <definedName name="XRefPaste23Row" localSheetId="32" hidden="1">#REF!</definedName>
    <definedName name="XRefPaste23Row" hidden="1">#REF!</definedName>
    <definedName name="XRefPaste24" localSheetId="30" hidden="1">#REF!</definedName>
    <definedName name="XRefPaste24" localSheetId="29" hidden="1">#REF!</definedName>
    <definedName name="XRefPaste24" localSheetId="33" hidden="1">#REF!</definedName>
    <definedName name="XRefPaste24" localSheetId="15" hidden="1">#REF!</definedName>
    <definedName name="XRefPaste24" localSheetId="31" hidden="1">#REF!</definedName>
    <definedName name="XRefPaste24" localSheetId="32" hidden="1">#REF!</definedName>
    <definedName name="XRefPaste24" hidden="1">#REF!</definedName>
    <definedName name="XRefPaste24Row" localSheetId="30" hidden="1">#REF!</definedName>
    <definedName name="XRefPaste24Row" localSheetId="29" hidden="1">#REF!</definedName>
    <definedName name="XRefPaste24Row" localSheetId="33" hidden="1">#REF!</definedName>
    <definedName name="XRefPaste24Row" localSheetId="15" hidden="1">#REF!</definedName>
    <definedName name="XRefPaste24Row" localSheetId="31" hidden="1">#REF!</definedName>
    <definedName name="XRefPaste24Row" localSheetId="32" hidden="1">#REF!</definedName>
    <definedName name="XRefPaste24Row" hidden="1">#REF!</definedName>
    <definedName name="XRefPaste25" localSheetId="30" hidden="1">#REF!</definedName>
    <definedName name="XRefPaste25" localSheetId="29" hidden="1">#REF!</definedName>
    <definedName name="XRefPaste25" localSheetId="33" hidden="1">#REF!</definedName>
    <definedName name="XRefPaste25" localSheetId="15" hidden="1">#REF!</definedName>
    <definedName name="XRefPaste25" localSheetId="31" hidden="1">#REF!</definedName>
    <definedName name="XRefPaste25" localSheetId="32" hidden="1">#REF!</definedName>
    <definedName name="XRefPaste25" hidden="1">#REF!</definedName>
    <definedName name="XRefPaste25Row" localSheetId="30" hidden="1">#REF!</definedName>
    <definedName name="XRefPaste25Row" localSheetId="29" hidden="1">#REF!</definedName>
    <definedName name="XRefPaste25Row" localSheetId="33" hidden="1">#REF!</definedName>
    <definedName name="XRefPaste25Row" localSheetId="15" hidden="1">#REF!</definedName>
    <definedName name="XRefPaste25Row" localSheetId="31" hidden="1">#REF!</definedName>
    <definedName name="XRefPaste25Row" localSheetId="32" hidden="1">#REF!</definedName>
    <definedName name="XRefPaste25Row" hidden="1">#REF!</definedName>
    <definedName name="XRefPaste26" localSheetId="30" hidden="1">#REF!</definedName>
    <definedName name="XRefPaste26" localSheetId="29" hidden="1">#REF!</definedName>
    <definedName name="XRefPaste26" localSheetId="33" hidden="1">#REF!</definedName>
    <definedName name="XRefPaste26" localSheetId="15" hidden="1">#REF!</definedName>
    <definedName name="XRefPaste26" localSheetId="31" hidden="1">#REF!</definedName>
    <definedName name="XRefPaste26" localSheetId="32" hidden="1">#REF!</definedName>
    <definedName name="XRefPaste26" hidden="1">#REF!</definedName>
    <definedName name="XRefPaste26Row" localSheetId="30" hidden="1">#REF!</definedName>
    <definedName name="XRefPaste26Row" localSheetId="29" hidden="1">#REF!</definedName>
    <definedName name="XRefPaste26Row" localSheetId="33" hidden="1">#REF!</definedName>
    <definedName name="XRefPaste26Row" localSheetId="15" hidden="1">#REF!</definedName>
    <definedName name="XRefPaste26Row" localSheetId="31" hidden="1">#REF!</definedName>
    <definedName name="XRefPaste26Row" localSheetId="32" hidden="1">#REF!</definedName>
    <definedName name="XRefPaste26Row" hidden="1">#REF!</definedName>
    <definedName name="XRefPaste27" localSheetId="30" hidden="1">#REF!</definedName>
    <definedName name="XRefPaste27" localSheetId="29" hidden="1">#REF!</definedName>
    <definedName name="XRefPaste27" localSheetId="33" hidden="1">#REF!</definedName>
    <definedName name="XRefPaste27" localSheetId="15" hidden="1">#REF!</definedName>
    <definedName name="XRefPaste27" localSheetId="31" hidden="1">#REF!</definedName>
    <definedName name="XRefPaste27" localSheetId="32" hidden="1">#REF!</definedName>
    <definedName name="XRefPaste27" hidden="1">#REF!</definedName>
    <definedName name="XRefPaste27Row" localSheetId="30" hidden="1">#REF!</definedName>
    <definedName name="XRefPaste27Row" localSheetId="29" hidden="1">#REF!</definedName>
    <definedName name="XRefPaste27Row" localSheetId="33" hidden="1">#REF!</definedName>
    <definedName name="XRefPaste27Row" localSheetId="31" hidden="1">#REF!</definedName>
    <definedName name="XRefPaste27Row" localSheetId="32" hidden="1">#REF!</definedName>
    <definedName name="XRefPaste27Row" hidden="1">#REF!</definedName>
    <definedName name="XRefPaste28" localSheetId="15" hidden="1">#REF!</definedName>
    <definedName name="XRefPaste28" hidden="1">#REF!</definedName>
    <definedName name="XRefPaste28Row" localSheetId="30" hidden="1">#REF!</definedName>
    <definedName name="XRefPaste28Row" localSheetId="29" hidden="1">#REF!</definedName>
    <definedName name="XRefPaste28Row" localSheetId="33" hidden="1">#REF!</definedName>
    <definedName name="XRefPaste28Row" localSheetId="31" hidden="1">#REF!</definedName>
    <definedName name="XRefPaste28Row" localSheetId="32" hidden="1">#REF!</definedName>
    <definedName name="XRefPaste28Row" hidden="1">#REF!</definedName>
    <definedName name="XRefPaste29" localSheetId="30" hidden="1">#REF!</definedName>
    <definedName name="XRefPaste29" localSheetId="29" hidden="1">#REF!</definedName>
    <definedName name="XRefPaste29" localSheetId="33" hidden="1">#REF!</definedName>
    <definedName name="XRefPaste29" localSheetId="15" hidden="1">#REF!</definedName>
    <definedName name="XRefPaste29" localSheetId="31" hidden="1">#REF!</definedName>
    <definedName name="XRefPaste29" localSheetId="32" hidden="1">#REF!</definedName>
    <definedName name="XRefPaste29" hidden="1">#REF!</definedName>
    <definedName name="XRefPaste29Row" localSheetId="30" hidden="1">#REF!</definedName>
    <definedName name="XRefPaste29Row" localSheetId="29" hidden="1">#REF!</definedName>
    <definedName name="XRefPaste29Row" localSheetId="33" hidden="1">#REF!</definedName>
    <definedName name="XRefPaste29Row" localSheetId="31" hidden="1">#REF!</definedName>
    <definedName name="XRefPaste29Row" localSheetId="32" hidden="1">#REF!</definedName>
    <definedName name="XRefPaste29Row" hidden="1">#REF!</definedName>
    <definedName name="XRefPaste2Row" localSheetId="30" hidden="1">#REF!</definedName>
    <definedName name="XRefPaste2Row" localSheetId="29" hidden="1">#REF!</definedName>
    <definedName name="XRefPaste2Row" localSheetId="33" hidden="1">#REF!</definedName>
    <definedName name="XRefPaste2Row" localSheetId="15" hidden="1">#REF!</definedName>
    <definedName name="XRefPaste2Row" localSheetId="31" hidden="1">#REF!</definedName>
    <definedName name="XRefPaste2Row" localSheetId="6" hidden="1">#REF!</definedName>
    <definedName name="XRefPaste2Row" localSheetId="32" hidden="1">#REF!</definedName>
    <definedName name="XRefPaste2Row" localSheetId="42" hidden="1">#REF!</definedName>
    <definedName name="XRefPaste2Row" hidden="1">#REF!</definedName>
    <definedName name="XRefPaste3" localSheetId="30" hidden="1">#REF!</definedName>
    <definedName name="XRefPaste3" localSheetId="29" hidden="1">#REF!</definedName>
    <definedName name="XRefPaste3" localSheetId="33" hidden="1">#REF!</definedName>
    <definedName name="XRefPaste3" localSheetId="15" hidden="1">#REF!</definedName>
    <definedName name="XRefPaste3" localSheetId="31" hidden="1">#REF!</definedName>
    <definedName name="XRefPaste3" localSheetId="6" hidden="1">#REF!</definedName>
    <definedName name="XRefPaste3" localSheetId="32" hidden="1">#REF!</definedName>
    <definedName name="XRefPaste3" localSheetId="42" hidden="1">#REF!</definedName>
    <definedName name="XRefPaste3" hidden="1">#REF!</definedName>
    <definedName name="XRefPaste30" localSheetId="15" hidden="1">#REF!</definedName>
    <definedName name="XRefPaste30" localSheetId="6" hidden="1">#REF!</definedName>
    <definedName name="XRefPaste30" localSheetId="42" hidden="1">#REF!</definedName>
    <definedName name="XRefPaste30" hidden="1">#REF!</definedName>
    <definedName name="XRefPaste30Row" localSheetId="30" hidden="1">#REF!</definedName>
    <definedName name="XRefPaste30Row" localSheetId="29" hidden="1">#REF!</definedName>
    <definedName name="XRefPaste30Row" localSheetId="33" hidden="1">#REF!</definedName>
    <definedName name="XRefPaste30Row" localSheetId="31" hidden="1">#REF!</definedName>
    <definedName name="XRefPaste30Row" localSheetId="32" hidden="1">#REF!</definedName>
    <definedName name="XRefPaste30Row" hidden="1">#REF!</definedName>
    <definedName name="XRefPaste31" localSheetId="30" hidden="1">#REF!</definedName>
    <definedName name="XRefPaste31" localSheetId="29" hidden="1">#REF!</definedName>
    <definedName name="XRefPaste31" localSheetId="33" hidden="1">#REF!</definedName>
    <definedName name="XRefPaste31" localSheetId="15" hidden="1">#REF!</definedName>
    <definedName name="XRefPaste31" localSheetId="31" hidden="1">#REF!</definedName>
    <definedName name="XRefPaste31" localSheetId="6" hidden="1">#REF!</definedName>
    <definedName name="XRefPaste31" localSheetId="32" hidden="1">#REF!</definedName>
    <definedName name="XRefPaste31" localSheetId="42" hidden="1">#REF!</definedName>
    <definedName name="XRefPaste31" hidden="1">#REF!</definedName>
    <definedName name="XRefPaste31Row" localSheetId="30" hidden="1">#REF!</definedName>
    <definedName name="XRefPaste31Row" localSheetId="29" hidden="1">#REF!</definedName>
    <definedName name="XRefPaste31Row" localSheetId="33" hidden="1">#REF!</definedName>
    <definedName name="XRefPaste31Row" localSheetId="31" hidden="1">#REF!</definedName>
    <definedName name="XRefPaste31Row" localSheetId="32" hidden="1">#REF!</definedName>
    <definedName name="XRefPaste31Row" hidden="1">#REF!</definedName>
    <definedName name="XRefPaste32" localSheetId="30" hidden="1">#REF!</definedName>
    <definedName name="XRefPaste32" localSheetId="29" hidden="1">#REF!</definedName>
    <definedName name="XRefPaste32" localSheetId="33" hidden="1">#REF!</definedName>
    <definedName name="XRefPaste32" localSheetId="15" hidden="1">#REF!</definedName>
    <definedName name="XRefPaste32" localSheetId="31" hidden="1">#REF!</definedName>
    <definedName name="XRefPaste32" localSheetId="6" hidden="1">#REF!</definedName>
    <definedName name="XRefPaste32" localSheetId="32" hidden="1">#REF!</definedName>
    <definedName name="XRefPaste32" localSheetId="42" hidden="1">#REF!</definedName>
    <definedName name="XRefPaste32" hidden="1">#REF!</definedName>
    <definedName name="XRefPaste32Row" localSheetId="30" hidden="1">#REF!</definedName>
    <definedName name="XRefPaste32Row" localSheetId="29" hidden="1">#REF!</definedName>
    <definedName name="XRefPaste32Row" localSheetId="33" hidden="1">#REF!</definedName>
    <definedName name="XRefPaste32Row" localSheetId="31" hidden="1">#REF!</definedName>
    <definedName name="XRefPaste32Row" localSheetId="32" hidden="1">#REF!</definedName>
    <definedName name="XRefPaste32Row" hidden="1">#REF!</definedName>
    <definedName name="XRefPaste33" localSheetId="30" hidden="1">#REF!</definedName>
    <definedName name="XRefPaste33" localSheetId="29" hidden="1">#REF!</definedName>
    <definedName name="XRefPaste33" localSheetId="33" hidden="1">#REF!</definedName>
    <definedName name="XRefPaste33" localSheetId="15" hidden="1">#REF!</definedName>
    <definedName name="XRefPaste33" localSheetId="31" hidden="1">#REF!</definedName>
    <definedName name="XRefPaste33" localSheetId="32" hidden="1">#REF!</definedName>
    <definedName name="XRefPaste33" hidden="1">#REF!</definedName>
    <definedName name="XRefPaste33Row" localSheetId="30" hidden="1">#REF!</definedName>
    <definedName name="XRefPaste33Row" localSheetId="29" hidden="1">#REF!</definedName>
    <definedName name="XRefPaste33Row" localSheetId="33" hidden="1">#REF!</definedName>
    <definedName name="XRefPaste33Row" localSheetId="31" hidden="1">#REF!</definedName>
    <definedName name="XRefPaste33Row" localSheetId="32" hidden="1">#REF!</definedName>
    <definedName name="XRefPaste33Row" hidden="1">#REF!</definedName>
    <definedName name="XRefPaste34" localSheetId="30" hidden="1">#REF!</definedName>
    <definedName name="XRefPaste34" localSheetId="29" hidden="1">#REF!</definedName>
    <definedName name="XRefPaste34" localSheetId="33" hidden="1">#REF!</definedName>
    <definedName name="XRefPaste34" localSheetId="15" hidden="1">#REF!</definedName>
    <definedName name="XRefPaste34" localSheetId="31" hidden="1">#REF!</definedName>
    <definedName name="XRefPaste34" localSheetId="32" hidden="1">#REF!</definedName>
    <definedName name="XRefPaste34" hidden="1">#REF!</definedName>
    <definedName name="XRefPaste34Row" localSheetId="30" hidden="1">#REF!</definedName>
    <definedName name="XRefPaste34Row" localSheetId="29" hidden="1">#REF!</definedName>
    <definedName name="XRefPaste34Row" localSheetId="33" hidden="1">#REF!</definedName>
    <definedName name="XRefPaste34Row" localSheetId="31" hidden="1">#REF!</definedName>
    <definedName name="XRefPaste34Row" localSheetId="32" hidden="1">#REF!</definedName>
    <definedName name="XRefPaste34Row" hidden="1">#REF!</definedName>
    <definedName name="XRefPaste35" localSheetId="30" hidden="1">#REF!</definedName>
    <definedName name="XRefPaste35" localSheetId="29" hidden="1">#REF!</definedName>
    <definedName name="XRefPaste35" localSheetId="33" hidden="1">#REF!</definedName>
    <definedName name="XRefPaste35" localSheetId="15" hidden="1">#REF!</definedName>
    <definedName name="XRefPaste35" localSheetId="31" hidden="1">#REF!</definedName>
    <definedName name="XRefPaste35" localSheetId="32" hidden="1">#REF!</definedName>
    <definedName name="XRefPaste35" hidden="1">#REF!</definedName>
    <definedName name="XRefPaste35Row" localSheetId="30" hidden="1">#REF!</definedName>
    <definedName name="XRefPaste35Row" localSheetId="29" hidden="1">#REF!</definedName>
    <definedName name="XRefPaste35Row" localSheetId="33" hidden="1">#REF!</definedName>
    <definedName name="XRefPaste35Row" localSheetId="31" hidden="1">#REF!</definedName>
    <definedName name="XRefPaste35Row" localSheetId="32" hidden="1">#REF!</definedName>
    <definedName name="XRefPaste35Row" hidden="1">#REF!</definedName>
    <definedName name="XRefPaste36" localSheetId="30" hidden="1">#REF!</definedName>
    <definedName name="XRefPaste36" localSheetId="29" hidden="1">#REF!</definedName>
    <definedName name="XRefPaste36" localSheetId="33" hidden="1">#REF!</definedName>
    <definedName name="XRefPaste36" localSheetId="15" hidden="1">#REF!</definedName>
    <definedName name="XRefPaste36" localSheetId="31" hidden="1">#REF!</definedName>
    <definedName name="XRefPaste36" localSheetId="32" hidden="1">#REF!</definedName>
    <definedName name="XRefPaste36" hidden="1">#REF!</definedName>
    <definedName name="XRefPaste36Row" localSheetId="30" hidden="1">#REF!</definedName>
    <definedName name="XRefPaste36Row" localSheetId="29" hidden="1">#REF!</definedName>
    <definedName name="XRefPaste36Row" localSheetId="33" hidden="1">#REF!</definedName>
    <definedName name="XRefPaste36Row" localSheetId="31" hidden="1">#REF!</definedName>
    <definedName name="XRefPaste36Row" localSheetId="32" hidden="1">#REF!</definedName>
    <definedName name="XRefPaste36Row" hidden="1">#REF!</definedName>
    <definedName name="XRefPaste37" localSheetId="15" hidden="1">#REF!</definedName>
    <definedName name="XRefPaste37" hidden="1">#REF!</definedName>
    <definedName name="XRefPaste37Row" localSheetId="30" hidden="1">#REF!</definedName>
    <definedName name="XRefPaste37Row" localSheetId="29" hidden="1">#REF!</definedName>
    <definedName name="XRefPaste37Row" localSheetId="33" hidden="1">#REF!</definedName>
    <definedName name="XRefPaste37Row" localSheetId="31" hidden="1">#REF!</definedName>
    <definedName name="XRefPaste37Row" localSheetId="32" hidden="1">#REF!</definedName>
    <definedName name="XRefPaste37Row" hidden="1">#REF!</definedName>
    <definedName name="XRefPaste38" localSheetId="30" hidden="1">#REF!</definedName>
    <definedName name="XRefPaste38" localSheetId="29" hidden="1">#REF!</definedName>
    <definedName name="XRefPaste38" localSheetId="33" hidden="1">#REF!</definedName>
    <definedName name="XRefPaste38" localSheetId="15" hidden="1">#REF!</definedName>
    <definedName name="XRefPaste38" localSheetId="31" hidden="1">#REF!</definedName>
    <definedName name="XRefPaste38" localSheetId="32" hidden="1">#REF!</definedName>
    <definedName name="XRefPaste38" hidden="1">#REF!</definedName>
    <definedName name="XRefPaste38Row" localSheetId="30" hidden="1">#REF!</definedName>
    <definedName name="XRefPaste38Row" localSheetId="29" hidden="1">#REF!</definedName>
    <definedName name="XRefPaste38Row" localSheetId="33" hidden="1">#REF!</definedName>
    <definedName name="XRefPaste38Row" localSheetId="31" hidden="1">#REF!</definedName>
    <definedName name="XRefPaste38Row" localSheetId="32" hidden="1">#REF!</definedName>
    <definedName name="XRefPaste38Row" hidden="1">#REF!</definedName>
    <definedName name="XRefPaste39" localSheetId="30" hidden="1">#REF!</definedName>
    <definedName name="XRefPaste39" localSheetId="29" hidden="1">#REF!</definedName>
    <definedName name="XRefPaste39" localSheetId="33" hidden="1">#REF!</definedName>
    <definedName name="XRefPaste39" localSheetId="15" hidden="1">#REF!</definedName>
    <definedName name="XRefPaste39" localSheetId="31" hidden="1">#REF!</definedName>
    <definedName name="XRefPaste39" localSheetId="32" hidden="1">#REF!</definedName>
    <definedName name="XRefPaste39" hidden="1">#REF!</definedName>
    <definedName name="XRefPaste39Row" localSheetId="30" hidden="1">#REF!</definedName>
    <definedName name="XRefPaste39Row" localSheetId="29" hidden="1">#REF!</definedName>
    <definedName name="XRefPaste39Row" localSheetId="33" hidden="1">#REF!</definedName>
    <definedName name="XRefPaste39Row" localSheetId="31" hidden="1">#REF!</definedName>
    <definedName name="XRefPaste39Row" localSheetId="32" hidden="1">#REF!</definedName>
    <definedName name="XRefPaste39Row" hidden="1">#REF!</definedName>
    <definedName name="XRefPaste3Row" localSheetId="30" hidden="1">#REF!</definedName>
    <definedName name="XRefPaste3Row" localSheetId="29" hidden="1">#REF!</definedName>
    <definedName name="XRefPaste3Row" localSheetId="33" hidden="1">#REF!</definedName>
    <definedName name="XRefPaste3Row" localSheetId="15" hidden="1">#REF!</definedName>
    <definedName name="XRefPaste3Row" localSheetId="31" hidden="1">#REF!</definedName>
    <definedName name="XRefPaste3Row" localSheetId="6" hidden="1">#REF!</definedName>
    <definedName name="XRefPaste3Row" localSheetId="32" hidden="1">#REF!</definedName>
    <definedName name="XRefPaste3Row" localSheetId="42" hidden="1">#REF!</definedName>
    <definedName name="XRefPaste3Row" hidden="1">#REF!</definedName>
    <definedName name="XRefPaste4" localSheetId="30" hidden="1">#REF!</definedName>
    <definedName name="XRefPaste4" localSheetId="29" hidden="1">#REF!</definedName>
    <definedName name="XRefPaste4" localSheetId="33" hidden="1">#REF!</definedName>
    <definedName name="XRefPaste4" localSheetId="15" hidden="1">#REF!</definedName>
    <definedName name="XRefPaste4" localSheetId="31" hidden="1">#REF!</definedName>
    <definedName name="XRefPaste4" localSheetId="6" hidden="1">#REF!</definedName>
    <definedName name="XRefPaste4" localSheetId="32" hidden="1">#REF!</definedName>
    <definedName name="XRefPaste4" localSheetId="42" hidden="1">#REF!</definedName>
    <definedName name="XRefPaste4" hidden="1">#REF!</definedName>
    <definedName name="XRefPaste40" localSheetId="15" hidden="1">#REF!</definedName>
    <definedName name="XRefPaste40" localSheetId="6" hidden="1">#REF!</definedName>
    <definedName name="XRefPaste40" localSheetId="42" hidden="1">#REF!</definedName>
    <definedName name="XRefPaste40" hidden="1">#REF!</definedName>
    <definedName name="XRefPaste40Row" localSheetId="30" hidden="1">#REF!</definedName>
    <definedName name="XRefPaste40Row" localSheetId="29" hidden="1">#REF!</definedName>
    <definedName name="XRefPaste40Row" localSheetId="33" hidden="1">#REF!</definedName>
    <definedName name="XRefPaste40Row" localSheetId="31" hidden="1">#REF!</definedName>
    <definedName name="XRefPaste40Row" localSheetId="32" hidden="1">#REF!</definedName>
    <definedName name="XRefPaste40Row" hidden="1">#REF!</definedName>
    <definedName name="XRefPaste41" localSheetId="15" hidden="1">#REF!</definedName>
    <definedName name="XRefPaste41" localSheetId="6" hidden="1">#REF!</definedName>
    <definedName name="XRefPaste41" localSheetId="42" hidden="1">#REF!</definedName>
    <definedName name="XRefPaste41" hidden="1">#REF!</definedName>
    <definedName name="XRefPaste41Row" localSheetId="30" hidden="1">#REF!</definedName>
    <definedName name="XRefPaste41Row" localSheetId="29" hidden="1">#REF!</definedName>
    <definedName name="XRefPaste41Row" localSheetId="33" hidden="1">#REF!</definedName>
    <definedName name="XRefPaste41Row" localSheetId="31" hidden="1">#REF!</definedName>
    <definedName name="XRefPaste41Row" localSheetId="32" hidden="1">#REF!</definedName>
    <definedName name="XRefPaste41Row" hidden="1">#REF!</definedName>
    <definedName name="XRefPaste42" localSheetId="15" hidden="1">#REF!</definedName>
    <definedName name="XRefPaste42" localSheetId="6" hidden="1">#REF!</definedName>
    <definedName name="XRefPaste42" localSheetId="42" hidden="1">#REF!</definedName>
    <definedName name="XRefPaste42" hidden="1">#REF!</definedName>
    <definedName name="XRefPaste42Row" localSheetId="30" hidden="1">#REF!</definedName>
    <definedName name="XRefPaste42Row" localSheetId="29" hidden="1">#REF!</definedName>
    <definedName name="XRefPaste42Row" localSheetId="33" hidden="1">#REF!</definedName>
    <definedName name="XRefPaste42Row" localSheetId="15" hidden="1">#REF!</definedName>
    <definedName name="XRefPaste42Row" localSheetId="31" hidden="1">#REF!</definedName>
    <definedName name="XRefPaste42Row" localSheetId="6" hidden="1">#REF!</definedName>
    <definedName name="XRefPaste42Row" localSheetId="32" hidden="1">#REF!</definedName>
    <definedName name="XRefPaste42Row" localSheetId="42" hidden="1">#REF!</definedName>
    <definedName name="XRefPaste42Row" hidden="1">#REF!</definedName>
    <definedName name="XRefPaste43" localSheetId="30" hidden="1">#REF!</definedName>
    <definedName name="XRefPaste43" localSheetId="29" hidden="1">#REF!</definedName>
    <definedName name="XRefPaste43" localSheetId="33" hidden="1">#REF!</definedName>
    <definedName name="XRefPaste43" localSheetId="15" hidden="1">#REF!</definedName>
    <definedName name="XRefPaste43" localSheetId="31" hidden="1">#REF!</definedName>
    <definedName name="XRefPaste43" localSheetId="6" hidden="1">#REF!</definedName>
    <definedName name="XRefPaste43" localSheetId="32" hidden="1">#REF!</definedName>
    <definedName name="XRefPaste43" localSheetId="42" hidden="1">#REF!</definedName>
    <definedName name="XRefPaste43" hidden="1">#REF!</definedName>
    <definedName name="XRefPaste43Row" localSheetId="30" hidden="1">#REF!</definedName>
    <definedName name="XRefPaste43Row" localSheetId="29" hidden="1">#REF!</definedName>
    <definedName name="XRefPaste43Row" localSheetId="33" hidden="1">#REF!</definedName>
    <definedName name="XRefPaste43Row" localSheetId="31" hidden="1">#REF!</definedName>
    <definedName name="XRefPaste43Row" localSheetId="32" hidden="1">#REF!</definedName>
    <definedName name="XRefPaste43Row" hidden="1">#REF!</definedName>
    <definedName name="XRefPaste44" localSheetId="30" hidden="1">#REF!</definedName>
    <definedName name="XRefPaste44" localSheetId="29" hidden="1">#REF!</definedName>
    <definedName name="XRefPaste44" localSheetId="33" hidden="1">#REF!</definedName>
    <definedName name="XRefPaste44" localSheetId="15" hidden="1">#REF!</definedName>
    <definedName name="XRefPaste44" localSheetId="31" hidden="1">#REF!</definedName>
    <definedName name="XRefPaste44" localSheetId="6" hidden="1">#REF!</definedName>
    <definedName name="XRefPaste44" localSheetId="32" hidden="1">#REF!</definedName>
    <definedName name="XRefPaste44" localSheetId="42" hidden="1">#REF!</definedName>
    <definedName name="XRefPaste44" hidden="1">#REF!</definedName>
    <definedName name="XRefPaste44Row" localSheetId="30" hidden="1">#REF!</definedName>
    <definedName name="XRefPaste44Row" localSheetId="29" hidden="1">#REF!</definedName>
    <definedName name="XRefPaste44Row" localSheetId="33" hidden="1">#REF!</definedName>
    <definedName name="XRefPaste44Row" localSheetId="31" hidden="1">#REF!</definedName>
    <definedName name="XRefPaste44Row" localSheetId="32" hidden="1">#REF!</definedName>
    <definedName name="XRefPaste44Row" hidden="1">#REF!</definedName>
    <definedName name="XRefPaste45" localSheetId="30" hidden="1">#REF!</definedName>
    <definedName name="XRefPaste45" localSheetId="29" hidden="1">#REF!</definedName>
    <definedName name="XRefPaste45" localSheetId="33" hidden="1">#REF!</definedName>
    <definedName name="XRefPaste45" localSheetId="15" hidden="1">#REF!</definedName>
    <definedName name="XRefPaste45" localSheetId="31" hidden="1">#REF!</definedName>
    <definedName name="XRefPaste45" localSheetId="6" hidden="1">#REF!</definedName>
    <definedName name="XRefPaste45" localSheetId="32" hidden="1">#REF!</definedName>
    <definedName name="XRefPaste45" localSheetId="42" hidden="1">#REF!</definedName>
    <definedName name="XRefPaste45" hidden="1">#REF!</definedName>
    <definedName name="XRefPaste45Row" localSheetId="30" hidden="1">#REF!</definedName>
    <definedName name="XRefPaste45Row" localSheetId="29" hidden="1">#REF!</definedName>
    <definedName name="XRefPaste45Row" localSheetId="33" hidden="1">#REF!</definedName>
    <definedName name="XRefPaste45Row" localSheetId="31" hidden="1">#REF!</definedName>
    <definedName name="XRefPaste45Row" localSheetId="32" hidden="1">#REF!</definedName>
    <definedName name="XRefPaste45Row" hidden="1">#REF!</definedName>
    <definedName name="XRefPaste46" localSheetId="15" hidden="1">#REF!</definedName>
    <definedName name="XRefPaste46" hidden="1">#REF!</definedName>
    <definedName name="XRefPaste46Row" localSheetId="30" hidden="1">#REF!</definedName>
    <definedName name="XRefPaste46Row" localSheetId="29" hidden="1">#REF!</definedName>
    <definedName name="XRefPaste46Row" localSheetId="33" hidden="1">#REF!</definedName>
    <definedName name="XRefPaste46Row" localSheetId="31" hidden="1">#REF!</definedName>
    <definedName name="XRefPaste46Row" localSheetId="32" hidden="1">#REF!</definedName>
    <definedName name="XRefPaste46Row" hidden="1">#REF!</definedName>
    <definedName name="XRefPaste47" localSheetId="15" hidden="1">#REF!</definedName>
    <definedName name="XRefPaste47" hidden="1">#REF!</definedName>
    <definedName name="XRefPaste47Row" localSheetId="30" hidden="1">#REF!</definedName>
    <definedName name="XRefPaste47Row" localSheetId="29" hidden="1">#REF!</definedName>
    <definedName name="XRefPaste47Row" localSheetId="33" hidden="1">#REF!</definedName>
    <definedName name="XRefPaste47Row" localSheetId="31" hidden="1">#REF!</definedName>
    <definedName name="XRefPaste47Row" localSheetId="32" hidden="1">#REF!</definedName>
    <definedName name="XRefPaste47Row" hidden="1">#REF!</definedName>
    <definedName name="XRefPaste48" localSheetId="15" hidden="1">#REF!</definedName>
    <definedName name="XRefPaste48" hidden="1">#REF!</definedName>
    <definedName name="XRefPaste48Row" localSheetId="30" hidden="1">#REF!</definedName>
    <definedName name="XRefPaste48Row" localSheetId="29" hidden="1">#REF!</definedName>
    <definedName name="XRefPaste48Row" localSheetId="33" hidden="1">#REF!</definedName>
    <definedName name="XRefPaste48Row" localSheetId="31" hidden="1">#REF!</definedName>
    <definedName name="XRefPaste48Row" localSheetId="32" hidden="1">#REF!</definedName>
    <definedName name="XRefPaste48Row" hidden="1">#REF!</definedName>
    <definedName name="XRefPaste49" localSheetId="15" hidden="1">#REF!</definedName>
    <definedName name="XRefPaste49" hidden="1">#REF!</definedName>
    <definedName name="XRefPaste49Row" localSheetId="30" hidden="1">#REF!</definedName>
    <definedName name="XRefPaste49Row" localSheetId="29" hidden="1">#REF!</definedName>
    <definedName name="XRefPaste49Row" localSheetId="33" hidden="1">#REF!</definedName>
    <definedName name="XRefPaste49Row" localSheetId="31" hidden="1">#REF!</definedName>
    <definedName name="XRefPaste49Row" localSheetId="32" hidden="1">#REF!</definedName>
    <definedName name="XRefPaste49Row" hidden="1">#REF!</definedName>
    <definedName name="XRefPaste4Row" localSheetId="30" hidden="1">#REF!</definedName>
    <definedName name="XRefPaste4Row" localSheetId="29" hidden="1">#REF!</definedName>
    <definedName name="XRefPaste4Row" localSheetId="33" hidden="1">#REF!</definedName>
    <definedName name="XRefPaste4Row" localSheetId="15" hidden="1">#REF!</definedName>
    <definedName name="XRefPaste4Row" localSheetId="31" hidden="1">#REF!</definedName>
    <definedName name="XRefPaste4Row" localSheetId="6" hidden="1">#REF!</definedName>
    <definedName name="XRefPaste4Row" localSheetId="32" hidden="1">#REF!</definedName>
    <definedName name="XRefPaste4Row" localSheetId="42" hidden="1">#REF!</definedName>
    <definedName name="XRefPaste4Row" hidden="1">#REF!</definedName>
    <definedName name="XRefPaste5" localSheetId="15" hidden="1">#REF!</definedName>
    <definedName name="XRefPaste5" localSheetId="6" hidden="1">#REF!</definedName>
    <definedName name="XRefPaste5" localSheetId="42" hidden="1">#REF!</definedName>
    <definedName name="XRefPaste5" hidden="1">#REF!</definedName>
    <definedName name="XRefPaste50" localSheetId="15" hidden="1">#REF!</definedName>
    <definedName name="XRefPaste50" localSheetId="6" hidden="1">#REF!</definedName>
    <definedName name="XRefPaste50" localSheetId="42" hidden="1">#REF!</definedName>
    <definedName name="XRefPaste50" hidden="1">#REF!</definedName>
    <definedName name="XRefPaste50Row" localSheetId="30" hidden="1">#REF!</definedName>
    <definedName name="XRefPaste50Row" localSheetId="29" hidden="1">#REF!</definedName>
    <definedName name="XRefPaste50Row" localSheetId="33" hidden="1">#REF!</definedName>
    <definedName name="XRefPaste50Row" localSheetId="31" hidden="1">#REF!</definedName>
    <definedName name="XRefPaste50Row" localSheetId="32" hidden="1">#REF!</definedName>
    <definedName name="XRefPaste50Row" hidden="1">#REF!</definedName>
    <definedName name="XRefPaste51" localSheetId="15" hidden="1">#REF!</definedName>
    <definedName name="XRefPaste51" localSheetId="6" hidden="1">#REF!</definedName>
    <definedName name="XRefPaste51" localSheetId="42" hidden="1">#REF!</definedName>
    <definedName name="XRefPaste51" hidden="1">#REF!</definedName>
    <definedName name="XRefPaste5Row" localSheetId="30" hidden="1">#REF!</definedName>
    <definedName name="XRefPaste5Row" localSheetId="29" hidden="1">#REF!</definedName>
    <definedName name="XRefPaste5Row" localSheetId="33" hidden="1">#REF!</definedName>
    <definedName name="XRefPaste5Row" localSheetId="15" hidden="1">#REF!</definedName>
    <definedName name="XRefPaste5Row" localSheetId="31" hidden="1">#REF!</definedName>
    <definedName name="XRefPaste5Row" localSheetId="6" hidden="1">#REF!</definedName>
    <definedName name="XRefPaste5Row" localSheetId="32" hidden="1">#REF!</definedName>
    <definedName name="XRefPaste5Row" localSheetId="42" hidden="1">#REF!</definedName>
    <definedName name="XRefPaste5Row" hidden="1">#REF!</definedName>
    <definedName name="XRefPaste6" localSheetId="15" hidden="1">#REF!</definedName>
    <definedName name="XRefPaste6" localSheetId="6" hidden="1">#REF!</definedName>
    <definedName name="XRefPaste6" localSheetId="42" hidden="1">#REF!</definedName>
    <definedName name="XRefPaste6" hidden="1">#REF!</definedName>
    <definedName name="XRefPaste6Row" localSheetId="30" hidden="1">#REF!</definedName>
    <definedName name="XRefPaste6Row" localSheetId="29" hidden="1">#REF!</definedName>
    <definedName name="XRefPaste6Row" localSheetId="33" hidden="1">#REF!</definedName>
    <definedName name="XRefPaste6Row" localSheetId="15" hidden="1">#REF!</definedName>
    <definedName name="XRefPaste6Row" localSheetId="31" hidden="1">#REF!</definedName>
    <definedName name="XRefPaste6Row" localSheetId="6" hidden="1">#REF!</definedName>
    <definedName name="XRefPaste6Row" localSheetId="32" hidden="1">#REF!</definedName>
    <definedName name="XRefPaste6Row" localSheetId="42" hidden="1">#REF!</definedName>
    <definedName name="XRefPaste6Row" hidden="1">#REF!</definedName>
    <definedName name="XRefPaste7" localSheetId="30" hidden="1">#REF!</definedName>
    <definedName name="XRefPaste7" localSheetId="29" hidden="1">#REF!</definedName>
    <definedName name="XRefPaste7" localSheetId="33" hidden="1">#REF!</definedName>
    <definedName name="XRefPaste7" localSheetId="15" hidden="1">#REF!</definedName>
    <definedName name="XRefPaste7" localSheetId="31" hidden="1">#REF!</definedName>
    <definedName name="XRefPaste7" localSheetId="6" hidden="1">#REF!</definedName>
    <definedName name="XRefPaste7" localSheetId="32" hidden="1">#REF!</definedName>
    <definedName name="XRefPaste7" localSheetId="42" hidden="1">#REF!</definedName>
    <definedName name="XRefPaste7" hidden="1">#REF!</definedName>
    <definedName name="XRefPaste7Row" localSheetId="30" hidden="1">#REF!</definedName>
    <definedName name="XRefPaste7Row" localSheetId="29" hidden="1">#REF!</definedName>
    <definedName name="XRefPaste7Row" localSheetId="33" hidden="1">#REF!</definedName>
    <definedName name="XRefPaste7Row" localSheetId="15" hidden="1">#REF!</definedName>
    <definedName name="XRefPaste7Row" localSheetId="31" hidden="1">#REF!</definedName>
    <definedName name="XRefPaste7Row" localSheetId="32" hidden="1">#REF!</definedName>
    <definedName name="XRefPaste7Row" hidden="1">#REF!</definedName>
    <definedName name="XRefPaste8" localSheetId="30" hidden="1">#REF!</definedName>
    <definedName name="XRefPaste8" localSheetId="29" hidden="1">#REF!</definedName>
    <definedName name="XRefPaste8" localSheetId="33" hidden="1">#REF!</definedName>
    <definedName name="XRefPaste8" localSheetId="15" hidden="1">#REF!</definedName>
    <definedName name="XRefPaste8" localSheetId="31" hidden="1">#REF!</definedName>
    <definedName name="XRefPaste8" localSheetId="32" hidden="1">#REF!</definedName>
    <definedName name="XRefPaste8" hidden="1">#REF!</definedName>
    <definedName name="XRefPaste8Row" localSheetId="30" hidden="1">#REF!</definedName>
    <definedName name="XRefPaste8Row" localSheetId="29" hidden="1">#REF!</definedName>
    <definedName name="XRefPaste8Row" localSheetId="33" hidden="1">#REF!</definedName>
    <definedName name="XRefPaste8Row" localSheetId="15" hidden="1">#REF!</definedName>
    <definedName name="XRefPaste8Row" localSheetId="31" hidden="1">#REF!</definedName>
    <definedName name="XRefPaste8Row" localSheetId="32" hidden="1">#REF!</definedName>
    <definedName name="XRefPaste8Row" hidden="1">#REF!</definedName>
    <definedName name="XRefPaste9" localSheetId="30" hidden="1">#REF!</definedName>
    <definedName name="XRefPaste9" localSheetId="29" hidden="1">#REF!</definedName>
    <definedName name="XRefPaste9" localSheetId="33" hidden="1">#REF!</definedName>
    <definedName name="XRefPaste9" localSheetId="15" hidden="1">#REF!</definedName>
    <definedName name="XRefPaste9" localSheetId="31" hidden="1">#REF!</definedName>
    <definedName name="XRefPaste9" localSheetId="32" hidden="1">#REF!</definedName>
    <definedName name="XRefPaste9" hidden="1">#REF!</definedName>
    <definedName name="XRefPaste9Row" localSheetId="30" hidden="1">#REF!</definedName>
    <definedName name="XRefPaste9Row" localSheetId="29" hidden="1">#REF!</definedName>
    <definedName name="XRefPaste9Row" localSheetId="33" hidden="1">#REF!</definedName>
    <definedName name="XRefPaste9Row" localSheetId="15" hidden="1">#REF!</definedName>
    <definedName name="XRefPaste9Row" localSheetId="31" hidden="1">#REF!</definedName>
    <definedName name="XRefPaste9Row" localSheetId="32" hidden="1">#REF!</definedName>
    <definedName name="XRefPaste9Row" hidden="1">#REF!</definedName>
    <definedName name="XRefPasteRangeCount" localSheetId="12" hidden="1">20</definedName>
    <definedName name="XRefPasteRangeCount" localSheetId="15" hidden="1">8</definedName>
    <definedName name="XRefPasteRangeCount" localSheetId="6" hidden="1">8</definedName>
    <definedName name="XRefPasteRangeCount" localSheetId="45" hidden="1">8</definedName>
    <definedName name="XRefPasteRangeCount" localSheetId="42" hidden="1">8</definedName>
    <definedName name="XRefPasteRangeCount" hidden="1">50</definedName>
    <definedName name="xrefpastes" localSheetId="30" hidden="1">#REF!</definedName>
    <definedName name="xrefpastes" localSheetId="29" hidden="1">#REF!</definedName>
    <definedName name="xrefpastes" localSheetId="33" hidden="1">#REF!</definedName>
    <definedName name="xrefpastes" localSheetId="31" hidden="1">#REF!</definedName>
    <definedName name="xrefpastes" localSheetId="32" hidden="1">#REF!</definedName>
    <definedName name="xrefpastes" hidden="1">#REF!</definedName>
    <definedName name="xx" localSheetId="12" hidden="1">#REF!</definedName>
    <definedName name="XX" hidden="1">#REF!</definedName>
    <definedName name="xxxxx" localSheetId="12" hidden="1">{#N/A,#N/A,FALSE,"UNIT";#N/A,#N/A,FALSE,"UNIT";#N/A,#N/A,FALSE,"계정"}</definedName>
    <definedName name="xxxxx" localSheetId="42" hidden="1">{#N/A,#N/A,FALSE,"UNIT";#N/A,#N/A,FALSE,"UNIT";#N/A,#N/A,FALSE,"계정"}</definedName>
    <definedName name="xxxxx" hidden="1">{#N/A,#N/A,FALSE,"UNIT";#N/A,#N/A,FALSE,"UNIT";#N/A,#N/A,FALSE,"계정"}</definedName>
    <definedName name="y" localSheetId="42" hidden="1">{#N/A,#N/A,FALSE,"BS";#N/A,#N/A,FALSE,"PL";#N/A,#N/A,FALSE,"처분";#N/A,#N/A,FALSE,"현금";#N/A,#N/A,FALSE,"매출";#N/A,#N/A,FALSE,"원가";#N/A,#N/A,FALSE,"경영"}</definedName>
    <definedName name="y" hidden="1">{#N/A,#N/A,FALSE,"BS";#N/A,#N/A,FALSE,"PL";#N/A,#N/A,FALSE,"처분";#N/A,#N/A,FALSE,"현금";#N/A,#N/A,FALSE,"매출";#N/A,#N/A,FALSE,"원가";#N/A,#N/A,FALSE,"경영"}</definedName>
    <definedName name="ya" localSheetId="12" hidden="1">{#N/A,#N/A,FALSE,"Aging Summary";#N/A,#N/A,FALSE,"Ratio Analysis";#N/A,#N/A,FALSE,"Test 120 Day Accts";#N/A,#N/A,FALSE,"Tickmarks"}</definedName>
    <definedName name="ya" localSheetId="42" hidden="1">{#N/A,#N/A,FALSE,"Aging Summary";#N/A,#N/A,FALSE,"Ratio Analysis";#N/A,#N/A,FALSE,"Test 120 Day Accts";#N/A,#N/A,FALSE,"Tickmarks"}</definedName>
    <definedName name="ya" hidden="1">{#N/A,#N/A,FALSE,"Aging Summary";#N/A,#N/A,FALSE,"Ratio Analysis";#N/A,#N/A,FALSE,"Test 120 Day Accts";#N/A,#N/A,FALSE,"Tickmarks"}</definedName>
    <definedName name="yh" localSheetId="12" hidden="1">{#N/A,#N/A,FALSE,"Aging Summary";#N/A,#N/A,FALSE,"Ratio Analysis";#N/A,#N/A,FALSE,"Test 120 Day Accts";#N/A,#N/A,FALSE,"Tickmarks"}</definedName>
    <definedName name="yh" localSheetId="42" hidden="1">{#N/A,#N/A,FALSE,"Aging Summary";#N/A,#N/A,FALSE,"Ratio Analysis";#N/A,#N/A,FALSE,"Test 120 Day Accts";#N/A,#N/A,FALSE,"Tickmarks"}</definedName>
    <definedName name="yh" hidden="1">{#N/A,#N/A,FALSE,"Aging Summary";#N/A,#N/A,FALSE,"Ratio Analysis";#N/A,#N/A,FALSE,"Test 120 Day Accts";#N/A,#N/A,FALSE,"Tickmarks"}</definedName>
    <definedName name="Yield" localSheetId="15" hidden="1">{#N/A,#N/A,FALSE,"98소지이동TOTvs99.1 (2)";#N/A,#N/A,FALSE,"TOTAL";#N/A,#N/A,FALSE,"98소지이동TOTvs99.1(b) (2)"}</definedName>
    <definedName name="Yield" localSheetId="6" hidden="1">{#N/A,#N/A,FALSE,"98소지이동TOTvs99.1 (2)";#N/A,#N/A,FALSE,"TOTAL";#N/A,#N/A,FALSE,"98소지이동TOTvs99.1(b) (2)"}</definedName>
    <definedName name="Yield" localSheetId="45" hidden="1">{#N/A,#N/A,FALSE,"98소지이동TOTvs99.1 (2)";#N/A,#N/A,FALSE,"TOTAL";#N/A,#N/A,FALSE,"98소지이동TOTvs99.1(b) (2)"}</definedName>
    <definedName name="Yield" localSheetId="42" hidden="1">{#N/A,#N/A,FALSE,"98소지이동TOTvs99.1 (2)";#N/A,#N/A,FALSE,"TOTAL";#N/A,#N/A,FALSE,"98소지이동TOTvs99.1(b) (2)"}</definedName>
    <definedName name="Yield" hidden="1">{#N/A,#N/A,FALSE,"98소지이동TOTvs99.1 (2)";#N/A,#N/A,FALSE,"TOTAL";#N/A,#N/A,FALSE,"98소지이동TOTvs99.1(b) (2)"}</definedName>
    <definedName name="ytyy" localSheetId="15"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ytyy" localSheetId="6"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ytyy" localSheetId="45"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ytyy" localSheetId="42"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ytyy"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yyy" localSheetId="12" hidden="1">{#N/A,#N/A,FALSE,"지침";#N/A,#N/A,FALSE,"환경분석";#N/A,#N/A,FALSE,"Sheet16"}</definedName>
    <definedName name="YYY" localSheetId="42" hidden="1">{#N/A,#N/A,TRUE,"Y생산";#N/A,#N/A,TRUE,"Y판매";#N/A,#N/A,TRUE,"Y총물량";#N/A,#N/A,TRUE,"Y능력";#N/A,#N/A,TRUE,"YKD"}</definedName>
    <definedName name="YYY" hidden="1">{#N/A,#N/A,TRUE,"Y생산";#N/A,#N/A,TRUE,"Y판매";#N/A,#N/A,TRUE,"Y총물량";#N/A,#N/A,TRUE,"Y능력";#N/A,#N/A,TRUE,"YKD"}</definedName>
    <definedName name="yyyy" localSheetId="15"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yyyy" localSheetId="6"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yyyy" localSheetId="45"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yyyy" localSheetId="42"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yyyy"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z" localSheetId="42" hidden="1">{#N/A,#N/A,FALSE,"Aging Summary";#N/A,#N/A,FALSE,"Ratio Analysis";#N/A,#N/A,FALSE,"Test 120 Day Accts";#N/A,#N/A,FALSE,"Tickmarks"}</definedName>
    <definedName name="z" hidden="1">{#N/A,#N/A,FALSE,"Aging Summary";#N/A,#N/A,FALSE,"Ratio Analysis";#N/A,#N/A,FALSE,"Test 120 Day Accts";#N/A,#N/A,FALSE,"Tickmarks"}</definedName>
    <definedName name="Z_B2172A22_A087_11D6_A4E5_008013D50C77_.wvu.PrintArea" hidden="1">#N/A</definedName>
    <definedName name="Z_E8FEE9A5_163A_11D2_AED0_0000E81DA68C_.wvu.Rows" localSheetId="30" hidden="1">#REF!</definedName>
    <definedName name="Z_E8FEE9A5_163A_11D2_AED0_0000E81DA68C_.wvu.Rows" localSheetId="29" hidden="1">#REF!</definedName>
    <definedName name="Z_E8FEE9A5_163A_11D2_AED0_0000E81DA68C_.wvu.Rows" localSheetId="33" hidden="1">#REF!</definedName>
    <definedName name="Z_E8FEE9A5_163A_11D2_AED0_0000E81DA68C_.wvu.Rows" localSheetId="15" hidden="1">#REF!</definedName>
    <definedName name="Z_E8FEE9A5_163A_11D2_AED0_0000E81DA68C_.wvu.Rows" localSheetId="31" hidden="1">#REF!</definedName>
    <definedName name="Z_E8FEE9A5_163A_11D2_AED0_0000E81DA68C_.wvu.Rows" localSheetId="6" hidden="1">#REF!</definedName>
    <definedName name="Z_E8FEE9A5_163A_11D2_AED0_0000E81DA68C_.wvu.Rows" localSheetId="32" hidden="1">#REF!</definedName>
    <definedName name="Z_E8FEE9A5_163A_11D2_AED0_0000E81DA68C_.wvu.Rows" localSheetId="42" hidden="1">#REF!</definedName>
    <definedName name="Z_E8FEE9A5_163A_11D2_AED0_0000E81DA68C_.wvu.Rows" hidden="1">#REF!</definedName>
    <definedName name="zldjfldjkasjfkljal" localSheetId="12" hidden="1">{#N/A,#N/A,FALSE,"DAOCM 2차 검토"}</definedName>
    <definedName name="zldjfldjkasjfkljal" localSheetId="42" hidden="1">{#N/A,#N/A,FALSE,"DAOCM 2차 검토"}</definedName>
    <definedName name="zldjfldjkasjfkljal" hidden="1">{#N/A,#N/A,FALSE,"DAOCM 2차 검토"}</definedName>
    <definedName name="zx" localSheetId="42" hidden="1">{#N/A,#N/A,TRUE,"매출진척-1";#N/A,#N/A,TRUE,"매출진척-2";#N/A,#N/A,TRUE,"제품실적";#N/A,#N/A,TRUE,"RAC";#N/A,#N/A,TRUE,"PAC ";#N/A,#N/A,TRUE,"재고현황";#N/A,#N/A,TRUE,"공지사항"}</definedName>
    <definedName name="zx" hidden="1">{#N/A,#N/A,TRUE,"매출진척-1";#N/A,#N/A,TRUE,"매출진척-2";#N/A,#N/A,TRUE,"제품실적";#N/A,#N/A,TRUE,"RAC";#N/A,#N/A,TRUE,"PAC ";#N/A,#N/A,TRUE,"재고현황";#N/A,#N/A,TRUE,"공지사항"}</definedName>
    <definedName name="zzz" localSheetId="15"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zzz" localSheetId="6"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zzz" localSheetId="45"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zzz" localSheetId="42"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zzz"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ㄱ" localSheetId="1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ㄱ" localSheetId="42" hidden="1">{#N/A,#N/A,FALSE,"BS";#N/A,#N/A,FALSE,"PL";#N/A,#N/A,FALSE,"처분";#N/A,#N/A,FALSE,"현금";#N/A,#N/A,FALSE,"매출";#N/A,#N/A,FALSE,"원가";#N/A,#N/A,FALSE,"경영"}</definedName>
    <definedName name="ㄱ" hidden="1">{#N/A,#N/A,FALSE,"BS";#N/A,#N/A,FALSE,"PL";#N/A,#N/A,FALSE,"처분";#N/A,#N/A,FALSE,"현금";#N/A,#N/A,FALSE,"매출";#N/A,#N/A,FALSE,"원가";#N/A,#N/A,FALSE,"경영"}</definedName>
    <definedName name="ㄱㄱ" localSheetId="12" hidden="1">{#N/A,#N/A,FALSE,"UNIT";#N/A,#N/A,FALSE,"UNIT";#N/A,#N/A,FALSE,"계정"}</definedName>
    <definedName name="ㄱㄱ" localSheetId="42" hidden="1">{#N/A,#N/A,FALSE,"UNIT";#N/A,#N/A,FALSE,"UNIT";#N/A,#N/A,FALSE,"계정"}</definedName>
    <definedName name="ㄱㄱ" hidden="1">{#N/A,#N/A,FALSE,"UNIT";#N/A,#N/A,FALSE,"UNIT";#N/A,#N/A,FALSE,"계정"}</definedName>
    <definedName name="ㄱㄱㄱ" localSheetId="12" hidden="1">{#N/A,#N/A,FALSE,"UNIT";#N/A,#N/A,FALSE,"UNIT";#N/A,#N/A,FALSE,"계정"}</definedName>
    <definedName name="ㄱㄱㄱ" localSheetId="15" hidden="1">{#N/A,#N/A,FALSE,"손익표지";#N/A,#N/A,FALSE,"손익계산";#N/A,#N/A,FALSE,"일반관리비";#N/A,#N/A,FALSE,"영업외수익";#N/A,#N/A,FALSE,"영업외비용";#N/A,#N/A,FALSE,"매출액";#N/A,#N/A,FALSE,"요약손익";#N/A,#N/A,FALSE,"요약대차";#N/A,#N/A,FALSE,"매출채권현황";#N/A,#N/A,FALSE,"매출채권명세"}</definedName>
    <definedName name="ㄱㄱㄱ" localSheetId="6" hidden="1">{#N/A,#N/A,FALSE,"손익표지";#N/A,#N/A,FALSE,"손익계산";#N/A,#N/A,FALSE,"일반관리비";#N/A,#N/A,FALSE,"영업외수익";#N/A,#N/A,FALSE,"영업외비용";#N/A,#N/A,FALSE,"매출액";#N/A,#N/A,FALSE,"요약손익";#N/A,#N/A,FALSE,"요약대차";#N/A,#N/A,FALSE,"매출채권현황";#N/A,#N/A,FALSE,"매출채권명세"}</definedName>
    <definedName name="ㄱㄱㄱ" localSheetId="45" hidden="1">{#N/A,#N/A,FALSE,"손익표지";#N/A,#N/A,FALSE,"손익계산";#N/A,#N/A,FALSE,"일반관리비";#N/A,#N/A,FALSE,"영업외수익";#N/A,#N/A,FALSE,"영업외비용";#N/A,#N/A,FALSE,"매출액";#N/A,#N/A,FALSE,"요약손익";#N/A,#N/A,FALSE,"요약대차";#N/A,#N/A,FALSE,"매출채권현황";#N/A,#N/A,FALSE,"매출채권명세"}</definedName>
    <definedName name="ㄱㄱㄱ" localSheetId="42" hidden="1">{#N/A,#N/A,FALSE,"손익표지";#N/A,#N/A,FALSE,"손익계산";#N/A,#N/A,FALSE,"일반관리비";#N/A,#N/A,FALSE,"영업외수익";#N/A,#N/A,FALSE,"영업외비용";#N/A,#N/A,FALSE,"매출액";#N/A,#N/A,FALSE,"요약손익";#N/A,#N/A,FALSE,"요약대차";#N/A,#N/A,FALSE,"매출채권현황";#N/A,#N/A,FALSE,"매출채권명세"}</definedName>
    <definedName name="ㄱㄱㄱ" hidden="1">{#N/A,#N/A,FALSE,"UNIT";#N/A,#N/A,FALSE,"UNIT";#N/A,#N/A,FALSE,"계정"}</definedName>
    <definedName name="ㄱㄱㄱㄱ" localSheetId="12" hidden="1">{#N/A,#N/A,TRUE,"일정"}</definedName>
    <definedName name="ㄱㄱㄱㄱ" localSheetId="42" hidden="1">{#N/A,#N/A,FALSE,"지침";#N/A,#N/A,FALSE,"환경분석";#N/A,#N/A,FALSE,"Sheet16"}</definedName>
    <definedName name="ㄱㄱㄱㄱ" hidden="1">{#N/A,#N/A,FALSE,"지침";#N/A,#N/A,FALSE,"환경분석";#N/A,#N/A,FALSE,"Sheet16"}</definedName>
    <definedName name="ㄱㄱㄱㄱㄱ" localSheetId="12" hidden="1">{#N/A,#N/A,FALSE,"UNIT";#N/A,#N/A,FALSE,"UNIT";#N/A,#N/A,FALSE,"계정"}</definedName>
    <definedName name="ㄱㄱㄱㄱㄱ" localSheetId="42" hidden="1">{#N/A,#N/A,FALSE,"UNIT";#N/A,#N/A,FALSE,"UNIT";#N/A,#N/A,FALSE,"계정"}</definedName>
    <definedName name="ㄱㄱㄱㄱㄱ" hidden="1">{#N/A,#N/A,FALSE,"UNIT";#N/A,#N/A,FALSE,"UNIT";#N/A,#N/A,FALSE,"계정"}</definedName>
    <definedName name="ㄱㄱㄷ" localSheetId="30" hidden="1">#REF!</definedName>
    <definedName name="ㄱㄱㄷ" localSheetId="29" hidden="1">#REF!</definedName>
    <definedName name="ㄱㄱㄷ" localSheetId="33" hidden="1">#REF!</definedName>
    <definedName name="ㄱㄱㄷ" localSheetId="31" hidden="1">#REF!</definedName>
    <definedName name="ㄱㄱㄷ" hidden="1">#REF!</definedName>
    <definedName name="ㄱㄷㅈㄷㄱ" localSheetId="15" hidden="1">{#N/A,#N/A,FALSE,"손익표지";#N/A,#N/A,FALSE,"손익계산";#N/A,#N/A,FALSE,"일반관리비";#N/A,#N/A,FALSE,"영업외수익";#N/A,#N/A,FALSE,"영업외비용";#N/A,#N/A,FALSE,"매출액";#N/A,#N/A,FALSE,"요약손익";#N/A,#N/A,FALSE,"요약대차";#N/A,#N/A,FALSE,"매출채권현황";#N/A,#N/A,FALSE,"매출채권명세"}</definedName>
    <definedName name="ㄱㄷㅈㄷㄱ" localSheetId="6" hidden="1">{#N/A,#N/A,FALSE,"손익표지";#N/A,#N/A,FALSE,"손익계산";#N/A,#N/A,FALSE,"일반관리비";#N/A,#N/A,FALSE,"영업외수익";#N/A,#N/A,FALSE,"영업외비용";#N/A,#N/A,FALSE,"매출액";#N/A,#N/A,FALSE,"요약손익";#N/A,#N/A,FALSE,"요약대차";#N/A,#N/A,FALSE,"매출채권현황";#N/A,#N/A,FALSE,"매출채권명세"}</definedName>
    <definedName name="ㄱㄷㅈㄷㄱ" localSheetId="45" hidden="1">{#N/A,#N/A,FALSE,"손익표지";#N/A,#N/A,FALSE,"손익계산";#N/A,#N/A,FALSE,"일반관리비";#N/A,#N/A,FALSE,"영업외수익";#N/A,#N/A,FALSE,"영업외비용";#N/A,#N/A,FALSE,"매출액";#N/A,#N/A,FALSE,"요약손익";#N/A,#N/A,FALSE,"요약대차";#N/A,#N/A,FALSE,"매출채권현황";#N/A,#N/A,FALSE,"매출채권명세"}</definedName>
    <definedName name="ㄱㄷㅈㄷㄱ" localSheetId="42" hidden="1">{#N/A,#N/A,FALSE,"손익표지";#N/A,#N/A,FALSE,"손익계산";#N/A,#N/A,FALSE,"일반관리비";#N/A,#N/A,FALSE,"영업외수익";#N/A,#N/A,FALSE,"영업외비용";#N/A,#N/A,FALSE,"매출액";#N/A,#N/A,FALSE,"요약손익";#N/A,#N/A,FALSE,"요약대차";#N/A,#N/A,FALSE,"매출채권현황";#N/A,#N/A,FALSE,"매출채권명세"}</definedName>
    <definedName name="ㄱㄷㅈㄷㄱ" hidden="1">{#N/A,#N/A,FALSE,"손익표지";#N/A,#N/A,FALSE,"손익계산";#N/A,#N/A,FALSE,"일반관리비";#N/A,#N/A,FALSE,"영업외수익";#N/A,#N/A,FALSE,"영업외비용";#N/A,#N/A,FALSE,"매출액";#N/A,#N/A,FALSE,"요약손익";#N/A,#N/A,FALSE,"요약대차";#N/A,#N/A,FALSE,"매출채권현황";#N/A,#N/A,FALSE,"매출채권명세"}</definedName>
    <definedName name="ㄱㄷㅈㅅㅈㄷ" localSheetId="15" hidden="1">{#N/A,#N/A,FALSE,"손익표지";#N/A,#N/A,FALSE,"손익계산";#N/A,#N/A,FALSE,"일반관리비";#N/A,#N/A,FALSE,"영업외수익";#N/A,#N/A,FALSE,"영업외비용";#N/A,#N/A,FALSE,"매출액";#N/A,#N/A,FALSE,"요약손익";#N/A,#N/A,FALSE,"요약대차";#N/A,#N/A,FALSE,"매출채권현황";#N/A,#N/A,FALSE,"매출채권명세"}</definedName>
    <definedName name="ㄱㄷㅈㅅㅈㄷ" localSheetId="6" hidden="1">{#N/A,#N/A,FALSE,"손익표지";#N/A,#N/A,FALSE,"손익계산";#N/A,#N/A,FALSE,"일반관리비";#N/A,#N/A,FALSE,"영업외수익";#N/A,#N/A,FALSE,"영업외비용";#N/A,#N/A,FALSE,"매출액";#N/A,#N/A,FALSE,"요약손익";#N/A,#N/A,FALSE,"요약대차";#N/A,#N/A,FALSE,"매출채권현황";#N/A,#N/A,FALSE,"매출채권명세"}</definedName>
    <definedName name="ㄱㄷㅈㅅㅈㄷ" localSheetId="45" hidden="1">{#N/A,#N/A,FALSE,"손익표지";#N/A,#N/A,FALSE,"손익계산";#N/A,#N/A,FALSE,"일반관리비";#N/A,#N/A,FALSE,"영업외수익";#N/A,#N/A,FALSE,"영업외비용";#N/A,#N/A,FALSE,"매출액";#N/A,#N/A,FALSE,"요약손익";#N/A,#N/A,FALSE,"요약대차";#N/A,#N/A,FALSE,"매출채권현황";#N/A,#N/A,FALSE,"매출채권명세"}</definedName>
    <definedName name="ㄱㄷㅈㅅㅈㄷ" localSheetId="42" hidden="1">{#N/A,#N/A,FALSE,"손익표지";#N/A,#N/A,FALSE,"손익계산";#N/A,#N/A,FALSE,"일반관리비";#N/A,#N/A,FALSE,"영업외수익";#N/A,#N/A,FALSE,"영업외비용";#N/A,#N/A,FALSE,"매출액";#N/A,#N/A,FALSE,"요약손익";#N/A,#N/A,FALSE,"요약대차";#N/A,#N/A,FALSE,"매출채권현황";#N/A,#N/A,FALSE,"매출채권명세"}</definedName>
    <definedName name="ㄱㄷㅈㅅㅈㄷ" hidden="1">{#N/A,#N/A,FALSE,"손익표지";#N/A,#N/A,FALSE,"손익계산";#N/A,#N/A,FALSE,"일반관리비";#N/A,#N/A,FALSE,"영업외수익";#N/A,#N/A,FALSE,"영업외비용";#N/A,#N/A,FALSE,"매출액";#N/A,#N/A,FALSE,"요약손익";#N/A,#N/A,FALSE,"요약대차";#N/A,#N/A,FALSE,"매출채권현황";#N/A,#N/A,FALSE,"매출채권명세"}</definedName>
    <definedName name="ㄱ돗ㄱ속" localSheetId="15" hidden="1">{#N/A,#N/A,FALSE,"손익표지";#N/A,#N/A,FALSE,"손익계산";#N/A,#N/A,FALSE,"일반관리비";#N/A,#N/A,FALSE,"영업외수익";#N/A,#N/A,FALSE,"영업외비용";#N/A,#N/A,FALSE,"매출액";#N/A,#N/A,FALSE,"요약손익";#N/A,#N/A,FALSE,"요약대차";#N/A,#N/A,FALSE,"매출채권현황";#N/A,#N/A,FALSE,"매출채권명세"}</definedName>
    <definedName name="ㄱ돗ㄱ속" localSheetId="6" hidden="1">{#N/A,#N/A,FALSE,"손익표지";#N/A,#N/A,FALSE,"손익계산";#N/A,#N/A,FALSE,"일반관리비";#N/A,#N/A,FALSE,"영업외수익";#N/A,#N/A,FALSE,"영업외비용";#N/A,#N/A,FALSE,"매출액";#N/A,#N/A,FALSE,"요약손익";#N/A,#N/A,FALSE,"요약대차";#N/A,#N/A,FALSE,"매출채권현황";#N/A,#N/A,FALSE,"매출채권명세"}</definedName>
    <definedName name="ㄱ돗ㄱ속" localSheetId="45" hidden="1">{#N/A,#N/A,FALSE,"손익표지";#N/A,#N/A,FALSE,"손익계산";#N/A,#N/A,FALSE,"일반관리비";#N/A,#N/A,FALSE,"영업외수익";#N/A,#N/A,FALSE,"영업외비용";#N/A,#N/A,FALSE,"매출액";#N/A,#N/A,FALSE,"요약손익";#N/A,#N/A,FALSE,"요약대차";#N/A,#N/A,FALSE,"매출채권현황";#N/A,#N/A,FALSE,"매출채권명세"}</definedName>
    <definedName name="ㄱ돗ㄱ속" localSheetId="42" hidden="1">{#N/A,#N/A,FALSE,"손익표지";#N/A,#N/A,FALSE,"손익계산";#N/A,#N/A,FALSE,"일반관리비";#N/A,#N/A,FALSE,"영업외수익";#N/A,#N/A,FALSE,"영업외비용";#N/A,#N/A,FALSE,"매출액";#N/A,#N/A,FALSE,"요약손익";#N/A,#N/A,FALSE,"요약대차";#N/A,#N/A,FALSE,"매출채권현황";#N/A,#N/A,FALSE,"매출채권명세"}</definedName>
    <definedName name="ㄱ돗ㄱ속" hidden="1">{#N/A,#N/A,FALSE,"손익표지";#N/A,#N/A,FALSE,"손익계산";#N/A,#N/A,FALSE,"일반관리비";#N/A,#N/A,FALSE,"영업외수익";#N/A,#N/A,FALSE,"영업외비용";#N/A,#N/A,FALSE,"매출액";#N/A,#N/A,FALSE,"요약손익";#N/A,#N/A,FALSE,"요약대차";#N/A,#N/A,FALSE,"매출채권현황";#N/A,#N/A,FALSE,"매출채권명세"}</definedName>
    <definedName name="ㄱ됴ㄱ됴ㄱ" localSheetId="15" hidden="1">{#N/A,#N/A,FALSE,"손익표지";#N/A,#N/A,FALSE,"손익계산";#N/A,#N/A,FALSE,"일반관리비";#N/A,#N/A,FALSE,"영업외수익";#N/A,#N/A,FALSE,"영업외비용";#N/A,#N/A,FALSE,"매출액";#N/A,#N/A,FALSE,"요약손익";#N/A,#N/A,FALSE,"요약대차";#N/A,#N/A,FALSE,"매출채권현황";#N/A,#N/A,FALSE,"매출채권명세"}</definedName>
    <definedName name="ㄱ됴ㄱ됴ㄱ" localSheetId="6" hidden="1">{#N/A,#N/A,FALSE,"손익표지";#N/A,#N/A,FALSE,"손익계산";#N/A,#N/A,FALSE,"일반관리비";#N/A,#N/A,FALSE,"영업외수익";#N/A,#N/A,FALSE,"영업외비용";#N/A,#N/A,FALSE,"매출액";#N/A,#N/A,FALSE,"요약손익";#N/A,#N/A,FALSE,"요약대차";#N/A,#N/A,FALSE,"매출채권현황";#N/A,#N/A,FALSE,"매출채권명세"}</definedName>
    <definedName name="ㄱ됴ㄱ됴ㄱ" localSheetId="45" hidden="1">{#N/A,#N/A,FALSE,"손익표지";#N/A,#N/A,FALSE,"손익계산";#N/A,#N/A,FALSE,"일반관리비";#N/A,#N/A,FALSE,"영업외수익";#N/A,#N/A,FALSE,"영업외비용";#N/A,#N/A,FALSE,"매출액";#N/A,#N/A,FALSE,"요약손익";#N/A,#N/A,FALSE,"요약대차";#N/A,#N/A,FALSE,"매출채권현황";#N/A,#N/A,FALSE,"매출채권명세"}</definedName>
    <definedName name="ㄱ됴ㄱ됴ㄱ" localSheetId="42" hidden="1">{#N/A,#N/A,FALSE,"손익표지";#N/A,#N/A,FALSE,"손익계산";#N/A,#N/A,FALSE,"일반관리비";#N/A,#N/A,FALSE,"영업외수익";#N/A,#N/A,FALSE,"영업외비용";#N/A,#N/A,FALSE,"매출액";#N/A,#N/A,FALSE,"요약손익";#N/A,#N/A,FALSE,"요약대차";#N/A,#N/A,FALSE,"매출채권현황";#N/A,#N/A,FALSE,"매출채권명세"}</definedName>
    <definedName name="ㄱ됴ㄱ됴ㄱ" hidden="1">{#N/A,#N/A,FALSE,"손익표지";#N/A,#N/A,FALSE,"손익계산";#N/A,#N/A,FALSE,"일반관리비";#N/A,#N/A,FALSE,"영업외수익";#N/A,#N/A,FALSE,"영업외비용";#N/A,#N/A,FALSE,"매출액";#N/A,#N/A,FALSE,"요약손익";#N/A,#N/A,FALSE,"요약대차";#N/A,#N/A,FALSE,"매출채권현황";#N/A,#N/A,FALSE,"매출채권명세"}</definedName>
    <definedName name="ㄱㄿ" localSheetId="12" hidden="1">{#N/A,#N/A,FALSE,"Sheet1"}</definedName>
    <definedName name="ㄱㄿ" localSheetId="42" hidden="1">{#N/A,#N/A,FALSE,"Sheet1"}</definedName>
    <definedName name="ㄱㄿ" hidden="1">{#N/A,#N/A,FALSE,"Sheet1"}</definedName>
    <definedName name="ㄱ셕ㅅ" localSheetId="15" hidden="1">{#N/A,#N/A,FALSE,"손익표지";#N/A,#N/A,FALSE,"손익계산";#N/A,#N/A,FALSE,"일반관리비";#N/A,#N/A,FALSE,"영업외수익";#N/A,#N/A,FALSE,"영업외비용";#N/A,#N/A,FALSE,"매출액";#N/A,#N/A,FALSE,"요약손익";#N/A,#N/A,FALSE,"요약대차";#N/A,#N/A,FALSE,"매출채권현황";#N/A,#N/A,FALSE,"매출채권명세"}</definedName>
    <definedName name="ㄱ셕ㅅ" localSheetId="6" hidden="1">{#N/A,#N/A,FALSE,"손익표지";#N/A,#N/A,FALSE,"손익계산";#N/A,#N/A,FALSE,"일반관리비";#N/A,#N/A,FALSE,"영업외수익";#N/A,#N/A,FALSE,"영업외비용";#N/A,#N/A,FALSE,"매출액";#N/A,#N/A,FALSE,"요약손익";#N/A,#N/A,FALSE,"요약대차";#N/A,#N/A,FALSE,"매출채권현황";#N/A,#N/A,FALSE,"매출채권명세"}</definedName>
    <definedName name="ㄱ셕ㅅ" localSheetId="45" hidden="1">{#N/A,#N/A,FALSE,"손익표지";#N/A,#N/A,FALSE,"손익계산";#N/A,#N/A,FALSE,"일반관리비";#N/A,#N/A,FALSE,"영업외수익";#N/A,#N/A,FALSE,"영업외비용";#N/A,#N/A,FALSE,"매출액";#N/A,#N/A,FALSE,"요약손익";#N/A,#N/A,FALSE,"요약대차";#N/A,#N/A,FALSE,"매출채권현황";#N/A,#N/A,FALSE,"매출채권명세"}</definedName>
    <definedName name="ㄱ셕ㅅ" localSheetId="42" hidden="1">{#N/A,#N/A,FALSE,"손익표지";#N/A,#N/A,FALSE,"손익계산";#N/A,#N/A,FALSE,"일반관리비";#N/A,#N/A,FALSE,"영업외수익";#N/A,#N/A,FALSE,"영업외비용";#N/A,#N/A,FALSE,"매출액";#N/A,#N/A,FALSE,"요약손익";#N/A,#N/A,FALSE,"요약대차";#N/A,#N/A,FALSE,"매출채권현황";#N/A,#N/A,FALSE,"매출채권명세"}</definedName>
    <definedName name="ㄱ셕ㅅ" hidden="1">{#N/A,#N/A,FALSE,"손익표지";#N/A,#N/A,FALSE,"손익계산";#N/A,#N/A,FALSE,"일반관리비";#N/A,#N/A,FALSE,"영업외수익";#N/A,#N/A,FALSE,"영업외비용";#N/A,#N/A,FALSE,"매출액";#N/A,#N/A,FALSE,"요약손익";#N/A,#N/A,FALSE,"요약대차";#N/A,#N/A,FALSE,"매출채권현황";#N/A,#N/A,FALSE,"매출채권명세"}</definedName>
    <definedName name="ㄱ소" localSheetId="15" hidden="1">{#N/A,#N/A,FALSE,"손익표지";#N/A,#N/A,FALSE,"손익계산";#N/A,#N/A,FALSE,"일반관리비";#N/A,#N/A,FALSE,"영업외수익";#N/A,#N/A,FALSE,"영업외비용";#N/A,#N/A,FALSE,"매출액";#N/A,#N/A,FALSE,"요약손익";#N/A,#N/A,FALSE,"요약대차";#N/A,#N/A,FALSE,"매출채권현황";#N/A,#N/A,FALSE,"매출채권명세"}</definedName>
    <definedName name="ㄱ소" localSheetId="6" hidden="1">{#N/A,#N/A,FALSE,"손익표지";#N/A,#N/A,FALSE,"손익계산";#N/A,#N/A,FALSE,"일반관리비";#N/A,#N/A,FALSE,"영업외수익";#N/A,#N/A,FALSE,"영업외비용";#N/A,#N/A,FALSE,"매출액";#N/A,#N/A,FALSE,"요약손익";#N/A,#N/A,FALSE,"요약대차";#N/A,#N/A,FALSE,"매출채권현황";#N/A,#N/A,FALSE,"매출채권명세"}</definedName>
    <definedName name="ㄱ소" localSheetId="45" hidden="1">{#N/A,#N/A,FALSE,"손익표지";#N/A,#N/A,FALSE,"손익계산";#N/A,#N/A,FALSE,"일반관리비";#N/A,#N/A,FALSE,"영업외수익";#N/A,#N/A,FALSE,"영업외비용";#N/A,#N/A,FALSE,"매출액";#N/A,#N/A,FALSE,"요약손익";#N/A,#N/A,FALSE,"요약대차";#N/A,#N/A,FALSE,"매출채권현황";#N/A,#N/A,FALSE,"매출채권명세"}</definedName>
    <definedName name="ㄱ소" localSheetId="42" hidden="1">{#N/A,#N/A,FALSE,"손익표지";#N/A,#N/A,FALSE,"손익계산";#N/A,#N/A,FALSE,"일반관리비";#N/A,#N/A,FALSE,"영업외수익";#N/A,#N/A,FALSE,"영업외비용";#N/A,#N/A,FALSE,"매출액";#N/A,#N/A,FALSE,"요약손익";#N/A,#N/A,FALSE,"요약대차";#N/A,#N/A,FALSE,"매출채권현황";#N/A,#N/A,FALSE,"매출채권명세"}</definedName>
    <definedName name="ㄱ소" hidden="1">{#N/A,#N/A,FALSE,"손익표지";#N/A,#N/A,FALSE,"손익계산";#N/A,#N/A,FALSE,"일반관리비";#N/A,#N/A,FALSE,"영업외수익";#N/A,#N/A,FALSE,"영업외비용";#N/A,#N/A,FALSE,"매출액";#N/A,#N/A,FALSE,"요약손익";#N/A,#N/A,FALSE,"요약대차";#N/A,#N/A,FALSE,"매출채권현황";#N/A,#N/A,FALSE,"매출채권명세"}</definedName>
    <definedName name="ㄱㅎ" localSheetId="15" hidden="1">{#N/A,#N/A,FALSE,"손익표지";#N/A,#N/A,FALSE,"손익계산";#N/A,#N/A,FALSE,"일반관리비";#N/A,#N/A,FALSE,"영업외수익";#N/A,#N/A,FALSE,"영업외비용";#N/A,#N/A,FALSE,"매출액";#N/A,#N/A,FALSE,"요약손익";#N/A,#N/A,FALSE,"요약대차";#N/A,#N/A,FALSE,"매출채권현황";#N/A,#N/A,FALSE,"매출채권명세"}</definedName>
    <definedName name="ㄱㅎ" localSheetId="6" hidden="1">{#N/A,#N/A,FALSE,"손익표지";#N/A,#N/A,FALSE,"손익계산";#N/A,#N/A,FALSE,"일반관리비";#N/A,#N/A,FALSE,"영업외수익";#N/A,#N/A,FALSE,"영업외비용";#N/A,#N/A,FALSE,"매출액";#N/A,#N/A,FALSE,"요약손익";#N/A,#N/A,FALSE,"요약대차";#N/A,#N/A,FALSE,"매출채권현황";#N/A,#N/A,FALSE,"매출채권명세"}</definedName>
    <definedName name="ㄱㅎ" localSheetId="45" hidden="1">{#N/A,#N/A,FALSE,"손익표지";#N/A,#N/A,FALSE,"손익계산";#N/A,#N/A,FALSE,"일반관리비";#N/A,#N/A,FALSE,"영업외수익";#N/A,#N/A,FALSE,"영업외비용";#N/A,#N/A,FALSE,"매출액";#N/A,#N/A,FALSE,"요약손익";#N/A,#N/A,FALSE,"요약대차";#N/A,#N/A,FALSE,"매출채권현황";#N/A,#N/A,FALSE,"매출채권명세"}</definedName>
    <definedName name="ㄱㅎ" localSheetId="42" hidden="1">{#N/A,#N/A,FALSE,"손익표지";#N/A,#N/A,FALSE,"손익계산";#N/A,#N/A,FALSE,"일반관리비";#N/A,#N/A,FALSE,"영업외수익";#N/A,#N/A,FALSE,"영업외비용";#N/A,#N/A,FALSE,"매출액";#N/A,#N/A,FALSE,"요약손익";#N/A,#N/A,FALSE,"요약대차";#N/A,#N/A,FALSE,"매출채권현황";#N/A,#N/A,FALSE,"매출채권명세"}</definedName>
    <definedName name="ㄱㅎ" hidden="1">{#N/A,#N/A,FALSE,"손익표지";#N/A,#N/A,FALSE,"손익계산";#N/A,#N/A,FALSE,"일반관리비";#N/A,#N/A,FALSE,"영업외수익";#N/A,#N/A,FALSE,"영업외비용";#N/A,#N/A,FALSE,"매출액";#N/A,#N/A,FALSE,"요약손익";#N/A,#N/A,FALSE,"요약대차";#N/A,#N/A,FALSE,"매출채권현황";#N/A,#N/A,FALSE,"매출채권명세"}</definedName>
    <definedName name="ㄱ히망ㅎ" localSheetId="15" hidden="1">{#N/A,#N/A,FALSE,"1.CRITERIA";#N/A,#N/A,FALSE,"2.IS";#N/A,#N/A,FALSE,"3.BS";#N/A,#N/A,FALSE,"4.PER PL";#N/A,#N/A,FALSE,"5.INVESTMENT";#N/A,#N/A,FALSE,"6.공문";#N/A,#N/A,FALSE,"7.netinvest"}</definedName>
    <definedName name="ㄱ히망ㅎ" localSheetId="6" hidden="1">{#N/A,#N/A,FALSE,"1.CRITERIA";#N/A,#N/A,FALSE,"2.IS";#N/A,#N/A,FALSE,"3.BS";#N/A,#N/A,FALSE,"4.PER PL";#N/A,#N/A,FALSE,"5.INVESTMENT";#N/A,#N/A,FALSE,"6.공문";#N/A,#N/A,FALSE,"7.netinvest"}</definedName>
    <definedName name="ㄱ히망ㅎ" localSheetId="45" hidden="1">{#N/A,#N/A,FALSE,"1.CRITERIA";#N/A,#N/A,FALSE,"2.IS";#N/A,#N/A,FALSE,"3.BS";#N/A,#N/A,FALSE,"4.PER PL";#N/A,#N/A,FALSE,"5.INVESTMENT";#N/A,#N/A,FALSE,"6.공문";#N/A,#N/A,FALSE,"7.netinvest"}</definedName>
    <definedName name="ㄱ히망ㅎ" localSheetId="42" hidden="1">{#N/A,#N/A,FALSE,"1.CRITERIA";#N/A,#N/A,FALSE,"2.IS";#N/A,#N/A,FALSE,"3.BS";#N/A,#N/A,FALSE,"4.PER PL";#N/A,#N/A,FALSE,"5.INVESTMENT";#N/A,#N/A,FALSE,"6.공문";#N/A,#N/A,FALSE,"7.netinvest"}</definedName>
    <definedName name="ㄱ히망ㅎ" hidden="1">{#N/A,#N/A,FALSE,"1.CRITERIA";#N/A,#N/A,FALSE,"2.IS";#N/A,#N/A,FALSE,"3.BS";#N/A,#N/A,FALSE,"4.PER PL";#N/A,#N/A,FALSE,"5.INVESTMENT";#N/A,#N/A,FALSE,"6.공문";#N/A,#N/A,FALSE,"7.netinvest"}</definedName>
    <definedName name="가" localSheetId="42" hidden="1">{#N/A,#N/A,FALSE,"1.CRITERIA";#N/A,#N/A,FALSE,"2.IS";#N/A,#N/A,FALSE,"3.BS";#N/A,#N/A,FALSE,"4.PER PL";#N/A,#N/A,FALSE,"5.INVESTMENT";#N/A,#N/A,FALSE,"6.공문";#N/A,#N/A,FALSE,"7.netinvest"}</definedName>
    <definedName name="가" hidden="1">{#N/A,#N/A,FALSE,"1.CRITERIA";#N/A,#N/A,FALSE,"2.IS";#N/A,#N/A,FALSE,"3.BS";#N/A,#N/A,FALSE,"4.PER PL";#N/A,#N/A,FALSE,"5.INVESTMENT";#N/A,#N/A,FALSE,"6.공문";#N/A,#N/A,FALSE,"7.netinvest"}</definedName>
    <definedName name="가1" localSheetId="15" hidden="1">{#N/A,#N/A,TRUE,"Y생산";#N/A,#N/A,TRUE,"Y판매";#N/A,#N/A,TRUE,"Y총물량";#N/A,#N/A,TRUE,"Y능력";#N/A,#N/A,TRUE,"YKD"}</definedName>
    <definedName name="가1" localSheetId="6" hidden="1">{#N/A,#N/A,TRUE,"Y생산";#N/A,#N/A,TRUE,"Y판매";#N/A,#N/A,TRUE,"Y총물량";#N/A,#N/A,TRUE,"Y능력";#N/A,#N/A,TRUE,"YKD"}</definedName>
    <definedName name="가1" localSheetId="45" hidden="1">{#N/A,#N/A,TRUE,"Y생산";#N/A,#N/A,TRUE,"Y판매";#N/A,#N/A,TRUE,"Y총물량";#N/A,#N/A,TRUE,"Y능력";#N/A,#N/A,TRUE,"YKD"}</definedName>
    <definedName name="가1" localSheetId="42" hidden="1">{#N/A,#N/A,TRUE,"Y생산";#N/A,#N/A,TRUE,"Y판매";#N/A,#N/A,TRUE,"Y총물량";#N/A,#N/A,TRUE,"Y능력";#N/A,#N/A,TRUE,"YKD"}</definedName>
    <definedName name="가1" hidden="1">{#N/A,#N/A,TRUE,"Y생산";#N/A,#N/A,TRUE,"Y판매";#N/A,#N/A,TRUE,"Y총물량";#N/A,#N/A,TRUE,"Y능력";#N/A,#N/A,TRUE,"YKD"}</definedName>
    <definedName name="가123" localSheetId="15" hidden="1">{"'분양원가'!$B$1:$F$113"}</definedName>
    <definedName name="가123" localSheetId="6" hidden="1">{"'분양원가'!$B$1:$F$113"}</definedName>
    <definedName name="가123" localSheetId="45" hidden="1">{"'분양원가'!$B$1:$F$113"}</definedName>
    <definedName name="가123" localSheetId="42" hidden="1">{"'분양원가'!$B$1:$F$113"}</definedName>
    <definedName name="가123" hidden="1">{"'분양원가'!$B$1:$F$113"}</definedName>
    <definedName name="가S_O" localSheetId="15" hidden="1">{#N/A,#N/A,FALSE,"DAOCM 2차 검토"}</definedName>
    <definedName name="가S_O" localSheetId="6" hidden="1">{#N/A,#N/A,FALSE,"DAOCM 2차 검토"}</definedName>
    <definedName name="가S_O" localSheetId="45" hidden="1">{#N/A,#N/A,FALSE,"DAOCM 2차 검토"}</definedName>
    <definedName name="가S_O" localSheetId="42" hidden="1">{#N/A,#N/A,FALSE,"DAOCM 2차 검토"}</definedName>
    <definedName name="가S_O" hidden="1">{#N/A,#N/A,FALSE,"DAOCM 2차 검토"}</definedName>
    <definedName name="가가" localSheetId="15"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가가" localSheetId="6"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가가" localSheetId="45"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가가" localSheetId="42"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가가" hidden="1">{#N/A,#N/A,FALSE,"1.CRITERIA";#N/A,#N/A,FALSE,"2.IS";#N/A,#N/A,FALSE,"3.BS";#N/A,#N/A,FALSE,"4.PER PL";#N/A,#N/A,FALSE,"5.INVESTMENT";#N/A,#N/A,FALSE,"6.공문";#N/A,#N/A,FALSE,"7.netinvest"}</definedName>
    <definedName name="가가가" localSheetId="15" hidden="1">{#N/A,#N/A,FALSE,"DAOCM 2차 검토"}</definedName>
    <definedName name="가가가" localSheetId="6" hidden="1">{#N/A,#N/A,FALSE,"DAOCM 2차 검토"}</definedName>
    <definedName name="가가가" localSheetId="45" hidden="1">{#N/A,#N/A,FALSE,"DAOCM 2차 검토"}</definedName>
    <definedName name="가가가" localSheetId="42" hidden="1">{#N/A,#N/A,FALSE,"DAOCM 2차 검토"}</definedName>
    <definedName name="가가가" hidden="1">{#N/A,#N/A,FALSE,"DAOCM 2차 검토"}</definedName>
    <definedName name="가각" localSheetId="15" hidden="1">{#N/A,#N/A,FALSE,"DAOCM 2차 검토"}</definedName>
    <definedName name="가각" localSheetId="6" hidden="1">{#N/A,#N/A,FALSE,"DAOCM 2차 검토"}</definedName>
    <definedName name="가각" localSheetId="45" hidden="1">{#N/A,#N/A,FALSE,"DAOCM 2차 검토"}</definedName>
    <definedName name="가각" localSheetId="42" hidden="1">{#N/A,#N/A,FALSE,"DAOCM 2차 검토"}</definedName>
    <definedName name="가각" hidden="1">{#N/A,#N/A,FALSE,"DAOCM 2차 검토"}</definedName>
    <definedName name="가결산" localSheetId="12" hidden="1">{#N/A,#N/A,TRUE,"Summary";#N/A,#N/A,TRUE,"IS";#N/A,#N/A,TRUE,"Adj";#N/A,#N/A,TRUE,"BS";#N/A,#N/A,TRUE,"CF";#N/A,#N/A,TRUE,"Debt";#N/A,#N/A,TRUE,"IRR"}</definedName>
    <definedName name="가결산" localSheetId="42" hidden="1">{#N/A,#N/A,TRUE,"Summary";#N/A,#N/A,TRUE,"IS";#N/A,#N/A,TRUE,"Adj";#N/A,#N/A,TRUE,"BS";#N/A,#N/A,TRUE,"CF";#N/A,#N/A,TRUE,"Debt";#N/A,#N/A,TRUE,"IRR"}</definedName>
    <definedName name="가결산" hidden="1">{#N/A,#N/A,TRUE,"Summary";#N/A,#N/A,TRUE,"IS";#N/A,#N/A,TRUE,"Adj";#N/A,#N/A,TRUE,"BS";#N/A,#N/A,TRUE,"CF";#N/A,#N/A,TRUE,"Debt";#N/A,#N/A,TRUE,"IRR"}</definedName>
    <definedName name="가기긱" localSheetId="15" hidden="1">{"'미착금액'!$A$4:$G$14"}</definedName>
    <definedName name="가기긱" localSheetId="6" hidden="1">{"'미착금액'!$A$4:$G$14"}</definedName>
    <definedName name="가기긱" localSheetId="45" hidden="1">{"'미착금액'!$A$4:$G$14"}</definedName>
    <definedName name="가기긱" localSheetId="42" hidden="1">{"'미착금액'!$A$4:$G$14"}</definedName>
    <definedName name="가기긱" hidden="1">{"'미착금액'!$A$4:$G$14"}</definedName>
    <definedName name="가나" localSheetId="15" hidden="1">{#N/A,#N/A,FALSE,"계약직(여)"}</definedName>
    <definedName name="가나" localSheetId="6" hidden="1">{#N/A,#N/A,FALSE,"계약직(여)"}</definedName>
    <definedName name="가나" localSheetId="45" hidden="1">{#N/A,#N/A,FALSE,"계약직(여)"}</definedName>
    <definedName name="가나" localSheetId="42" hidden="1">{#N/A,#N/A,FALSE,"계약직(여)"}</definedName>
    <definedName name="가나" hidden="1">{#N/A,#N/A,FALSE,"1.CRITERIA";#N/A,#N/A,FALSE,"2.IS";#N/A,#N/A,FALSE,"3.BS";#N/A,#N/A,FALSE,"4.PER PL";#N/A,#N/A,FALSE,"5.INVESTMENT";#N/A,#N/A,FALSE,"6.공문";#N/A,#N/A,FALSE,"7.netinvest"}</definedName>
    <definedName name="가나라" localSheetId="15" hidden="1">{#N/A,#N/A,FALSE,"1.CRITERIA";#N/A,#N/A,FALSE,"2.IS";#N/A,#N/A,FALSE,"3.BS";#N/A,#N/A,FALSE,"4.PER PL";#N/A,#N/A,FALSE,"5.INVESTMENT";#N/A,#N/A,FALSE,"6.공문";#N/A,#N/A,FALSE,"7.netinvest"}</definedName>
    <definedName name="가나라" localSheetId="6" hidden="1">{#N/A,#N/A,FALSE,"1.CRITERIA";#N/A,#N/A,FALSE,"2.IS";#N/A,#N/A,FALSE,"3.BS";#N/A,#N/A,FALSE,"4.PER PL";#N/A,#N/A,FALSE,"5.INVESTMENT";#N/A,#N/A,FALSE,"6.공문";#N/A,#N/A,FALSE,"7.netinvest"}</definedName>
    <definedName name="가나라" localSheetId="45" hidden="1">{#N/A,#N/A,FALSE,"1.CRITERIA";#N/A,#N/A,FALSE,"2.IS";#N/A,#N/A,FALSE,"3.BS";#N/A,#N/A,FALSE,"4.PER PL";#N/A,#N/A,FALSE,"5.INVESTMENT";#N/A,#N/A,FALSE,"6.공문";#N/A,#N/A,FALSE,"7.netinvest"}</definedName>
    <definedName name="가나라" localSheetId="42" hidden="1">{#N/A,#N/A,FALSE,"1.CRITERIA";#N/A,#N/A,FALSE,"2.IS";#N/A,#N/A,FALSE,"3.BS";#N/A,#N/A,FALSE,"4.PER PL";#N/A,#N/A,FALSE,"5.INVESTMENT";#N/A,#N/A,FALSE,"6.공문";#N/A,#N/A,FALSE,"7.netinvest"}</definedName>
    <definedName name="가나라" hidden="1">{#N/A,#N/A,FALSE,"1.CRITERIA";#N/A,#N/A,FALSE,"2.IS";#N/A,#N/A,FALSE,"3.BS";#N/A,#N/A,FALSE,"4.PER PL";#N/A,#N/A,FALSE,"5.INVESTMENT";#N/A,#N/A,FALSE,"6.공문";#N/A,#N/A,FALSE,"7.netinvest"}</definedName>
    <definedName name="가다" localSheetId="15" hidden="1">{#N/A,#N/A,FALSE,"1.CRITERIA";#N/A,#N/A,FALSE,"2.IS";#N/A,#N/A,FALSE,"3.BS";#N/A,#N/A,FALSE,"4.PER PL";#N/A,#N/A,FALSE,"5.INVESTMENT";#N/A,#N/A,FALSE,"6.공문";#N/A,#N/A,FALSE,"7.netinvest"}</definedName>
    <definedName name="가다" localSheetId="6" hidden="1">{#N/A,#N/A,FALSE,"1.CRITERIA";#N/A,#N/A,FALSE,"2.IS";#N/A,#N/A,FALSE,"3.BS";#N/A,#N/A,FALSE,"4.PER PL";#N/A,#N/A,FALSE,"5.INVESTMENT";#N/A,#N/A,FALSE,"6.공문";#N/A,#N/A,FALSE,"7.netinvest"}</definedName>
    <definedName name="가다" localSheetId="45" hidden="1">{#N/A,#N/A,FALSE,"1.CRITERIA";#N/A,#N/A,FALSE,"2.IS";#N/A,#N/A,FALSE,"3.BS";#N/A,#N/A,FALSE,"4.PER PL";#N/A,#N/A,FALSE,"5.INVESTMENT";#N/A,#N/A,FALSE,"6.공문";#N/A,#N/A,FALSE,"7.netinvest"}</definedName>
    <definedName name="가다" localSheetId="42" hidden="1">{#N/A,#N/A,FALSE,"1.CRITERIA";#N/A,#N/A,FALSE,"2.IS";#N/A,#N/A,FALSE,"3.BS";#N/A,#N/A,FALSE,"4.PER PL";#N/A,#N/A,FALSE,"5.INVESTMENT";#N/A,#N/A,FALSE,"6.공문";#N/A,#N/A,FALSE,"7.netinvest"}</definedName>
    <definedName name="가다" hidden="1">{#N/A,#N/A,FALSE,"1.CRITERIA";#N/A,#N/A,FALSE,"2.IS";#N/A,#N/A,FALSE,"3.BS";#N/A,#N/A,FALSE,"4.PER PL";#N/A,#N/A,FALSE,"5.INVESTMENT";#N/A,#N/A,FALSE,"6.공문";#N/A,#N/A,FALSE,"7.netinvest"}</definedName>
    <definedName name="가동" localSheetId="42" hidden="1">{#N/A,#N/A,TRUE,"Y생산";#N/A,#N/A,TRUE,"Y판매";#N/A,#N/A,TRUE,"Y총물량";#N/A,#N/A,TRUE,"Y능력";#N/A,#N/A,TRUE,"YKD"}</definedName>
    <definedName name="가동" hidden="1">{#N/A,#N/A,TRUE,"Y생산";#N/A,#N/A,TRUE,"Y판매";#N/A,#N/A,TRUE,"Y총물량";#N/A,#N/A,TRUE,"Y능력";#N/A,#N/A,TRUE,"YKD"}</definedName>
    <definedName name="가동2" localSheetId="42" hidden="1">{#N/A,#N/A,TRUE,"Y생산";#N/A,#N/A,TRUE,"Y판매";#N/A,#N/A,TRUE,"Y총물량";#N/A,#N/A,TRUE,"Y능력";#N/A,#N/A,TRUE,"YKD"}</definedName>
    <definedName name="가동2" hidden="1">{#N/A,#N/A,TRUE,"Y생산";#N/A,#N/A,TRUE,"Y판매";#N/A,#N/A,TRUE,"Y총물량";#N/A,#N/A,TRUE,"Y능력";#N/A,#N/A,TRUE,"YKD"}</definedName>
    <definedName name="가라" localSheetId="15" hidden="1">{#N/A,#N/A,FALSE,"1.CRITERIA";#N/A,#N/A,FALSE,"2.IS";#N/A,#N/A,FALSE,"3.BS";#N/A,#N/A,FALSE,"4.PER PL";#N/A,#N/A,FALSE,"5.INVESTMENT";#N/A,#N/A,FALSE,"6.공문";#N/A,#N/A,FALSE,"7.netinvest"}</definedName>
    <definedName name="가라" localSheetId="6" hidden="1">{#N/A,#N/A,FALSE,"1.CRITERIA";#N/A,#N/A,FALSE,"2.IS";#N/A,#N/A,FALSE,"3.BS";#N/A,#N/A,FALSE,"4.PER PL";#N/A,#N/A,FALSE,"5.INVESTMENT";#N/A,#N/A,FALSE,"6.공문";#N/A,#N/A,FALSE,"7.netinvest"}</definedName>
    <definedName name="가라" localSheetId="45" hidden="1">{#N/A,#N/A,FALSE,"1.CRITERIA";#N/A,#N/A,FALSE,"2.IS";#N/A,#N/A,FALSE,"3.BS";#N/A,#N/A,FALSE,"4.PER PL";#N/A,#N/A,FALSE,"5.INVESTMENT";#N/A,#N/A,FALSE,"6.공문";#N/A,#N/A,FALSE,"7.netinvest"}</definedName>
    <definedName name="가라" localSheetId="42" hidden="1">{#N/A,#N/A,FALSE,"1.CRITERIA";#N/A,#N/A,FALSE,"2.IS";#N/A,#N/A,FALSE,"3.BS";#N/A,#N/A,FALSE,"4.PER PL";#N/A,#N/A,FALSE,"5.INVESTMENT";#N/A,#N/A,FALSE,"6.공문";#N/A,#N/A,FALSE,"7.netinvest"}</definedName>
    <definedName name="가라" hidden="1">{#N/A,#N/A,FALSE,"1.CRITERIA";#N/A,#N/A,FALSE,"2.IS";#N/A,#N/A,FALSE,"3.BS";#N/A,#N/A,FALSE,"4.PER PL";#N/A,#N/A,FALSE,"5.INVESTMENT";#N/A,#N/A,FALSE,"6.공문";#N/A,#N/A,FALSE,"7.netinvest"}</definedName>
    <definedName name="가아" localSheetId="15" hidden="1">{#N/A,#N/A,FALSE,"1.CRITERIA";#N/A,#N/A,FALSE,"2.IS";#N/A,#N/A,FALSE,"3.BS";#N/A,#N/A,FALSE,"4.PER PL";#N/A,#N/A,FALSE,"5.INVESTMENT";#N/A,#N/A,FALSE,"6.공문";#N/A,#N/A,FALSE,"7.netinvest"}</definedName>
    <definedName name="가아" localSheetId="6" hidden="1">{#N/A,#N/A,FALSE,"1.CRITERIA";#N/A,#N/A,FALSE,"2.IS";#N/A,#N/A,FALSE,"3.BS";#N/A,#N/A,FALSE,"4.PER PL";#N/A,#N/A,FALSE,"5.INVESTMENT";#N/A,#N/A,FALSE,"6.공문";#N/A,#N/A,FALSE,"7.netinvest"}</definedName>
    <definedName name="가아" localSheetId="45" hidden="1">{#N/A,#N/A,FALSE,"1.CRITERIA";#N/A,#N/A,FALSE,"2.IS";#N/A,#N/A,FALSE,"3.BS";#N/A,#N/A,FALSE,"4.PER PL";#N/A,#N/A,FALSE,"5.INVESTMENT";#N/A,#N/A,FALSE,"6.공문";#N/A,#N/A,FALSE,"7.netinvest"}</definedName>
    <definedName name="가아" localSheetId="42" hidden="1">{#N/A,#N/A,FALSE,"1.CRITERIA";#N/A,#N/A,FALSE,"2.IS";#N/A,#N/A,FALSE,"3.BS";#N/A,#N/A,FALSE,"4.PER PL";#N/A,#N/A,FALSE,"5.INVESTMENT";#N/A,#N/A,FALSE,"6.공문";#N/A,#N/A,FALSE,"7.netinvest"}</definedName>
    <definedName name="가아" hidden="1">{#N/A,#N/A,FALSE,"1.CRITERIA";#N/A,#N/A,FALSE,"2.IS";#N/A,#N/A,FALSE,"3.BS";#N/A,#N/A,FALSE,"4.PER PL";#N/A,#N/A,FALSE,"5.INVESTMENT";#N/A,#N/A,FALSE,"6.공문";#N/A,#N/A,FALSE,"7.netinvest"}</definedName>
    <definedName name="가아노" localSheetId="15" hidden="1">{#N/A,#N/A,FALSE,"1.CRITERIA";#N/A,#N/A,FALSE,"2.IS";#N/A,#N/A,FALSE,"3.BS";#N/A,#N/A,FALSE,"4.PER PL";#N/A,#N/A,FALSE,"5.INVESTMENT";#N/A,#N/A,FALSE,"6.공문";#N/A,#N/A,FALSE,"7.netinvest"}</definedName>
    <definedName name="가아노" localSheetId="6" hidden="1">{#N/A,#N/A,FALSE,"1.CRITERIA";#N/A,#N/A,FALSE,"2.IS";#N/A,#N/A,FALSE,"3.BS";#N/A,#N/A,FALSE,"4.PER PL";#N/A,#N/A,FALSE,"5.INVESTMENT";#N/A,#N/A,FALSE,"6.공문";#N/A,#N/A,FALSE,"7.netinvest"}</definedName>
    <definedName name="가아노" localSheetId="45" hidden="1">{#N/A,#N/A,FALSE,"1.CRITERIA";#N/A,#N/A,FALSE,"2.IS";#N/A,#N/A,FALSE,"3.BS";#N/A,#N/A,FALSE,"4.PER PL";#N/A,#N/A,FALSE,"5.INVESTMENT";#N/A,#N/A,FALSE,"6.공문";#N/A,#N/A,FALSE,"7.netinvest"}</definedName>
    <definedName name="가아노" localSheetId="42" hidden="1">{#N/A,#N/A,FALSE,"1.CRITERIA";#N/A,#N/A,FALSE,"2.IS";#N/A,#N/A,FALSE,"3.BS";#N/A,#N/A,FALSE,"4.PER PL";#N/A,#N/A,FALSE,"5.INVESTMENT";#N/A,#N/A,FALSE,"6.공문";#N/A,#N/A,FALSE,"7.netinvest"}</definedName>
    <definedName name="가아노" hidden="1">{#N/A,#N/A,FALSE,"1.CRITERIA";#N/A,#N/A,FALSE,"2.IS";#N/A,#N/A,FALSE,"3.BS";#N/A,#N/A,FALSE,"4.PER PL";#N/A,#N/A,FALSE,"5.INVESTMENT";#N/A,#N/A,FALSE,"6.공문";#N/A,#N/A,FALSE,"7.netinvest"}</definedName>
    <definedName name="가아다" localSheetId="15" hidden="1">{#N/A,#N/A,FALSE,"1.CRITERIA";#N/A,#N/A,FALSE,"2.IS";#N/A,#N/A,FALSE,"3.BS";#N/A,#N/A,FALSE,"4.PER PL";#N/A,#N/A,FALSE,"5.INVESTMENT";#N/A,#N/A,FALSE,"6.공문";#N/A,#N/A,FALSE,"7.netinvest"}</definedName>
    <definedName name="가아다" localSheetId="6" hidden="1">{#N/A,#N/A,FALSE,"1.CRITERIA";#N/A,#N/A,FALSE,"2.IS";#N/A,#N/A,FALSE,"3.BS";#N/A,#N/A,FALSE,"4.PER PL";#N/A,#N/A,FALSE,"5.INVESTMENT";#N/A,#N/A,FALSE,"6.공문";#N/A,#N/A,FALSE,"7.netinvest"}</definedName>
    <definedName name="가아다" localSheetId="45" hidden="1">{#N/A,#N/A,FALSE,"1.CRITERIA";#N/A,#N/A,FALSE,"2.IS";#N/A,#N/A,FALSE,"3.BS";#N/A,#N/A,FALSE,"4.PER PL";#N/A,#N/A,FALSE,"5.INVESTMENT";#N/A,#N/A,FALSE,"6.공문";#N/A,#N/A,FALSE,"7.netinvest"}</definedName>
    <definedName name="가아다" localSheetId="42" hidden="1">{#N/A,#N/A,FALSE,"1.CRITERIA";#N/A,#N/A,FALSE,"2.IS";#N/A,#N/A,FALSE,"3.BS";#N/A,#N/A,FALSE,"4.PER PL";#N/A,#N/A,FALSE,"5.INVESTMENT";#N/A,#N/A,FALSE,"6.공문";#N/A,#N/A,FALSE,"7.netinvest"}</definedName>
    <definedName name="가아다" hidden="1">{#N/A,#N/A,FALSE,"1.CRITERIA";#N/A,#N/A,FALSE,"2.IS";#N/A,#N/A,FALSE,"3.BS";#N/A,#N/A,FALSE,"4.PER PL";#N/A,#N/A,FALSE,"5.INVESTMENT";#N/A,#N/A,FALSE,"6.공문";#N/A,#N/A,FALSE,"7.netinvest"}</definedName>
    <definedName name="가아차" localSheetId="15" hidden="1">{#N/A,#N/A,FALSE,"1.CRITERIA";#N/A,#N/A,FALSE,"2.IS";#N/A,#N/A,FALSE,"3.BS";#N/A,#N/A,FALSE,"4.PER PL";#N/A,#N/A,FALSE,"5.INVESTMENT";#N/A,#N/A,FALSE,"6.공문";#N/A,#N/A,FALSE,"7.netinvest"}</definedName>
    <definedName name="가아차" localSheetId="6" hidden="1">{#N/A,#N/A,FALSE,"1.CRITERIA";#N/A,#N/A,FALSE,"2.IS";#N/A,#N/A,FALSE,"3.BS";#N/A,#N/A,FALSE,"4.PER PL";#N/A,#N/A,FALSE,"5.INVESTMENT";#N/A,#N/A,FALSE,"6.공문";#N/A,#N/A,FALSE,"7.netinvest"}</definedName>
    <definedName name="가아차" localSheetId="45" hidden="1">{#N/A,#N/A,FALSE,"1.CRITERIA";#N/A,#N/A,FALSE,"2.IS";#N/A,#N/A,FALSE,"3.BS";#N/A,#N/A,FALSE,"4.PER PL";#N/A,#N/A,FALSE,"5.INVESTMENT";#N/A,#N/A,FALSE,"6.공문";#N/A,#N/A,FALSE,"7.netinvest"}</definedName>
    <definedName name="가아차" localSheetId="42" hidden="1">{#N/A,#N/A,FALSE,"1.CRITERIA";#N/A,#N/A,FALSE,"2.IS";#N/A,#N/A,FALSE,"3.BS";#N/A,#N/A,FALSE,"4.PER PL";#N/A,#N/A,FALSE,"5.INVESTMENT";#N/A,#N/A,FALSE,"6.공문";#N/A,#N/A,FALSE,"7.netinvest"}</definedName>
    <definedName name="가아차" hidden="1">{#N/A,#N/A,FALSE,"1.CRITERIA";#N/A,#N/A,FALSE,"2.IS";#N/A,#N/A,FALSE,"3.BS";#N/A,#N/A,FALSE,"4.PER PL";#N/A,#N/A,FALSE,"5.INVESTMENT";#N/A,#N/A,FALSE,"6.공문";#N/A,#N/A,FALSE,"7.netinvest"}</definedName>
    <definedName name="가오" localSheetId="15" hidden="1">{#N/A,#N/A,FALSE,"1.CRITERIA";#N/A,#N/A,FALSE,"2.IS";#N/A,#N/A,FALSE,"3.BS";#N/A,#N/A,FALSE,"4.PER PL";#N/A,#N/A,FALSE,"5.INVESTMENT";#N/A,#N/A,FALSE,"6.공문";#N/A,#N/A,FALSE,"7.netinvest"}</definedName>
    <definedName name="가오" localSheetId="6" hidden="1">{#N/A,#N/A,FALSE,"1.CRITERIA";#N/A,#N/A,FALSE,"2.IS";#N/A,#N/A,FALSE,"3.BS";#N/A,#N/A,FALSE,"4.PER PL";#N/A,#N/A,FALSE,"5.INVESTMENT";#N/A,#N/A,FALSE,"6.공문";#N/A,#N/A,FALSE,"7.netinvest"}</definedName>
    <definedName name="가오" localSheetId="45" hidden="1">{#N/A,#N/A,FALSE,"1.CRITERIA";#N/A,#N/A,FALSE,"2.IS";#N/A,#N/A,FALSE,"3.BS";#N/A,#N/A,FALSE,"4.PER PL";#N/A,#N/A,FALSE,"5.INVESTMENT";#N/A,#N/A,FALSE,"6.공문";#N/A,#N/A,FALSE,"7.netinvest"}</definedName>
    <definedName name="가오" localSheetId="42" hidden="1">{#N/A,#N/A,FALSE,"1.CRITERIA";#N/A,#N/A,FALSE,"2.IS";#N/A,#N/A,FALSE,"3.BS";#N/A,#N/A,FALSE,"4.PER PL";#N/A,#N/A,FALSE,"5.INVESTMENT";#N/A,#N/A,FALSE,"6.공문";#N/A,#N/A,FALSE,"7.netinvest"}</definedName>
    <definedName name="가오" hidden="1">{#N/A,#N/A,FALSE,"1.CRITERIA";#N/A,#N/A,FALSE,"2.IS";#N/A,#N/A,FALSE,"3.BS";#N/A,#N/A,FALSE,"4.PER PL";#N/A,#N/A,FALSE,"5.INVESTMENT";#N/A,#N/A,FALSE,"6.공문";#N/A,#N/A,FALSE,"7.netinvest"}</definedName>
    <definedName name="가오나" localSheetId="15" hidden="1">{#N/A,#N/A,FALSE,"1.CRITERIA";#N/A,#N/A,FALSE,"2.IS";#N/A,#N/A,FALSE,"3.BS";#N/A,#N/A,FALSE,"4.PER PL";#N/A,#N/A,FALSE,"5.INVESTMENT";#N/A,#N/A,FALSE,"6.공문";#N/A,#N/A,FALSE,"7.netinvest"}</definedName>
    <definedName name="가오나" localSheetId="6" hidden="1">{#N/A,#N/A,FALSE,"1.CRITERIA";#N/A,#N/A,FALSE,"2.IS";#N/A,#N/A,FALSE,"3.BS";#N/A,#N/A,FALSE,"4.PER PL";#N/A,#N/A,FALSE,"5.INVESTMENT";#N/A,#N/A,FALSE,"6.공문";#N/A,#N/A,FALSE,"7.netinvest"}</definedName>
    <definedName name="가오나" localSheetId="45" hidden="1">{#N/A,#N/A,FALSE,"1.CRITERIA";#N/A,#N/A,FALSE,"2.IS";#N/A,#N/A,FALSE,"3.BS";#N/A,#N/A,FALSE,"4.PER PL";#N/A,#N/A,FALSE,"5.INVESTMENT";#N/A,#N/A,FALSE,"6.공문";#N/A,#N/A,FALSE,"7.netinvest"}</definedName>
    <definedName name="가오나" localSheetId="42" hidden="1">{#N/A,#N/A,FALSE,"1.CRITERIA";#N/A,#N/A,FALSE,"2.IS";#N/A,#N/A,FALSE,"3.BS";#N/A,#N/A,FALSE,"4.PER PL";#N/A,#N/A,FALSE,"5.INVESTMENT";#N/A,#N/A,FALSE,"6.공문";#N/A,#N/A,FALSE,"7.netinvest"}</definedName>
    <definedName name="가오나" hidden="1">{#N/A,#N/A,FALSE,"1.CRITERIA";#N/A,#N/A,FALSE,"2.IS";#N/A,#N/A,FALSE,"3.BS";#N/A,#N/A,FALSE,"4.PER PL";#N/A,#N/A,FALSE,"5.INVESTMENT";#N/A,#N/A,FALSE,"6.공문";#N/A,#N/A,FALSE,"7.netinvest"}</definedName>
    <definedName name="가오아" localSheetId="15" hidden="1">{#N/A,#N/A,FALSE,"1.CRITERIA";#N/A,#N/A,FALSE,"2.IS";#N/A,#N/A,FALSE,"3.BS";#N/A,#N/A,FALSE,"4.PER PL";#N/A,#N/A,FALSE,"5.INVESTMENT";#N/A,#N/A,FALSE,"6.공문";#N/A,#N/A,FALSE,"7.netinvest"}</definedName>
    <definedName name="가오아" localSheetId="6" hidden="1">{#N/A,#N/A,FALSE,"1.CRITERIA";#N/A,#N/A,FALSE,"2.IS";#N/A,#N/A,FALSE,"3.BS";#N/A,#N/A,FALSE,"4.PER PL";#N/A,#N/A,FALSE,"5.INVESTMENT";#N/A,#N/A,FALSE,"6.공문";#N/A,#N/A,FALSE,"7.netinvest"}</definedName>
    <definedName name="가오아" localSheetId="45" hidden="1">{#N/A,#N/A,FALSE,"1.CRITERIA";#N/A,#N/A,FALSE,"2.IS";#N/A,#N/A,FALSE,"3.BS";#N/A,#N/A,FALSE,"4.PER PL";#N/A,#N/A,FALSE,"5.INVESTMENT";#N/A,#N/A,FALSE,"6.공문";#N/A,#N/A,FALSE,"7.netinvest"}</definedName>
    <definedName name="가오아" localSheetId="42" hidden="1">{#N/A,#N/A,FALSE,"1.CRITERIA";#N/A,#N/A,FALSE,"2.IS";#N/A,#N/A,FALSE,"3.BS";#N/A,#N/A,FALSE,"4.PER PL";#N/A,#N/A,FALSE,"5.INVESTMENT";#N/A,#N/A,FALSE,"6.공문";#N/A,#N/A,FALSE,"7.netinvest"}</definedName>
    <definedName name="가오아" hidden="1">{#N/A,#N/A,FALSE,"1.CRITERIA";#N/A,#N/A,FALSE,"2.IS";#N/A,#N/A,FALSE,"3.BS";#N/A,#N/A,FALSE,"4.PER PL";#N/A,#N/A,FALSE,"5.INVESTMENT";#N/A,#N/A,FALSE,"6.공문";#N/A,#N/A,FALSE,"7.netinvest"}</definedName>
    <definedName name="가카" localSheetId="15" hidden="1">{#N/A,#N/A,FALSE,"1.CRITERIA";#N/A,#N/A,FALSE,"2.IS";#N/A,#N/A,FALSE,"3.BS";#N/A,#N/A,FALSE,"4.PER PL";#N/A,#N/A,FALSE,"5.INVESTMENT";#N/A,#N/A,FALSE,"6.공문";#N/A,#N/A,FALSE,"7.netinvest"}</definedName>
    <definedName name="가카" localSheetId="6" hidden="1">{#N/A,#N/A,FALSE,"1.CRITERIA";#N/A,#N/A,FALSE,"2.IS";#N/A,#N/A,FALSE,"3.BS";#N/A,#N/A,FALSE,"4.PER PL";#N/A,#N/A,FALSE,"5.INVESTMENT";#N/A,#N/A,FALSE,"6.공문";#N/A,#N/A,FALSE,"7.netinvest"}</definedName>
    <definedName name="가카" localSheetId="45" hidden="1">{#N/A,#N/A,FALSE,"1.CRITERIA";#N/A,#N/A,FALSE,"2.IS";#N/A,#N/A,FALSE,"3.BS";#N/A,#N/A,FALSE,"4.PER PL";#N/A,#N/A,FALSE,"5.INVESTMENT";#N/A,#N/A,FALSE,"6.공문";#N/A,#N/A,FALSE,"7.netinvest"}</definedName>
    <definedName name="가카" localSheetId="42" hidden="1">{#N/A,#N/A,FALSE,"1.CRITERIA";#N/A,#N/A,FALSE,"2.IS";#N/A,#N/A,FALSE,"3.BS";#N/A,#N/A,FALSE,"4.PER PL";#N/A,#N/A,FALSE,"5.INVESTMENT";#N/A,#N/A,FALSE,"6.공문";#N/A,#N/A,FALSE,"7.netinvest"}</definedName>
    <definedName name="가카" hidden="1">{#N/A,#N/A,FALSE,"1.CRITERIA";#N/A,#N/A,FALSE,"2.IS";#N/A,#N/A,FALSE,"3.BS";#N/A,#N/A,FALSE,"4.PER PL";#N/A,#N/A,FALSE,"5.INVESTMENT";#N/A,#N/A,FALSE,"6.공문";#N/A,#N/A,FALSE,"7.netinvest"}</definedName>
    <definedName name="가타" localSheetId="15" hidden="1">{#N/A,#N/A,FALSE,"1.CRITERIA";#N/A,#N/A,FALSE,"2.IS";#N/A,#N/A,FALSE,"3.BS";#N/A,#N/A,FALSE,"4.PER PL";#N/A,#N/A,FALSE,"5.INVESTMENT";#N/A,#N/A,FALSE,"6.공문";#N/A,#N/A,FALSE,"7.netinvest"}</definedName>
    <definedName name="가타" localSheetId="6" hidden="1">{#N/A,#N/A,FALSE,"1.CRITERIA";#N/A,#N/A,FALSE,"2.IS";#N/A,#N/A,FALSE,"3.BS";#N/A,#N/A,FALSE,"4.PER PL";#N/A,#N/A,FALSE,"5.INVESTMENT";#N/A,#N/A,FALSE,"6.공문";#N/A,#N/A,FALSE,"7.netinvest"}</definedName>
    <definedName name="가타" localSheetId="45" hidden="1">{#N/A,#N/A,FALSE,"1.CRITERIA";#N/A,#N/A,FALSE,"2.IS";#N/A,#N/A,FALSE,"3.BS";#N/A,#N/A,FALSE,"4.PER PL";#N/A,#N/A,FALSE,"5.INVESTMENT";#N/A,#N/A,FALSE,"6.공문";#N/A,#N/A,FALSE,"7.netinvest"}</definedName>
    <definedName name="가타" localSheetId="42" hidden="1">{#N/A,#N/A,FALSE,"1.CRITERIA";#N/A,#N/A,FALSE,"2.IS";#N/A,#N/A,FALSE,"3.BS";#N/A,#N/A,FALSE,"4.PER PL";#N/A,#N/A,FALSE,"5.INVESTMENT";#N/A,#N/A,FALSE,"6.공문";#N/A,#N/A,FALSE,"7.netinvest"}</definedName>
    <definedName name="가타" hidden="1">{#N/A,#N/A,FALSE,"1.CRITERIA";#N/A,#N/A,FALSE,"2.IS";#N/A,#N/A,FALSE,"3.BS";#N/A,#N/A,FALSE,"4.PER PL";#N/A,#N/A,FALSE,"5.INVESTMENT";#N/A,#N/A,FALSE,"6.공문";#N/A,#N/A,FALSE,"7.netinvest"}</definedName>
    <definedName name="간" localSheetId="42" hidden="1">{#N/A,#N/A,FALSE,"UNIT";#N/A,#N/A,FALSE,"UNIT";#N/A,#N/A,FALSE,"계정"}</definedName>
    <definedName name="간" hidden="1">{#N/A,#N/A,FALSE,"UNIT";#N/A,#N/A,FALSE,"UNIT";#N/A,#N/A,FALSE,"계정"}</definedName>
    <definedName name="갈" localSheetId="15" hidden="1">{#N/A,#N/A,FALSE,"1.CRITERIA";#N/A,#N/A,FALSE,"2.IS";#N/A,#N/A,FALSE,"3.BS";#N/A,#N/A,FALSE,"4.PER PL";#N/A,#N/A,FALSE,"5.INVESTMENT";#N/A,#N/A,FALSE,"6.공문";#N/A,#N/A,FALSE,"7.netinvest"}</definedName>
    <definedName name="갈" localSheetId="6" hidden="1">{#N/A,#N/A,FALSE,"1.CRITERIA";#N/A,#N/A,FALSE,"2.IS";#N/A,#N/A,FALSE,"3.BS";#N/A,#N/A,FALSE,"4.PER PL";#N/A,#N/A,FALSE,"5.INVESTMENT";#N/A,#N/A,FALSE,"6.공문";#N/A,#N/A,FALSE,"7.netinvest"}</definedName>
    <definedName name="갈" localSheetId="45" hidden="1">{#N/A,#N/A,FALSE,"1.CRITERIA";#N/A,#N/A,FALSE,"2.IS";#N/A,#N/A,FALSE,"3.BS";#N/A,#N/A,FALSE,"4.PER PL";#N/A,#N/A,FALSE,"5.INVESTMENT";#N/A,#N/A,FALSE,"6.공문";#N/A,#N/A,FALSE,"7.netinvest"}</definedName>
    <definedName name="갈" localSheetId="42" hidden="1">{#N/A,#N/A,FALSE,"1.CRITERIA";#N/A,#N/A,FALSE,"2.IS";#N/A,#N/A,FALSE,"3.BS";#N/A,#N/A,FALSE,"4.PER PL";#N/A,#N/A,FALSE,"5.INVESTMENT";#N/A,#N/A,FALSE,"6.공문";#N/A,#N/A,FALSE,"7.netinvest"}</definedName>
    <definedName name="갈" hidden="1">{#N/A,#N/A,FALSE,"1.CRITERIA";#N/A,#N/A,FALSE,"2.IS";#N/A,#N/A,FALSE,"3.BS";#N/A,#N/A,FALSE,"4.PER PL";#N/A,#N/A,FALSE,"5.INVESTMENT";#N/A,#N/A,FALSE,"6.공문";#N/A,#N/A,FALSE,"7.netinvest"}</definedName>
    <definedName name="감" localSheetId="12" hidden="1">#REF!</definedName>
    <definedName name="감" localSheetId="4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감"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감가overall" localSheetId="12" hidden="1">{#N/A,#N/A,FALSE,"Aging Summary";#N/A,#N/A,FALSE,"Ratio Analysis";#N/A,#N/A,FALSE,"Test 120 Day Accts";#N/A,#N/A,FALSE,"Tickmarks"}</definedName>
    <definedName name="감가overall" localSheetId="42" hidden="1">{#N/A,#N/A,FALSE,"Aging Summary";#N/A,#N/A,FALSE,"Ratio Analysis";#N/A,#N/A,FALSE,"Test 120 Day Accts";#N/A,#N/A,FALSE,"Tickmarks"}</definedName>
    <definedName name="감가overall" hidden="1">{#N/A,#N/A,FALSE,"Aging Summary";#N/A,#N/A,FALSE,"Ratio Analysis";#N/A,#N/A,FALSE,"Test 120 Day Accts";#N/A,#N/A,FALSE,"Tickmarks"}</definedName>
    <definedName name="감가상각명세서" localSheetId="15"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감가상각명세서" localSheetId="6"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감가상각명세서" localSheetId="45"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감가상각명세서" localSheetId="42"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감가상각명세서"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강" localSheetId="42" hidden="1">{#N/A,#N/A,FALSE,"1.CRITERIA";#N/A,#N/A,FALSE,"2.IS";#N/A,#N/A,FALSE,"3.BS";#N/A,#N/A,FALSE,"4.PER PL";#N/A,#N/A,FALSE,"5.INVESTMENT";#N/A,#N/A,FALSE,"6.공문";#N/A,#N/A,FALSE,"7.netinvest"}</definedName>
    <definedName name="강" hidden="1">{#N/A,#N/A,FALSE,"1.CRITERIA";#N/A,#N/A,FALSE,"2.IS";#N/A,#N/A,FALSE,"3.BS";#N/A,#N/A,FALSE,"4.PER PL";#N/A,#N/A,FALSE,"5.INVESTMENT";#N/A,#N/A,FALSE,"6.공문";#N/A,#N/A,FALSE,"7.netinvest"}</definedName>
    <definedName name="개발비" localSheetId="4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개발비"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개발사업본" localSheetId="30" hidden="1">#REF!</definedName>
    <definedName name="개발사업본" localSheetId="29" hidden="1">#REF!</definedName>
    <definedName name="개발사업본" localSheetId="33" hidden="1">#REF!</definedName>
    <definedName name="개발사업본" localSheetId="31" hidden="1">#REF!</definedName>
    <definedName name="개발사업본" localSheetId="32" hidden="1">#REF!</definedName>
    <definedName name="개발사업본" hidden="1">#REF!</definedName>
    <definedName name="개선내용" localSheetId="42" hidden="1">{#N/A,#N/A,TRUE,"Y생산";#N/A,#N/A,TRUE,"Y판매";#N/A,#N/A,TRUE,"Y총물량";#N/A,#N/A,TRUE,"Y능력";#N/A,#N/A,TRUE,"YKD"}</definedName>
    <definedName name="개선내용" hidden="1">{#N/A,#N/A,TRUE,"Y생산";#N/A,#N/A,TRUE,"Y판매";#N/A,#N/A,TRUE,"Y총물량";#N/A,#N/A,TRUE,"Y능력";#N/A,#N/A,TRUE,"YKD"}</definedName>
    <definedName name="개선실적" localSheetId="42" hidden="1">{#N/A,#N/A,TRUE,"Y생산";#N/A,#N/A,TRUE,"Y판매";#N/A,#N/A,TRUE,"Y총물량";#N/A,#N/A,TRUE,"Y능력";#N/A,#N/A,TRUE,"YKD"}</definedName>
    <definedName name="개선실적" hidden="1">{#N/A,#N/A,TRUE,"Y생산";#N/A,#N/A,TRUE,"Y판매";#N/A,#N/A,TRUE,"Y총물량";#N/A,#N/A,TRUE,"Y능력";#N/A,#N/A,TRUE,"YKD"}</definedName>
    <definedName name="갤로" localSheetId="15" hidden="1">{#N/A,#N/A,FALSE,"정공"}</definedName>
    <definedName name="갤로" localSheetId="6" hidden="1">{#N/A,#N/A,FALSE,"정공"}</definedName>
    <definedName name="갤로" localSheetId="45" hidden="1">{#N/A,#N/A,FALSE,"정공"}</definedName>
    <definedName name="갤로" localSheetId="42" hidden="1">{#N/A,#N/A,FALSE,"정공"}</definedName>
    <definedName name="갤로" hidden="1">{#N/A,#N/A,FALSE,"정공"}</definedName>
    <definedName name="거" localSheetId="15" hidden="1">{#N/A,#N/A,FALSE,"1.CRITERIA";#N/A,#N/A,FALSE,"2.IS";#N/A,#N/A,FALSE,"3.BS";#N/A,#N/A,FALSE,"4.PER PL";#N/A,#N/A,FALSE,"5.INVESTMENT";#N/A,#N/A,FALSE,"6.공문";#N/A,#N/A,FALSE,"7.netinvest"}</definedName>
    <definedName name="거" localSheetId="6" hidden="1">{#N/A,#N/A,FALSE,"1.CRITERIA";#N/A,#N/A,FALSE,"2.IS";#N/A,#N/A,FALSE,"3.BS";#N/A,#N/A,FALSE,"4.PER PL";#N/A,#N/A,FALSE,"5.INVESTMENT";#N/A,#N/A,FALSE,"6.공문";#N/A,#N/A,FALSE,"7.netinvest"}</definedName>
    <definedName name="거" localSheetId="45" hidden="1">{#N/A,#N/A,FALSE,"1.CRITERIA";#N/A,#N/A,FALSE,"2.IS";#N/A,#N/A,FALSE,"3.BS";#N/A,#N/A,FALSE,"4.PER PL";#N/A,#N/A,FALSE,"5.INVESTMENT";#N/A,#N/A,FALSE,"6.공문";#N/A,#N/A,FALSE,"7.netinvest"}</definedName>
    <definedName name="거" localSheetId="42" hidden="1">{#N/A,#N/A,FALSE,"1.CRITERIA";#N/A,#N/A,FALSE,"2.IS";#N/A,#N/A,FALSE,"3.BS";#N/A,#N/A,FALSE,"4.PER PL";#N/A,#N/A,FALSE,"5.INVESTMENT";#N/A,#N/A,FALSE,"6.공문";#N/A,#N/A,FALSE,"7.netinvest"}</definedName>
    <definedName name="거" hidden="1">{#N/A,#N/A,FALSE,"1.CRITERIA";#N/A,#N/A,FALSE,"2.IS";#N/A,#N/A,FALSE,"3.BS";#N/A,#N/A,FALSE,"4.PER PL";#N/A,#N/A,FALSE,"5.INVESTMENT";#N/A,#N/A,FALSE,"6.공문";#N/A,#N/A,FALSE,"7.netinvest"}</definedName>
    <definedName name="거이" localSheetId="15" hidden="1">{#N/A,#N/A,FALSE,"1.CRITERIA";#N/A,#N/A,FALSE,"2.IS";#N/A,#N/A,FALSE,"3.BS";#N/A,#N/A,FALSE,"4.PER PL";#N/A,#N/A,FALSE,"5.INVESTMENT";#N/A,#N/A,FALSE,"6.공문";#N/A,#N/A,FALSE,"7.netinvest"}</definedName>
    <definedName name="거이" localSheetId="6" hidden="1">{#N/A,#N/A,FALSE,"1.CRITERIA";#N/A,#N/A,FALSE,"2.IS";#N/A,#N/A,FALSE,"3.BS";#N/A,#N/A,FALSE,"4.PER PL";#N/A,#N/A,FALSE,"5.INVESTMENT";#N/A,#N/A,FALSE,"6.공문";#N/A,#N/A,FALSE,"7.netinvest"}</definedName>
    <definedName name="거이" localSheetId="45" hidden="1">{#N/A,#N/A,FALSE,"1.CRITERIA";#N/A,#N/A,FALSE,"2.IS";#N/A,#N/A,FALSE,"3.BS";#N/A,#N/A,FALSE,"4.PER PL";#N/A,#N/A,FALSE,"5.INVESTMENT";#N/A,#N/A,FALSE,"6.공문";#N/A,#N/A,FALSE,"7.netinvest"}</definedName>
    <definedName name="거이" localSheetId="42" hidden="1">{#N/A,#N/A,FALSE,"1.CRITERIA";#N/A,#N/A,FALSE,"2.IS";#N/A,#N/A,FALSE,"3.BS";#N/A,#N/A,FALSE,"4.PER PL";#N/A,#N/A,FALSE,"5.INVESTMENT";#N/A,#N/A,FALSE,"6.공문";#N/A,#N/A,FALSE,"7.netinvest"}</definedName>
    <definedName name="거이" hidden="1">{#N/A,#N/A,FALSE,"1.CRITERIA";#N/A,#N/A,FALSE,"2.IS";#N/A,#N/A,FALSE,"3.BS";#N/A,#N/A,FALSE,"4.PER PL";#N/A,#N/A,FALSE,"5.INVESTMENT";#N/A,#N/A,FALSE,"6.공문";#N/A,#N/A,FALSE,"7.netinvest"}</definedName>
    <definedName name="건물임." localSheetId="12" hidden="1">{"'손익현황'!$A$1:$J$29"}</definedName>
    <definedName name="건물임." localSheetId="42" hidden="1">{"'손익현황'!$A$1:$J$29"}</definedName>
    <definedName name="건물임." hidden="1">{"'손익현황'!$A$1:$J$29"}</definedName>
    <definedName name="건설중" localSheetId="12" hidden="1">#REF!</definedName>
    <definedName name="건설중" localSheetId="30" hidden="1">#REF!</definedName>
    <definedName name="건설중" localSheetId="29" hidden="1">#REF!</definedName>
    <definedName name="건설중" localSheetId="33" hidden="1">#REF!</definedName>
    <definedName name="건설중" localSheetId="31" hidden="1">#REF!</definedName>
    <definedName name="건설중" hidden="1">#REF!</definedName>
    <definedName name="건열" localSheetId="42" hidden="1">{#N/A,#N/A,TRUE,"Y생산";#N/A,#N/A,TRUE,"Y판매";#N/A,#N/A,TRUE,"Y총물량";#N/A,#N/A,TRUE,"Y능력";#N/A,#N/A,TRUE,"YKD"}</definedName>
    <definedName name="건열" hidden="1">{#N/A,#N/A,TRUE,"Y생산";#N/A,#N/A,TRUE,"Y판매";#N/A,#N/A,TRUE,"Y총물량";#N/A,#N/A,TRUE,"Y능력";#N/A,#N/A,TRUE,"YKD"}</definedName>
    <definedName name="건축팀별" localSheetId="42" hidden="1">{#N/A,#N/A,FALSE,"지침";#N/A,#N/A,FALSE,"환경분석";#N/A,#N/A,FALSE,"Sheet16"}</definedName>
    <definedName name="건축팀별" hidden="1">{#N/A,#N/A,FALSE,"지침";#N/A,#N/A,FALSE,"환경분석";#N/A,#N/A,FALSE,"Sheet16"}</definedName>
    <definedName name="결산성과" localSheetId="15"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결산성과" localSheetId="6"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결산성과" localSheetId="45"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결산성과" localSheetId="4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결산성과"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경" localSheetId="1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경" localSheetId="4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경"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경로" localSheetId="42" hidden="1">{#N/A,#N/A,TRUE,"Y생산";#N/A,#N/A,TRUE,"Y판매";#N/A,#N/A,TRUE,"Y총물량";#N/A,#N/A,TRUE,"Y능력";#N/A,#N/A,TRUE,"YKD"}</definedName>
    <definedName name="경로" hidden="1">{#N/A,#N/A,TRUE,"Y생산";#N/A,#N/A,TRUE,"Y판매";#N/A,#N/A,TRUE,"Y총물량";#N/A,#N/A,TRUE,"Y능력";#N/A,#N/A,TRUE,"YKD"}</definedName>
    <definedName name="경리손익" localSheetId="15" hidden="1">{#N/A,#N/A,FALSE,"정공"}</definedName>
    <definedName name="경리손익" localSheetId="6" hidden="1">{#N/A,#N/A,FALSE,"정공"}</definedName>
    <definedName name="경리손익" localSheetId="45" hidden="1">{#N/A,#N/A,FALSE,"정공"}</definedName>
    <definedName name="경리손익" localSheetId="42" hidden="1">{#N/A,#N/A,FALSE,"정공"}</definedName>
    <definedName name="경리손익" hidden="1">{#N/A,#N/A,FALSE,"정공"}</definedName>
    <definedName name="경비래요" localSheetId="15" hidden="1">{#N/A,#N/A,FALSE,"정공"}</definedName>
    <definedName name="경비래요" localSheetId="6" hidden="1">{#N/A,#N/A,FALSE,"정공"}</definedName>
    <definedName name="경비래요" localSheetId="45" hidden="1">{#N/A,#N/A,FALSE,"정공"}</definedName>
    <definedName name="경비래요" localSheetId="42" hidden="1">{#N/A,#N/A,FALSE,"정공"}</definedName>
    <definedName name="경비래요" hidden="1">{#N/A,#N/A,FALSE,"정공"}</definedName>
    <definedName name="경비실적" localSheetId="15" hidden="1">{#N/A,#N/A,FALSE,"정공"}</definedName>
    <definedName name="경비실적" localSheetId="6" hidden="1">{#N/A,#N/A,FALSE,"정공"}</definedName>
    <definedName name="경비실적" localSheetId="45" hidden="1">{#N/A,#N/A,FALSE,"정공"}</definedName>
    <definedName name="경비실적" localSheetId="42" hidden="1">{#N/A,#N/A,FALSE,"정공"}</definedName>
    <definedName name="경비실적" hidden="1">{#N/A,#N/A,FALSE,"정공"}</definedName>
    <definedName name="경영지" localSheetId="15" hidden="1">{#N/A,#N/A,FALSE,"BS";#N/A,#N/A,FALSE,"PL";#N/A,#N/A,FALSE,"처분";#N/A,#N/A,FALSE,"현금";#N/A,#N/A,FALSE,"매출";#N/A,#N/A,FALSE,"원가";#N/A,#N/A,FALSE,"경영"}</definedName>
    <definedName name="경영지" localSheetId="6" hidden="1">{#N/A,#N/A,FALSE,"BS";#N/A,#N/A,FALSE,"PL";#N/A,#N/A,FALSE,"처분";#N/A,#N/A,FALSE,"현금";#N/A,#N/A,FALSE,"매출";#N/A,#N/A,FALSE,"원가";#N/A,#N/A,FALSE,"경영"}</definedName>
    <definedName name="경영지" localSheetId="45" hidden="1">{#N/A,#N/A,FALSE,"BS";#N/A,#N/A,FALSE,"PL";#N/A,#N/A,FALSE,"처분";#N/A,#N/A,FALSE,"현금";#N/A,#N/A,FALSE,"매출";#N/A,#N/A,FALSE,"원가";#N/A,#N/A,FALSE,"경영"}</definedName>
    <definedName name="경영지" localSheetId="42" hidden="1">{#N/A,#N/A,FALSE,"BS";#N/A,#N/A,FALSE,"PL";#N/A,#N/A,FALSE,"처분";#N/A,#N/A,FALSE,"현금";#N/A,#N/A,FALSE,"매출";#N/A,#N/A,FALSE,"원가";#N/A,#N/A,FALSE,"경영"}</definedName>
    <definedName name="경영지" hidden="1">{#N/A,#N/A,FALSE,"BS";#N/A,#N/A,FALSE,"PL";#N/A,#N/A,FALSE,"처분";#N/A,#N/A,FALSE,"현금";#N/A,#N/A,FALSE,"매출";#N/A,#N/A,FALSE,"원가";#N/A,#N/A,FALSE,"경영"}</definedName>
    <definedName name="경합금2과운연계획" localSheetId="42" hidden="1">{#N/A,#N/A,TRUE,"Y생산";#N/A,#N/A,TRUE,"Y판매";#N/A,#N/A,TRUE,"Y총물량";#N/A,#N/A,TRUE,"Y능력";#N/A,#N/A,TRUE,"YKD"}</definedName>
    <definedName name="경합금2과운연계획" hidden="1">{#N/A,#N/A,TRUE,"Y생산";#N/A,#N/A,TRUE,"Y판매";#N/A,#N/A,TRUE,"Y총물량";#N/A,#N/A,TRUE,"Y능력";#N/A,#N/A,TRUE,"YKD"}</definedName>
    <definedName name="계산" localSheetId="15" hidden="1">{#N/A,#N/A,FALSE,"1.CRITERIA";#N/A,#N/A,FALSE,"2.IS";#N/A,#N/A,FALSE,"3.BS";#N/A,#N/A,FALSE,"4.PER PL";#N/A,#N/A,FALSE,"5.INVESTMENT";#N/A,#N/A,FALSE,"6.공문";#N/A,#N/A,FALSE,"7.netinvest"}</definedName>
    <definedName name="계산" localSheetId="6" hidden="1">{#N/A,#N/A,FALSE,"1.CRITERIA";#N/A,#N/A,FALSE,"2.IS";#N/A,#N/A,FALSE,"3.BS";#N/A,#N/A,FALSE,"4.PER PL";#N/A,#N/A,FALSE,"5.INVESTMENT";#N/A,#N/A,FALSE,"6.공문";#N/A,#N/A,FALSE,"7.netinvest"}</definedName>
    <definedName name="계산" localSheetId="45" hidden="1">{#N/A,#N/A,FALSE,"1.CRITERIA";#N/A,#N/A,FALSE,"2.IS";#N/A,#N/A,FALSE,"3.BS";#N/A,#N/A,FALSE,"4.PER PL";#N/A,#N/A,FALSE,"5.INVESTMENT";#N/A,#N/A,FALSE,"6.공문";#N/A,#N/A,FALSE,"7.netinvest"}</definedName>
    <definedName name="계산" localSheetId="42" hidden="1">{#N/A,#N/A,FALSE,"1.CRITERIA";#N/A,#N/A,FALSE,"2.IS";#N/A,#N/A,FALSE,"3.BS";#N/A,#N/A,FALSE,"4.PER PL";#N/A,#N/A,FALSE,"5.INVESTMENT";#N/A,#N/A,FALSE,"6.공문";#N/A,#N/A,FALSE,"7.netinvest"}</definedName>
    <definedName name="계산" hidden="1">{#N/A,#N/A,FALSE,"1.CRITERIA";#N/A,#N/A,FALSE,"2.IS";#N/A,#N/A,FALSE,"3.BS";#N/A,#N/A,FALSE,"4.PER PL";#N/A,#N/A,FALSE,"5.INVESTMENT";#N/A,#N/A,FALSE,"6.공문";#N/A,#N/A,FALSE,"7.netinvest"}</definedName>
    <definedName name="계수" localSheetId="42" hidden="1">{#N/A,#N/A,FALSE,"지침";#N/A,#N/A,FALSE,"환경분석";#N/A,#N/A,FALSE,"Sheet16"}</definedName>
    <definedName name="계수" hidden="1">{#N/A,#N/A,FALSE,"지침";#N/A,#N/A,FALSE,"환경분석";#N/A,#N/A,FALSE,"Sheet16"}</definedName>
    <definedName name="계약" localSheetId="15" hidden="1">{#N/A,#N/A,FALSE,"계약직(여)"}</definedName>
    <definedName name="계약" localSheetId="6" hidden="1">{#N/A,#N/A,FALSE,"계약직(여)"}</definedName>
    <definedName name="계약" localSheetId="45" hidden="1">{#N/A,#N/A,FALSE,"계약직(여)"}</definedName>
    <definedName name="계약" localSheetId="42" hidden="1">{#N/A,#N/A,FALSE,"계약직(여)"}</definedName>
    <definedName name="계약" hidden="1">{#N/A,#N/A,FALSE,"계약직(여)"}</definedName>
    <definedName name="계전기" localSheetId="42" hidden="1">{#N/A,#N/A,FALSE,"UNIT";#N/A,#N/A,FALSE,"UNIT";#N/A,#N/A,FALSE,"계정"}</definedName>
    <definedName name="계전기" hidden="1">{#N/A,#N/A,FALSE,"UNIT";#N/A,#N/A,FALSE,"UNIT";#N/A,#N/A,FALSE,"계정"}</definedName>
    <definedName name="계정종합표" localSheetId="42" hidden="1">{#N/A,#N/A,TRUE,"Y생산";#N/A,#N/A,TRUE,"Y판매";#N/A,#N/A,TRUE,"Y총물량";#N/A,#N/A,TRUE,"Y능력";#N/A,#N/A,TRUE,"YKD"}</definedName>
    <definedName name="계정종합표" hidden="1">{#N/A,#N/A,TRUE,"Y생산";#N/A,#N/A,TRUE,"Y판매";#N/A,#N/A,TRUE,"Y총물량";#N/A,#N/A,TRUE,"Y능력";#N/A,#N/A,TRUE,"YKD"}</definedName>
    <definedName name="계획" localSheetId="12" hidden="1">{#N/A,#N/A,FALSE,"UNIT";#N/A,#N/A,FALSE,"UNIT";#N/A,#N/A,FALSE,"계정"}</definedName>
    <definedName name="계획" localSheetId="42" hidden="1">{#N/A,#N/A,FALSE,"UNIT";#N/A,#N/A,FALSE,"UNIT";#N/A,#N/A,FALSE,"계정"}</definedName>
    <definedName name="계획" hidden="1">{#N/A,#N/A,FALSE,"UNIT";#N/A,#N/A,FALSE,"UNIT";#N/A,#N/A,FALSE,"계정"}</definedName>
    <definedName name="계획1" localSheetId="42" hidden="1">{#N/A,#N/A,FALSE,"UNIT";#N/A,#N/A,FALSE,"UNIT";#N/A,#N/A,FALSE,"계정"}</definedName>
    <definedName name="계획1" hidden="1">{#N/A,#N/A,FALSE,"UNIT";#N/A,#N/A,FALSE,"UNIT";#N/A,#N/A,FALSE,"계정"}</definedName>
    <definedName name="계획2" localSheetId="15" hidden="1">{#N/A,#N/A,FALSE,"정공"}</definedName>
    <definedName name="계획2" localSheetId="6" hidden="1">{#N/A,#N/A,FALSE,"정공"}</definedName>
    <definedName name="계획2" localSheetId="45" hidden="1">{#N/A,#N/A,FALSE,"정공"}</definedName>
    <definedName name="계획2" localSheetId="42" hidden="1">{#N/A,#N/A,FALSE,"정공"}</definedName>
    <definedName name="계획2" hidden="1">{#N/A,#N/A,FALSE,"정공"}</definedName>
    <definedName name="계획대실적손익" localSheetId="1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계획대실적손익" localSheetId="4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계획대실적손익"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고" localSheetId="30" hidden="1">#REF!</definedName>
    <definedName name="고" localSheetId="29" hidden="1">#REF!</definedName>
    <definedName name="고" localSheetId="33" hidden="1">#REF!</definedName>
    <definedName name="고" localSheetId="31" hidden="1">#REF!</definedName>
    <definedName name="고" localSheetId="32" hidden="1">#REF!</definedName>
    <definedName name="고" hidden="1">#REF!</definedName>
    <definedName name="고정보증" localSheetId="12" hidden="1">#REF!</definedName>
    <definedName name="고정보증" localSheetId="30" hidden="1">#REF!</definedName>
    <definedName name="고정보증" localSheetId="29" hidden="1">#REF!</definedName>
    <definedName name="고정보증" localSheetId="33" hidden="1">#REF!</definedName>
    <definedName name="고정보증" localSheetId="31" hidden="1">#REF!</definedName>
    <definedName name="고정보증" hidden="1">#REF!</definedName>
    <definedName name="고정보증금" localSheetId="12" hidden="1">#REF!</definedName>
    <definedName name="고정보증금" localSheetId="30" hidden="1">#REF!</definedName>
    <definedName name="고정보증금" localSheetId="29" hidden="1">#REF!</definedName>
    <definedName name="고정보증금" localSheetId="33" hidden="1">#REF!</definedName>
    <definedName name="고정보증금" localSheetId="31" hidden="1">#REF!</definedName>
    <definedName name="고정보증금" hidden="1">#REF!</definedName>
    <definedName name="고정성보증" localSheetId="12" hidden="1">#REF!</definedName>
    <definedName name="고정성보증" localSheetId="30" hidden="1">#REF!</definedName>
    <definedName name="고정성보증" localSheetId="29" hidden="1">#REF!</definedName>
    <definedName name="고정성보증" localSheetId="33" hidden="1">#REF!</definedName>
    <definedName name="고정성보증" localSheetId="31" hidden="1">#REF!</definedName>
    <definedName name="고정성보증" hidden="1">#REF!</definedName>
    <definedName name="공개입찰" localSheetId="15" hidden="1">{#N/A,#N/A,FALSE,"정공"}</definedName>
    <definedName name="공개입찰" localSheetId="6" hidden="1">{#N/A,#N/A,FALSE,"정공"}</definedName>
    <definedName name="공개입찰" localSheetId="45" hidden="1">{#N/A,#N/A,FALSE,"정공"}</definedName>
    <definedName name="공개입찰" localSheetId="42" hidden="1">{#N/A,#N/A,FALSE,"정공"}</definedName>
    <definedName name="공개입찰" hidden="1">{#N/A,#N/A,FALSE,"정공"}</definedName>
    <definedName name="공공공" localSheetId="15" hidden="1">{#N/A,#N/A,FALSE,"정공"}</definedName>
    <definedName name="공공공" localSheetId="6" hidden="1">{#N/A,#N/A,FALSE,"정공"}</definedName>
    <definedName name="공공공" localSheetId="45" hidden="1">{#N/A,#N/A,FALSE,"정공"}</definedName>
    <definedName name="공공공" localSheetId="42" hidden="1">{#N/A,#N/A,FALSE,"정공"}</definedName>
    <definedName name="공공공" hidden="1">{#N/A,#N/A,FALSE,"정공"}</definedName>
    <definedName name="공구" localSheetId="12" hidden="1">{"'손익현황'!$A$1:$J$29"}</definedName>
    <definedName name="공구" localSheetId="42" hidden="1">{"'손익현황'!$A$1:$J$29"}</definedName>
    <definedName name="공구" hidden="1">{"'손익현황'!$A$1:$J$29"}</definedName>
    <definedName name="공구기구" localSheetId="12" hidden="1">{"'손익현황'!$A$1:$J$29"}</definedName>
    <definedName name="공구기구" localSheetId="42" hidden="1">{"'손익현황'!$A$1:$J$29"}</definedName>
    <definedName name="공구기구" hidden="1">{"'손익현황'!$A$1:$J$29"}</definedName>
    <definedName name="공모23" localSheetId="12" hidden="1">{#N/A,#N/A,FALSE,"현장 NCR 분석";#N/A,#N/A,FALSE,"현장품질감사";#N/A,#N/A,FALSE,"현장품질감사"}</definedName>
    <definedName name="공모23" localSheetId="15" hidden="1">{#N/A,#N/A,FALSE,"현장 NCR 분석";#N/A,#N/A,FALSE,"현장품질감사";#N/A,#N/A,FALSE,"현장품질감사"}</definedName>
    <definedName name="공모23" localSheetId="6" hidden="1">{#N/A,#N/A,FALSE,"현장 NCR 분석";#N/A,#N/A,FALSE,"현장품질감사";#N/A,#N/A,FALSE,"현장품질감사"}</definedName>
    <definedName name="공모23" localSheetId="45" hidden="1">{#N/A,#N/A,FALSE,"현장 NCR 분석";#N/A,#N/A,FALSE,"현장품질감사";#N/A,#N/A,FALSE,"현장품질감사"}</definedName>
    <definedName name="공모23" localSheetId="42" hidden="1">{#N/A,#N/A,FALSE,"현장 NCR 분석";#N/A,#N/A,FALSE,"현장품질감사";#N/A,#N/A,FALSE,"현장품질감사"}</definedName>
    <definedName name="공모23" hidden="1">{#N/A,#N/A,FALSE,"현장 NCR 분석";#N/A,#N/A,FALSE,"현장품질감사";#N/A,#N/A,FALSE,"현장품질감사"}</definedName>
    <definedName name="공모24" localSheetId="12" hidden="1">{#N/A,#N/A,FALSE,"현장 NCR 분석";#N/A,#N/A,FALSE,"현장품질감사";#N/A,#N/A,FALSE,"현장품질감사"}</definedName>
    <definedName name="공모24" localSheetId="42" hidden="1">{#N/A,#N/A,FALSE,"현장 NCR 분석";#N/A,#N/A,FALSE,"현장품질감사";#N/A,#N/A,FALSE,"현장품질감사"}</definedName>
    <definedName name="공모24" hidden="1">{#N/A,#N/A,FALSE,"현장 NCR 분석";#N/A,#N/A,FALSE,"현장품질감사";#N/A,#N/A,FALSE,"현장품질감사"}</definedName>
    <definedName name="공수투입" localSheetId="15" hidden="1">{#N/A,#N/A,FALSE,"정공"}</definedName>
    <definedName name="공수투입" localSheetId="6" hidden="1">{#N/A,#N/A,FALSE,"정공"}</definedName>
    <definedName name="공수투입" localSheetId="45" hidden="1">{#N/A,#N/A,FALSE,"정공"}</definedName>
    <definedName name="공수투입" localSheetId="42" hidden="1">{#N/A,#N/A,FALSE,"정공"}</definedName>
    <definedName name="공수투입" hidden="1">{#N/A,#N/A,FALSE,"정공"}</definedName>
    <definedName name="공ㅌ오" localSheetId="42" hidden="1">{#N/A,#N/A,TRUE,"Y생산";#N/A,#N/A,TRUE,"Y판매";#N/A,#N/A,TRUE,"Y총물량";#N/A,#N/A,TRUE,"Y능력";#N/A,#N/A,TRUE,"YKD"}</definedName>
    <definedName name="공ㅌ오" hidden="1">{#N/A,#N/A,TRUE,"Y생산";#N/A,#N/A,TRUE,"Y판매";#N/A,#N/A,TRUE,"Y총물량";#N/A,#N/A,TRUE,"Y능력";#N/A,#N/A,TRUE,"YKD"}</definedName>
    <definedName name="과목세목현황" localSheetId="42" hidden="1">{#N/A,#N/A,TRUE,"Y생산";#N/A,#N/A,TRUE,"Y판매";#N/A,#N/A,TRUE,"Y총물량";#N/A,#N/A,TRUE,"Y능력";#N/A,#N/A,TRUE,"YKD"}</definedName>
    <definedName name="과목세목현황" hidden="1">{#N/A,#N/A,TRUE,"Y생산";#N/A,#N/A,TRUE,"Y판매";#N/A,#N/A,TRUE,"Y총물량";#N/A,#N/A,TRUE,"Y능력";#N/A,#N/A,TRUE,"YKD"}</definedName>
    <definedName name="관_마케팅" localSheetId="42" hidden="1">{"'경비내역'!$E$11"}</definedName>
    <definedName name="관_마케팅" hidden="1">{"'경비내역'!$E$11"}</definedName>
    <definedName name="관계회사" localSheetId="42" hidden="1">{"'9월'!$F$38"}</definedName>
    <definedName name="관계회사" hidden="1">{"'9월'!$F$38"}</definedName>
    <definedName name="관계회사2" localSheetId="42" hidden="1">{"'9월'!$F$38"}</definedName>
    <definedName name="관계회사2" hidden="1">{"'9월'!$F$38"}</definedName>
    <definedName name="관리" localSheetId="12" hidden="1">{#N/A,#N/A,FALSE,"DAOCM 2차 검토"}</definedName>
    <definedName name="관리" hidden="1">#REF!</definedName>
    <definedName name="관리지표2" localSheetId="42" hidden="1">{#N/A,#N/A,TRUE,"Y생산";#N/A,#N/A,TRUE,"Y판매";#N/A,#N/A,TRUE,"Y총물량";#N/A,#N/A,TRUE,"Y능력";#N/A,#N/A,TRUE,"YKD"}</definedName>
    <definedName name="관리지표2" hidden="1">{#N/A,#N/A,TRUE,"Y생산";#N/A,#N/A,TRUE,"Y판매";#N/A,#N/A,TRUE,"Y총물량";#N/A,#N/A,TRUE,"Y능력";#N/A,#N/A,TRUE,"YKD"}</definedName>
    <definedName name="관실적" localSheetId="15"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실적" localSheetId="6"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실적" localSheetId="45"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실적" localSheetId="4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실적"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유리" localSheetId="15"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유리" localSheetId="6"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유리" localSheetId="45"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유리" localSheetId="4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유리"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구" localSheetId="42" hidden="1">{"'손익현황'!$A$1:$J$29"}</definedName>
    <definedName name="구" hidden="1">{"'손익현황'!$A$1:$J$29"}</definedName>
    <definedName name="구미" localSheetId="15" hidden="1">{#N/A,#N/A,FALSE,"손익표지";#N/A,#N/A,FALSE,"손익계산";#N/A,#N/A,FALSE,"일반관리비";#N/A,#N/A,FALSE,"영업외수익";#N/A,#N/A,FALSE,"영업외비용";#N/A,#N/A,FALSE,"매출액";#N/A,#N/A,FALSE,"요약손익";#N/A,#N/A,FALSE,"요약대차";#N/A,#N/A,FALSE,"매출채권현황";#N/A,#N/A,FALSE,"매출채권명세"}</definedName>
    <definedName name="구미" localSheetId="6" hidden="1">{#N/A,#N/A,FALSE,"손익표지";#N/A,#N/A,FALSE,"손익계산";#N/A,#N/A,FALSE,"일반관리비";#N/A,#N/A,FALSE,"영업외수익";#N/A,#N/A,FALSE,"영업외비용";#N/A,#N/A,FALSE,"매출액";#N/A,#N/A,FALSE,"요약손익";#N/A,#N/A,FALSE,"요약대차";#N/A,#N/A,FALSE,"매출채권현황";#N/A,#N/A,FALSE,"매출채권명세"}</definedName>
    <definedName name="구미" localSheetId="45" hidden="1">{#N/A,#N/A,FALSE,"손익표지";#N/A,#N/A,FALSE,"손익계산";#N/A,#N/A,FALSE,"일반관리비";#N/A,#N/A,FALSE,"영업외수익";#N/A,#N/A,FALSE,"영업외비용";#N/A,#N/A,FALSE,"매출액";#N/A,#N/A,FALSE,"요약손익";#N/A,#N/A,FALSE,"요약대차";#N/A,#N/A,FALSE,"매출채권현황";#N/A,#N/A,FALSE,"매출채권명세"}</definedName>
    <definedName name="구미" localSheetId="42" hidden="1">{#N/A,#N/A,FALSE,"손익표지";#N/A,#N/A,FALSE,"손익계산";#N/A,#N/A,FALSE,"일반관리비";#N/A,#N/A,FALSE,"영업외수익";#N/A,#N/A,FALSE,"영업외비용";#N/A,#N/A,FALSE,"매출액";#N/A,#N/A,FALSE,"요약손익";#N/A,#N/A,FALSE,"요약대차";#N/A,#N/A,FALSE,"매출채권현황";#N/A,#N/A,FALSE,"매출채권명세"}</definedName>
    <definedName name="구미" hidden="1">{#N/A,#N/A,FALSE,"손익표지";#N/A,#N/A,FALSE,"손익계산";#N/A,#N/A,FALSE,"일반관리비";#N/A,#N/A,FALSE,"영업외수익";#N/A,#N/A,FALSE,"영업외비용";#N/A,#N/A,FALSE,"매출액";#N/A,#N/A,FALSE,"요약손익";#N/A,#N/A,FALSE,"요약대차";#N/A,#N/A,FALSE,"매출채권현황";#N/A,#N/A,FALSE,"매출채권명세"}</definedName>
    <definedName name="구분하소" localSheetId="15" hidden="1">{#N/A,#N/A,FALSE,"정공"}</definedName>
    <definedName name="구분하소" localSheetId="6" hidden="1">{#N/A,#N/A,FALSE,"정공"}</definedName>
    <definedName name="구분하소" localSheetId="45" hidden="1">{#N/A,#N/A,FALSE,"정공"}</definedName>
    <definedName name="구분하소" localSheetId="42" hidden="1">{#N/A,#N/A,FALSE,"정공"}</definedName>
    <definedName name="구분하소" hidden="1">{#N/A,#N/A,FALSE,"정공"}</definedName>
    <definedName name="구축물" localSheetId="12" hidden="1">{"'손익현황'!$A$1:$J$29"}</definedName>
    <definedName name="구축물" localSheetId="42" hidden="1">{"'손익현황'!$A$1:$J$29"}</definedName>
    <definedName name="구축물" hidden="1">{"'손익현황'!$A$1:$J$29"}</definedName>
    <definedName name="구축물임" localSheetId="12" hidden="1">{"'손익현황'!$A$1:$J$29"}</definedName>
    <definedName name="구축물임" localSheetId="42" hidden="1">{"'손익현황'!$A$1:$J$29"}</definedName>
    <definedName name="구축물임" hidden="1">{"'손익현황'!$A$1:$J$29"}</definedName>
    <definedName name="국순당" localSheetId="12" hidden="1">{#N/A,#N/A,FALSE,"Aging Summary";#N/A,#N/A,FALSE,"Ratio Analysis";#N/A,#N/A,FALSE,"Test 120 Day Accts";#N/A,#N/A,FALSE,"Tickmarks"}</definedName>
    <definedName name="국순당" localSheetId="42" hidden="1">{#N/A,#N/A,FALSE,"Aging Summary";#N/A,#N/A,FALSE,"Ratio Analysis";#N/A,#N/A,FALSE,"Test 120 Day Accts";#N/A,#N/A,FALSE,"Tickmarks"}</definedName>
    <definedName name="국순당" hidden="1">{#N/A,#N/A,FALSE,"Aging Summary";#N/A,#N/A,FALSE,"Ratio Analysis";#N/A,#N/A,FALSE,"Test 120 Day Accts";#N/A,#N/A,FALSE,"Tickmarks"}</definedName>
    <definedName name="국제" localSheetId="15" hidden="1">{#N/A,#N/A,FALSE,"손익표지";#N/A,#N/A,FALSE,"손익계산";#N/A,#N/A,FALSE,"일반관리비";#N/A,#N/A,FALSE,"영업외수익";#N/A,#N/A,FALSE,"영업외비용";#N/A,#N/A,FALSE,"매출액";#N/A,#N/A,FALSE,"요약손익";#N/A,#N/A,FALSE,"요약대차";#N/A,#N/A,FALSE,"매출채권현황";#N/A,#N/A,FALSE,"매출채권명세"}</definedName>
    <definedName name="국제" localSheetId="6" hidden="1">{#N/A,#N/A,FALSE,"손익표지";#N/A,#N/A,FALSE,"손익계산";#N/A,#N/A,FALSE,"일반관리비";#N/A,#N/A,FALSE,"영업외수익";#N/A,#N/A,FALSE,"영업외비용";#N/A,#N/A,FALSE,"매출액";#N/A,#N/A,FALSE,"요약손익";#N/A,#N/A,FALSE,"요약대차";#N/A,#N/A,FALSE,"매출채권현황";#N/A,#N/A,FALSE,"매출채권명세"}</definedName>
    <definedName name="국제" localSheetId="45" hidden="1">{#N/A,#N/A,FALSE,"손익표지";#N/A,#N/A,FALSE,"손익계산";#N/A,#N/A,FALSE,"일반관리비";#N/A,#N/A,FALSE,"영업외수익";#N/A,#N/A,FALSE,"영업외비용";#N/A,#N/A,FALSE,"매출액";#N/A,#N/A,FALSE,"요약손익";#N/A,#N/A,FALSE,"요약대차";#N/A,#N/A,FALSE,"매출채권현황";#N/A,#N/A,FALSE,"매출채권명세"}</definedName>
    <definedName name="국제" localSheetId="42" hidden="1">{#N/A,#N/A,FALSE,"손익표지";#N/A,#N/A,FALSE,"손익계산";#N/A,#N/A,FALSE,"일반관리비";#N/A,#N/A,FALSE,"영업외수익";#N/A,#N/A,FALSE,"영업외비용";#N/A,#N/A,FALSE,"매출액";#N/A,#N/A,FALSE,"요약손익";#N/A,#N/A,FALSE,"요약대차";#N/A,#N/A,FALSE,"매출채권현황";#N/A,#N/A,FALSE,"매출채권명세"}</definedName>
    <definedName name="국제" hidden="1">{#N/A,#N/A,FALSE,"손익표지";#N/A,#N/A,FALSE,"손익계산";#N/A,#N/A,FALSE,"일반관리비";#N/A,#N/A,FALSE,"영업외수익";#N/A,#N/A,FALSE,"영업외비용";#N/A,#N/A,FALSE,"매출액";#N/A,#N/A,FALSE,"요약손익";#N/A,#N/A,FALSE,"요약대차";#N/A,#N/A,FALSE,"매출채권현황";#N/A,#N/A,FALSE,"매출채권명세"}</definedName>
    <definedName name="국제거래" localSheetId="1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국제거래" localSheetId="4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국제거래"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국제선" localSheetId="15" hidden="1">{#N/A,#N/A,FALSE,"손익표지";#N/A,#N/A,FALSE,"손익계산";#N/A,#N/A,FALSE,"일반관리비";#N/A,#N/A,FALSE,"영업외수익";#N/A,#N/A,FALSE,"영업외비용";#N/A,#N/A,FALSE,"매출액";#N/A,#N/A,FALSE,"요약손익";#N/A,#N/A,FALSE,"요약대차";#N/A,#N/A,FALSE,"매출채권현황";#N/A,#N/A,FALSE,"매출채권명세"}</definedName>
    <definedName name="국제선" localSheetId="6" hidden="1">{#N/A,#N/A,FALSE,"손익표지";#N/A,#N/A,FALSE,"손익계산";#N/A,#N/A,FALSE,"일반관리비";#N/A,#N/A,FALSE,"영업외수익";#N/A,#N/A,FALSE,"영업외비용";#N/A,#N/A,FALSE,"매출액";#N/A,#N/A,FALSE,"요약손익";#N/A,#N/A,FALSE,"요약대차";#N/A,#N/A,FALSE,"매출채권현황";#N/A,#N/A,FALSE,"매출채권명세"}</definedName>
    <definedName name="국제선" localSheetId="45" hidden="1">{#N/A,#N/A,FALSE,"손익표지";#N/A,#N/A,FALSE,"손익계산";#N/A,#N/A,FALSE,"일반관리비";#N/A,#N/A,FALSE,"영업외수익";#N/A,#N/A,FALSE,"영업외비용";#N/A,#N/A,FALSE,"매출액";#N/A,#N/A,FALSE,"요약손익";#N/A,#N/A,FALSE,"요약대차";#N/A,#N/A,FALSE,"매출채권현황";#N/A,#N/A,FALSE,"매출채권명세"}</definedName>
    <definedName name="국제선" localSheetId="42" hidden="1">{#N/A,#N/A,FALSE,"손익표지";#N/A,#N/A,FALSE,"손익계산";#N/A,#N/A,FALSE,"일반관리비";#N/A,#N/A,FALSE,"영업외수익";#N/A,#N/A,FALSE,"영업외비용";#N/A,#N/A,FALSE,"매출액";#N/A,#N/A,FALSE,"요약손익";#N/A,#N/A,FALSE,"요약대차";#N/A,#N/A,FALSE,"매출채권현황";#N/A,#N/A,FALSE,"매출채권명세"}</definedName>
    <definedName name="국제선" hidden="1">{#N/A,#N/A,FALSE,"손익표지";#N/A,#N/A,FALSE,"손익계산";#N/A,#N/A,FALSE,"일반관리비";#N/A,#N/A,FALSE,"영업외수익";#N/A,#N/A,FALSE,"영업외비용";#N/A,#N/A,FALSE,"매출액";#N/A,#N/A,FALSE,"요약손익";#N/A,#N/A,FALSE,"요약대차";#N/A,#N/A,FALSE,"매출채권현황";#N/A,#N/A,FALSE,"매출채권명세"}</definedName>
    <definedName name="권혁성" localSheetId="12" hidden="1">{#N/A,#N/A,FALSE,"DAOCM 2차 검토"}</definedName>
    <definedName name="권혁성" localSheetId="42" hidden="1">{#N/A,#N/A,FALSE,"DAOCM 2차 검토"}</definedName>
    <definedName name="권혁성" hidden="1">{#N/A,#N/A,FALSE,"DAOCM 2차 검토"}</definedName>
    <definedName name="규남이" localSheetId="4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규남이"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그만" localSheetId="15" hidden="1">{#N/A,#N/A,FALSE,"계약직(여)"}</definedName>
    <definedName name="그만" localSheetId="6" hidden="1">{#N/A,#N/A,FALSE,"계약직(여)"}</definedName>
    <definedName name="그만" localSheetId="45" hidden="1">{#N/A,#N/A,FALSE,"계약직(여)"}</definedName>
    <definedName name="그만" localSheetId="42" hidden="1">{#N/A,#N/A,FALSE,"계약직(여)"}</definedName>
    <definedName name="그만" hidden="1">{#N/A,#N/A,FALSE,"계약직(여)"}</definedName>
    <definedName name="금월" localSheetId="42" hidden="1">{#N/A,#N/A,TRUE,"Y생산";#N/A,#N/A,TRUE,"Y판매";#N/A,#N/A,TRUE,"Y총물량";#N/A,#N/A,TRUE,"Y능력";#N/A,#N/A,TRUE,"YKD"}</definedName>
    <definedName name="금월" hidden="1">{#N/A,#N/A,TRUE,"Y생산";#N/A,#N/A,TRUE,"Y판매";#N/A,#N/A,TRUE,"Y총물량";#N/A,#N/A,TRUE,"Y능력";#N/A,#N/A,TRUE,"YKD"}</definedName>
    <definedName name="급여인상안" localSheetId="15" hidden="1">{#N/A,#N/A,FALSE,"계약직(여)"}</definedName>
    <definedName name="급여인상안" localSheetId="6" hidden="1">{#N/A,#N/A,FALSE,"계약직(여)"}</definedName>
    <definedName name="급여인상안" localSheetId="45" hidden="1">{#N/A,#N/A,FALSE,"계약직(여)"}</definedName>
    <definedName name="급여인상안" localSheetId="42" hidden="1">{#N/A,#N/A,FALSE,"계약직(여)"}</definedName>
    <definedName name="급여인상안" hidden="1">{#N/A,#N/A,FALSE,"계약직(여)"}</definedName>
    <definedName name="기" localSheetId="15" hidden="1">{#N/A,#N/A,FALSE,"1.CRITERIA";#N/A,#N/A,FALSE,"2.IS";#N/A,#N/A,FALSE,"3.BS";#N/A,#N/A,FALSE,"4.PER PL";#N/A,#N/A,FALSE,"5.INVESTMENT";#N/A,#N/A,FALSE,"6.공문";#N/A,#N/A,FALSE,"7.netinvest"}</definedName>
    <definedName name="기" localSheetId="6" hidden="1">{#N/A,#N/A,FALSE,"1.CRITERIA";#N/A,#N/A,FALSE,"2.IS";#N/A,#N/A,FALSE,"3.BS";#N/A,#N/A,FALSE,"4.PER PL";#N/A,#N/A,FALSE,"5.INVESTMENT";#N/A,#N/A,FALSE,"6.공문";#N/A,#N/A,FALSE,"7.netinvest"}</definedName>
    <definedName name="기" localSheetId="45" hidden="1">{#N/A,#N/A,FALSE,"1.CRITERIA";#N/A,#N/A,FALSE,"2.IS";#N/A,#N/A,FALSE,"3.BS";#N/A,#N/A,FALSE,"4.PER PL";#N/A,#N/A,FALSE,"5.INVESTMENT";#N/A,#N/A,FALSE,"6.공문";#N/A,#N/A,FALSE,"7.netinvest"}</definedName>
    <definedName name="기" localSheetId="42" hidden="1">{#N/A,#N/A,FALSE,"1.CRITERIA";#N/A,#N/A,FALSE,"2.IS";#N/A,#N/A,FALSE,"3.BS";#N/A,#N/A,FALSE,"4.PER PL";#N/A,#N/A,FALSE,"5.INVESTMENT";#N/A,#N/A,FALSE,"6.공문";#N/A,#N/A,FALSE,"7.netinvest"}</definedName>
    <definedName name="기" hidden="1">{#N/A,#N/A,FALSE,"1.CRITERIA";#N/A,#N/A,FALSE,"2.IS";#N/A,#N/A,FALSE,"3.BS";#N/A,#N/A,FALSE,"4.PER PL";#N/A,#N/A,FALSE,"5.INVESTMENT";#N/A,#N/A,FALSE,"6.공문";#N/A,#N/A,FALSE,"7.netinvest"}</definedName>
    <definedName name="기계장치" localSheetId="12" hidden="1">{"'손익현황'!$A$1:$J$29"}</definedName>
    <definedName name="기계장치" localSheetId="42" hidden="1">{"'손익현황'!$A$1:$J$29"}</definedName>
    <definedName name="기계장치" hidden="1">{"'손익현황'!$A$1:$J$29"}</definedName>
    <definedName name="기기" localSheetId="42" hidden="1">{#N/A,#N/A,FALSE,"UNIT";#N/A,#N/A,FALSE,"UNIT";#N/A,#N/A,FALSE,"계정"}</definedName>
    <definedName name="기기" hidden="1">{#N/A,#N/A,FALSE,"UNIT";#N/A,#N/A,FALSE,"UNIT";#N/A,#N/A,FALSE,"계정"}</definedName>
    <definedName name="기성" localSheetId="15" hidden="1">{#N/A,#N/A,FALSE,"손익표지";#N/A,#N/A,FALSE,"손익계산";#N/A,#N/A,FALSE,"일반관리비";#N/A,#N/A,FALSE,"영업외수익";#N/A,#N/A,FALSE,"영업외비용";#N/A,#N/A,FALSE,"매출액";#N/A,#N/A,FALSE,"요약손익";#N/A,#N/A,FALSE,"요약대차";#N/A,#N/A,FALSE,"매출채권현황";#N/A,#N/A,FALSE,"매출채권명세"}</definedName>
    <definedName name="기성" localSheetId="6" hidden="1">{#N/A,#N/A,FALSE,"손익표지";#N/A,#N/A,FALSE,"손익계산";#N/A,#N/A,FALSE,"일반관리비";#N/A,#N/A,FALSE,"영업외수익";#N/A,#N/A,FALSE,"영업외비용";#N/A,#N/A,FALSE,"매출액";#N/A,#N/A,FALSE,"요약손익";#N/A,#N/A,FALSE,"요약대차";#N/A,#N/A,FALSE,"매출채권현황";#N/A,#N/A,FALSE,"매출채권명세"}</definedName>
    <definedName name="기성" localSheetId="45" hidden="1">{#N/A,#N/A,FALSE,"손익표지";#N/A,#N/A,FALSE,"손익계산";#N/A,#N/A,FALSE,"일반관리비";#N/A,#N/A,FALSE,"영업외수익";#N/A,#N/A,FALSE,"영업외비용";#N/A,#N/A,FALSE,"매출액";#N/A,#N/A,FALSE,"요약손익";#N/A,#N/A,FALSE,"요약대차";#N/A,#N/A,FALSE,"매출채권현황";#N/A,#N/A,FALSE,"매출채권명세"}</definedName>
    <definedName name="기성" localSheetId="42" hidden="1">{#N/A,#N/A,FALSE,"손익표지";#N/A,#N/A,FALSE,"손익계산";#N/A,#N/A,FALSE,"일반관리비";#N/A,#N/A,FALSE,"영업외수익";#N/A,#N/A,FALSE,"영업외비용";#N/A,#N/A,FALSE,"매출액";#N/A,#N/A,FALSE,"요약손익";#N/A,#N/A,FALSE,"요약대차";#N/A,#N/A,FALSE,"매출채권현황";#N/A,#N/A,FALSE,"매출채권명세"}</definedName>
    <definedName name="기성" hidden="1">{#N/A,#N/A,FALSE,"손익표지";#N/A,#N/A,FALSE,"손익계산";#N/A,#N/A,FALSE,"일반관리비";#N/A,#N/A,FALSE,"영업외수익";#N/A,#N/A,FALSE,"영업외비용";#N/A,#N/A,FALSE,"매출액";#N/A,#N/A,FALSE,"요약손익";#N/A,#N/A,FALSE,"요약대차";#N/A,#N/A,FALSE,"매출채권현황";#N/A,#N/A,FALSE,"매출채권명세"}</definedName>
    <definedName name="기성분" localSheetId="15" hidden="1">{#N/A,#N/A,FALSE,"손익표지";#N/A,#N/A,FALSE,"손익계산";#N/A,#N/A,FALSE,"일반관리비";#N/A,#N/A,FALSE,"영업외수익";#N/A,#N/A,FALSE,"영업외비용";#N/A,#N/A,FALSE,"매출액";#N/A,#N/A,FALSE,"요약손익";#N/A,#N/A,FALSE,"요약대차";#N/A,#N/A,FALSE,"매출채권현황";#N/A,#N/A,FALSE,"매출채권명세"}</definedName>
    <definedName name="기성분" localSheetId="6" hidden="1">{#N/A,#N/A,FALSE,"손익표지";#N/A,#N/A,FALSE,"손익계산";#N/A,#N/A,FALSE,"일반관리비";#N/A,#N/A,FALSE,"영업외수익";#N/A,#N/A,FALSE,"영업외비용";#N/A,#N/A,FALSE,"매출액";#N/A,#N/A,FALSE,"요약손익";#N/A,#N/A,FALSE,"요약대차";#N/A,#N/A,FALSE,"매출채권현황";#N/A,#N/A,FALSE,"매출채권명세"}</definedName>
    <definedName name="기성분" localSheetId="45" hidden="1">{#N/A,#N/A,FALSE,"손익표지";#N/A,#N/A,FALSE,"손익계산";#N/A,#N/A,FALSE,"일반관리비";#N/A,#N/A,FALSE,"영업외수익";#N/A,#N/A,FALSE,"영업외비용";#N/A,#N/A,FALSE,"매출액";#N/A,#N/A,FALSE,"요약손익";#N/A,#N/A,FALSE,"요약대차";#N/A,#N/A,FALSE,"매출채권현황";#N/A,#N/A,FALSE,"매출채권명세"}</definedName>
    <definedName name="기성분" localSheetId="42" hidden="1">{#N/A,#N/A,FALSE,"손익표지";#N/A,#N/A,FALSE,"손익계산";#N/A,#N/A,FALSE,"일반관리비";#N/A,#N/A,FALSE,"영업외수익";#N/A,#N/A,FALSE,"영업외비용";#N/A,#N/A,FALSE,"매출액";#N/A,#N/A,FALSE,"요약손익";#N/A,#N/A,FALSE,"요약대차";#N/A,#N/A,FALSE,"매출채권현황";#N/A,#N/A,FALSE,"매출채권명세"}</definedName>
    <definedName name="기성분" hidden="1">{#N/A,#N/A,FALSE,"손익표지";#N/A,#N/A,FALSE,"손익계산";#N/A,#N/A,FALSE,"일반관리비";#N/A,#N/A,FALSE,"영업외수익";#N/A,#N/A,FALSE,"영업외비용";#N/A,#N/A,FALSE,"매출액";#N/A,#N/A,FALSE,"요약손익";#N/A,#N/A,FALSE,"요약대차";#N/A,#N/A,FALSE,"매출채권현황";#N/A,#N/A,FALSE,"매출채권명세"}</definedName>
    <definedName name="기아" localSheetId="15" hidden="1">{#N/A,#N/A,FALSE,"1.CRITERIA";#N/A,#N/A,FALSE,"2.IS";#N/A,#N/A,FALSE,"3.BS";#N/A,#N/A,FALSE,"4.PER PL";#N/A,#N/A,FALSE,"5.INVESTMENT";#N/A,#N/A,FALSE,"6.공문";#N/A,#N/A,FALSE,"7.netinvest"}</definedName>
    <definedName name="기아" localSheetId="6" hidden="1">{#N/A,#N/A,FALSE,"1.CRITERIA";#N/A,#N/A,FALSE,"2.IS";#N/A,#N/A,FALSE,"3.BS";#N/A,#N/A,FALSE,"4.PER PL";#N/A,#N/A,FALSE,"5.INVESTMENT";#N/A,#N/A,FALSE,"6.공문";#N/A,#N/A,FALSE,"7.netinvest"}</definedName>
    <definedName name="기아" localSheetId="45" hidden="1">{#N/A,#N/A,FALSE,"1.CRITERIA";#N/A,#N/A,FALSE,"2.IS";#N/A,#N/A,FALSE,"3.BS";#N/A,#N/A,FALSE,"4.PER PL";#N/A,#N/A,FALSE,"5.INVESTMENT";#N/A,#N/A,FALSE,"6.공문";#N/A,#N/A,FALSE,"7.netinvest"}</definedName>
    <definedName name="기아" localSheetId="42" hidden="1">{#N/A,#N/A,FALSE,"1.CRITERIA";#N/A,#N/A,FALSE,"2.IS";#N/A,#N/A,FALSE,"3.BS";#N/A,#N/A,FALSE,"4.PER PL";#N/A,#N/A,FALSE,"5.INVESTMENT";#N/A,#N/A,FALSE,"6.공문";#N/A,#N/A,FALSE,"7.netinvest"}</definedName>
    <definedName name="기아" hidden="1">{#N/A,#N/A,FALSE,"1.CRITERIA";#N/A,#N/A,FALSE,"2.IS";#N/A,#N/A,FALSE,"3.BS";#N/A,#N/A,FALSE,"4.PER PL";#N/A,#N/A,FALSE,"5.INVESTMENT";#N/A,#N/A,FALSE,"6.공문";#N/A,#N/A,FALSE,"7.netinvest"}</definedName>
    <definedName name="기아모텍" localSheetId="15" hidden="1">{#N/A,#N/A,FALSE,"정공"}</definedName>
    <definedName name="기아모텍" localSheetId="6" hidden="1">{#N/A,#N/A,FALSE,"정공"}</definedName>
    <definedName name="기아모텍" localSheetId="45" hidden="1">{#N/A,#N/A,FALSE,"정공"}</definedName>
    <definedName name="기아모텍" localSheetId="42" hidden="1">{#N/A,#N/A,FALSE,"정공"}</definedName>
    <definedName name="기아모텍" hidden="1">{#N/A,#N/A,FALSE,"정공"}</definedName>
    <definedName name="기아전자" localSheetId="15" hidden="1">{#N/A,#N/A,FALSE,"정공"}</definedName>
    <definedName name="기아전자" localSheetId="6" hidden="1">{#N/A,#N/A,FALSE,"정공"}</definedName>
    <definedName name="기아전자" localSheetId="45" hidden="1">{#N/A,#N/A,FALSE,"정공"}</definedName>
    <definedName name="기아전자" localSheetId="42" hidden="1">{#N/A,#N/A,FALSE,"정공"}</definedName>
    <definedName name="기아전자" hidden="1">{#N/A,#N/A,FALSE,"정공"}</definedName>
    <definedName name="기아차" localSheetId="15" hidden="1">{#N/A,#N/A,FALSE,"1.CRITERIA";#N/A,#N/A,FALSE,"2.IS";#N/A,#N/A,FALSE,"3.BS";#N/A,#N/A,FALSE,"4.PER PL";#N/A,#N/A,FALSE,"5.INVESTMENT";#N/A,#N/A,FALSE,"6.공문";#N/A,#N/A,FALSE,"7.netinvest"}</definedName>
    <definedName name="기아차" localSheetId="6" hidden="1">{#N/A,#N/A,FALSE,"1.CRITERIA";#N/A,#N/A,FALSE,"2.IS";#N/A,#N/A,FALSE,"3.BS";#N/A,#N/A,FALSE,"4.PER PL";#N/A,#N/A,FALSE,"5.INVESTMENT";#N/A,#N/A,FALSE,"6.공문";#N/A,#N/A,FALSE,"7.netinvest"}</definedName>
    <definedName name="기아차" localSheetId="45" hidden="1">{#N/A,#N/A,FALSE,"1.CRITERIA";#N/A,#N/A,FALSE,"2.IS";#N/A,#N/A,FALSE,"3.BS";#N/A,#N/A,FALSE,"4.PER PL";#N/A,#N/A,FALSE,"5.INVESTMENT";#N/A,#N/A,FALSE,"6.공문";#N/A,#N/A,FALSE,"7.netinvest"}</definedName>
    <definedName name="기아차" localSheetId="42" hidden="1">{#N/A,#N/A,FALSE,"1.CRITERIA";#N/A,#N/A,FALSE,"2.IS";#N/A,#N/A,FALSE,"3.BS";#N/A,#N/A,FALSE,"4.PER PL";#N/A,#N/A,FALSE,"5.INVESTMENT";#N/A,#N/A,FALSE,"6.공문";#N/A,#N/A,FALSE,"7.netinvest"}</definedName>
    <definedName name="기아차" hidden="1">{#N/A,#N/A,FALSE,"1.CRITERIA";#N/A,#N/A,FALSE,"2.IS";#N/A,#N/A,FALSE,"3.BS";#N/A,#N/A,FALSE,"4.PER PL";#N/A,#N/A,FALSE,"5.INVESTMENT";#N/A,#N/A,FALSE,"6.공문";#N/A,#N/A,FALSE,"7.netinvest"}</definedName>
    <definedName name="기얻" localSheetId="15"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기얻" localSheetId="6"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기얻" localSheetId="45"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기얻" localSheetId="42"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기얻"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기존" localSheetId="42" hidden="1">{#N/A,#N/A,FALSE,"UNIT";#N/A,#N/A,FALSE,"UNIT";#N/A,#N/A,FALSE,"계정"}</definedName>
    <definedName name="기존" hidden="1">{#N/A,#N/A,FALSE,"UNIT";#N/A,#N/A,FALSE,"UNIT";#N/A,#N/A,FALSE,"계정"}</definedName>
    <definedName name="기초가격">#REF!</definedName>
    <definedName name="기타유동자산" localSheetId="42" hidden="1">{#N/A,#N/A,FALSE,"Aging Summary";#N/A,#N/A,FALSE,"Ratio Analysis";#N/A,#N/A,FALSE,"Test 120 Day Accts";#N/A,#N/A,FALSE,"Tickmarks"}</definedName>
    <definedName name="기타유동자산" hidden="1">{#N/A,#N/A,FALSE,"Aging Summary";#N/A,#N/A,FALSE,"Ratio Analysis";#N/A,#N/A,FALSE,"Test 120 Day Accts";#N/A,#N/A,FALSE,"Tickmarks"}</definedName>
    <definedName name="기획" localSheetId="15" hidden="1">{#N/A,#N/A,FALSE,"손익표지";#N/A,#N/A,FALSE,"손익계산";#N/A,#N/A,FALSE,"일반관리비";#N/A,#N/A,FALSE,"영업외수익";#N/A,#N/A,FALSE,"영업외비용";#N/A,#N/A,FALSE,"매출액";#N/A,#N/A,FALSE,"요약손익";#N/A,#N/A,FALSE,"요약대차";#N/A,#N/A,FALSE,"매출채권현황";#N/A,#N/A,FALSE,"매출채권명세"}</definedName>
    <definedName name="기획" localSheetId="6" hidden="1">{#N/A,#N/A,FALSE,"손익표지";#N/A,#N/A,FALSE,"손익계산";#N/A,#N/A,FALSE,"일반관리비";#N/A,#N/A,FALSE,"영업외수익";#N/A,#N/A,FALSE,"영업외비용";#N/A,#N/A,FALSE,"매출액";#N/A,#N/A,FALSE,"요약손익";#N/A,#N/A,FALSE,"요약대차";#N/A,#N/A,FALSE,"매출채권현황";#N/A,#N/A,FALSE,"매출채권명세"}</definedName>
    <definedName name="기획" localSheetId="45" hidden="1">{#N/A,#N/A,FALSE,"손익표지";#N/A,#N/A,FALSE,"손익계산";#N/A,#N/A,FALSE,"일반관리비";#N/A,#N/A,FALSE,"영업외수익";#N/A,#N/A,FALSE,"영업외비용";#N/A,#N/A,FALSE,"매출액";#N/A,#N/A,FALSE,"요약손익";#N/A,#N/A,FALSE,"요약대차";#N/A,#N/A,FALSE,"매출채권현황";#N/A,#N/A,FALSE,"매출채권명세"}</definedName>
    <definedName name="기획" localSheetId="42" hidden="1">{#N/A,#N/A,FALSE,"손익표지";#N/A,#N/A,FALSE,"손익계산";#N/A,#N/A,FALSE,"일반관리비";#N/A,#N/A,FALSE,"영업외수익";#N/A,#N/A,FALSE,"영업외비용";#N/A,#N/A,FALSE,"매출액";#N/A,#N/A,FALSE,"요약손익";#N/A,#N/A,FALSE,"요약대차";#N/A,#N/A,FALSE,"매출채권현황";#N/A,#N/A,FALSE,"매출채권명세"}</definedName>
    <definedName name="기획" hidden="1">{#N/A,#N/A,FALSE,"손익표지";#N/A,#N/A,FALSE,"손익계산";#N/A,#N/A,FALSE,"일반관리비";#N/A,#N/A,FALSE,"영업외수익";#N/A,#N/A,FALSE,"영업외비용";#N/A,#N/A,FALSE,"매출액";#N/A,#N/A,FALSE,"요약손익";#N/A,#N/A,FALSE,"요약대차";#N/A,#N/A,FALSE,"매출채권현황";#N/A,#N/A,FALSE,"매출채권명세"}</definedName>
    <definedName name="김" localSheetId="12" hidden="1">{#N/A,#N/A,FALSE,"Aging Summary";#N/A,#N/A,FALSE,"Ratio Analysis";#N/A,#N/A,FALSE,"Test 120 Day Accts";#N/A,#N/A,FALSE,"Tickmarks"}</definedName>
    <definedName name="김" localSheetId="15"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김" localSheetId="6"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김" localSheetId="45"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김" localSheetId="42"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김"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김대업" localSheetId="42" hidden="1">{#N/A,#N/A,FALSE,"기술료 비교"}</definedName>
    <definedName name="김대업" hidden="1">{#N/A,#N/A,FALSE,"기술료 비교"}</definedName>
    <definedName name="김아ㅏ" localSheetId="12" hidden="1">{#N/A,#N/A,FALSE,"지침";#N/A,#N/A,FALSE,"환경분석";#N/A,#N/A,FALSE,"Sheet16"}</definedName>
    <definedName name="김아ㅏ" localSheetId="42" hidden="1">{#N/A,#N/A,FALSE,"지침";#N/A,#N/A,FALSE,"환경분석";#N/A,#N/A,FALSE,"Sheet16"}</definedName>
    <definedName name="김아ㅏ" hidden="1">{#N/A,#N/A,FALSE,"지침";#N/A,#N/A,FALSE,"환경분석";#N/A,#N/A,FALSE,"Sheet16"}</definedName>
    <definedName name="김영삼" localSheetId="12" hidden="1">{#N/A,#N/A,FALSE,"지침";#N/A,#N/A,FALSE,"환경분석";#N/A,#N/A,FALSE,"Sheet16"}</definedName>
    <definedName name="김영삼" localSheetId="42" hidden="1">{#N/A,#N/A,FALSE,"지침";#N/A,#N/A,FALSE,"환경분석";#N/A,#N/A,FALSE,"Sheet16"}</definedName>
    <definedName name="김영삼" hidden="1">{#N/A,#N/A,FALSE,"지침";#N/A,#N/A,FALSE,"환경분석";#N/A,#N/A,FALSE,"Sheet16"}</definedName>
    <definedName name="김영철" localSheetId="15" hidden="1">{#N/A,#N/A,FALSE,"손익표지";#N/A,#N/A,FALSE,"손익계산";#N/A,#N/A,FALSE,"일반관리비";#N/A,#N/A,FALSE,"영업외수익";#N/A,#N/A,FALSE,"영업외비용";#N/A,#N/A,FALSE,"매출액";#N/A,#N/A,FALSE,"요약손익";#N/A,#N/A,FALSE,"요약대차";#N/A,#N/A,FALSE,"매출채권현황";#N/A,#N/A,FALSE,"매출채권명세"}</definedName>
    <definedName name="김영철" localSheetId="6" hidden="1">{#N/A,#N/A,FALSE,"손익표지";#N/A,#N/A,FALSE,"손익계산";#N/A,#N/A,FALSE,"일반관리비";#N/A,#N/A,FALSE,"영업외수익";#N/A,#N/A,FALSE,"영업외비용";#N/A,#N/A,FALSE,"매출액";#N/A,#N/A,FALSE,"요약손익";#N/A,#N/A,FALSE,"요약대차";#N/A,#N/A,FALSE,"매출채권현황";#N/A,#N/A,FALSE,"매출채권명세"}</definedName>
    <definedName name="김영철" localSheetId="45" hidden="1">{#N/A,#N/A,FALSE,"손익표지";#N/A,#N/A,FALSE,"손익계산";#N/A,#N/A,FALSE,"일반관리비";#N/A,#N/A,FALSE,"영업외수익";#N/A,#N/A,FALSE,"영업외비용";#N/A,#N/A,FALSE,"매출액";#N/A,#N/A,FALSE,"요약손익";#N/A,#N/A,FALSE,"요약대차";#N/A,#N/A,FALSE,"매출채권현황";#N/A,#N/A,FALSE,"매출채권명세"}</definedName>
    <definedName name="김영철" localSheetId="42" hidden="1">{#N/A,#N/A,FALSE,"손익표지";#N/A,#N/A,FALSE,"손익계산";#N/A,#N/A,FALSE,"일반관리비";#N/A,#N/A,FALSE,"영업외수익";#N/A,#N/A,FALSE,"영업외비용";#N/A,#N/A,FALSE,"매출액";#N/A,#N/A,FALSE,"요약손익";#N/A,#N/A,FALSE,"요약대차";#N/A,#N/A,FALSE,"매출채권현황";#N/A,#N/A,FALSE,"매출채권명세"}</definedName>
    <definedName name="김영철" hidden="1">{#N/A,#N/A,FALSE,"손익표지";#N/A,#N/A,FALSE,"손익계산";#N/A,#N/A,FALSE,"일반관리비";#N/A,#N/A,FALSE,"영업외수익";#N/A,#N/A,FALSE,"영업외비용";#N/A,#N/A,FALSE,"매출액";#N/A,#N/A,FALSE,"요약손익";#N/A,#N/A,FALSE,"요약대차";#N/A,#N/A,FALSE,"매출채권현황";#N/A,#N/A,FALSE,"매출채권명세"}</definedName>
    <definedName name="김종묵" localSheetId="42" hidden="1">{#N/A,#N/A,FALSE,"기술료 비교"}</definedName>
    <definedName name="김종묵" hidden="1">{#N/A,#N/A,FALSE,"기술료 비교"}</definedName>
    <definedName name="ㄳ" localSheetId="42" hidden="1">{#N/A,#N/A,FALSE,"UNIT";#N/A,#N/A,FALSE,"UNIT";#N/A,#N/A,FALSE,"계정"}</definedName>
    <definedName name="ㄳ" hidden="1">{#N/A,#N/A,FALSE,"UNIT";#N/A,#N/A,FALSE,"UNIT";#N/A,#N/A,FALSE,"계정"}</definedName>
    <definedName name="ㄴ" localSheetId="12" hidden="1">{#N/A,#N/A,FALSE,"Aging Summary";#N/A,#N/A,FALSE,"Ratio Analysis";#N/A,#N/A,FALSE,"Test 120 Day Accts";#N/A,#N/A,FALSE,"Tickmarks"}</definedName>
    <definedName name="ㄴ" localSheetId="15" hidden="1">{#N/A,#N/A,FALSE,"손익표지";#N/A,#N/A,FALSE,"손익계산";#N/A,#N/A,FALSE,"일반관리비";#N/A,#N/A,FALSE,"영업외수익";#N/A,#N/A,FALSE,"영업외비용";#N/A,#N/A,FALSE,"매출액";#N/A,#N/A,FALSE,"요약손익";#N/A,#N/A,FALSE,"요약대차";#N/A,#N/A,FALSE,"매출채권현황";#N/A,#N/A,FALSE,"매출채권명세"}</definedName>
    <definedName name="ㄴ" localSheetId="6" hidden="1">{#N/A,#N/A,FALSE,"손익표지";#N/A,#N/A,FALSE,"손익계산";#N/A,#N/A,FALSE,"일반관리비";#N/A,#N/A,FALSE,"영업외수익";#N/A,#N/A,FALSE,"영업외비용";#N/A,#N/A,FALSE,"매출액";#N/A,#N/A,FALSE,"요약손익";#N/A,#N/A,FALSE,"요약대차";#N/A,#N/A,FALSE,"매출채권현황";#N/A,#N/A,FALSE,"매출채권명세"}</definedName>
    <definedName name="ㄴ" localSheetId="45" hidden="1">{#N/A,#N/A,FALSE,"손익표지";#N/A,#N/A,FALSE,"손익계산";#N/A,#N/A,FALSE,"일반관리비";#N/A,#N/A,FALSE,"영업외수익";#N/A,#N/A,FALSE,"영업외비용";#N/A,#N/A,FALSE,"매출액";#N/A,#N/A,FALSE,"요약손익";#N/A,#N/A,FALSE,"요약대차";#N/A,#N/A,FALSE,"매출채권현황";#N/A,#N/A,FALSE,"매출채권명세"}</definedName>
    <definedName name="ㄴ" localSheetId="42" hidden="1">{#N/A,#N/A,FALSE,"손익표지";#N/A,#N/A,FALSE,"손익계산";#N/A,#N/A,FALSE,"일반관리비";#N/A,#N/A,FALSE,"영업외수익";#N/A,#N/A,FALSE,"영업외비용";#N/A,#N/A,FALSE,"매출액";#N/A,#N/A,FALSE,"요약손익";#N/A,#N/A,FALSE,"요약대차";#N/A,#N/A,FALSE,"매출채권현황";#N/A,#N/A,FALSE,"매출채권명세"}</definedName>
    <definedName name="ㄴ" hidden="1">{#N/A,#N/A,FALSE,"BS";#N/A,#N/A,FALSE,"PL";#N/A,#N/A,FALSE,"처분";#N/A,#N/A,FALSE,"현금";#N/A,#N/A,FALSE,"매출";#N/A,#N/A,FALSE,"원가";#N/A,#N/A,FALSE,"경영"}</definedName>
    <definedName name="ㄴㄴ" localSheetId="1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ㄴㄴ" localSheetId="42" hidden="1">{#N/A,#N/A,FALSE,"UNIT";#N/A,#N/A,FALSE,"UNIT";#N/A,#N/A,FALSE,"계정"}</definedName>
    <definedName name="ㄴㄴ" hidden="1">{#N/A,#N/A,FALSE,"UNIT";#N/A,#N/A,FALSE,"UNIT";#N/A,#N/A,FALSE,"계정"}</definedName>
    <definedName name="ㄴㄴㄴ" localSheetId="15" hidden="1">{#N/A,#N/A,FALSE,"정공"}</definedName>
    <definedName name="ㄴㄴㄴ" localSheetId="6" hidden="1">{#N/A,#N/A,FALSE,"정공"}</definedName>
    <definedName name="ㄴㄴㄴ" localSheetId="45" hidden="1">{#N/A,#N/A,FALSE,"정공"}</definedName>
    <definedName name="ㄴㄴㄴ" localSheetId="42" hidden="1">{#N/A,#N/A,FALSE,"정공"}</definedName>
    <definedName name="ㄴㄴㄴ" hidden="1">{#N/A,#N/A,FALSE,"정공"}</definedName>
    <definedName name="ㄴㄴㄴㄴ" localSheetId="12" hidden="1">{#N/A,#N/A,FALSE,"지침";#N/A,#N/A,FALSE,"환경분석";#N/A,#N/A,FALSE,"Sheet16"}</definedName>
    <definedName name="ㄴㄴㄴㄴ" localSheetId="42" hidden="1">{#N/A,#N/A,FALSE,"UNIT";#N/A,#N/A,FALSE,"UNIT";#N/A,#N/A,FALSE,"계정"}</definedName>
    <definedName name="ㄴㄴㄴㄴ" hidden="1">{#N/A,#N/A,FALSE,"UNIT";#N/A,#N/A,FALSE,"UNIT";#N/A,#N/A,FALSE,"계정"}</definedName>
    <definedName name="ㄴㄴㄴㄴㄴ" localSheetId="42" hidden="1">{"'2 혼례가구(1)'!$C$10"}</definedName>
    <definedName name="ㄴㄴㄴㄴㄴ" hidden="1">{"'2 혼례가구(1)'!$C$10"}</definedName>
    <definedName name="ㄴㄴㅇ" localSheetId="12" hidden="1">#REF!</definedName>
    <definedName name="ㄴㄴㅇ" hidden="1">#REF!</definedName>
    <definedName name="ㄴㄹㅇㅎㅇㄴ" localSheetId="15" hidden="1">{#N/A,#N/A,FALSE,"손익표지";#N/A,#N/A,FALSE,"손익계산";#N/A,#N/A,FALSE,"일반관리비";#N/A,#N/A,FALSE,"영업외수익";#N/A,#N/A,FALSE,"영업외비용";#N/A,#N/A,FALSE,"매출액";#N/A,#N/A,FALSE,"요약손익";#N/A,#N/A,FALSE,"요약대차";#N/A,#N/A,FALSE,"매출채권현황";#N/A,#N/A,FALSE,"매출채권명세"}</definedName>
    <definedName name="ㄴㄹㅇㅎㅇㄴ" localSheetId="6" hidden="1">{#N/A,#N/A,FALSE,"손익표지";#N/A,#N/A,FALSE,"손익계산";#N/A,#N/A,FALSE,"일반관리비";#N/A,#N/A,FALSE,"영업외수익";#N/A,#N/A,FALSE,"영업외비용";#N/A,#N/A,FALSE,"매출액";#N/A,#N/A,FALSE,"요약손익";#N/A,#N/A,FALSE,"요약대차";#N/A,#N/A,FALSE,"매출채권현황";#N/A,#N/A,FALSE,"매출채권명세"}</definedName>
    <definedName name="ㄴㄹㅇㅎㅇㄴ" localSheetId="45" hidden="1">{#N/A,#N/A,FALSE,"손익표지";#N/A,#N/A,FALSE,"손익계산";#N/A,#N/A,FALSE,"일반관리비";#N/A,#N/A,FALSE,"영업외수익";#N/A,#N/A,FALSE,"영업외비용";#N/A,#N/A,FALSE,"매출액";#N/A,#N/A,FALSE,"요약손익";#N/A,#N/A,FALSE,"요약대차";#N/A,#N/A,FALSE,"매출채권현황";#N/A,#N/A,FALSE,"매출채권명세"}</definedName>
    <definedName name="ㄴㄹㅇㅎㅇㄴ" localSheetId="42" hidden="1">{#N/A,#N/A,FALSE,"손익표지";#N/A,#N/A,FALSE,"손익계산";#N/A,#N/A,FALSE,"일반관리비";#N/A,#N/A,FALSE,"영업외수익";#N/A,#N/A,FALSE,"영업외비용";#N/A,#N/A,FALSE,"매출액";#N/A,#N/A,FALSE,"요약손익";#N/A,#N/A,FALSE,"요약대차";#N/A,#N/A,FALSE,"매출채권현황";#N/A,#N/A,FALSE,"매출채권명세"}</definedName>
    <definedName name="ㄴㄹㅇㅎㅇㄴ" hidden="1">{#N/A,#N/A,FALSE,"손익표지";#N/A,#N/A,FALSE,"손익계산";#N/A,#N/A,FALSE,"일반관리비";#N/A,#N/A,FALSE,"영업외수익";#N/A,#N/A,FALSE,"영업외비용";#N/A,#N/A,FALSE,"매출액";#N/A,#N/A,FALSE,"요약손익";#N/A,#N/A,FALSE,"요약대차";#N/A,#N/A,FALSE,"매출채권현황";#N/A,#N/A,FALSE,"매출채권명세"}</definedName>
    <definedName name="ㄴ론ㅎ" localSheetId="15" hidden="1">{#N/A,#N/A,FALSE,"손익표지";#N/A,#N/A,FALSE,"손익계산";#N/A,#N/A,FALSE,"일반관리비";#N/A,#N/A,FALSE,"영업외수익";#N/A,#N/A,FALSE,"영업외비용";#N/A,#N/A,FALSE,"매출액";#N/A,#N/A,FALSE,"요약손익";#N/A,#N/A,FALSE,"요약대차";#N/A,#N/A,FALSE,"매출채권현황";#N/A,#N/A,FALSE,"매출채권명세"}</definedName>
    <definedName name="ㄴ론ㅎ" localSheetId="6" hidden="1">{#N/A,#N/A,FALSE,"손익표지";#N/A,#N/A,FALSE,"손익계산";#N/A,#N/A,FALSE,"일반관리비";#N/A,#N/A,FALSE,"영업외수익";#N/A,#N/A,FALSE,"영업외비용";#N/A,#N/A,FALSE,"매출액";#N/A,#N/A,FALSE,"요약손익";#N/A,#N/A,FALSE,"요약대차";#N/A,#N/A,FALSE,"매출채권현황";#N/A,#N/A,FALSE,"매출채권명세"}</definedName>
    <definedName name="ㄴ론ㅎ" localSheetId="45" hidden="1">{#N/A,#N/A,FALSE,"손익표지";#N/A,#N/A,FALSE,"손익계산";#N/A,#N/A,FALSE,"일반관리비";#N/A,#N/A,FALSE,"영업외수익";#N/A,#N/A,FALSE,"영업외비용";#N/A,#N/A,FALSE,"매출액";#N/A,#N/A,FALSE,"요약손익";#N/A,#N/A,FALSE,"요약대차";#N/A,#N/A,FALSE,"매출채권현황";#N/A,#N/A,FALSE,"매출채권명세"}</definedName>
    <definedName name="ㄴ론ㅎ" localSheetId="42" hidden="1">{#N/A,#N/A,FALSE,"손익표지";#N/A,#N/A,FALSE,"손익계산";#N/A,#N/A,FALSE,"일반관리비";#N/A,#N/A,FALSE,"영업외수익";#N/A,#N/A,FALSE,"영업외비용";#N/A,#N/A,FALSE,"매출액";#N/A,#N/A,FALSE,"요약손익";#N/A,#N/A,FALSE,"요약대차";#N/A,#N/A,FALSE,"매출채권현황";#N/A,#N/A,FALSE,"매출채권명세"}</definedName>
    <definedName name="ㄴ론ㅎ" hidden="1">{#N/A,#N/A,FALSE,"손익표지";#N/A,#N/A,FALSE,"손익계산";#N/A,#N/A,FALSE,"일반관리비";#N/A,#N/A,FALSE,"영업외수익";#N/A,#N/A,FALSE,"영업외비용";#N/A,#N/A,FALSE,"매출액";#N/A,#N/A,FALSE,"요약손익";#N/A,#N/A,FALSE,"요약대차";#N/A,#N/A,FALSE,"매출채권현황";#N/A,#N/A,FALSE,"매출채권명세"}</definedName>
    <definedName name="ㄴ류율ㅇ" localSheetId="15" hidden="1">{#N/A,#N/A,FALSE,"Yield";#N/A,#N/A,FALSE,"Loss1";#N/A,#N/A,FALSE,"Loss2";#N/A,#N/A,FALSE,"Hour-Labor(배분)";#N/A,#N/A,FALSE,"Capital Expenditure";#N/A,#N/A,FALSE,"Productivity"}</definedName>
    <definedName name="ㄴ류율ㅇ" localSheetId="6" hidden="1">{#N/A,#N/A,FALSE,"Yield";#N/A,#N/A,FALSE,"Loss1";#N/A,#N/A,FALSE,"Loss2";#N/A,#N/A,FALSE,"Hour-Labor(배분)";#N/A,#N/A,FALSE,"Capital Expenditure";#N/A,#N/A,FALSE,"Productivity"}</definedName>
    <definedName name="ㄴ류율ㅇ" localSheetId="45" hidden="1">{#N/A,#N/A,FALSE,"Yield";#N/A,#N/A,FALSE,"Loss1";#N/A,#N/A,FALSE,"Loss2";#N/A,#N/A,FALSE,"Hour-Labor(배분)";#N/A,#N/A,FALSE,"Capital Expenditure";#N/A,#N/A,FALSE,"Productivity"}</definedName>
    <definedName name="ㄴ류율ㅇ" localSheetId="42" hidden="1">{#N/A,#N/A,FALSE,"Yield";#N/A,#N/A,FALSE,"Loss1";#N/A,#N/A,FALSE,"Loss2";#N/A,#N/A,FALSE,"Hour-Labor(배분)";#N/A,#N/A,FALSE,"Capital Expenditure";#N/A,#N/A,FALSE,"Productivity"}</definedName>
    <definedName name="ㄴ류율ㅇ" hidden="1">{#N/A,#N/A,FALSE,"Yield";#N/A,#N/A,FALSE,"Loss1";#N/A,#N/A,FALSE,"Loss2";#N/A,#N/A,FALSE,"Hour-Labor(배분)";#N/A,#N/A,FALSE,"Capital Expenditure";#N/A,#N/A,FALSE,"Productivity"}</definedName>
    <definedName name="ㄴㅁ" localSheetId="42" hidden="1">{#N/A,#N/A,FALSE,"UNIT";#N/A,#N/A,FALSE,"UNIT";#N/A,#N/A,FALSE,"계정"}</definedName>
    <definedName name="ㄴㅁ" hidden="1">{#N/A,#N/A,FALSE,"UNIT";#N/A,#N/A,FALSE,"UNIT";#N/A,#N/A,FALSE,"계정"}</definedName>
    <definedName name="ㄴㅁㄻㄹ" localSheetId="15" hidden="1">{#N/A,#N/A,FALSE,"정공"}</definedName>
    <definedName name="ㄴㅁㄻㄹ" localSheetId="6" hidden="1">{#N/A,#N/A,FALSE,"정공"}</definedName>
    <definedName name="ㄴㅁㄻㄹ" localSheetId="45" hidden="1">{#N/A,#N/A,FALSE,"정공"}</definedName>
    <definedName name="ㄴㅁㄻㄹ" localSheetId="42" hidden="1">{#N/A,#N/A,FALSE,"정공"}</definedName>
    <definedName name="ㄴㅁㄻㄹ" hidden="1">{#N/A,#N/A,FALSE,"정공"}</definedName>
    <definedName name="ㄴㅁㅇㄹㄴㅁ" localSheetId="15" hidden="1">{#N/A,#N/A,FALSE,"손익표지";#N/A,#N/A,FALSE,"손익계산";#N/A,#N/A,FALSE,"일반관리비";#N/A,#N/A,FALSE,"영업외수익";#N/A,#N/A,FALSE,"영업외비용";#N/A,#N/A,FALSE,"매출액";#N/A,#N/A,FALSE,"요약손익";#N/A,#N/A,FALSE,"요약대차";#N/A,#N/A,FALSE,"매출채권현황";#N/A,#N/A,FALSE,"매출채권명세"}</definedName>
    <definedName name="ㄴㅁㅇㄹㄴㅁ" localSheetId="6" hidden="1">{#N/A,#N/A,FALSE,"손익표지";#N/A,#N/A,FALSE,"손익계산";#N/A,#N/A,FALSE,"일반관리비";#N/A,#N/A,FALSE,"영업외수익";#N/A,#N/A,FALSE,"영업외비용";#N/A,#N/A,FALSE,"매출액";#N/A,#N/A,FALSE,"요약손익";#N/A,#N/A,FALSE,"요약대차";#N/A,#N/A,FALSE,"매출채권현황";#N/A,#N/A,FALSE,"매출채권명세"}</definedName>
    <definedName name="ㄴㅁㅇㄹㄴㅁ" localSheetId="45" hidden="1">{#N/A,#N/A,FALSE,"손익표지";#N/A,#N/A,FALSE,"손익계산";#N/A,#N/A,FALSE,"일반관리비";#N/A,#N/A,FALSE,"영업외수익";#N/A,#N/A,FALSE,"영업외비용";#N/A,#N/A,FALSE,"매출액";#N/A,#N/A,FALSE,"요약손익";#N/A,#N/A,FALSE,"요약대차";#N/A,#N/A,FALSE,"매출채권현황";#N/A,#N/A,FALSE,"매출채권명세"}</definedName>
    <definedName name="ㄴㅁㅇㄹㄴㅁ" localSheetId="42" hidden="1">{#N/A,#N/A,FALSE,"손익표지";#N/A,#N/A,FALSE,"손익계산";#N/A,#N/A,FALSE,"일반관리비";#N/A,#N/A,FALSE,"영업외수익";#N/A,#N/A,FALSE,"영업외비용";#N/A,#N/A,FALSE,"매출액";#N/A,#N/A,FALSE,"요약손익";#N/A,#N/A,FALSE,"요약대차";#N/A,#N/A,FALSE,"매출채권현황";#N/A,#N/A,FALSE,"매출채권명세"}</definedName>
    <definedName name="ㄴㅁㅇㄹㄴㅁ" hidden="1">{#N/A,#N/A,FALSE,"손익표지";#N/A,#N/A,FALSE,"손익계산";#N/A,#N/A,FALSE,"일반관리비";#N/A,#N/A,FALSE,"영업외수익";#N/A,#N/A,FALSE,"영업외비용";#N/A,#N/A,FALSE,"매출액";#N/A,#N/A,FALSE,"요약손익";#N/A,#N/A,FALSE,"요약대차";#N/A,#N/A,FALSE,"매출채권현황";#N/A,#N/A,FALSE,"매출채권명세"}</definedName>
    <definedName name="ㄴㅁㅇㄻㄴ" localSheetId="15" hidden="1">{#N/A,#N/A,FALSE,"손익표지";#N/A,#N/A,FALSE,"손익계산";#N/A,#N/A,FALSE,"일반관리비";#N/A,#N/A,FALSE,"영업외수익";#N/A,#N/A,FALSE,"영업외비용";#N/A,#N/A,FALSE,"매출액";#N/A,#N/A,FALSE,"요약손익";#N/A,#N/A,FALSE,"요약대차";#N/A,#N/A,FALSE,"매출채권현황";#N/A,#N/A,FALSE,"매출채권명세"}</definedName>
    <definedName name="ㄴㅁㅇㄻㄴ" localSheetId="6" hidden="1">{#N/A,#N/A,FALSE,"손익표지";#N/A,#N/A,FALSE,"손익계산";#N/A,#N/A,FALSE,"일반관리비";#N/A,#N/A,FALSE,"영업외수익";#N/A,#N/A,FALSE,"영업외비용";#N/A,#N/A,FALSE,"매출액";#N/A,#N/A,FALSE,"요약손익";#N/A,#N/A,FALSE,"요약대차";#N/A,#N/A,FALSE,"매출채권현황";#N/A,#N/A,FALSE,"매출채권명세"}</definedName>
    <definedName name="ㄴㅁㅇㄻㄴ" localSheetId="45" hidden="1">{#N/A,#N/A,FALSE,"손익표지";#N/A,#N/A,FALSE,"손익계산";#N/A,#N/A,FALSE,"일반관리비";#N/A,#N/A,FALSE,"영업외수익";#N/A,#N/A,FALSE,"영업외비용";#N/A,#N/A,FALSE,"매출액";#N/A,#N/A,FALSE,"요약손익";#N/A,#N/A,FALSE,"요약대차";#N/A,#N/A,FALSE,"매출채권현황";#N/A,#N/A,FALSE,"매출채권명세"}</definedName>
    <definedName name="ㄴㅁㅇㄻㄴ" localSheetId="42" hidden="1">{#N/A,#N/A,FALSE,"손익표지";#N/A,#N/A,FALSE,"손익계산";#N/A,#N/A,FALSE,"일반관리비";#N/A,#N/A,FALSE,"영업외수익";#N/A,#N/A,FALSE,"영업외비용";#N/A,#N/A,FALSE,"매출액";#N/A,#N/A,FALSE,"요약손익";#N/A,#N/A,FALSE,"요약대차";#N/A,#N/A,FALSE,"매출채권현황";#N/A,#N/A,FALSE,"매출채권명세"}</definedName>
    <definedName name="ㄴㅁㅇㄻㄴ" hidden="1">{#N/A,#N/A,FALSE,"손익표지";#N/A,#N/A,FALSE,"손익계산";#N/A,#N/A,FALSE,"일반관리비";#N/A,#N/A,FALSE,"영업외수익";#N/A,#N/A,FALSE,"영업외비용";#N/A,#N/A,FALSE,"매출액";#N/A,#N/A,FALSE,"요약손익";#N/A,#N/A,FALSE,"요약대차";#N/A,#N/A,FALSE,"매출채권현황";#N/A,#N/A,FALSE,"매출채권명세"}</definedName>
    <definedName name="ㄴㅇ" localSheetId="4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ㄴㅇ"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ㄴㅇㄹ" localSheetId="12" hidden="1">#REF!</definedName>
    <definedName name="ㄴㅇㄹ" localSheetId="42" hidden="1">{#N/A,#N/A,FALSE,"UNIT";#N/A,#N/A,FALSE,"UNIT";#N/A,#N/A,FALSE,"계정"}</definedName>
    <definedName name="ㄴㅇㄹ" hidden="1">{#N/A,#N/A,FALSE,"UNIT";#N/A,#N/A,FALSE,"UNIT";#N/A,#N/A,FALSE,"계정"}</definedName>
    <definedName name="ㄴㅇㄹㄴㄹ" localSheetId="15" hidden="1">{#N/A,#N/A,FALSE,"손익표지";#N/A,#N/A,FALSE,"손익계산";#N/A,#N/A,FALSE,"일반관리비";#N/A,#N/A,FALSE,"영업외수익";#N/A,#N/A,FALSE,"영업외비용";#N/A,#N/A,FALSE,"매출액";#N/A,#N/A,FALSE,"요약손익";#N/A,#N/A,FALSE,"요약대차";#N/A,#N/A,FALSE,"매출채권현황";#N/A,#N/A,FALSE,"매출채권명세"}</definedName>
    <definedName name="ㄴㅇㄹㄴㄹ" localSheetId="6" hidden="1">{#N/A,#N/A,FALSE,"손익표지";#N/A,#N/A,FALSE,"손익계산";#N/A,#N/A,FALSE,"일반관리비";#N/A,#N/A,FALSE,"영업외수익";#N/A,#N/A,FALSE,"영업외비용";#N/A,#N/A,FALSE,"매출액";#N/A,#N/A,FALSE,"요약손익";#N/A,#N/A,FALSE,"요약대차";#N/A,#N/A,FALSE,"매출채권현황";#N/A,#N/A,FALSE,"매출채권명세"}</definedName>
    <definedName name="ㄴㅇㄹㄴㄹ" localSheetId="45" hidden="1">{#N/A,#N/A,FALSE,"손익표지";#N/A,#N/A,FALSE,"손익계산";#N/A,#N/A,FALSE,"일반관리비";#N/A,#N/A,FALSE,"영업외수익";#N/A,#N/A,FALSE,"영업외비용";#N/A,#N/A,FALSE,"매출액";#N/A,#N/A,FALSE,"요약손익";#N/A,#N/A,FALSE,"요약대차";#N/A,#N/A,FALSE,"매출채권현황";#N/A,#N/A,FALSE,"매출채권명세"}</definedName>
    <definedName name="ㄴㅇㄹㄴㄹ" localSheetId="42" hidden="1">{#N/A,#N/A,FALSE,"손익표지";#N/A,#N/A,FALSE,"손익계산";#N/A,#N/A,FALSE,"일반관리비";#N/A,#N/A,FALSE,"영업외수익";#N/A,#N/A,FALSE,"영업외비용";#N/A,#N/A,FALSE,"매출액";#N/A,#N/A,FALSE,"요약손익";#N/A,#N/A,FALSE,"요약대차";#N/A,#N/A,FALSE,"매출채권현황";#N/A,#N/A,FALSE,"매출채권명세"}</definedName>
    <definedName name="ㄴㅇㄹㄴㄹ" hidden="1">{#N/A,#N/A,FALSE,"손익표지";#N/A,#N/A,FALSE,"손익계산";#N/A,#N/A,FALSE,"일반관리비";#N/A,#N/A,FALSE,"영업외수익";#N/A,#N/A,FALSE,"영업외비용";#N/A,#N/A,FALSE,"매출액";#N/A,#N/A,FALSE,"요약손익";#N/A,#N/A,FALSE,"요약대차";#N/A,#N/A,FALSE,"매출채권현황";#N/A,#N/A,FALSE,"매출채권명세"}</definedName>
    <definedName name="ㄴㅇㄹㄴㅇㄹ" localSheetId="15" hidden="1">{#N/A,#N/A,FALSE,"손익표지";#N/A,#N/A,FALSE,"손익계산";#N/A,#N/A,FALSE,"일반관리비";#N/A,#N/A,FALSE,"영업외수익";#N/A,#N/A,FALSE,"영업외비용";#N/A,#N/A,FALSE,"매출액";#N/A,#N/A,FALSE,"요약손익";#N/A,#N/A,FALSE,"요약대차";#N/A,#N/A,FALSE,"매출채권현황";#N/A,#N/A,FALSE,"매출채권명세"}</definedName>
    <definedName name="ㄴㅇㄹㄴㅇㄹ" localSheetId="6" hidden="1">{#N/A,#N/A,FALSE,"손익표지";#N/A,#N/A,FALSE,"손익계산";#N/A,#N/A,FALSE,"일반관리비";#N/A,#N/A,FALSE,"영업외수익";#N/A,#N/A,FALSE,"영업외비용";#N/A,#N/A,FALSE,"매출액";#N/A,#N/A,FALSE,"요약손익";#N/A,#N/A,FALSE,"요약대차";#N/A,#N/A,FALSE,"매출채권현황";#N/A,#N/A,FALSE,"매출채권명세"}</definedName>
    <definedName name="ㄴㅇㄹㄴㅇㄹ" localSheetId="45" hidden="1">{#N/A,#N/A,FALSE,"손익표지";#N/A,#N/A,FALSE,"손익계산";#N/A,#N/A,FALSE,"일반관리비";#N/A,#N/A,FALSE,"영업외수익";#N/A,#N/A,FALSE,"영업외비용";#N/A,#N/A,FALSE,"매출액";#N/A,#N/A,FALSE,"요약손익";#N/A,#N/A,FALSE,"요약대차";#N/A,#N/A,FALSE,"매출채권현황";#N/A,#N/A,FALSE,"매출채권명세"}</definedName>
    <definedName name="ㄴㅇㄹㄴㅇㄹ" localSheetId="42" hidden="1">{#N/A,#N/A,FALSE,"손익표지";#N/A,#N/A,FALSE,"손익계산";#N/A,#N/A,FALSE,"일반관리비";#N/A,#N/A,FALSE,"영업외수익";#N/A,#N/A,FALSE,"영업외비용";#N/A,#N/A,FALSE,"매출액";#N/A,#N/A,FALSE,"요약손익";#N/A,#N/A,FALSE,"요약대차";#N/A,#N/A,FALSE,"매출채권현황";#N/A,#N/A,FALSE,"매출채권명세"}</definedName>
    <definedName name="ㄴㅇㄹㄴㅇㄹ" hidden="1">{#N/A,#N/A,FALSE,"손익표지";#N/A,#N/A,FALSE,"손익계산";#N/A,#N/A,FALSE,"일반관리비";#N/A,#N/A,FALSE,"영업외수익";#N/A,#N/A,FALSE,"영업외비용";#N/A,#N/A,FALSE,"매출액";#N/A,#N/A,FALSE,"요약손익";#N/A,#N/A,FALSE,"요약대차";#N/A,#N/A,FALSE,"매출채권현황";#N/A,#N/A,FALSE,"매출채권명세"}</definedName>
    <definedName name="ㄴㅇㄹㄴㅇㄹㄴㄹㅇㄴ" localSheetId="15" hidden="1">{#N/A,#N/A,FALSE,"손익표지";#N/A,#N/A,FALSE,"손익계산";#N/A,#N/A,FALSE,"일반관리비";#N/A,#N/A,FALSE,"영업외수익";#N/A,#N/A,FALSE,"영업외비용";#N/A,#N/A,FALSE,"매출액";#N/A,#N/A,FALSE,"요약손익";#N/A,#N/A,FALSE,"요약대차";#N/A,#N/A,FALSE,"매출채권현황";#N/A,#N/A,FALSE,"매출채권명세"}</definedName>
    <definedName name="ㄴㅇㄹㄴㅇㄹㄴㄹㅇㄴ" localSheetId="6" hidden="1">{#N/A,#N/A,FALSE,"손익표지";#N/A,#N/A,FALSE,"손익계산";#N/A,#N/A,FALSE,"일반관리비";#N/A,#N/A,FALSE,"영업외수익";#N/A,#N/A,FALSE,"영업외비용";#N/A,#N/A,FALSE,"매출액";#N/A,#N/A,FALSE,"요약손익";#N/A,#N/A,FALSE,"요약대차";#N/A,#N/A,FALSE,"매출채권현황";#N/A,#N/A,FALSE,"매출채권명세"}</definedName>
    <definedName name="ㄴㅇㄹㄴㅇㄹㄴㄹㅇㄴ" localSheetId="45" hidden="1">{#N/A,#N/A,FALSE,"손익표지";#N/A,#N/A,FALSE,"손익계산";#N/A,#N/A,FALSE,"일반관리비";#N/A,#N/A,FALSE,"영업외수익";#N/A,#N/A,FALSE,"영업외비용";#N/A,#N/A,FALSE,"매출액";#N/A,#N/A,FALSE,"요약손익";#N/A,#N/A,FALSE,"요약대차";#N/A,#N/A,FALSE,"매출채권현황";#N/A,#N/A,FALSE,"매출채권명세"}</definedName>
    <definedName name="ㄴㅇㄹㄴㅇㄹㄴㄹㅇㄴ" localSheetId="42" hidden="1">{#N/A,#N/A,FALSE,"손익표지";#N/A,#N/A,FALSE,"손익계산";#N/A,#N/A,FALSE,"일반관리비";#N/A,#N/A,FALSE,"영업외수익";#N/A,#N/A,FALSE,"영업외비용";#N/A,#N/A,FALSE,"매출액";#N/A,#N/A,FALSE,"요약손익";#N/A,#N/A,FALSE,"요약대차";#N/A,#N/A,FALSE,"매출채권현황";#N/A,#N/A,FALSE,"매출채권명세"}</definedName>
    <definedName name="ㄴㅇㄹㄴㅇㄹㄴㄹㅇㄴ" hidden="1">{#N/A,#N/A,FALSE,"손익표지";#N/A,#N/A,FALSE,"손익계산";#N/A,#N/A,FALSE,"일반관리비";#N/A,#N/A,FALSE,"영업외수익";#N/A,#N/A,FALSE,"영업외비용";#N/A,#N/A,FALSE,"매출액";#N/A,#N/A,FALSE,"요약손익";#N/A,#N/A,FALSE,"요약대차";#N/A,#N/A,FALSE,"매출채권현황";#N/A,#N/A,FALSE,"매출채권명세"}</definedName>
    <definedName name="ㄴㅇ라" localSheetId="15" hidden="1">{#N/A,#N/A,FALSE,"계약직(여)"}</definedName>
    <definedName name="ㄴㅇ라" localSheetId="6" hidden="1">{#N/A,#N/A,FALSE,"계약직(여)"}</definedName>
    <definedName name="ㄴㅇ라" localSheetId="45" hidden="1">{#N/A,#N/A,FALSE,"계약직(여)"}</definedName>
    <definedName name="ㄴㅇ라" localSheetId="42" hidden="1">{#N/A,#N/A,FALSE,"계약직(여)"}</definedName>
    <definedName name="ㄴㅇ라" hidden="1">{#N/A,#N/A,FALSE,"계약직(여)"}</definedName>
    <definedName name="ㄴㅇㄻㄴㅇㄻ" localSheetId="15" hidden="1">{#N/A,#N/A,FALSE,"손익표지";#N/A,#N/A,FALSE,"손익계산";#N/A,#N/A,FALSE,"일반관리비";#N/A,#N/A,FALSE,"영업외수익";#N/A,#N/A,FALSE,"영업외비용";#N/A,#N/A,FALSE,"매출액";#N/A,#N/A,FALSE,"요약손익";#N/A,#N/A,FALSE,"요약대차";#N/A,#N/A,FALSE,"매출채권현황";#N/A,#N/A,FALSE,"매출채권명세"}</definedName>
    <definedName name="ㄴㅇㄻㄴㅇㄻ" localSheetId="6" hidden="1">{#N/A,#N/A,FALSE,"손익표지";#N/A,#N/A,FALSE,"손익계산";#N/A,#N/A,FALSE,"일반관리비";#N/A,#N/A,FALSE,"영업외수익";#N/A,#N/A,FALSE,"영업외비용";#N/A,#N/A,FALSE,"매출액";#N/A,#N/A,FALSE,"요약손익";#N/A,#N/A,FALSE,"요약대차";#N/A,#N/A,FALSE,"매출채권현황";#N/A,#N/A,FALSE,"매출채권명세"}</definedName>
    <definedName name="ㄴㅇㄻㄴㅇㄻ" localSheetId="45" hidden="1">{#N/A,#N/A,FALSE,"손익표지";#N/A,#N/A,FALSE,"손익계산";#N/A,#N/A,FALSE,"일반관리비";#N/A,#N/A,FALSE,"영업외수익";#N/A,#N/A,FALSE,"영업외비용";#N/A,#N/A,FALSE,"매출액";#N/A,#N/A,FALSE,"요약손익";#N/A,#N/A,FALSE,"요약대차";#N/A,#N/A,FALSE,"매출채권현황";#N/A,#N/A,FALSE,"매출채권명세"}</definedName>
    <definedName name="ㄴㅇㄻㄴㅇㄻ" localSheetId="42" hidden="1">{#N/A,#N/A,FALSE,"손익표지";#N/A,#N/A,FALSE,"손익계산";#N/A,#N/A,FALSE,"일반관리비";#N/A,#N/A,FALSE,"영업외수익";#N/A,#N/A,FALSE,"영업외비용";#N/A,#N/A,FALSE,"매출액";#N/A,#N/A,FALSE,"요약손익";#N/A,#N/A,FALSE,"요약대차";#N/A,#N/A,FALSE,"매출채권현황";#N/A,#N/A,FALSE,"매출채권명세"}</definedName>
    <definedName name="ㄴㅇㄻㄴㅇㄻ" hidden="1">{#N/A,#N/A,FALSE,"손익표지";#N/A,#N/A,FALSE,"손익계산";#N/A,#N/A,FALSE,"일반관리비";#N/A,#N/A,FALSE,"영업외수익";#N/A,#N/A,FALSE,"영업외비용";#N/A,#N/A,FALSE,"매출액";#N/A,#N/A,FALSE,"요약손익";#N/A,#N/A,FALSE,"요약대차";#N/A,#N/A,FALSE,"매출채권현황";#N/A,#N/A,FALSE,"매출채권명세"}</definedName>
    <definedName name="ㄴㅇㅀ" localSheetId="15" hidden="1">{"FORM1",#N/A,FALSE,"Revenue";"FORMTR",#N/A,FALSE,"Revenue";"FORM3.1",#N/A,FALSE,"Revenue"}</definedName>
    <definedName name="ㄴㅇㅀ" localSheetId="6" hidden="1">{"FORM1",#N/A,FALSE,"Revenue";"FORMTR",#N/A,FALSE,"Revenue";"FORM3.1",#N/A,FALSE,"Revenue"}</definedName>
    <definedName name="ㄴㅇㅀ" localSheetId="45" hidden="1">{"FORM1",#N/A,FALSE,"Revenue";"FORMTR",#N/A,FALSE,"Revenue";"FORM3.1",#N/A,FALSE,"Revenue"}</definedName>
    <definedName name="ㄴㅇㅀ" localSheetId="42" hidden="1">{"FORM1",#N/A,FALSE,"Revenue";"FORMTR",#N/A,FALSE,"Revenue";"FORM3.1",#N/A,FALSE,"Revenue"}</definedName>
    <definedName name="ㄴㅇㅀ" hidden="1">{"FORM1",#N/A,FALSE,"Revenue";"FORMTR",#N/A,FALSE,"Revenue";"FORM3.1",#N/A,FALSE,"Revenue"}</definedName>
    <definedName name="ㄴㅇㅇㅇㅇ" localSheetId="15" hidden="1">{#N/A,#N/A,FALSE,"정공"}</definedName>
    <definedName name="ㄴㅇㅇㅇㅇ" localSheetId="6" hidden="1">{#N/A,#N/A,FALSE,"정공"}</definedName>
    <definedName name="ㄴㅇㅇㅇㅇ" localSheetId="45" hidden="1">{#N/A,#N/A,FALSE,"정공"}</definedName>
    <definedName name="ㄴㅇㅇㅇㅇ" localSheetId="42" hidden="1">{#N/A,#N/A,FALSE,"정공"}</definedName>
    <definedName name="ㄴㅇㅇㅇㅇ" hidden="1">{#N/A,#N/A,FALSE,"정공"}</definedName>
    <definedName name="나" localSheetId="12" hidden="1">{#N/A,#N/A,FALSE,"Aging Summary";#N/A,#N/A,FALSE,"Ratio Analysis";#N/A,#N/A,FALSE,"Test 120 Day Accts";#N/A,#N/A,FALSE,"Tickmarks"}</definedName>
    <definedName name="나" localSheetId="42" hidden="1">{#N/A,#N/A,FALSE,"1.CRITERIA";#N/A,#N/A,FALSE,"2.IS";#N/A,#N/A,FALSE,"3.BS";#N/A,#N/A,FALSE,"4.PER PL";#N/A,#N/A,FALSE,"5.INVESTMENT";#N/A,#N/A,FALSE,"6.공문";#N/A,#N/A,FALSE,"7.netinvest"}</definedName>
    <definedName name="나" hidden="1">{#N/A,#N/A,FALSE,"1.CRITERIA";#N/A,#N/A,FALSE,"2.IS";#N/A,#N/A,FALSE,"3.BS";#N/A,#N/A,FALSE,"4.PER PL";#N/A,#N/A,FALSE,"5.INVESTMENT";#N/A,#N/A,FALSE,"6.공문";#N/A,#N/A,FALSE,"7.netinvest"}</definedName>
    <definedName name="나나나" localSheetId="15" hidden="1">{"'미착금액'!$A$4:$G$14"}</definedName>
    <definedName name="나나나" localSheetId="6" hidden="1">{"'미착금액'!$A$4:$G$14"}</definedName>
    <definedName name="나나나" localSheetId="45" hidden="1">{"'미착금액'!$A$4:$G$14"}</definedName>
    <definedName name="나나나" localSheetId="42" hidden="1">{"'미착금액'!$A$4:$G$14"}</definedName>
    <definedName name="나나나" hidden="1">{"'미착금액'!$A$4:$G$14"}</definedName>
    <definedName name="나나아ㅓㅇㅇ" localSheetId="15" hidden="1">{#N/A,#N/A,FALSE,"정공"}</definedName>
    <definedName name="나나아ㅓㅇㅇ" localSheetId="6" hidden="1">{#N/A,#N/A,FALSE,"정공"}</definedName>
    <definedName name="나나아ㅓㅇㅇ" localSheetId="45" hidden="1">{#N/A,#N/A,FALSE,"정공"}</definedName>
    <definedName name="나나아ㅓㅇㅇ" localSheetId="42" hidden="1">{#N/A,#N/A,FALSE,"정공"}</definedName>
    <definedName name="나나아ㅓㅇㅇ" hidden="1">{#N/A,#N/A,FALSE,"정공"}</definedName>
    <definedName name="나다라" localSheetId="15" hidden="1">{#N/A,#N/A,FALSE,"1.CRITERIA";#N/A,#N/A,FALSE,"2.IS";#N/A,#N/A,FALSE,"3.BS";#N/A,#N/A,FALSE,"4.PER PL";#N/A,#N/A,FALSE,"5.INVESTMENT";#N/A,#N/A,FALSE,"6.공문";#N/A,#N/A,FALSE,"7.netinvest"}</definedName>
    <definedName name="나다라" localSheetId="6" hidden="1">{#N/A,#N/A,FALSE,"1.CRITERIA";#N/A,#N/A,FALSE,"2.IS";#N/A,#N/A,FALSE,"3.BS";#N/A,#N/A,FALSE,"4.PER PL";#N/A,#N/A,FALSE,"5.INVESTMENT";#N/A,#N/A,FALSE,"6.공문";#N/A,#N/A,FALSE,"7.netinvest"}</definedName>
    <definedName name="나다라" localSheetId="45" hidden="1">{#N/A,#N/A,FALSE,"1.CRITERIA";#N/A,#N/A,FALSE,"2.IS";#N/A,#N/A,FALSE,"3.BS";#N/A,#N/A,FALSE,"4.PER PL";#N/A,#N/A,FALSE,"5.INVESTMENT";#N/A,#N/A,FALSE,"6.공문";#N/A,#N/A,FALSE,"7.netinvest"}</definedName>
    <definedName name="나다라" localSheetId="42" hidden="1">{#N/A,#N/A,FALSE,"1.CRITERIA";#N/A,#N/A,FALSE,"2.IS";#N/A,#N/A,FALSE,"3.BS";#N/A,#N/A,FALSE,"4.PER PL";#N/A,#N/A,FALSE,"5.INVESTMENT";#N/A,#N/A,FALSE,"6.공문";#N/A,#N/A,FALSE,"7.netinvest"}</definedName>
    <definedName name="나다라" hidden="1">{#N/A,#N/A,FALSE,"1.CRITERIA";#N/A,#N/A,FALSE,"2.IS";#N/A,#N/A,FALSE,"3.BS";#N/A,#N/A,FALSE,"4.PER PL";#N/A,#N/A,FALSE,"5.INVESTMENT";#N/A,#N/A,FALSE,"6.공문";#N/A,#N/A,FALSE,"7.netinvest"}</definedName>
    <definedName name="나라" localSheetId="12" hidden="1">{#N/A,#N/A,FALSE,"DAOCM 2차 검토"}</definedName>
    <definedName name="나라" localSheetId="15" hidden="1">{#N/A,#N/A,FALSE,"1.CRITERIA";#N/A,#N/A,FALSE,"2.IS";#N/A,#N/A,FALSE,"3.BS";#N/A,#N/A,FALSE,"4.PER PL";#N/A,#N/A,FALSE,"5.INVESTMENT";#N/A,#N/A,FALSE,"6.공문";#N/A,#N/A,FALSE,"7.netinvest"}</definedName>
    <definedName name="나라" localSheetId="6" hidden="1">{#N/A,#N/A,FALSE,"1.CRITERIA";#N/A,#N/A,FALSE,"2.IS";#N/A,#N/A,FALSE,"3.BS";#N/A,#N/A,FALSE,"4.PER PL";#N/A,#N/A,FALSE,"5.INVESTMENT";#N/A,#N/A,FALSE,"6.공문";#N/A,#N/A,FALSE,"7.netinvest"}</definedName>
    <definedName name="나라" localSheetId="45" hidden="1">{#N/A,#N/A,FALSE,"1.CRITERIA";#N/A,#N/A,FALSE,"2.IS";#N/A,#N/A,FALSE,"3.BS";#N/A,#N/A,FALSE,"4.PER PL";#N/A,#N/A,FALSE,"5.INVESTMENT";#N/A,#N/A,FALSE,"6.공문";#N/A,#N/A,FALSE,"7.netinvest"}</definedName>
    <definedName name="나라" localSheetId="42" hidden="1">{#N/A,#N/A,FALSE,"1.CRITERIA";#N/A,#N/A,FALSE,"2.IS";#N/A,#N/A,FALSE,"3.BS";#N/A,#N/A,FALSE,"4.PER PL";#N/A,#N/A,FALSE,"5.INVESTMENT";#N/A,#N/A,FALSE,"6.공문";#N/A,#N/A,FALSE,"7.netinvest"}</definedName>
    <definedName name="나라" hidden="1">{#N/A,#N/A,FALSE,"1.CRITERIA";#N/A,#N/A,FALSE,"2.IS";#N/A,#N/A,FALSE,"3.BS";#N/A,#N/A,FALSE,"4.PER PL";#N/A,#N/A,FALSE,"5.INVESTMENT";#N/A,#N/A,FALSE,"6.공문";#N/A,#N/A,FALSE,"7.netinvest"}</definedName>
    <definedName name="나오너라" localSheetId="15" hidden="1">{#N/A,#N/A,FALSE,"정공"}</definedName>
    <definedName name="나오너라" localSheetId="6" hidden="1">{#N/A,#N/A,FALSE,"정공"}</definedName>
    <definedName name="나오너라" localSheetId="45" hidden="1">{#N/A,#N/A,FALSE,"정공"}</definedName>
    <definedName name="나오너라" localSheetId="42" hidden="1">{#N/A,#N/A,FALSE,"정공"}</definedName>
    <definedName name="나오너라" hidden="1">{#N/A,#N/A,FALSE,"정공"}</definedName>
    <definedName name="나오아" localSheetId="15" hidden="1">{#N/A,#N/A,FALSE,"정공"}</definedName>
    <definedName name="나오아" localSheetId="6" hidden="1">{#N/A,#N/A,FALSE,"정공"}</definedName>
    <definedName name="나오아" localSheetId="45" hidden="1">{#N/A,#N/A,FALSE,"정공"}</definedName>
    <definedName name="나오아" localSheetId="42" hidden="1">{#N/A,#N/A,FALSE,"정공"}</definedName>
    <definedName name="나오아" hidden="1">{#N/A,#N/A,FALSE,"정공"}</definedName>
    <definedName name="내" localSheetId="15" hidden="1">{#N/A,#N/A,FALSE,"1.CRITERIA";#N/A,#N/A,FALSE,"2.IS";#N/A,#N/A,FALSE,"3.BS";#N/A,#N/A,FALSE,"4.PER PL";#N/A,#N/A,FALSE,"5.INVESTMENT";#N/A,#N/A,FALSE,"6.공문";#N/A,#N/A,FALSE,"7.netinvest"}</definedName>
    <definedName name="내" localSheetId="6" hidden="1">{#N/A,#N/A,FALSE,"1.CRITERIA";#N/A,#N/A,FALSE,"2.IS";#N/A,#N/A,FALSE,"3.BS";#N/A,#N/A,FALSE,"4.PER PL";#N/A,#N/A,FALSE,"5.INVESTMENT";#N/A,#N/A,FALSE,"6.공문";#N/A,#N/A,FALSE,"7.netinvest"}</definedName>
    <definedName name="내" localSheetId="45" hidden="1">{#N/A,#N/A,FALSE,"1.CRITERIA";#N/A,#N/A,FALSE,"2.IS";#N/A,#N/A,FALSE,"3.BS";#N/A,#N/A,FALSE,"4.PER PL";#N/A,#N/A,FALSE,"5.INVESTMENT";#N/A,#N/A,FALSE,"6.공문";#N/A,#N/A,FALSE,"7.netinvest"}</definedName>
    <definedName name="내" localSheetId="42" hidden="1">{#N/A,#N/A,FALSE,"1.CRITERIA";#N/A,#N/A,FALSE,"2.IS";#N/A,#N/A,FALSE,"3.BS";#N/A,#N/A,FALSE,"4.PER PL";#N/A,#N/A,FALSE,"5.INVESTMENT";#N/A,#N/A,FALSE,"6.공문";#N/A,#N/A,FALSE,"7.netinvest"}</definedName>
    <definedName name="내" hidden="1">{#N/A,#N/A,FALSE,"1.CRITERIA";#N/A,#N/A,FALSE,"2.IS";#N/A,#N/A,FALSE,"3.BS";#N/A,#N/A,FALSE,"4.PER PL";#N/A,#N/A,FALSE,"5.INVESTMENT";#N/A,#N/A,FALSE,"6.공문";#N/A,#N/A,FALSE,"7.netinvest"}</definedName>
    <definedName name="너" localSheetId="15" hidden="1">{#N/A,#N/A,FALSE,"1.CRITERIA";#N/A,#N/A,FALSE,"2.IS";#N/A,#N/A,FALSE,"3.BS";#N/A,#N/A,FALSE,"4.PER PL";#N/A,#N/A,FALSE,"5.INVESTMENT";#N/A,#N/A,FALSE,"6.공문";#N/A,#N/A,FALSE,"7.netinvest"}</definedName>
    <definedName name="너" localSheetId="6" hidden="1">{#N/A,#N/A,FALSE,"1.CRITERIA";#N/A,#N/A,FALSE,"2.IS";#N/A,#N/A,FALSE,"3.BS";#N/A,#N/A,FALSE,"4.PER PL";#N/A,#N/A,FALSE,"5.INVESTMENT";#N/A,#N/A,FALSE,"6.공문";#N/A,#N/A,FALSE,"7.netinvest"}</definedName>
    <definedName name="너" localSheetId="45" hidden="1">{#N/A,#N/A,FALSE,"1.CRITERIA";#N/A,#N/A,FALSE,"2.IS";#N/A,#N/A,FALSE,"3.BS";#N/A,#N/A,FALSE,"4.PER PL";#N/A,#N/A,FALSE,"5.INVESTMENT";#N/A,#N/A,FALSE,"6.공문";#N/A,#N/A,FALSE,"7.netinvest"}</definedName>
    <definedName name="너" localSheetId="42" hidden="1">{#N/A,#N/A,FALSE,"1.CRITERIA";#N/A,#N/A,FALSE,"2.IS";#N/A,#N/A,FALSE,"3.BS";#N/A,#N/A,FALSE,"4.PER PL";#N/A,#N/A,FALSE,"5.INVESTMENT";#N/A,#N/A,FALSE,"6.공문";#N/A,#N/A,FALSE,"7.netinvest"}</definedName>
    <definedName name="너" hidden="1">{#N/A,#N/A,FALSE,"1.CRITERIA";#N/A,#N/A,FALSE,"2.IS";#N/A,#N/A,FALSE,"3.BS";#N/A,#N/A,FALSE,"4.PER PL";#N/A,#N/A,FALSE,"5.INVESTMENT";#N/A,#N/A,FALSE,"6.공문";#N/A,#N/A,FALSE,"7.netinvest"}</definedName>
    <definedName name="녀" localSheetId="42" hidden="1">{#N/A,#N/A,FALSE,"1.CRITERIA";#N/A,#N/A,FALSE,"2.IS";#N/A,#N/A,FALSE,"3.BS";#N/A,#N/A,FALSE,"4.PER PL";#N/A,#N/A,FALSE,"5.INVESTMENT";#N/A,#N/A,FALSE,"6.공문";#N/A,#N/A,FALSE,"7.netinvest"}</definedName>
    <definedName name="녀" hidden="1">{#N/A,#N/A,FALSE,"1.CRITERIA";#N/A,#N/A,FALSE,"2.IS";#N/A,#N/A,FALSE,"3.BS";#N/A,#N/A,FALSE,"4.PER PL";#N/A,#N/A,FALSE,"5.INVESTMENT";#N/A,#N/A,FALSE,"6.공문";#N/A,#N/A,FALSE,"7.netinvest"}</definedName>
    <definedName name="년제조" localSheetId="30" hidden="1">#REF!</definedName>
    <definedName name="년제조" localSheetId="29" hidden="1">#REF!</definedName>
    <definedName name="년제조" localSheetId="33" hidden="1">#REF!</definedName>
    <definedName name="년제조" localSheetId="31" hidden="1">#REF!</definedName>
    <definedName name="년제조" localSheetId="32" hidden="1">#REF!</definedName>
    <definedName name="년제조" hidden="1">#REF!</definedName>
    <definedName name="노" localSheetId="15" hidden="1">{#N/A,#N/A,FALSE,"1.CRITERIA";#N/A,#N/A,FALSE,"2.IS";#N/A,#N/A,FALSE,"3.BS";#N/A,#N/A,FALSE,"4.PER PL";#N/A,#N/A,FALSE,"5.INVESTMENT";#N/A,#N/A,FALSE,"6.공문";#N/A,#N/A,FALSE,"7.netinvest"}</definedName>
    <definedName name="노" localSheetId="6" hidden="1">{#N/A,#N/A,FALSE,"1.CRITERIA";#N/A,#N/A,FALSE,"2.IS";#N/A,#N/A,FALSE,"3.BS";#N/A,#N/A,FALSE,"4.PER PL";#N/A,#N/A,FALSE,"5.INVESTMENT";#N/A,#N/A,FALSE,"6.공문";#N/A,#N/A,FALSE,"7.netinvest"}</definedName>
    <definedName name="노" localSheetId="45" hidden="1">{#N/A,#N/A,FALSE,"1.CRITERIA";#N/A,#N/A,FALSE,"2.IS";#N/A,#N/A,FALSE,"3.BS";#N/A,#N/A,FALSE,"4.PER PL";#N/A,#N/A,FALSE,"5.INVESTMENT";#N/A,#N/A,FALSE,"6.공문";#N/A,#N/A,FALSE,"7.netinvest"}</definedName>
    <definedName name="노" localSheetId="42" hidden="1">{#N/A,#N/A,FALSE,"1.CRITERIA";#N/A,#N/A,FALSE,"2.IS";#N/A,#N/A,FALSE,"3.BS";#N/A,#N/A,FALSE,"4.PER PL";#N/A,#N/A,FALSE,"5.INVESTMENT";#N/A,#N/A,FALSE,"6.공문";#N/A,#N/A,FALSE,"7.netinvest"}</definedName>
    <definedName name="노" hidden="1">{#N/A,#N/A,FALSE,"1.CRITERIA";#N/A,#N/A,FALSE,"2.IS";#N/A,#N/A,FALSE,"3.BS";#N/A,#N/A,FALSE,"4.PER PL";#N/A,#N/A,FALSE,"5.INVESTMENT";#N/A,#N/A,FALSE,"6.공문";#N/A,#N/A,FALSE,"7.netinvest"}</definedName>
    <definedName name="누적" localSheetId="12" hidden="1">{#N/A,#N/A,FALSE,"Sheet1"}</definedName>
    <definedName name="누적" localSheetId="42" hidden="1">{#N/A,#N/A,FALSE,"Sheet1"}</definedName>
    <definedName name="누적" hidden="1">{#N/A,#N/A,FALSE,"Sheet1"}</definedName>
    <definedName name="뉴셀" localSheetId="15" hidden="1">{#N/A,#N/A,FALSE,"손익표지";#N/A,#N/A,FALSE,"손익계산";#N/A,#N/A,FALSE,"일반관리비";#N/A,#N/A,FALSE,"영업외수익";#N/A,#N/A,FALSE,"영업외비용";#N/A,#N/A,FALSE,"매출액";#N/A,#N/A,FALSE,"요약손익";#N/A,#N/A,FALSE,"요약대차";#N/A,#N/A,FALSE,"매출채권현황";#N/A,#N/A,FALSE,"매출채권명세"}</definedName>
    <definedName name="뉴셀" localSheetId="6" hidden="1">{#N/A,#N/A,FALSE,"손익표지";#N/A,#N/A,FALSE,"손익계산";#N/A,#N/A,FALSE,"일반관리비";#N/A,#N/A,FALSE,"영업외수익";#N/A,#N/A,FALSE,"영업외비용";#N/A,#N/A,FALSE,"매출액";#N/A,#N/A,FALSE,"요약손익";#N/A,#N/A,FALSE,"요약대차";#N/A,#N/A,FALSE,"매출채권현황";#N/A,#N/A,FALSE,"매출채권명세"}</definedName>
    <definedName name="뉴셀" localSheetId="45" hidden="1">{#N/A,#N/A,FALSE,"손익표지";#N/A,#N/A,FALSE,"손익계산";#N/A,#N/A,FALSE,"일반관리비";#N/A,#N/A,FALSE,"영업외수익";#N/A,#N/A,FALSE,"영업외비용";#N/A,#N/A,FALSE,"매출액";#N/A,#N/A,FALSE,"요약손익";#N/A,#N/A,FALSE,"요약대차";#N/A,#N/A,FALSE,"매출채권현황";#N/A,#N/A,FALSE,"매출채권명세"}</definedName>
    <definedName name="뉴셀" localSheetId="42" hidden="1">{#N/A,#N/A,FALSE,"손익표지";#N/A,#N/A,FALSE,"손익계산";#N/A,#N/A,FALSE,"일반관리비";#N/A,#N/A,FALSE,"영업외수익";#N/A,#N/A,FALSE,"영업외비용";#N/A,#N/A,FALSE,"매출액";#N/A,#N/A,FALSE,"요약손익";#N/A,#N/A,FALSE,"요약대차";#N/A,#N/A,FALSE,"매출채권현황";#N/A,#N/A,FALSE,"매출채권명세"}</definedName>
    <definedName name="뉴셀" hidden="1">{#N/A,#N/A,FALSE,"손익표지";#N/A,#N/A,FALSE,"손익계산";#N/A,#N/A,FALSE,"일반관리비";#N/A,#N/A,FALSE,"영업외수익";#N/A,#N/A,FALSE,"영업외비용";#N/A,#N/A,FALSE,"매출액";#N/A,#N/A,FALSE,"요약손익";#N/A,#N/A,FALSE,"요약대차";#N/A,#N/A,FALSE,"매출채권현황";#N/A,#N/A,FALSE,"매출채권명세"}</definedName>
    <definedName name="닝잉" localSheetId="42" hidden="1">{#N/A,#N/A,TRUE,"Y생산";#N/A,#N/A,TRUE,"Y판매";#N/A,#N/A,TRUE,"Y총물량";#N/A,#N/A,TRUE,"Y능력";#N/A,#N/A,TRUE,"YKD"}</definedName>
    <definedName name="닝잉" hidden="1">{#N/A,#N/A,TRUE,"Y생산";#N/A,#N/A,TRUE,"Y판매";#N/A,#N/A,TRUE,"Y총물량";#N/A,#N/A,TRUE,"Y능력";#N/A,#N/A,TRUE,"YKD"}</definedName>
    <definedName name="ㄷ" localSheetId="12" hidden="1">{#N/A,#N/A,FALSE,"Sheet1"}</definedName>
    <definedName name="ㄷ" localSheetId="42" hidden="1">{#N/A,#N/A,FALSE,"BS";#N/A,#N/A,FALSE,"PL";#N/A,#N/A,FALSE,"처분";#N/A,#N/A,FALSE,"현금";#N/A,#N/A,FALSE,"매출";#N/A,#N/A,FALSE,"원가";#N/A,#N/A,FALSE,"경영"}</definedName>
    <definedName name="ㄷ" hidden="1">{#N/A,#N/A,FALSE,"BS";#N/A,#N/A,FALSE,"PL";#N/A,#N/A,FALSE,"처분";#N/A,#N/A,FALSE,"현금";#N/A,#N/A,FALSE,"매출";#N/A,#N/A,FALSE,"원가";#N/A,#N/A,FALSE,"경영"}</definedName>
    <definedName name="ㄷㄱ" localSheetId="15" hidden="1">{#N/A,#N/A,FALSE,"손익표지";#N/A,#N/A,FALSE,"손익계산";#N/A,#N/A,FALSE,"일반관리비";#N/A,#N/A,FALSE,"영업외수익";#N/A,#N/A,FALSE,"영업외비용";#N/A,#N/A,FALSE,"매출액";#N/A,#N/A,FALSE,"요약손익";#N/A,#N/A,FALSE,"요약대차";#N/A,#N/A,FALSE,"매출채권현황";#N/A,#N/A,FALSE,"매출채권명세"}</definedName>
    <definedName name="ㄷㄱ" localSheetId="6" hidden="1">{#N/A,#N/A,FALSE,"손익표지";#N/A,#N/A,FALSE,"손익계산";#N/A,#N/A,FALSE,"일반관리비";#N/A,#N/A,FALSE,"영업외수익";#N/A,#N/A,FALSE,"영업외비용";#N/A,#N/A,FALSE,"매출액";#N/A,#N/A,FALSE,"요약손익";#N/A,#N/A,FALSE,"요약대차";#N/A,#N/A,FALSE,"매출채권현황";#N/A,#N/A,FALSE,"매출채권명세"}</definedName>
    <definedName name="ㄷㄱ" localSheetId="45" hidden="1">{#N/A,#N/A,FALSE,"손익표지";#N/A,#N/A,FALSE,"손익계산";#N/A,#N/A,FALSE,"일반관리비";#N/A,#N/A,FALSE,"영업외수익";#N/A,#N/A,FALSE,"영업외비용";#N/A,#N/A,FALSE,"매출액";#N/A,#N/A,FALSE,"요약손익";#N/A,#N/A,FALSE,"요약대차";#N/A,#N/A,FALSE,"매출채권현황";#N/A,#N/A,FALSE,"매출채권명세"}</definedName>
    <definedName name="ㄷㄱ" localSheetId="42" hidden="1">{#N/A,#N/A,FALSE,"손익표지";#N/A,#N/A,FALSE,"손익계산";#N/A,#N/A,FALSE,"일반관리비";#N/A,#N/A,FALSE,"영업외수익";#N/A,#N/A,FALSE,"영업외비용";#N/A,#N/A,FALSE,"매출액";#N/A,#N/A,FALSE,"요약손익";#N/A,#N/A,FALSE,"요약대차";#N/A,#N/A,FALSE,"매출채권현황";#N/A,#N/A,FALSE,"매출채권명세"}</definedName>
    <definedName name="ㄷㄱ" hidden="1">{#N/A,#N/A,FALSE,"손익표지";#N/A,#N/A,FALSE,"손익계산";#N/A,#N/A,FALSE,"일반관리비";#N/A,#N/A,FALSE,"영업외수익";#N/A,#N/A,FALSE,"영업외비용";#N/A,#N/A,FALSE,"매출액";#N/A,#N/A,FALSE,"요약손익";#N/A,#N/A,FALSE,"요약대차";#N/A,#N/A,FALSE,"매출채권현황";#N/A,#N/A,FALSE,"매출채권명세"}</definedName>
    <definedName name="ㄷㄱㄹㅇㄹ" localSheetId="15" hidden="1">{#N/A,#N/A,FALSE,"정공"}</definedName>
    <definedName name="ㄷㄱㄹㅇㄹ" localSheetId="6" hidden="1">{#N/A,#N/A,FALSE,"정공"}</definedName>
    <definedName name="ㄷㄱㄹㅇㄹ" localSheetId="45" hidden="1">{#N/A,#N/A,FALSE,"정공"}</definedName>
    <definedName name="ㄷㄱㄹㅇㄹ" localSheetId="42" hidden="1">{#N/A,#N/A,FALSE,"정공"}</definedName>
    <definedName name="ㄷㄱㄹㅇㄹ" hidden="1">{#N/A,#N/A,FALSE,"정공"}</definedName>
    <definedName name="ㄷ교ㄷ" localSheetId="15" hidden="1">{#N/A,#N/A,FALSE,"손익표지";#N/A,#N/A,FALSE,"손익계산";#N/A,#N/A,FALSE,"일반관리비";#N/A,#N/A,FALSE,"영업외수익";#N/A,#N/A,FALSE,"영업외비용";#N/A,#N/A,FALSE,"매출액";#N/A,#N/A,FALSE,"요약손익";#N/A,#N/A,FALSE,"요약대차";#N/A,#N/A,FALSE,"매출채권현황";#N/A,#N/A,FALSE,"매출채권명세"}</definedName>
    <definedName name="ㄷ교ㄷ" localSheetId="6" hidden="1">{#N/A,#N/A,FALSE,"손익표지";#N/A,#N/A,FALSE,"손익계산";#N/A,#N/A,FALSE,"일반관리비";#N/A,#N/A,FALSE,"영업외수익";#N/A,#N/A,FALSE,"영업외비용";#N/A,#N/A,FALSE,"매출액";#N/A,#N/A,FALSE,"요약손익";#N/A,#N/A,FALSE,"요약대차";#N/A,#N/A,FALSE,"매출채권현황";#N/A,#N/A,FALSE,"매출채권명세"}</definedName>
    <definedName name="ㄷ교ㄷ" localSheetId="45" hidden="1">{#N/A,#N/A,FALSE,"손익표지";#N/A,#N/A,FALSE,"손익계산";#N/A,#N/A,FALSE,"일반관리비";#N/A,#N/A,FALSE,"영업외수익";#N/A,#N/A,FALSE,"영업외비용";#N/A,#N/A,FALSE,"매출액";#N/A,#N/A,FALSE,"요약손익";#N/A,#N/A,FALSE,"요약대차";#N/A,#N/A,FALSE,"매출채권현황";#N/A,#N/A,FALSE,"매출채권명세"}</definedName>
    <definedName name="ㄷ교ㄷ" localSheetId="42" hidden="1">{#N/A,#N/A,FALSE,"손익표지";#N/A,#N/A,FALSE,"손익계산";#N/A,#N/A,FALSE,"일반관리비";#N/A,#N/A,FALSE,"영업외수익";#N/A,#N/A,FALSE,"영업외비용";#N/A,#N/A,FALSE,"매출액";#N/A,#N/A,FALSE,"요약손익";#N/A,#N/A,FALSE,"요약대차";#N/A,#N/A,FALSE,"매출채권현황";#N/A,#N/A,FALSE,"매출채권명세"}</definedName>
    <definedName name="ㄷ교ㄷ" hidden="1">{#N/A,#N/A,FALSE,"손익표지";#N/A,#N/A,FALSE,"손익계산";#N/A,#N/A,FALSE,"일반관리비";#N/A,#N/A,FALSE,"영업외수익";#N/A,#N/A,FALSE,"영업외비용";#N/A,#N/A,FALSE,"매출액";#N/A,#N/A,FALSE,"요약손익";#N/A,#N/A,FALSE,"요약대차";#N/A,#N/A,FALSE,"매출채권현황";#N/A,#N/A,FALSE,"매출채권명세"}</definedName>
    <definedName name="ㄷ교ㄷㄱ" localSheetId="15" hidden="1">{#N/A,#N/A,FALSE,"손익표지";#N/A,#N/A,FALSE,"손익계산";#N/A,#N/A,FALSE,"일반관리비";#N/A,#N/A,FALSE,"영업외수익";#N/A,#N/A,FALSE,"영업외비용";#N/A,#N/A,FALSE,"매출액";#N/A,#N/A,FALSE,"요약손익";#N/A,#N/A,FALSE,"요약대차";#N/A,#N/A,FALSE,"매출채권현황";#N/A,#N/A,FALSE,"매출채권명세"}</definedName>
    <definedName name="ㄷ교ㄷㄱ" localSheetId="6" hidden="1">{#N/A,#N/A,FALSE,"손익표지";#N/A,#N/A,FALSE,"손익계산";#N/A,#N/A,FALSE,"일반관리비";#N/A,#N/A,FALSE,"영업외수익";#N/A,#N/A,FALSE,"영업외비용";#N/A,#N/A,FALSE,"매출액";#N/A,#N/A,FALSE,"요약손익";#N/A,#N/A,FALSE,"요약대차";#N/A,#N/A,FALSE,"매출채권현황";#N/A,#N/A,FALSE,"매출채권명세"}</definedName>
    <definedName name="ㄷ교ㄷㄱ" localSheetId="45" hidden="1">{#N/A,#N/A,FALSE,"손익표지";#N/A,#N/A,FALSE,"손익계산";#N/A,#N/A,FALSE,"일반관리비";#N/A,#N/A,FALSE,"영업외수익";#N/A,#N/A,FALSE,"영업외비용";#N/A,#N/A,FALSE,"매출액";#N/A,#N/A,FALSE,"요약손익";#N/A,#N/A,FALSE,"요약대차";#N/A,#N/A,FALSE,"매출채권현황";#N/A,#N/A,FALSE,"매출채권명세"}</definedName>
    <definedName name="ㄷ교ㄷㄱ" localSheetId="42" hidden="1">{#N/A,#N/A,FALSE,"손익표지";#N/A,#N/A,FALSE,"손익계산";#N/A,#N/A,FALSE,"일반관리비";#N/A,#N/A,FALSE,"영업외수익";#N/A,#N/A,FALSE,"영업외비용";#N/A,#N/A,FALSE,"매출액";#N/A,#N/A,FALSE,"요약손익";#N/A,#N/A,FALSE,"요약대차";#N/A,#N/A,FALSE,"매출채권현황";#N/A,#N/A,FALSE,"매출채권명세"}</definedName>
    <definedName name="ㄷ교ㄷㄱ" hidden="1">{#N/A,#N/A,FALSE,"손익표지";#N/A,#N/A,FALSE,"손익계산";#N/A,#N/A,FALSE,"일반관리비";#N/A,#N/A,FALSE,"영업외수익";#N/A,#N/A,FALSE,"영업외비용";#N/A,#N/A,FALSE,"매출액";#N/A,#N/A,FALSE,"요약손익";#N/A,#N/A,FALSE,"요약대차";#N/A,#N/A,FALSE,"매출채권현황";#N/A,#N/A,FALSE,"매출채권명세"}</definedName>
    <definedName name="ㄷㄳ34ㅅ" localSheetId="15" hidden="1">{#N/A,#N/A,FALSE,"손익표지";#N/A,#N/A,FALSE,"손익계산";#N/A,#N/A,FALSE,"일반관리비";#N/A,#N/A,FALSE,"영업외수익";#N/A,#N/A,FALSE,"영업외비용";#N/A,#N/A,FALSE,"매출액";#N/A,#N/A,FALSE,"요약손익";#N/A,#N/A,FALSE,"요약대차";#N/A,#N/A,FALSE,"매출채권현황";#N/A,#N/A,FALSE,"매출채권명세"}</definedName>
    <definedName name="ㄷㄳ34ㅅ" localSheetId="6" hidden="1">{#N/A,#N/A,FALSE,"손익표지";#N/A,#N/A,FALSE,"손익계산";#N/A,#N/A,FALSE,"일반관리비";#N/A,#N/A,FALSE,"영업외수익";#N/A,#N/A,FALSE,"영업외비용";#N/A,#N/A,FALSE,"매출액";#N/A,#N/A,FALSE,"요약손익";#N/A,#N/A,FALSE,"요약대차";#N/A,#N/A,FALSE,"매출채권현황";#N/A,#N/A,FALSE,"매출채권명세"}</definedName>
    <definedName name="ㄷㄳ34ㅅ" localSheetId="45" hidden="1">{#N/A,#N/A,FALSE,"손익표지";#N/A,#N/A,FALSE,"손익계산";#N/A,#N/A,FALSE,"일반관리비";#N/A,#N/A,FALSE,"영업외수익";#N/A,#N/A,FALSE,"영업외비용";#N/A,#N/A,FALSE,"매출액";#N/A,#N/A,FALSE,"요약손익";#N/A,#N/A,FALSE,"요약대차";#N/A,#N/A,FALSE,"매출채권현황";#N/A,#N/A,FALSE,"매출채권명세"}</definedName>
    <definedName name="ㄷㄳ34ㅅ" localSheetId="42" hidden="1">{#N/A,#N/A,FALSE,"손익표지";#N/A,#N/A,FALSE,"손익계산";#N/A,#N/A,FALSE,"일반관리비";#N/A,#N/A,FALSE,"영업외수익";#N/A,#N/A,FALSE,"영업외비용";#N/A,#N/A,FALSE,"매출액";#N/A,#N/A,FALSE,"요약손익";#N/A,#N/A,FALSE,"요약대차";#N/A,#N/A,FALSE,"매출채권현황";#N/A,#N/A,FALSE,"매출채권명세"}</definedName>
    <definedName name="ㄷㄳ34ㅅ" hidden="1">{#N/A,#N/A,FALSE,"손익표지";#N/A,#N/A,FALSE,"손익계산";#N/A,#N/A,FALSE,"일반관리비";#N/A,#N/A,FALSE,"영업외수익";#N/A,#N/A,FALSE,"영업외비용";#N/A,#N/A,FALSE,"매출액";#N/A,#N/A,FALSE,"요약손익";#N/A,#N/A,FALSE,"요약대차";#N/A,#N/A,FALSE,"매출채권현황";#N/A,#N/A,FALSE,"매출채권명세"}</definedName>
    <definedName name="ㄷㄳㄷ" localSheetId="15" hidden="1">{#N/A,#N/A,FALSE,"손익표지";#N/A,#N/A,FALSE,"손익계산";#N/A,#N/A,FALSE,"일반관리비";#N/A,#N/A,FALSE,"영업외수익";#N/A,#N/A,FALSE,"영업외비용";#N/A,#N/A,FALSE,"매출액";#N/A,#N/A,FALSE,"요약손익";#N/A,#N/A,FALSE,"요약대차";#N/A,#N/A,FALSE,"매출채권현황";#N/A,#N/A,FALSE,"매출채권명세"}</definedName>
    <definedName name="ㄷㄳㄷ" localSheetId="6" hidden="1">{#N/A,#N/A,FALSE,"손익표지";#N/A,#N/A,FALSE,"손익계산";#N/A,#N/A,FALSE,"일반관리비";#N/A,#N/A,FALSE,"영업외수익";#N/A,#N/A,FALSE,"영업외비용";#N/A,#N/A,FALSE,"매출액";#N/A,#N/A,FALSE,"요약손익";#N/A,#N/A,FALSE,"요약대차";#N/A,#N/A,FALSE,"매출채권현황";#N/A,#N/A,FALSE,"매출채권명세"}</definedName>
    <definedName name="ㄷㄳㄷ" localSheetId="45" hidden="1">{#N/A,#N/A,FALSE,"손익표지";#N/A,#N/A,FALSE,"손익계산";#N/A,#N/A,FALSE,"일반관리비";#N/A,#N/A,FALSE,"영업외수익";#N/A,#N/A,FALSE,"영업외비용";#N/A,#N/A,FALSE,"매출액";#N/A,#N/A,FALSE,"요약손익";#N/A,#N/A,FALSE,"요약대차";#N/A,#N/A,FALSE,"매출채권현황";#N/A,#N/A,FALSE,"매출채권명세"}</definedName>
    <definedName name="ㄷㄳㄷ" localSheetId="42" hidden="1">{#N/A,#N/A,FALSE,"손익표지";#N/A,#N/A,FALSE,"손익계산";#N/A,#N/A,FALSE,"일반관리비";#N/A,#N/A,FALSE,"영업외수익";#N/A,#N/A,FALSE,"영업외비용";#N/A,#N/A,FALSE,"매출액";#N/A,#N/A,FALSE,"요약손익";#N/A,#N/A,FALSE,"요약대차";#N/A,#N/A,FALSE,"매출채권현황";#N/A,#N/A,FALSE,"매출채권명세"}</definedName>
    <definedName name="ㄷㄳㄷ" hidden="1">{#N/A,#N/A,FALSE,"손익표지";#N/A,#N/A,FALSE,"손익계산";#N/A,#N/A,FALSE,"일반관리비";#N/A,#N/A,FALSE,"영업외수익";#N/A,#N/A,FALSE,"영업외비용";#N/A,#N/A,FALSE,"매출액";#N/A,#N/A,FALSE,"요약손익";#N/A,#N/A,FALSE,"요약대차";#N/A,#N/A,FALSE,"매출채권현황";#N/A,#N/A,FALSE,"매출채권명세"}</definedName>
    <definedName name="ㄷㄳㄷㄱ" localSheetId="15" hidden="1">{#N/A,#N/A,FALSE,"손익표지";#N/A,#N/A,FALSE,"손익계산";#N/A,#N/A,FALSE,"일반관리비";#N/A,#N/A,FALSE,"영업외수익";#N/A,#N/A,FALSE,"영업외비용";#N/A,#N/A,FALSE,"매출액";#N/A,#N/A,FALSE,"요약손익";#N/A,#N/A,FALSE,"요약대차";#N/A,#N/A,FALSE,"매출채권현황";#N/A,#N/A,FALSE,"매출채권명세"}</definedName>
    <definedName name="ㄷㄳㄷㄱ" localSheetId="6" hidden="1">{#N/A,#N/A,FALSE,"손익표지";#N/A,#N/A,FALSE,"손익계산";#N/A,#N/A,FALSE,"일반관리비";#N/A,#N/A,FALSE,"영업외수익";#N/A,#N/A,FALSE,"영업외비용";#N/A,#N/A,FALSE,"매출액";#N/A,#N/A,FALSE,"요약손익";#N/A,#N/A,FALSE,"요약대차";#N/A,#N/A,FALSE,"매출채권현황";#N/A,#N/A,FALSE,"매출채권명세"}</definedName>
    <definedName name="ㄷㄳㄷㄱ" localSheetId="45" hidden="1">{#N/A,#N/A,FALSE,"손익표지";#N/A,#N/A,FALSE,"손익계산";#N/A,#N/A,FALSE,"일반관리비";#N/A,#N/A,FALSE,"영업외수익";#N/A,#N/A,FALSE,"영업외비용";#N/A,#N/A,FALSE,"매출액";#N/A,#N/A,FALSE,"요약손익";#N/A,#N/A,FALSE,"요약대차";#N/A,#N/A,FALSE,"매출채권현황";#N/A,#N/A,FALSE,"매출채권명세"}</definedName>
    <definedName name="ㄷㄳㄷㄱ" localSheetId="42" hidden="1">{#N/A,#N/A,FALSE,"손익표지";#N/A,#N/A,FALSE,"손익계산";#N/A,#N/A,FALSE,"일반관리비";#N/A,#N/A,FALSE,"영업외수익";#N/A,#N/A,FALSE,"영업외비용";#N/A,#N/A,FALSE,"매출액";#N/A,#N/A,FALSE,"요약손익";#N/A,#N/A,FALSE,"요약대차";#N/A,#N/A,FALSE,"매출채권현황";#N/A,#N/A,FALSE,"매출채권명세"}</definedName>
    <definedName name="ㄷㄳㄷㄱ" hidden="1">{#N/A,#N/A,FALSE,"손익표지";#N/A,#N/A,FALSE,"손익계산";#N/A,#N/A,FALSE,"일반관리비";#N/A,#N/A,FALSE,"영업외수익";#N/A,#N/A,FALSE,"영업외비용";#N/A,#N/A,FALSE,"매출액";#N/A,#N/A,FALSE,"요약손익";#N/A,#N/A,FALSE,"요약대차";#N/A,#N/A,FALSE,"매출채권현황";#N/A,#N/A,FALSE,"매출채권명세"}</definedName>
    <definedName name="ㄷㄳㄷㄳ" localSheetId="15" hidden="1">{#N/A,#N/A,FALSE,"손익표지";#N/A,#N/A,FALSE,"손익계산";#N/A,#N/A,FALSE,"일반관리비";#N/A,#N/A,FALSE,"영업외수익";#N/A,#N/A,FALSE,"영업외비용";#N/A,#N/A,FALSE,"매출액";#N/A,#N/A,FALSE,"요약손익";#N/A,#N/A,FALSE,"요약대차";#N/A,#N/A,FALSE,"매출채권현황";#N/A,#N/A,FALSE,"매출채권명세"}</definedName>
    <definedName name="ㄷㄳㄷㄳ" localSheetId="6" hidden="1">{#N/A,#N/A,FALSE,"손익표지";#N/A,#N/A,FALSE,"손익계산";#N/A,#N/A,FALSE,"일반관리비";#N/A,#N/A,FALSE,"영업외수익";#N/A,#N/A,FALSE,"영업외비용";#N/A,#N/A,FALSE,"매출액";#N/A,#N/A,FALSE,"요약손익";#N/A,#N/A,FALSE,"요약대차";#N/A,#N/A,FALSE,"매출채권현황";#N/A,#N/A,FALSE,"매출채권명세"}</definedName>
    <definedName name="ㄷㄳㄷㄳ" localSheetId="45" hidden="1">{#N/A,#N/A,FALSE,"손익표지";#N/A,#N/A,FALSE,"손익계산";#N/A,#N/A,FALSE,"일반관리비";#N/A,#N/A,FALSE,"영업외수익";#N/A,#N/A,FALSE,"영업외비용";#N/A,#N/A,FALSE,"매출액";#N/A,#N/A,FALSE,"요약손익";#N/A,#N/A,FALSE,"요약대차";#N/A,#N/A,FALSE,"매출채권현황";#N/A,#N/A,FALSE,"매출채권명세"}</definedName>
    <definedName name="ㄷㄳㄷㄳ" localSheetId="42" hidden="1">{#N/A,#N/A,FALSE,"손익표지";#N/A,#N/A,FALSE,"손익계산";#N/A,#N/A,FALSE,"일반관리비";#N/A,#N/A,FALSE,"영업외수익";#N/A,#N/A,FALSE,"영업외비용";#N/A,#N/A,FALSE,"매출액";#N/A,#N/A,FALSE,"요약손익";#N/A,#N/A,FALSE,"요약대차";#N/A,#N/A,FALSE,"매출채권현황";#N/A,#N/A,FALSE,"매출채권명세"}</definedName>
    <definedName name="ㄷㄳㄷㄳ" hidden="1">{#N/A,#N/A,FALSE,"손익표지";#N/A,#N/A,FALSE,"손익계산";#N/A,#N/A,FALSE,"일반관리비";#N/A,#N/A,FALSE,"영업외수익";#N/A,#N/A,FALSE,"영업외비용";#N/A,#N/A,FALSE,"매출액";#N/A,#N/A,FALSE,"요약손익";#N/A,#N/A,FALSE,"요약대차";#N/A,#N/A,FALSE,"매출채권현황";#N/A,#N/A,FALSE,"매출채권명세"}</definedName>
    <definedName name="ㄷㄷ" localSheetId="12" hidden="1">{#N/A,#N/A,TRUE,"일정"}</definedName>
    <definedName name="ㄷㄷ" localSheetId="15" hidden="1">{#N/A,#N/A,FALSE,"손익표지";#N/A,#N/A,FALSE,"손익계산";#N/A,#N/A,FALSE,"일반관리비";#N/A,#N/A,FALSE,"영업외수익";#N/A,#N/A,FALSE,"영업외비용";#N/A,#N/A,FALSE,"매출액";#N/A,#N/A,FALSE,"요약손익";#N/A,#N/A,FALSE,"요약대차";#N/A,#N/A,FALSE,"매출채권현황";#N/A,#N/A,FALSE,"매출채권명세"}</definedName>
    <definedName name="ㄷㄷ" localSheetId="6" hidden="1">{#N/A,#N/A,FALSE,"손익표지";#N/A,#N/A,FALSE,"손익계산";#N/A,#N/A,FALSE,"일반관리비";#N/A,#N/A,FALSE,"영업외수익";#N/A,#N/A,FALSE,"영업외비용";#N/A,#N/A,FALSE,"매출액";#N/A,#N/A,FALSE,"요약손익";#N/A,#N/A,FALSE,"요약대차";#N/A,#N/A,FALSE,"매출채권현황";#N/A,#N/A,FALSE,"매출채권명세"}</definedName>
    <definedName name="ㄷㄷ" localSheetId="45" hidden="1">{#N/A,#N/A,FALSE,"손익표지";#N/A,#N/A,FALSE,"손익계산";#N/A,#N/A,FALSE,"일반관리비";#N/A,#N/A,FALSE,"영업외수익";#N/A,#N/A,FALSE,"영업외비용";#N/A,#N/A,FALSE,"매출액";#N/A,#N/A,FALSE,"요약손익";#N/A,#N/A,FALSE,"요약대차";#N/A,#N/A,FALSE,"매출채권현황";#N/A,#N/A,FALSE,"매출채권명세"}</definedName>
    <definedName name="ㄷㄷ" localSheetId="42" hidden="1">{#N/A,#N/A,FALSE,"손익표지";#N/A,#N/A,FALSE,"손익계산";#N/A,#N/A,FALSE,"일반관리비";#N/A,#N/A,FALSE,"영업외수익";#N/A,#N/A,FALSE,"영업외비용";#N/A,#N/A,FALSE,"매출액";#N/A,#N/A,FALSE,"요약손익";#N/A,#N/A,FALSE,"요약대차";#N/A,#N/A,FALSE,"매출채권현황";#N/A,#N/A,FALSE,"매출채권명세"}</definedName>
    <definedName name="ㄷㄷ" hidden="1">{#N/A,#N/A,FALSE,"BS";#N/A,#N/A,FALSE,"PL";#N/A,#N/A,FALSE,"처분";#N/A,#N/A,FALSE,"현금";#N/A,#N/A,FALSE,"매출";#N/A,#N/A,FALSE,"원가";#N/A,#N/A,FALSE,"경영"}</definedName>
    <definedName name="ㄷㄷㄷ" localSheetId="12" hidden="1">{#N/A,#N/A,TRUE,"일정"}</definedName>
    <definedName name="ㄷㄷㄷ" localSheetId="42" hidden="1">{#N/A,#N/A,FALSE,"UNIT";#N/A,#N/A,FALSE,"UNIT";#N/A,#N/A,FALSE,"계정"}</definedName>
    <definedName name="ㄷㄷㄷ" hidden="1">{#N/A,#N/A,FALSE,"UNIT";#N/A,#N/A,FALSE,"UNIT";#N/A,#N/A,FALSE,"계정"}</definedName>
    <definedName name="ㄷㄷㄷㄷ" localSheetId="12" hidden="1">{#N/A,#N/A,FALSE,"UNIT";#N/A,#N/A,FALSE,"UNIT";#N/A,#N/A,FALSE,"계정"}</definedName>
    <definedName name="ㄷㄷㄷㄷ" localSheetId="42" hidden="1">{#N/A,#N/A,FALSE,"UNIT";#N/A,#N/A,FALSE,"UNIT";#N/A,#N/A,FALSE,"계정"}</definedName>
    <definedName name="ㄷㄷㄷㄷ" hidden="1">{#N/A,#N/A,FALSE,"UNIT";#N/A,#N/A,FALSE,"UNIT";#N/A,#N/A,FALSE,"계정"}</definedName>
    <definedName name="ㄷㄷㄷㄹㅇ" localSheetId="12" hidden="1">{#N/A,#N/A,FALSE,"Sheet1"}</definedName>
    <definedName name="ㄷㄷㄷㄹㅇ" localSheetId="42" hidden="1">{#N/A,#N/A,FALSE,"Sheet1"}</definedName>
    <definedName name="ㄷㄷㄷㄹㅇ" hidden="1">{#N/A,#N/A,FALSE,"Sheet1"}</definedName>
    <definedName name="ㄷㅅㄷㄱ" localSheetId="15" hidden="1">{#N/A,#N/A,FALSE,"손익표지";#N/A,#N/A,FALSE,"손익계산";#N/A,#N/A,FALSE,"일반관리비";#N/A,#N/A,FALSE,"영업외수익";#N/A,#N/A,FALSE,"영업외비용";#N/A,#N/A,FALSE,"매출액";#N/A,#N/A,FALSE,"요약손익";#N/A,#N/A,FALSE,"요약대차";#N/A,#N/A,FALSE,"매출채권현황";#N/A,#N/A,FALSE,"매출채권명세"}</definedName>
    <definedName name="ㄷㅅㄷㄱ" localSheetId="6" hidden="1">{#N/A,#N/A,FALSE,"손익표지";#N/A,#N/A,FALSE,"손익계산";#N/A,#N/A,FALSE,"일반관리비";#N/A,#N/A,FALSE,"영업외수익";#N/A,#N/A,FALSE,"영업외비용";#N/A,#N/A,FALSE,"매출액";#N/A,#N/A,FALSE,"요약손익";#N/A,#N/A,FALSE,"요약대차";#N/A,#N/A,FALSE,"매출채권현황";#N/A,#N/A,FALSE,"매출채권명세"}</definedName>
    <definedName name="ㄷㅅㄷㄱ" localSheetId="45" hidden="1">{#N/A,#N/A,FALSE,"손익표지";#N/A,#N/A,FALSE,"손익계산";#N/A,#N/A,FALSE,"일반관리비";#N/A,#N/A,FALSE,"영업외수익";#N/A,#N/A,FALSE,"영업외비용";#N/A,#N/A,FALSE,"매출액";#N/A,#N/A,FALSE,"요약손익";#N/A,#N/A,FALSE,"요약대차";#N/A,#N/A,FALSE,"매출채권현황";#N/A,#N/A,FALSE,"매출채권명세"}</definedName>
    <definedName name="ㄷㅅㄷㄱ" localSheetId="42" hidden="1">{#N/A,#N/A,FALSE,"손익표지";#N/A,#N/A,FALSE,"손익계산";#N/A,#N/A,FALSE,"일반관리비";#N/A,#N/A,FALSE,"영업외수익";#N/A,#N/A,FALSE,"영업외비용";#N/A,#N/A,FALSE,"매출액";#N/A,#N/A,FALSE,"요약손익";#N/A,#N/A,FALSE,"요약대차";#N/A,#N/A,FALSE,"매출채권현황";#N/A,#N/A,FALSE,"매출채권명세"}</definedName>
    <definedName name="ㄷㅅㄷㄱ" hidden="1">{#N/A,#N/A,FALSE,"손익표지";#N/A,#N/A,FALSE,"손익계산";#N/A,#N/A,FALSE,"일반관리비";#N/A,#N/A,FALSE,"영업외수익";#N/A,#N/A,FALSE,"영업외비용";#N/A,#N/A,FALSE,"매출액";#N/A,#N/A,FALSE,"요약손익";#N/A,#N/A,FALSE,"요약대차";#N/A,#N/A,FALSE,"매출채권현황";#N/A,#N/A,FALSE,"매출채권명세"}</definedName>
    <definedName name="ㄷ쇼ㅓㄷㅅ" localSheetId="15" hidden="1">{#N/A,#N/A,FALSE,"손익표지";#N/A,#N/A,FALSE,"손익계산";#N/A,#N/A,FALSE,"일반관리비";#N/A,#N/A,FALSE,"영업외수익";#N/A,#N/A,FALSE,"영업외비용";#N/A,#N/A,FALSE,"매출액";#N/A,#N/A,FALSE,"요약손익";#N/A,#N/A,FALSE,"요약대차";#N/A,#N/A,FALSE,"매출채권현황";#N/A,#N/A,FALSE,"매출채권명세"}</definedName>
    <definedName name="ㄷ쇼ㅓㄷㅅ" localSheetId="6" hidden="1">{#N/A,#N/A,FALSE,"손익표지";#N/A,#N/A,FALSE,"손익계산";#N/A,#N/A,FALSE,"일반관리비";#N/A,#N/A,FALSE,"영업외수익";#N/A,#N/A,FALSE,"영업외비용";#N/A,#N/A,FALSE,"매출액";#N/A,#N/A,FALSE,"요약손익";#N/A,#N/A,FALSE,"요약대차";#N/A,#N/A,FALSE,"매출채권현황";#N/A,#N/A,FALSE,"매출채권명세"}</definedName>
    <definedName name="ㄷ쇼ㅓㄷㅅ" localSheetId="45" hidden="1">{#N/A,#N/A,FALSE,"손익표지";#N/A,#N/A,FALSE,"손익계산";#N/A,#N/A,FALSE,"일반관리비";#N/A,#N/A,FALSE,"영업외수익";#N/A,#N/A,FALSE,"영업외비용";#N/A,#N/A,FALSE,"매출액";#N/A,#N/A,FALSE,"요약손익";#N/A,#N/A,FALSE,"요약대차";#N/A,#N/A,FALSE,"매출채권현황";#N/A,#N/A,FALSE,"매출채권명세"}</definedName>
    <definedName name="ㄷ쇼ㅓㄷㅅ" localSheetId="42" hidden="1">{#N/A,#N/A,FALSE,"손익표지";#N/A,#N/A,FALSE,"손익계산";#N/A,#N/A,FALSE,"일반관리비";#N/A,#N/A,FALSE,"영업외수익";#N/A,#N/A,FALSE,"영업외비용";#N/A,#N/A,FALSE,"매출액";#N/A,#N/A,FALSE,"요약손익";#N/A,#N/A,FALSE,"요약대차";#N/A,#N/A,FALSE,"매출채권현황";#N/A,#N/A,FALSE,"매출채권명세"}</definedName>
    <definedName name="ㄷ쇼ㅓㄷㅅ" hidden="1">{#N/A,#N/A,FALSE,"손익표지";#N/A,#N/A,FALSE,"손익계산";#N/A,#N/A,FALSE,"일반관리비";#N/A,#N/A,FALSE,"영업외수익";#N/A,#N/A,FALSE,"영업외비용";#N/A,#N/A,FALSE,"매출액";#N/A,#N/A,FALSE,"요약손익";#N/A,#N/A,FALSE,"요약대차";#N/A,#N/A,FALSE,"매출채권현황";#N/A,#N/A,FALSE,"매출채권명세"}</definedName>
    <definedName name="ㄷㅇ" localSheetId="42" hidden="1">{#N/A,#N/A,TRUE,"Y생산";#N/A,#N/A,TRUE,"Y판매";#N/A,#N/A,TRUE,"Y총물량";#N/A,#N/A,TRUE,"Y능력";#N/A,#N/A,TRUE,"YKD"}</definedName>
    <definedName name="ㄷㅇ" hidden="1">{#N/A,#N/A,TRUE,"Y생산";#N/A,#N/A,TRUE,"Y판매";#N/A,#N/A,TRUE,"Y총물량";#N/A,#N/A,TRUE,"Y능력";#N/A,#N/A,TRUE,"YKD"}</definedName>
    <definedName name="ㄷㅈㄱㅈ" localSheetId="15" hidden="1">{#N/A,#N/A,FALSE,"손익표지";#N/A,#N/A,FALSE,"손익계산";#N/A,#N/A,FALSE,"일반관리비";#N/A,#N/A,FALSE,"영업외수익";#N/A,#N/A,FALSE,"영업외비용";#N/A,#N/A,FALSE,"매출액";#N/A,#N/A,FALSE,"요약손익";#N/A,#N/A,FALSE,"요약대차";#N/A,#N/A,FALSE,"매출채권현황";#N/A,#N/A,FALSE,"매출채권명세"}</definedName>
    <definedName name="ㄷㅈㄱㅈ" localSheetId="6" hidden="1">{#N/A,#N/A,FALSE,"손익표지";#N/A,#N/A,FALSE,"손익계산";#N/A,#N/A,FALSE,"일반관리비";#N/A,#N/A,FALSE,"영업외수익";#N/A,#N/A,FALSE,"영업외비용";#N/A,#N/A,FALSE,"매출액";#N/A,#N/A,FALSE,"요약손익";#N/A,#N/A,FALSE,"요약대차";#N/A,#N/A,FALSE,"매출채권현황";#N/A,#N/A,FALSE,"매출채권명세"}</definedName>
    <definedName name="ㄷㅈㄱㅈ" localSheetId="45" hidden="1">{#N/A,#N/A,FALSE,"손익표지";#N/A,#N/A,FALSE,"손익계산";#N/A,#N/A,FALSE,"일반관리비";#N/A,#N/A,FALSE,"영업외수익";#N/A,#N/A,FALSE,"영업외비용";#N/A,#N/A,FALSE,"매출액";#N/A,#N/A,FALSE,"요약손익";#N/A,#N/A,FALSE,"요약대차";#N/A,#N/A,FALSE,"매출채권현황";#N/A,#N/A,FALSE,"매출채권명세"}</definedName>
    <definedName name="ㄷㅈㄱㅈ" localSheetId="42" hidden="1">{#N/A,#N/A,FALSE,"손익표지";#N/A,#N/A,FALSE,"손익계산";#N/A,#N/A,FALSE,"일반관리비";#N/A,#N/A,FALSE,"영업외수익";#N/A,#N/A,FALSE,"영업외비용";#N/A,#N/A,FALSE,"매출액";#N/A,#N/A,FALSE,"요약손익";#N/A,#N/A,FALSE,"요약대차";#N/A,#N/A,FALSE,"매출채권현황";#N/A,#N/A,FALSE,"매출채권명세"}</definedName>
    <definedName name="ㄷㅈㄱㅈ" hidden="1">{#N/A,#N/A,FALSE,"손익표지";#N/A,#N/A,FALSE,"손익계산";#N/A,#N/A,FALSE,"일반관리비";#N/A,#N/A,FALSE,"영업외수익";#N/A,#N/A,FALSE,"영업외비용";#N/A,#N/A,FALSE,"매출액";#N/A,#N/A,FALSE,"요약손익";#N/A,#N/A,FALSE,"요약대차";#N/A,#N/A,FALSE,"매출채권현황";#N/A,#N/A,FALSE,"매출채권명세"}</definedName>
    <definedName name="ㄷㅈㄱㅈㄱ" localSheetId="15" hidden="1">{#N/A,#N/A,FALSE,"손익표지";#N/A,#N/A,FALSE,"손익계산";#N/A,#N/A,FALSE,"일반관리비";#N/A,#N/A,FALSE,"영업외수익";#N/A,#N/A,FALSE,"영업외비용";#N/A,#N/A,FALSE,"매출액";#N/A,#N/A,FALSE,"요약손익";#N/A,#N/A,FALSE,"요약대차";#N/A,#N/A,FALSE,"매출채권현황";#N/A,#N/A,FALSE,"매출채권명세"}</definedName>
    <definedName name="ㄷㅈㄱㅈㄱ" localSheetId="6" hidden="1">{#N/A,#N/A,FALSE,"손익표지";#N/A,#N/A,FALSE,"손익계산";#N/A,#N/A,FALSE,"일반관리비";#N/A,#N/A,FALSE,"영업외수익";#N/A,#N/A,FALSE,"영업외비용";#N/A,#N/A,FALSE,"매출액";#N/A,#N/A,FALSE,"요약손익";#N/A,#N/A,FALSE,"요약대차";#N/A,#N/A,FALSE,"매출채권현황";#N/A,#N/A,FALSE,"매출채권명세"}</definedName>
    <definedName name="ㄷㅈㄱㅈㄱ" localSheetId="45" hidden="1">{#N/A,#N/A,FALSE,"손익표지";#N/A,#N/A,FALSE,"손익계산";#N/A,#N/A,FALSE,"일반관리비";#N/A,#N/A,FALSE,"영업외수익";#N/A,#N/A,FALSE,"영업외비용";#N/A,#N/A,FALSE,"매출액";#N/A,#N/A,FALSE,"요약손익";#N/A,#N/A,FALSE,"요약대차";#N/A,#N/A,FALSE,"매출채권현황";#N/A,#N/A,FALSE,"매출채권명세"}</definedName>
    <definedName name="ㄷㅈㄱㅈㄱ" localSheetId="42" hidden="1">{#N/A,#N/A,FALSE,"손익표지";#N/A,#N/A,FALSE,"손익계산";#N/A,#N/A,FALSE,"일반관리비";#N/A,#N/A,FALSE,"영업외수익";#N/A,#N/A,FALSE,"영업외비용";#N/A,#N/A,FALSE,"매출액";#N/A,#N/A,FALSE,"요약손익";#N/A,#N/A,FALSE,"요약대차";#N/A,#N/A,FALSE,"매출채권현황";#N/A,#N/A,FALSE,"매출채권명세"}</definedName>
    <definedName name="ㄷㅈㄱㅈㄱ" hidden="1">{#N/A,#N/A,FALSE,"손익표지";#N/A,#N/A,FALSE,"손익계산";#N/A,#N/A,FALSE,"일반관리비";#N/A,#N/A,FALSE,"영업외수익";#N/A,#N/A,FALSE,"영업외비용";#N/A,#N/A,FALSE,"매출액";#N/A,#N/A,FALSE,"요약손익";#N/A,#N/A,FALSE,"요약대차";#N/A,#N/A,FALSE,"매출채권현황";#N/A,#N/A,FALSE,"매출채권명세"}</definedName>
    <definedName name="ㄷㅈㄷ" localSheetId="15"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ㄷㅈㄷ" localSheetId="6"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ㄷㅈㄷ" localSheetId="45"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ㄷㅈㄷ" localSheetId="42"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ㄷㅈㄷ"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ㄷㅋㄳㅋㄱ" localSheetId="42" hidden="1">{"'경비내역'!$E$11"}</definedName>
    <definedName name="ㄷㅋㄳㅋㄱ" hidden="1">{"'경비내역'!$E$11"}</definedName>
    <definedName name="다" localSheetId="15" hidden="1">{#N/A,#N/A,FALSE,"1.CRITERIA";#N/A,#N/A,FALSE,"2.IS";#N/A,#N/A,FALSE,"3.BS";#N/A,#N/A,FALSE,"4.PER PL";#N/A,#N/A,FALSE,"5.INVESTMENT";#N/A,#N/A,FALSE,"6.공문";#N/A,#N/A,FALSE,"7.netinvest"}</definedName>
    <definedName name="다" localSheetId="6" hidden="1">{#N/A,#N/A,FALSE,"1.CRITERIA";#N/A,#N/A,FALSE,"2.IS";#N/A,#N/A,FALSE,"3.BS";#N/A,#N/A,FALSE,"4.PER PL";#N/A,#N/A,FALSE,"5.INVESTMENT";#N/A,#N/A,FALSE,"6.공문";#N/A,#N/A,FALSE,"7.netinvest"}</definedName>
    <definedName name="다" localSheetId="45" hidden="1">{#N/A,#N/A,FALSE,"1.CRITERIA";#N/A,#N/A,FALSE,"2.IS";#N/A,#N/A,FALSE,"3.BS";#N/A,#N/A,FALSE,"4.PER PL";#N/A,#N/A,FALSE,"5.INVESTMENT";#N/A,#N/A,FALSE,"6.공문";#N/A,#N/A,FALSE,"7.netinvest"}</definedName>
    <definedName name="다" localSheetId="42" hidden="1">{#N/A,#N/A,FALSE,"1.CRITERIA";#N/A,#N/A,FALSE,"2.IS";#N/A,#N/A,FALSE,"3.BS";#N/A,#N/A,FALSE,"4.PER PL";#N/A,#N/A,FALSE,"5.INVESTMENT";#N/A,#N/A,FALSE,"6.공문";#N/A,#N/A,FALSE,"7.netinvest"}</definedName>
    <definedName name="다" hidden="1">{#N/A,#N/A,FALSE,"1.CRITERIA";#N/A,#N/A,FALSE,"2.IS";#N/A,#N/A,FALSE,"3.BS";#N/A,#N/A,FALSE,"4.PER PL";#N/A,#N/A,FALSE,"5.INVESTMENT";#N/A,#N/A,FALSE,"6.공문";#N/A,#N/A,FALSE,"7.netinvest"}</definedName>
    <definedName name="다다다닫" localSheetId="42" hidden="1">{#N/A,#N/A,FALSE,"BS";#N/A,#N/A,FALSE,"PL";#N/A,#N/A,FALSE,"처분";#N/A,#N/A,FALSE,"현금";#N/A,#N/A,FALSE,"매출";#N/A,#N/A,FALSE,"원가";#N/A,#N/A,FALSE,"경영"}</definedName>
    <definedName name="다다다닫" hidden="1">{#N/A,#N/A,FALSE,"BS";#N/A,#N/A,FALSE,"PL";#N/A,#N/A,FALSE,"처분";#N/A,#N/A,FALSE,"현금";#N/A,#N/A,FALSE,"매출";#N/A,#N/A,FALSE,"원가";#N/A,#N/A,FALSE,"경영"}</definedName>
    <definedName name="다다익선" localSheetId="15" hidden="1">{#N/A,#N/A,FALSE,"정공"}</definedName>
    <definedName name="다다익선" localSheetId="6" hidden="1">{#N/A,#N/A,FALSE,"정공"}</definedName>
    <definedName name="다다익선" localSheetId="45" hidden="1">{#N/A,#N/A,FALSE,"정공"}</definedName>
    <definedName name="다다익선" localSheetId="42" hidden="1">{#N/A,#N/A,FALSE,"정공"}</definedName>
    <definedName name="다다익선" hidden="1">{#N/A,#N/A,FALSE,"정공"}</definedName>
    <definedName name="다달이" localSheetId="15" hidden="1">{#N/A,#N/A,FALSE,"정공"}</definedName>
    <definedName name="다달이" localSheetId="6" hidden="1">{#N/A,#N/A,FALSE,"정공"}</definedName>
    <definedName name="다달이" localSheetId="45" hidden="1">{#N/A,#N/A,FALSE,"정공"}</definedName>
    <definedName name="다달이" localSheetId="42" hidden="1">{#N/A,#N/A,FALSE,"정공"}</definedName>
    <definedName name="다달이" hidden="1">{#N/A,#N/A,FALSE,"정공"}</definedName>
    <definedName name="다라니경" localSheetId="15" hidden="1">{#N/A,#N/A,FALSE,"정공"}</definedName>
    <definedName name="다라니경" localSheetId="6" hidden="1">{#N/A,#N/A,FALSE,"정공"}</definedName>
    <definedName name="다라니경" localSheetId="45" hidden="1">{#N/A,#N/A,FALSE,"정공"}</definedName>
    <definedName name="다라니경" localSheetId="42" hidden="1">{#N/A,#N/A,FALSE,"정공"}</definedName>
    <definedName name="다라니경" hidden="1">{#N/A,#N/A,FALSE,"정공"}</definedName>
    <definedName name="다라니경을피우자" localSheetId="15" hidden="1">{#N/A,#N/A,FALSE,"정공"}</definedName>
    <definedName name="다라니경을피우자" localSheetId="6" hidden="1">{#N/A,#N/A,FALSE,"정공"}</definedName>
    <definedName name="다라니경을피우자" localSheetId="45" hidden="1">{#N/A,#N/A,FALSE,"정공"}</definedName>
    <definedName name="다라니경을피우자" localSheetId="42" hidden="1">{#N/A,#N/A,FALSE,"정공"}</definedName>
    <definedName name="다라니경을피우자" hidden="1">{#N/A,#N/A,FALSE,"정공"}</definedName>
    <definedName name="다바" localSheetId="15" hidden="1">{#N/A,#N/A,FALSE,"1.CRITERIA";#N/A,#N/A,FALSE,"2.IS";#N/A,#N/A,FALSE,"3.BS";#N/A,#N/A,FALSE,"4.PER PL";#N/A,#N/A,FALSE,"5.INVESTMENT";#N/A,#N/A,FALSE,"6.공문";#N/A,#N/A,FALSE,"7.netinvest"}</definedName>
    <definedName name="다바" localSheetId="6" hidden="1">{#N/A,#N/A,FALSE,"1.CRITERIA";#N/A,#N/A,FALSE,"2.IS";#N/A,#N/A,FALSE,"3.BS";#N/A,#N/A,FALSE,"4.PER PL";#N/A,#N/A,FALSE,"5.INVESTMENT";#N/A,#N/A,FALSE,"6.공문";#N/A,#N/A,FALSE,"7.netinvest"}</definedName>
    <definedName name="다바" localSheetId="45" hidden="1">{#N/A,#N/A,FALSE,"1.CRITERIA";#N/A,#N/A,FALSE,"2.IS";#N/A,#N/A,FALSE,"3.BS";#N/A,#N/A,FALSE,"4.PER PL";#N/A,#N/A,FALSE,"5.INVESTMENT";#N/A,#N/A,FALSE,"6.공문";#N/A,#N/A,FALSE,"7.netinvest"}</definedName>
    <definedName name="다바" localSheetId="42" hidden="1">{#N/A,#N/A,FALSE,"1.CRITERIA";#N/A,#N/A,FALSE,"2.IS";#N/A,#N/A,FALSE,"3.BS";#N/A,#N/A,FALSE,"4.PER PL";#N/A,#N/A,FALSE,"5.INVESTMENT";#N/A,#N/A,FALSE,"6.공문";#N/A,#N/A,FALSE,"7.netinvest"}</definedName>
    <definedName name="다바" hidden="1">{#N/A,#N/A,FALSE,"1.CRITERIA";#N/A,#N/A,FALSE,"2.IS";#N/A,#N/A,FALSE,"3.BS";#N/A,#N/A,FALSE,"4.PER PL";#N/A,#N/A,FALSE,"5.INVESTMENT";#N/A,#N/A,FALSE,"6.공문";#N/A,#N/A,FALSE,"7.netinvest"}</definedName>
    <definedName name="닥터수수료" localSheetId="42" hidden="1">{"'경비내역'!$E$11"}</definedName>
    <definedName name="닥터수수료" hidden="1">{"'경비내역'!$E$11"}</definedName>
    <definedName name="단가기준" localSheetId="42" hidden="1">{#N/A,#N/A,TRUE,"Y생산";#N/A,#N/A,TRUE,"Y판매";#N/A,#N/A,TRUE,"Y총물량";#N/A,#N/A,TRUE,"Y능력";#N/A,#N/A,TRUE,"YKD"}</definedName>
    <definedName name="단가기준" hidden="1">{#N/A,#N/A,TRUE,"Y생산";#N/A,#N/A,TRUE,"Y판매";#N/A,#N/A,TRUE,"Y총물량";#N/A,#N/A,TRUE,"Y능력";#N/A,#N/A,TRUE,"YKD"}</definedName>
    <definedName name="단기" localSheetId="42" hidden="1">{#N/A,#N/A,TRUE,"Y생산";#N/A,#N/A,TRUE,"Y판매";#N/A,#N/A,TRUE,"Y총물량";#N/A,#N/A,TRUE,"Y능력";#N/A,#N/A,TRUE,"YKD"}</definedName>
    <definedName name="단기" hidden="1">{#N/A,#N/A,TRUE,"Y생산";#N/A,#N/A,TRUE,"Y판매";#N/A,#N/A,TRUE,"Y총물량";#N/A,#N/A,TRUE,"Y능력";#N/A,#N/A,TRUE,"YKD"}</definedName>
    <definedName name="단기금융상품" localSheetId="12" hidden="1">#REF!</definedName>
    <definedName name="단기금융상품" localSheetId="30" hidden="1">#REF!</definedName>
    <definedName name="단기금융상품" localSheetId="29" hidden="1">#REF!</definedName>
    <definedName name="단기금융상품" localSheetId="33" hidden="1">#REF!</definedName>
    <definedName name="단기금융상품" localSheetId="31" hidden="1">#REF!</definedName>
    <definedName name="단기금융상품" hidden="1">#REF!</definedName>
    <definedName name="단기보증금" localSheetId="30" hidden="1">#REF!</definedName>
    <definedName name="단기보증금" localSheetId="29" hidden="1">#REF!</definedName>
    <definedName name="단기보증금" localSheetId="33" hidden="1">#REF!</definedName>
    <definedName name="단기보증금" localSheetId="31" hidden="1">#REF!</definedName>
    <definedName name="단기보증금" hidden="1">#REF!</definedName>
    <definedName name="단기예치금5월" localSheetId="15" hidden="1">{"'분양원가'!$B$1:$F$113"}</definedName>
    <definedName name="단기예치금5월" localSheetId="6" hidden="1">{"'분양원가'!$B$1:$F$113"}</definedName>
    <definedName name="단기예치금5월" localSheetId="45" hidden="1">{"'분양원가'!$B$1:$F$113"}</definedName>
    <definedName name="단기예치금5월" localSheetId="42" hidden="1">{"'분양원가'!$B$1:$F$113"}</definedName>
    <definedName name="단기예치금5월" hidden="1">{"'분양원가'!$B$1:$F$113"}</definedName>
    <definedName name="단기차입금" localSheetId="1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단기차입금"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단기차입금" localSheetId="4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단기차입금" localSheetId="4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단기차입금"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단말기" localSheetId="15" hidden="1">{#N/A,#N/A,FALSE,"정공"}</definedName>
    <definedName name="단말기" localSheetId="6" hidden="1">{#N/A,#N/A,FALSE,"정공"}</definedName>
    <definedName name="단말기" localSheetId="45" hidden="1">{#N/A,#N/A,FALSE,"정공"}</definedName>
    <definedName name="단말기" localSheetId="42" hidden="1">{#N/A,#N/A,FALSE,"정공"}</definedName>
    <definedName name="단말기" hidden="1">{#N/A,#N/A,FALSE,"정공"}</definedName>
    <definedName name="단말기번호" localSheetId="15" hidden="1">{#N/A,#N/A,FALSE,"정공"}</definedName>
    <definedName name="단말기번호" localSheetId="6" hidden="1">{#N/A,#N/A,FALSE,"정공"}</definedName>
    <definedName name="단말기번호" localSheetId="45" hidden="1">{#N/A,#N/A,FALSE,"정공"}</definedName>
    <definedName name="단말기번호" localSheetId="42" hidden="1">{#N/A,#N/A,FALSE,"정공"}</definedName>
    <definedName name="단말기번호" hidden="1">{#N/A,#N/A,FALSE,"정공"}</definedName>
    <definedName name="단알기" localSheetId="15" hidden="1">{#N/A,#N/A,FALSE,"정공"}</definedName>
    <definedName name="단알기" localSheetId="6" hidden="1">{#N/A,#N/A,FALSE,"정공"}</definedName>
    <definedName name="단알기" localSheetId="45" hidden="1">{#N/A,#N/A,FALSE,"정공"}</definedName>
    <definedName name="단알기" localSheetId="42" hidden="1">{#N/A,#N/A,FALSE,"정공"}</definedName>
    <definedName name="단알기" hidden="1">{#N/A,#N/A,FALSE,"정공"}</definedName>
    <definedName name="당" localSheetId="42" hidden="1">{#N/A,#N/A,FALSE,"96자동차사 계획";#N/A,#N/A,FALSE,"96자동차사 계획"}</definedName>
    <definedName name="당" hidden="1">{#N/A,#N/A,FALSE,"96자동차사 계획";#N/A,#N/A,FALSE,"96자동차사 계획"}</definedName>
    <definedName name="당초기준손이" localSheetId="15" hidden="1">{#N/A,#N/A,FALSE,"정공"}</definedName>
    <definedName name="당초기준손이" localSheetId="6" hidden="1">{#N/A,#N/A,FALSE,"정공"}</definedName>
    <definedName name="당초기준손이" localSheetId="45" hidden="1">{#N/A,#N/A,FALSE,"정공"}</definedName>
    <definedName name="당초기준손이" localSheetId="42" hidden="1">{#N/A,#N/A,FALSE,"정공"}</definedName>
    <definedName name="당초기준손이" hidden="1">{#N/A,#N/A,FALSE,"정공"}</definedName>
    <definedName name="당초대비비교표" localSheetId="15" hidden="1">{#N/A,#N/A,FALSE,"정공"}</definedName>
    <definedName name="당초대비비교표" localSheetId="6" hidden="1">{#N/A,#N/A,FALSE,"정공"}</definedName>
    <definedName name="당초대비비교표" localSheetId="45" hidden="1">{#N/A,#N/A,FALSE,"정공"}</definedName>
    <definedName name="당초대비비교표" localSheetId="42" hidden="1">{#N/A,#N/A,FALSE,"정공"}</definedName>
    <definedName name="당초대비비교표" hidden="1">{#N/A,#N/A,FALSE,"정공"}</definedName>
    <definedName name="당초손익표" localSheetId="15" hidden="1">{#N/A,#N/A,FALSE,"정공"}</definedName>
    <definedName name="당초손익표" localSheetId="6" hidden="1">{#N/A,#N/A,FALSE,"정공"}</definedName>
    <definedName name="당초손익표" localSheetId="45" hidden="1">{#N/A,#N/A,FALSE,"정공"}</definedName>
    <definedName name="당초손익표" localSheetId="42" hidden="1">{#N/A,#N/A,FALSE,"정공"}</definedName>
    <definedName name="당초손익표" hidden="1">{#N/A,#N/A,FALSE,"정공"}</definedName>
    <definedName name="대" localSheetId="15" hidden="1">{#N/A,#N/A,FALSE,"계약직(여)"}</definedName>
    <definedName name="대" localSheetId="6" hidden="1">{#N/A,#N/A,FALSE,"계약직(여)"}</definedName>
    <definedName name="대" localSheetId="45" hidden="1">{#N/A,#N/A,FALSE,"계약직(여)"}</definedName>
    <definedName name="대" localSheetId="42" hidden="1">{#N/A,#N/A,FALSE,"계약직(여)"}</definedName>
    <definedName name="대" hidden="1">{#N/A,#N/A,FALSE,"계약직(여)"}</definedName>
    <definedName name="대련" localSheetId="12" hidden="1">{#N/A,#N/A,FALSE,"UNIT";#N/A,#N/A,FALSE,"UNIT";#N/A,#N/A,FALSE,"계정"}</definedName>
    <definedName name="대련" localSheetId="42" hidden="1">{#N/A,#N/A,FALSE,"UNIT";#N/A,#N/A,FALSE,"UNIT";#N/A,#N/A,FALSE,"계정"}</definedName>
    <definedName name="대련" hidden="1">{#N/A,#N/A,FALSE,"UNIT";#N/A,#N/A,FALSE,"UNIT";#N/A,#N/A,FALSE,"계정"}</definedName>
    <definedName name="대리님" localSheetId="15" hidden="1">{#N/A,#N/A,FALSE,"정공"}</definedName>
    <definedName name="대리님" localSheetId="6" hidden="1">{#N/A,#N/A,FALSE,"정공"}</definedName>
    <definedName name="대리님" localSheetId="45" hidden="1">{#N/A,#N/A,FALSE,"정공"}</definedName>
    <definedName name="대리님" localSheetId="42" hidden="1">{#N/A,#N/A,FALSE,"정공"}</definedName>
    <definedName name="대리님" hidden="1">{#N/A,#N/A,FALSE,"정공"}</definedName>
    <definedName name="대리점사업부" localSheetId="15" hidden="1">{#N/A,#N/A,FALSE,"계약직(여)"}</definedName>
    <definedName name="대리점사업부" localSheetId="6" hidden="1">{#N/A,#N/A,FALSE,"계약직(여)"}</definedName>
    <definedName name="대리점사업부" localSheetId="45" hidden="1">{#N/A,#N/A,FALSE,"계약직(여)"}</definedName>
    <definedName name="대리점사업부" localSheetId="42" hidden="1">{#N/A,#N/A,FALSE,"계약직(여)"}</definedName>
    <definedName name="대리점사업부" hidden="1">{#N/A,#N/A,FALSE,"계약직(여)"}</definedName>
    <definedName name="대상시트" localSheetId="15" hidden="1">{#N/A,#N/A,FALSE,"정공"}</definedName>
    <definedName name="대상시트" localSheetId="6" hidden="1">{#N/A,#N/A,FALSE,"정공"}</definedName>
    <definedName name="대상시트" localSheetId="45" hidden="1">{#N/A,#N/A,FALSE,"정공"}</definedName>
    <definedName name="대상시트" localSheetId="42" hidden="1">{#N/A,#N/A,FALSE,"정공"}</definedName>
    <definedName name="대상시트" hidden="1">{#N/A,#N/A,FALSE,"정공"}</definedName>
    <definedName name="대앻" localSheetId="12" hidden="1">{#N/A,#N/A,TRUE,"일정"}</definedName>
    <definedName name="대앻" localSheetId="42" hidden="1">{#N/A,#N/A,TRUE,"일정"}</definedName>
    <definedName name="대앻" hidden="1">{#N/A,#N/A,TRUE,"일정"}</definedName>
    <definedName name="대여" localSheetId="12" hidden="1">{#N/A,#N/A,FALSE,"DAOCM 2차 검토"}</definedName>
    <definedName name="대여" localSheetId="42" hidden="1">{#N/A,#N/A,FALSE,"DAOCM 2차 검토"}</definedName>
    <definedName name="대여" hidden="1">{#N/A,#N/A,FALSE,"DAOCM 2차 검토"}</definedName>
    <definedName name="대우" localSheetId="15" hidden="1">{#N/A,#N/A,FALSE,"정공"}</definedName>
    <definedName name="대우" localSheetId="6" hidden="1">{#N/A,#N/A,FALSE,"정공"}</definedName>
    <definedName name="대우" localSheetId="45" hidden="1">{#N/A,#N/A,FALSE,"정공"}</definedName>
    <definedName name="대우" localSheetId="42" hidden="1">{#N/A,#N/A,FALSE,"정공"}</definedName>
    <definedName name="대우" hidden="1">{#N/A,#N/A,FALSE,"정공"}</definedName>
    <definedName name="대우하세요" localSheetId="15" hidden="1">{#N/A,#N/A,FALSE,"정공"}</definedName>
    <definedName name="대우하세요" localSheetId="6" hidden="1">{#N/A,#N/A,FALSE,"정공"}</definedName>
    <definedName name="대우하세요" localSheetId="45" hidden="1">{#N/A,#N/A,FALSE,"정공"}</definedName>
    <definedName name="대우하세요" localSheetId="42" hidden="1">{#N/A,#N/A,FALSE,"정공"}</definedName>
    <definedName name="대우하세요" hidden="1">{#N/A,#N/A,FALSE,"정공"}</definedName>
    <definedName name="대일" localSheetId="15" hidden="1">{#N/A,#N/A,FALSE,"손익표지";#N/A,#N/A,FALSE,"손익계산";#N/A,#N/A,FALSE,"일반관리비";#N/A,#N/A,FALSE,"영업외수익";#N/A,#N/A,FALSE,"영업외비용";#N/A,#N/A,FALSE,"매출액";#N/A,#N/A,FALSE,"요약손익";#N/A,#N/A,FALSE,"요약대차";#N/A,#N/A,FALSE,"매출채권현황";#N/A,#N/A,FALSE,"매출채권명세"}</definedName>
    <definedName name="대일" localSheetId="6" hidden="1">{#N/A,#N/A,FALSE,"손익표지";#N/A,#N/A,FALSE,"손익계산";#N/A,#N/A,FALSE,"일반관리비";#N/A,#N/A,FALSE,"영업외수익";#N/A,#N/A,FALSE,"영업외비용";#N/A,#N/A,FALSE,"매출액";#N/A,#N/A,FALSE,"요약손익";#N/A,#N/A,FALSE,"요약대차";#N/A,#N/A,FALSE,"매출채권현황";#N/A,#N/A,FALSE,"매출채권명세"}</definedName>
    <definedName name="대일" localSheetId="45" hidden="1">{#N/A,#N/A,FALSE,"손익표지";#N/A,#N/A,FALSE,"손익계산";#N/A,#N/A,FALSE,"일반관리비";#N/A,#N/A,FALSE,"영업외수익";#N/A,#N/A,FALSE,"영업외비용";#N/A,#N/A,FALSE,"매출액";#N/A,#N/A,FALSE,"요약손익";#N/A,#N/A,FALSE,"요약대차";#N/A,#N/A,FALSE,"매출채권현황";#N/A,#N/A,FALSE,"매출채권명세"}</definedName>
    <definedName name="대일" localSheetId="42" hidden="1">{#N/A,#N/A,FALSE,"손익표지";#N/A,#N/A,FALSE,"손익계산";#N/A,#N/A,FALSE,"일반관리비";#N/A,#N/A,FALSE,"영업외수익";#N/A,#N/A,FALSE,"영업외비용";#N/A,#N/A,FALSE,"매출액";#N/A,#N/A,FALSE,"요약손익";#N/A,#N/A,FALSE,"요약대차";#N/A,#N/A,FALSE,"매출채권현황";#N/A,#N/A,FALSE,"매출채권명세"}</definedName>
    <definedName name="대일" hidden="1">{#N/A,#N/A,FALSE,"손익표지";#N/A,#N/A,FALSE,"손익계산";#N/A,#N/A,FALSE,"일반관리비";#N/A,#N/A,FALSE,"영업외수익";#N/A,#N/A,FALSE,"영업외비용";#N/A,#N/A,FALSE,"매출액";#N/A,#N/A,FALSE,"요약손익";#N/A,#N/A,FALSE,"요약대차";#N/A,#N/A,FALSE,"매출채권현황";#N/A,#N/A,FALSE,"매출채권명세"}</definedName>
    <definedName name="대일1" localSheetId="15" hidden="1">{#N/A,#N/A,FALSE,"손익표지";#N/A,#N/A,FALSE,"손익계산";#N/A,#N/A,FALSE,"일반관리비";#N/A,#N/A,FALSE,"영업외수익";#N/A,#N/A,FALSE,"영업외비용";#N/A,#N/A,FALSE,"매출액";#N/A,#N/A,FALSE,"요약손익";#N/A,#N/A,FALSE,"요약대차";#N/A,#N/A,FALSE,"매출채권현황";#N/A,#N/A,FALSE,"매출채권명세"}</definedName>
    <definedName name="대일1" localSheetId="6" hidden="1">{#N/A,#N/A,FALSE,"손익표지";#N/A,#N/A,FALSE,"손익계산";#N/A,#N/A,FALSE,"일반관리비";#N/A,#N/A,FALSE,"영업외수익";#N/A,#N/A,FALSE,"영업외비용";#N/A,#N/A,FALSE,"매출액";#N/A,#N/A,FALSE,"요약손익";#N/A,#N/A,FALSE,"요약대차";#N/A,#N/A,FALSE,"매출채권현황";#N/A,#N/A,FALSE,"매출채권명세"}</definedName>
    <definedName name="대일1" localSheetId="45" hidden="1">{#N/A,#N/A,FALSE,"손익표지";#N/A,#N/A,FALSE,"손익계산";#N/A,#N/A,FALSE,"일반관리비";#N/A,#N/A,FALSE,"영업외수익";#N/A,#N/A,FALSE,"영업외비용";#N/A,#N/A,FALSE,"매출액";#N/A,#N/A,FALSE,"요약손익";#N/A,#N/A,FALSE,"요약대차";#N/A,#N/A,FALSE,"매출채권현황";#N/A,#N/A,FALSE,"매출채권명세"}</definedName>
    <definedName name="대일1" localSheetId="42" hidden="1">{#N/A,#N/A,FALSE,"손익표지";#N/A,#N/A,FALSE,"손익계산";#N/A,#N/A,FALSE,"일반관리비";#N/A,#N/A,FALSE,"영업외수익";#N/A,#N/A,FALSE,"영업외비용";#N/A,#N/A,FALSE,"매출액";#N/A,#N/A,FALSE,"요약손익";#N/A,#N/A,FALSE,"요약대차";#N/A,#N/A,FALSE,"매출채권현황";#N/A,#N/A,FALSE,"매출채권명세"}</definedName>
    <definedName name="대일1" hidden="1">{#N/A,#N/A,FALSE,"손익표지";#N/A,#N/A,FALSE,"손익계산";#N/A,#N/A,FALSE,"일반관리비";#N/A,#N/A,FALSE,"영업외수익";#N/A,#N/A,FALSE,"영업외비용";#N/A,#N/A,FALSE,"매출액";#N/A,#N/A,FALSE,"요약손익";#N/A,#N/A,FALSE,"요약대차";#N/A,#N/A,FALSE,"매출채권현황";#N/A,#N/A,FALSE,"매출채권명세"}</definedName>
    <definedName name="대차대조표.." localSheetId="15" hidden="1">#REF!</definedName>
    <definedName name="대차대조표.." localSheetId="6" hidden="1">#REF!</definedName>
    <definedName name="대차대조표.." localSheetId="42" hidden="1">#REF!</definedName>
    <definedName name="대차대조표.." hidden="1">#REF!</definedName>
    <definedName name="대치대차" localSheetId="12" hidden="1">{#N/A,#N/A,FALSE,"매출이익"}</definedName>
    <definedName name="대치대차" localSheetId="42" hidden="1">{#N/A,#N/A,FALSE,"매출이익"}</definedName>
    <definedName name="대치대차" hidden="1">{#N/A,#N/A,FALSE,"매출이익"}</definedName>
    <definedName name="대화상자" localSheetId="15" hidden="1">{#N/A,#N/A,FALSE,"정공"}</definedName>
    <definedName name="대화상자" localSheetId="6" hidden="1">{#N/A,#N/A,FALSE,"정공"}</definedName>
    <definedName name="대화상자" localSheetId="45" hidden="1">{#N/A,#N/A,FALSE,"정공"}</definedName>
    <definedName name="대화상자" localSheetId="42" hidden="1">{#N/A,#N/A,FALSE,"정공"}</definedName>
    <definedName name="대화상자" hidden="1">{#N/A,#N/A,FALSE,"정공"}</definedName>
    <definedName name="도" localSheetId="15" hidden="1">{#N/A,#N/A,FALSE,"1.CRITERIA";#N/A,#N/A,FALSE,"2.IS";#N/A,#N/A,FALSE,"3.BS";#N/A,#N/A,FALSE,"4.PER PL";#N/A,#N/A,FALSE,"5.INVESTMENT";#N/A,#N/A,FALSE,"6.공문";#N/A,#N/A,FALSE,"7.netinvest"}</definedName>
    <definedName name="도" localSheetId="6" hidden="1">{#N/A,#N/A,FALSE,"1.CRITERIA";#N/A,#N/A,FALSE,"2.IS";#N/A,#N/A,FALSE,"3.BS";#N/A,#N/A,FALSE,"4.PER PL";#N/A,#N/A,FALSE,"5.INVESTMENT";#N/A,#N/A,FALSE,"6.공문";#N/A,#N/A,FALSE,"7.netinvest"}</definedName>
    <definedName name="도" localSheetId="45" hidden="1">{#N/A,#N/A,FALSE,"1.CRITERIA";#N/A,#N/A,FALSE,"2.IS";#N/A,#N/A,FALSE,"3.BS";#N/A,#N/A,FALSE,"4.PER PL";#N/A,#N/A,FALSE,"5.INVESTMENT";#N/A,#N/A,FALSE,"6.공문";#N/A,#N/A,FALSE,"7.netinvest"}</definedName>
    <definedName name="도" localSheetId="42" hidden="1">{#N/A,#N/A,FALSE,"1.CRITERIA";#N/A,#N/A,FALSE,"2.IS";#N/A,#N/A,FALSE,"3.BS";#N/A,#N/A,FALSE,"4.PER PL";#N/A,#N/A,FALSE,"5.INVESTMENT";#N/A,#N/A,FALSE,"6.공문";#N/A,#N/A,FALSE,"7.netinvest"}</definedName>
    <definedName name="도" hidden="1">{#N/A,#N/A,FALSE,"1.CRITERIA";#N/A,#N/A,FALSE,"2.IS";#N/A,#N/A,FALSE,"3.BS";#N/A,#N/A,FALSE,"4.PER PL";#N/A,#N/A,FALSE,"5.INVESTMENT";#N/A,#N/A,FALSE,"6.공문";#N/A,#N/A,FALSE,"7.netinvest"}</definedName>
    <definedName name="돠" localSheetId="15" hidden="1">{#N/A,#N/A,FALSE,"1.CRITERIA";#N/A,#N/A,FALSE,"2.IS";#N/A,#N/A,FALSE,"3.BS";#N/A,#N/A,FALSE,"4.PER PL";#N/A,#N/A,FALSE,"5.INVESTMENT";#N/A,#N/A,FALSE,"6.공문";#N/A,#N/A,FALSE,"7.netinvest"}</definedName>
    <definedName name="돠" localSheetId="6" hidden="1">{#N/A,#N/A,FALSE,"1.CRITERIA";#N/A,#N/A,FALSE,"2.IS";#N/A,#N/A,FALSE,"3.BS";#N/A,#N/A,FALSE,"4.PER PL";#N/A,#N/A,FALSE,"5.INVESTMENT";#N/A,#N/A,FALSE,"6.공문";#N/A,#N/A,FALSE,"7.netinvest"}</definedName>
    <definedName name="돠" localSheetId="45" hidden="1">{#N/A,#N/A,FALSE,"1.CRITERIA";#N/A,#N/A,FALSE,"2.IS";#N/A,#N/A,FALSE,"3.BS";#N/A,#N/A,FALSE,"4.PER PL";#N/A,#N/A,FALSE,"5.INVESTMENT";#N/A,#N/A,FALSE,"6.공문";#N/A,#N/A,FALSE,"7.netinvest"}</definedName>
    <definedName name="돠" localSheetId="42" hidden="1">{#N/A,#N/A,FALSE,"1.CRITERIA";#N/A,#N/A,FALSE,"2.IS";#N/A,#N/A,FALSE,"3.BS";#N/A,#N/A,FALSE,"4.PER PL";#N/A,#N/A,FALSE,"5.INVESTMENT";#N/A,#N/A,FALSE,"6.공문";#N/A,#N/A,FALSE,"7.netinvest"}</definedName>
    <definedName name="돠" hidden="1">{#N/A,#N/A,FALSE,"1.CRITERIA";#N/A,#N/A,FALSE,"2.IS";#N/A,#N/A,FALSE,"3.BS";#N/A,#N/A,FALSE,"4.PER PL";#N/A,#N/A,FALSE,"5.INVESTMENT";#N/A,#N/A,FALSE,"6.공문";#N/A,#N/A,FALSE,"7.netinvest"}</definedName>
    <definedName name="됴ㅅㄷㅅ" localSheetId="15" hidden="1">{#N/A,#N/A,FALSE,"손익표지";#N/A,#N/A,FALSE,"손익계산";#N/A,#N/A,FALSE,"일반관리비";#N/A,#N/A,FALSE,"영업외수익";#N/A,#N/A,FALSE,"영업외비용";#N/A,#N/A,FALSE,"매출액";#N/A,#N/A,FALSE,"요약손익";#N/A,#N/A,FALSE,"요약대차";#N/A,#N/A,FALSE,"매출채권현황";#N/A,#N/A,FALSE,"매출채권명세"}</definedName>
    <definedName name="됴ㅅㄷㅅ" localSheetId="6" hidden="1">{#N/A,#N/A,FALSE,"손익표지";#N/A,#N/A,FALSE,"손익계산";#N/A,#N/A,FALSE,"일반관리비";#N/A,#N/A,FALSE,"영업외수익";#N/A,#N/A,FALSE,"영업외비용";#N/A,#N/A,FALSE,"매출액";#N/A,#N/A,FALSE,"요약손익";#N/A,#N/A,FALSE,"요약대차";#N/A,#N/A,FALSE,"매출채권현황";#N/A,#N/A,FALSE,"매출채권명세"}</definedName>
    <definedName name="됴ㅅㄷㅅ" localSheetId="45" hidden="1">{#N/A,#N/A,FALSE,"손익표지";#N/A,#N/A,FALSE,"손익계산";#N/A,#N/A,FALSE,"일반관리비";#N/A,#N/A,FALSE,"영업외수익";#N/A,#N/A,FALSE,"영업외비용";#N/A,#N/A,FALSE,"매출액";#N/A,#N/A,FALSE,"요약손익";#N/A,#N/A,FALSE,"요약대차";#N/A,#N/A,FALSE,"매출채권현황";#N/A,#N/A,FALSE,"매출채권명세"}</definedName>
    <definedName name="됴ㅅㄷㅅ" localSheetId="42" hidden="1">{#N/A,#N/A,FALSE,"손익표지";#N/A,#N/A,FALSE,"손익계산";#N/A,#N/A,FALSE,"일반관리비";#N/A,#N/A,FALSE,"영업외수익";#N/A,#N/A,FALSE,"영업외비용";#N/A,#N/A,FALSE,"매출액";#N/A,#N/A,FALSE,"요약손익";#N/A,#N/A,FALSE,"요약대차";#N/A,#N/A,FALSE,"매출채권현황";#N/A,#N/A,FALSE,"매출채권명세"}</definedName>
    <definedName name="됴ㅅㄷㅅ" hidden="1">{#N/A,#N/A,FALSE,"손익표지";#N/A,#N/A,FALSE,"손익계산";#N/A,#N/A,FALSE,"일반관리비";#N/A,#N/A,FALSE,"영업외수익";#N/A,#N/A,FALSE,"영업외비용";#N/A,#N/A,FALSE,"매출액";#N/A,#N/A,FALSE,"요약손익";#N/A,#N/A,FALSE,"요약대차";#N/A,#N/A,FALSE,"매출채권현황";#N/A,#N/A,FALSE,"매출채권명세"}</definedName>
    <definedName name="두번째" localSheetId="15" hidden="1">{#N/A,#N/A,FALSE,"정공"}</definedName>
    <definedName name="두번째" localSheetId="6" hidden="1">{#N/A,#N/A,FALSE,"정공"}</definedName>
    <definedName name="두번째" localSheetId="45" hidden="1">{#N/A,#N/A,FALSE,"정공"}</definedName>
    <definedName name="두번째" localSheetId="42" hidden="1">{#N/A,#N/A,FALSE,"정공"}</definedName>
    <definedName name="두번째" hidden="1">{#N/A,#N/A,FALSE,"정공"}</definedName>
    <definedName name="디" localSheetId="15" hidden="1">{#N/A,#N/A,FALSE,"1.CRITERIA";#N/A,#N/A,FALSE,"2.IS";#N/A,#N/A,FALSE,"3.BS";#N/A,#N/A,FALSE,"4.PER PL";#N/A,#N/A,FALSE,"5.INVESTMENT";#N/A,#N/A,FALSE,"6.공문";#N/A,#N/A,FALSE,"7.netinvest"}</definedName>
    <definedName name="디" localSheetId="6" hidden="1">{#N/A,#N/A,FALSE,"1.CRITERIA";#N/A,#N/A,FALSE,"2.IS";#N/A,#N/A,FALSE,"3.BS";#N/A,#N/A,FALSE,"4.PER PL";#N/A,#N/A,FALSE,"5.INVESTMENT";#N/A,#N/A,FALSE,"6.공문";#N/A,#N/A,FALSE,"7.netinvest"}</definedName>
    <definedName name="디" localSheetId="45" hidden="1">{#N/A,#N/A,FALSE,"1.CRITERIA";#N/A,#N/A,FALSE,"2.IS";#N/A,#N/A,FALSE,"3.BS";#N/A,#N/A,FALSE,"4.PER PL";#N/A,#N/A,FALSE,"5.INVESTMENT";#N/A,#N/A,FALSE,"6.공문";#N/A,#N/A,FALSE,"7.netinvest"}</definedName>
    <definedName name="디" localSheetId="42" hidden="1">{#N/A,#N/A,FALSE,"1.CRITERIA";#N/A,#N/A,FALSE,"2.IS";#N/A,#N/A,FALSE,"3.BS";#N/A,#N/A,FALSE,"4.PER PL";#N/A,#N/A,FALSE,"5.INVESTMENT";#N/A,#N/A,FALSE,"6.공문";#N/A,#N/A,FALSE,"7.netinvest"}</definedName>
    <definedName name="디" hidden="1">{#N/A,#N/A,FALSE,"1.CRITERIA";#N/A,#N/A,FALSE,"2.IS";#N/A,#N/A,FALSE,"3.BS";#N/A,#N/A,FALSE,"4.PER PL";#N/A,#N/A,FALSE,"5.INVESTMENT";#N/A,#N/A,FALSE,"6.공문";#N/A,#N/A,FALSE,"7.netinvest"}</definedName>
    <definedName name="ㄹ" localSheetId="12" hidden="1">{#N/A,#N/A,FALSE,"Aging Summary";#N/A,#N/A,FALSE,"Ratio Analysis";#N/A,#N/A,FALSE,"Test 120 Day Accts";#N/A,#N/A,FALSE,"Tickmarks"}</definedName>
    <definedName name="ㄹ" localSheetId="15" hidden="1">{#N/A,#N/A,FALSE,"손익표지";#N/A,#N/A,FALSE,"손익계산";#N/A,#N/A,FALSE,"일반관리비";#N/A,#N/A,FALSE,"영업외수익";#N/A,#N/A,FALSE,"영업외비용";#N/A,#N/A,FALSE,"매출액";#N/A,#N/A,FALSE,"요약손익";#N/A,#N/A,FALSE,"요약대차";#N/A,#N/A,FALSE,"매출채권현황";#N/A,#N/A,FALSE,"매출채권명세"}</definedName>
    <definedName name="ㄹ" localSheetId="6" hidden="1">{#N/A,#N/A,FALSE,"손익표지";#N/A,#N/A,FALSE,"손익계산";#N/A,#N/A,FALSE,"일반관리비";#N/A,#N/A,FALSE,"영업외수익";#N/A,#N/A,FALSE,"영업외비용";#N/A,#N/A,FALSE,"매출액";#N/A,#N/A,FALSE,"요약손익";#N/A,#N/A,FALSE,"요약대차";#N/A,#N/A,FALSE,"매출채권현황";#N/A,#N/A,FALSE,"매출채권명세"}</definedName>
    <definedName name="ㄹ" localSheetId="45" hidden="1">{#N/A,#N/A,FALSE,"손익표지";#N/A,#N/A,FALSE,"손익계산";#N/A,#N/A,FALSE,"일반관리비";#N/A,#N/A,FALSE,"영업외수익";#N/A,#N/A,FALSE,"영업외비용";#N/A,#N/A,FALSE,"매출액";#N/A,#N/A,FALSE,"요약손익";#N/A,#N/A,FALSE,"요약대차";#N/A,#N/A,FALSE,"매출채권현황";#N/A,#N/A,FALSE,"매출채권명세"}</definedName>
    <definedName name="ㄹ" localSheetId="42" hidden="1">{#N/A,#N/A,FALSE,"손익표지";#N/A,#N/A,FALSE,"손익계산";#N/A,#N/A,FALSE,"일반관리비";#N/A,#N/A,FALSE,"영업외수익";#N/A,#N/A,FALSE,"영업외비용";#N/A,#N/A,FALSE,"매출액";#N/A,#N/A,FALSE,"요약손익";#N/A,#N/A,FALSE,"요약대차";#N/A,#N/A,FALSE,"매출채권현황";#N/A,#N/A,FALSE,"매출채권명세"}</definedName>
    <definedName name="ㄹ" hidden="1">{#N/A,#N/A,FALSE,"UNIT";#N/A,#N/A,FALSE,"UNIT";#N/A,#N/A,FALSE,"계정"}</definedName>
    <definedName name="ㄹㄴㄴ" localSheetId="12" hidden="1">{#N/A,#N/A,FALSE,"DAOCM 2차 검토"}</definedName>
    <definedName name="ㄹㄴㄴ" localSheetId="42" hidden="1">{#N/A,#N/A,FALSE,"DAOCM 2차 검토"}</definedName>
    <definedName name="ㄹㄴㄴ" hidden="1">{#N/A,#N/A,FALSE,"DAOCM 2차 검토"}</definedName>
    <definedName name="ㄹㄴㅇㄹㄴㅇㄹㄴㄱㄴㅇ" localSheetId="42" hidden="1">{#N/A,#N/A,FALSE,"지침";#N/A,#N/A,FALSE,"환경분석";#N/A,#N/A,FALSE,"Sheet16"}</definedName>
    <definedName name="ㄹㄴㅇㄹㄴㅇㄹㄴㄱㄴㅇ" hidden="1">{#N/A,#N/A,FALSE,"지침";#N/A,#N/A,FALSE,"환경분석";#N/A,#N/A,FALSE,"Sheet16"}</definedName>
    <definedName name="ㄹㄶㅀ" localSheetId="12" hidden="1">{#N/A,#N/A,FALSE,"회선임차현황"}</definedName>
    <definedName name="ㄹㄶㅀ" localSheetId="42" hidden="1">{#N/A,#N/A,FALSE,"회선임차현황"}</definedName>
    <definedName name="ㄹㄶㅀ" hidden="1">{#N/A,#N/A,FALSE,"회선임차현황"}</definedName>
    <definedName name="ㄹㄹ" localSheetId="42" hidden="1">{#N/A,#N/A,FALSE,"UNIT";#N/A,#N/A,FALSE,"UNIT";#N/A,#N/A,FALSE,"계정"}</definedName>
    <definedName name="ㄹㄹ" hidden="1">{#N/A,#N/A,FALSE,"UNIT";#N/A,#N/A,FALSE,"UNIT";#N/A,#N/A,FALSE,"계정"}</definedName>
    <definedName name="ㄹㄹㄹ" localSheetId="12" hidden="1">{#N/A,#N/A,FALSE,"UNIT";#N/A,#N/A,FALSE,"UNIT";#N/A,#N/A,FALSE,"계정"}</definedName>
    <definedName name="ㄹㄹㄹ" localSheetId="42" hidden="1">{#N/A,#N/A,FALSE,"UNIT";#N/A,#N/A,FALSE,"UNIT";#N/A,#N/A,FALSE,"계정"}</definedName>
    <definedName name="ㄹㄹㄹ" hidden="1">{#N/A,#N/A,FALSE,"UNIT";#N/A,#N/A,FALSE,"UNIT";#N/A,#N/A,FALSE,"계정"}</definedName>
    <definedName name="ㄹㄹㄹㄹㄹㄹㄹㄹㄹ" localSheetId="12" hidden="1">{#N/A,#N/A,FALSE,"Sheet1"}</definedName>
    <definedName name="ㄹㄹㄹㄹㄹㄹㄹㄹㄹ" localSheetId="42" hidden="1">{#N/A,#N/A,FALSE,"Sheet1"}</definedName>
    <definedName name="ㄹㄹㄹㄹㄹㄹㄹㄹㄹ" hidden="1">{#N/A,#N/A,FALSE,"Sheet1"}</definedName>
    <definedName name="ㄹㄹ호" localSheetId="15" hidden="1">{#N/A,#N/A,FALSE,"손익표지";#N/A,#N/A,FALSE,"손익계산";#N/A,#N/A,FALSE,"일반관리비";#N/A,#N/A,FALSE,"영업외수익";#N/A,#N/A,FALSE,"영업외비용";#N/A,#N/A,FALSE,"매출액";#N/A,#N/A,FALSE,"요약손익";#N/A,#N/A,FALSE,"요약대차";#N/A,#N/A,FALSE,"매출채권현황";#N/A,#N/A,FALSE,"매출채권명세"}</definedName>
    <definedName name="ㄹㄹ호" localSheetId="6" hidden="1">{#N/A,#N/A,FALSE,"손익표지";#N/A,#N/A,FALSE,"손익계산";#N/A,#N/A,FALSE,"일반관리비";#N/A,#N/A,FALSE,"영업외수익";#N/A,#N/A,FALSE,"영업외비용";#N/A,#N/A,FALSE,"매출액";#N/A,#N/A,FALSE,"요약손익";#N/A,#N/A,FALSE,"요약대차";#N/A,#N/A,FALSE,"매출채권현황";#N/A,#N/A,FALSE,"매출채권명세"}</definedName>
    <definedName name="ㄹㄹ호" localSheetId="45" hidden="1">{#N/A,#N/A,FALSE,"손익표지";#N/A,#N/A,FALSE,"손익계산";#N/A,#N/A,FALSE,"일반관리비";#N/A,#N/A,FALSE,"영업외수익";#N/A,#N/A,FALSE,"영업외비용";#N/A,#N/A,FALSE,"매출액";#N/A,#N/A,FALSE,"요약손익";#N/A,#N/A,FALSE,"요약대차";#N/A,#N/A,FALSE,"매출채권현황";#N/A,#N/A,FALSE,"매출채권명세"}</definedName>
    <definedName name="ㄹㄹ호" localSheetId="42" hidden="1">{#N/A,#N/A,FALSE,"손익표지";#N/A,#N/A,FALSE,"손익계산";#N/A,#N/A,FALSE,"일반관리비";#N/A,#N/A,FALSE,"영업외수익";#N/A,#N/A,FALSE,"영업외비용";#N/A,#N/A,FALSE,"매출액";#N/A,#N/A,FALSE,"요약손익";#N/A,#N/A,FALSE,"요약대차";#N/A,#N/A,FALSE,"매출채권현황";#N/A,#N/A,FALSE,"매출채권명세"}</definedName>
    <definedName name="ㄹㄹ호" hidden="1">{#N/A,#N/A,FALSE,"손익표지";#N/A,#N/A,FALSE,"손익계산";#N/A,#N/A,FALSE,"일반관리비";#N/A,#N/A,FALSE,"영업외수익";#N/A,#N/A,FALSE,"영업외비용";#N/A,#N/A,FALSE,"매출액";#N/A,#N/A,FALSE,"요약손익";#N/A,#N/A,FALSE,"요약대차";#N/A,#N/A,FALSE,"매출채권현황";#N/A,#N/A,FALSE,"매출채권명세"}</definedName>
    <definedName name="ㄹㅇㄹㄹㄹㄹ" localSheetId="15" hidden="1">{#N/A,#N/A,FALSE,"정공"}</definedName>
    <definedName name="ㄹㅇㄹㄹㄹㄹ" localSheetId="6" hidden="1">{#N/A,#N/A,FALSE,"정공"}</definedName>
    <definedName name="ㄹㅇㄹㄹㄹㄹ" localSheetId="45" hidden="1">{#N/A,#N/A,FALSE,"정공"}</definedName>
    <definedName name="ㄹㅇㄹㄹㄹㄹ" localSheetId="42" hidden="1">{#N/A,#N/A,FALSE,"정공"}</definedName>
    <definedName name="ㄹㅇㄹㄹㄹㄹ" hidden="1">{#N/A,#N/A,FALSE,"정공"}</definedName>
    <definedName name="ㄹㅇㅀㅇㄹ" localSheetId="12" hidden="1">{#N/A,#N/A,FALSE,"Sheet1"}</definedName>
    <definedName name="ㄹㅇㅀㅇㄹ" localSheetId="42" hidden="1">{#N/A,#N/A,FALSE,"Sheet1"}</definedName>
    <definedName name="ㄹㅇㅀㅇㄹ" hidden="1">{#N/A,#N/A,FALSE,"Sheet1"}</definedName>
    <definedName name="ㄹㅇㅎ오" localSheetId="15" hidden="1">{#N/A,#N/A,FALSE,"손익표지";#N/A,#N/A,FALSE,"손익계산";#N/A,#N/A,FALSE,"일반관리비";#N/A,#N/A,FALSE,"영업외수익";#N/A,#N/A,FALSE,"영업외비용";#N/A,#N/A,FALSE,"매출액";#N/A,#N/A,FALSE,"요약손익";#N/A,#N/A,FALSE,"요약대차";#N/A,#N/A,FALSE,"매출채권현황";#N/A,#N/A,FALSE,"매출채권명세"}</definedName>
    <definedName name="ㄹㅇㅎ오" localSheetId="6" hidden="1">{#N/A,#N/A,FALSE,"손익표지";#N/A,#N/A,FALSE,"손익계산";#N/A,#N/A,FALSE,"일반관리비";#N/A,#N/A,FALSE,"영업외수익";#N/A,#N/A,FALSE,"영업외비용";#N/A,#N/A,FALSE,"매출액";#N/A,#N/A,FALSE,"요약손익";#N/A,#N/A,FALSE,"요약대차";#N/A,#N/A,FALSE,"매출채권현황";#N/A,#N/A,FALSE,"매출채권명세"}</definedName>
    <definedName name="ㄹㅇㅎ오" localSheetId="45" hidden="1">{#N/A,#N/A,FALSE,"손익표지";#N/A,#N/A,FALSE,"손익계산";#N/A,#N/A,FALSE,"일반관리비";#N/A,#N/A,FALSE,"영업외수익";#N/A,#N/A,FALSE,"영업외비용";#N/A,#N/A,FALSE,"매출액";#N/A,#N/A,FALSE,"요약손익";#N/A,#N/A,FALSE,"요약대차";#N/A,#N/A,FALSE,"매출채권현황";#N/A,#N/A,FALSE,"매출채권명세"}</definedName>
    <definedName name="ㄹㅇㅎ오" localSheetId="42" hidden="1">{#N/A,#N/A,FALSE,"손익표지";#N/A,#N/A,FALSE,"손익계산";#N/A,#N/A,FALSE,"일반관리비";#N/A,#N/A,FALSE,"영업외수익";#N/A,#N/A,FALSE,"영업외비용";#N/A,#N/A,FALSE,"매출액";#N/A,#N/A,FALSE,"요약손익";#N/A,#N/A,FALSE,"요약대차";#N/A,#N/A,FALSE,"매출채권현황";#N/A,#N/A,FALSE,"매출채권명세"}</definedName>
    <definedName name="ㄹㅇㅎ오" hidden="1">{#N/A,#N/A,FALSE,"손익표지";#N/A,#N/A,FALSE,"손익계산";#N/A,#N/A,FALSE,"일반관리비";#N/A,#N/A,FALSE,"영업외수익";#N/A,#N/A,FALSE,"영업외비용";#N/A,#N/A,FALSE,"매출액";#N/A,#N/A,FALSE,"요약손익";#N/A,#N/A,FALSE,"요약대차";#N/A,#N/A,FALSE,"매출채권현황";#N/A,#N/A,FALSE,"매출채권명세"}</definedName>
    <definedName name="ㄹㅇㅎㅎㅎ" localSheetId="15" hidden="1">{#N/A,#N/A,FALSE,"98소지이동TOTvs99.1 (2)";#N/A,#N/A,FALSE,"TOTAL";#N/A,#N/A,FALSE,"98소지이동TOTvs99.1(b) (2)"}</definedName>
    <definedName name="ㄹㅇㅎㅎㅎ" localSheetId="6" hidden="1">{#N/A,#N/A,FALSE,"98소지이동TOTvs99.1 (2)";#N/A,#N/A,FALSE,"TOTAL";#N/A,#N/A,FALSE,"98소지이동TOTvs99.1(b) (2)"}</definedName>
    <definedName name="ㄹㅇㅎㅎㅎ" localSheetId="45" hidden="1">{#N/A,#N/A,FALSE,"98소지이동TOTvs99.1 (2)";#N/A,#N/A,FALSE,"TOTAL";#N/A,#N/A,FALSE,"98소지이동TOTvs99.1(b) (2)"}</definedName>
    <definedName name="ㄹㅇㅎㅎㅎ" localSheetId="42" hidden="1">{#N/A,#N/A,FALSE,"98소지이동TOTvs99.1 (2)";#N/A,#N/A,FALSE,"TOTAL";#N/A,#N/A,FALSE,"98소지이동TOTvs99.1(b) (2)"}</definedName>
    <definedName name="ㄹㅇㅎㅎㅎ" hidden="1">{#N/A,#N/A,FALSE,"98소지이동TOTvs99.1 (2)";#N/A,#N/A,FALSE,"TOTAL";#N/A,#N/A,FALSE,"98소지이동TOTvs99.1(b) (2)"}</definedName>
    <definedName name="ㄹ홀" localSheetId="15" hidden="1">{#N/A,#N/A,FALSE,"손익표지";#N/A,#N/A,FALSE,"손익계산";#N/A,#N/A,FALSE,"일반관리비";#N/A,#N/A,FALSE,"영업외수익";#N/A,#N/A,FALSE,"영업외비용";#N/A,#N/A,FALSE,"매출액";#N/A,#N/A,FALSE,"요약손익";#N/A,#N/A,FALSE,"요약대차";#N/A,#N/A,FALSE,"매출채권현황";#N/A,#N/A,FALSE,"매출채권명세"}</definedName>
    <definedName name="ㄹ홀" localSheetId="6" hidden="1">{#N/A,#N/A,FALSE,"손익표지";#N/A,#N/A,FALSE,"손익계산";#N/A,#N/A,FALSE,"일반관리비";#N/A,#N/A,FALSE,"영업외수익";#N/A,#N/A,FALSE,"영업외비용";#N/A,#N/A,FALSE,"매출액";#N/A,#N/A,FALSE,"요약손익";#N/A,#N/A,FALSE,"요약대차";#N/A,#N/A,FALSE,"매출채권현황";#N/A,#N/A,FALSE,"매출채권명세"}</definedName>
    <definedName name="ㄹ홀" localSheetId="45" hidden="1">{#N/A,#N/A,FALSE,"손익표지";#N/A,#N/A,FALSE,"손익계산";#N/A,#N/A,FALSE,"일반관리비";#N/A,#N/A,FALSE,"영업외수익";#N/A,#N/A,FALSE,"영업외비용";#N/A,#N/A,FALSE,"매출액";#N/A,#N/A,FALSE,"요약손익";#N/A,#N/A,FALSE,"요약대차";#N/A,#N/A,FALSE,"매출채권현황";#N/A,#N/A,FALSE,"매출채권명세"}</definedName>
    <definedName name="ㄹ홀" localSheetId="42" hidden="1">{#N/A,#N/A,FALSE,"손익표지";#N/A,#N/A,FALSE,"손익계산";#N/A,#N/A,FALSE,"일반관리비";#N/A,#N/A,FALSE,"영업외수익";#N/A,#N/A,FALSE,"영업외비용";#N/A,#N/A,FALSE,"매출액";#N/A,#N/A,FALSE,"요약손익";#N/A,#N/A,FALSE,"요약대차";#N/A,#N/A,FALSE,"매출채권현황";#N/A,#N/A,FALSE,"매출채권명세"}</definedName>
    <definedName name="ㄹ홀" hidden="1">{#N/A,#N/A,FALSE,"손익표지";#N/A,#N/A,FALSE,"손익계산";#N/A,#N/A,FALSE,"일반관리비";#N/A,#N/A,FALSE,"영업외수익";#N/A,#N/A,FALSE,"영업외비용";#N/A,#N/A,FALSE,"매출액";#N/A,#N/A,FALSE,"요약손익";#N/A,#N/A,FALSE,"요약대차";#N/A,#N/A,FALSE,"매출채권현황";#N/A,#N/A,FALSE,"매출채권명세"}</definedName>
    <definedName name="ㄹ홓로" localSheetId="15" hidden="1">{#N/A,#N/A,FALSE,"손익표지";#N/A,#N/A,FALSE,"손익계산";#N/A,#N/A,FALSE,"일반관리비";#N/A,#N/A,FALSE,"영업외수익";#N/A,#N/A,FALSE,"영업외비용";#N/A,#N/A,FALSE,"매출액";#N/A,#N/A,FALSE,"요약손익";#N/A,#N/A,FALSE,"요약대차";#N/A,#N/A,FALSE,"매출채권현황";#N/A,#N/A,FALSE,"매출채권명세"}</definedName>
    <definedName name="ㄹ홓로" localSheetId="6" hidden="1">{#N/A,#N/A,FALSE,"손익표지";#N/A,#N/A,FALSE,"손익계산";#N/A,#N/A,FALSE,"일반관리비";#N/A,#N/A,FALSE,"영업외수익";#N/A,#N/A,FALSE,"영업외비용";#N/A,#N/A,FALSE,"매출액";#N/A,#N/A,FALSE,"요약손익";#N/A,#N/A,FALSE,"요약대차";#N/A,#N/A,FALSE,"매출채권현황";#N/A,#N/A,FALSE,"매출채권명세"}</definedName>
    <definedName name="ㄹ홓로" localSheetId="45" hidden="1">{#N/A,#N/A,FALSE,"손익표지";#N/A,#N/A,FALSE,"손익계산";#N/A,#N/A,FALSE,"일반관리비";#N/A,#N/A,FALSE,"영업외수익";#N/A,#N/A,FALSE,"영업외비용";#N/A,#N/A,FALSE,"매출액";#N/A,#N/A,FALSE,"요약손익";#N/A,#N/A,FALSE,"요약대차";#N/A,#N/A,FALSE,"매출채권현황";#N/A,#N/A,FALSE,"매출채권명세"}</definedName>
    <definedName name="ㄹ홓로" localSheetId="42" hidden="1">{#N/A,#N/A,FALSE,"손익표지";#N/A,#N/A,FALSE,"손익계산";#N/A,#N/A,FALSE,"일반관리비";#N/A,#N/A,FALSE,"영업외수익";#N/A,#N/A,FALSE,"영업외비용";#N/A,#N/A,FALSE,"매출액";#N/A,#N/A,FALSE,"요약손익";#N/A,#N/A,FALSE,"요약대차";#N/A,#N/A,FALSE,"매출채권현황";#N/A,#N/A,FALSE,"매출채권명세"}</definedName>
    <definedName name="ㄹ홓로" hidden="1">{#N/A,#N/A,FALSE,"손익표지";#N/A,#N/A,FALSE,"손익계산";#N/A,#N/A,FALSE,"일반관리비";#N/A,#N/A,FALSE,"영업외수익";#N/A,#N/A,FALSE,"영업외비용";#N/A,#N/A,FALSE,"매출액";#N/A,#N/A,FALSE,"요약손익";#N/A,#N/A,FALSE,"요약대차";#N/A,#N/A,FALSE,"매출채권현황";#N/A,#N/A,FALSE,"매출채권명세"}</definedName>
    <definedName name="라" localSheetId="15" hidden="1">{#N/A,#N/A,FALSE,"1.CRITERIA";#N/A,#N/A,FALSE,"2.IS";#N/A,#N/A,FALSE,"3.BS";#N/A,#N/A,FALSE,"4.PER PL";#N/A,#N/A,FALSE,"5.INVESTMENT";#N/A,#N/A,FALSE,"6.공문";#N/A,#N/A,FALSE,"7.netinvest"}</definedName>
    <definedName name="라" localSheetId="6" hidden="1">{#N/A,#N/A,FALSE,"1.CRITERIA";#N/A,#N/A,FALSE,"2.IS";#N/A,#N/A,FALSE,"3.BS";#N/A,#N/A,FALSE,"4.PER PL";#N/A,#N/A,FALSE,"5.INVESTMENT";#N/A,#N/A,FALSE,"6.공문";#N/A,#N/A,FALSE,"7.netinvest"}</definedName>
    <definedName name="라" localSheetId="45" hidden="1">{#N/A,#N/A,FALSE,"1.CRITERIA";#N/A,#N/A,FALSE,"2.IS";#N/A,#N/A,FALSE,"3.BS";#N/A,#N/A,FALSE,"4.PER PL";#N/A,#N/A,FALSE,"5.INVESTMENT";#N/A,#N/A,FALSE,"6.공문";#N/A,#N/A,FALSE,"7.netinvest"}</definedName>
    <definedName name="라" localSheetId="42" hidden="1">{#N/A,#N/A,FALSE,"1.CRITERIA";#N/A,#N/A,FALSE,"2.IS";#N/A,#N/A,FALSE,"3.BS";#N/A,#N/A,FALSE,"4.PER PL";#N/A,#N/A,FALSE,"5.INVESTMENT";#N/A,#N/A,FALSE,"6.공문";#N/A,#N/A,FALSE,"7.netinvest"}</definedName>
    <definedName name="라" hidden="1">{#N/A,#N/A,FALSE,"1.CRITERIA";#N/A,#N/A,FALSE,"2.IS";#N/A,#N/A,FALSE,"3.BS";#N/A,#N/A,FALSE,"4.PER PL";#N/A,#N/A,FALSE,"5.INVESTMENT";#N/A,#N/A,FALSE,"6.공문";#N/A,#N/A,FALSE,"7.netinvest"}</definedName>
    <definedName name="라리" localSheetId="42" hidden="1">{#N/A,#N/A,FALSE,"1.CRITERIA";#N/A,#N/A,FALSE,"2.IS";#N/A,#N/A,FALSE,"3.BS";#N/A,#N/A,FALSE,"4.PER PL";#N/A,#N/A,FALSE,"5.INVESTMENT";#N/A,#N/A,FALSE,"6.공문";#N/A,#N/A,FALSE,"7.netinvest"}</definedName>
    <definedName name="라리" hidden="1">{#N/A,#N/A,FALSE,"1.CRITERIA";#N/A,#N/A,FALSE,"2.IS";#N/A,#N/A,FALSE,"3.BS";#N/A,#N/A,FALSE,"4.PER PL";#N/A,#N/A,FALSE,"5.INVESTMENT";#N/A,#N/A,FALSE,"6.공문";#N/A,#N/A,FALSE,"7.netinvest"}</definedName>
    <definedName name="라아아" localSheetId="15" hidden="1">{#N/A,#N/A,FALSE,"1.CRITERIA";#N/A,#N/A,FALSE,"2.IS";#N/A,#N/A,FALSE,"3.BS";#N/A,#N/A,FALSE,"4.PER PL";#N/A,#N/A,FALSE,"5.INVESTMENT";#N/A,#N/A,FALSE,"6.공문";#N/A,#N/A,FALSE,"7.netinvest"}</definedName>
    <definedName name="라아아" localSheetId="6" hidden="1">{#N/A,#N/A,FALSE,"1.CRITERIA";#N/A,#N/A,FALSE,"2.IS";#N/A,#N/A,FALSE,"3.BS";#N/A,#N/A,FALSE,"4.PER PL";#N/A,#N/A,FALSE,"5.INVESTMENT";#N/A,#N/A,FALSE,"6.공문";#N/A,#N/A,FALSE,"7.netinvest"}</definedName>
    <definedName name="라아아" localSheetId="45" hidden="1">{#N/A,#N/A,FALSE,"1.CRITERIA";#N/A,#N/A,FALSE,"2.IS";#N/A,#N/A,FALSE,"3.BS";#N/A,#N/A,FALSE,"4.PER PL";#N/A,#N/A,FALSE,"5.INVESTMENT";#N/A,#N/A,FALSE,"6.공문";#N/A,#N/A,FALSE,"7.netinvest"}</definedName>
    <definedName name="라아아" localSheetId="42" hidden="1">{#N/A,#N/A,FALSE,"1.CRITERIA";#N/A,#N/A,FALSE,"2.IS";#N/A,#N/A,FALSE,"3.BS";#N/A,#N/A,FALSE,"4.PER PL";#N/A,#N/A,FALSE,"5.INVESTMENT";#N/A,#N/A,FALSE,"6.공문";#N/A,#N/A,FALSE,"7.netinvest"}</definedName>
    <definedName name="라아아" hidden="1">{#N/A,#N/A,FALSE,"1.CRITERIA";#N/A,#N/A,FALSE,"2.IS";#N/A,#N/A,FALSE,"3.BS";#N/A,#N/A,FALSE,"4.PER PL";#N/A,#N/A,FALSE,"5.INVESTMENT";#N/A,#N/A,FALSE,"6.공문";#N/A,#N/A,FALSE,"7.netinvest"}</definedName>
    <definedName name="란다리아" localSheetId="15" hidden="1">{#N/A,#N/A,FALSE,"정공"}</definedName>
    <definedName name="란다리아" localSheetId="6" hidden="1">{#N/A,#N/A,FALSE,"정공"}</definedName>
    <definedName name="란다리아" localSheetId="45" hidden="1">{#N/A,#N/A,FALSE,"정공"}</definedName>
    <definedName name="란다리아" localSheetId="42" hidden="1">{#N/A,#N/A,FALSE,"정공"}</definedName>
    <definedName name="란다리아" hidden="1">{#N/A,#N/A,FALSE,"정공"}</definedName>
    <definedName name="랴" localSheetId="15" hidden="1">{#N/A,#N/A,FALSE,"1.CRITERIA";#N/A,#N/A,FALSE,"2.IS";#N/A,#N/A,FALSE,"3.BS";#N/A,#N/A,FALSE,"4.PER PL";#N/A,#N/A,FALSE,"5.INVESTMENT";#N/A,#N/A,FALSE,"6.공문";#N/A,#N/A,FALSE,"7.netinvest"}</definedName>
    <definedName name="랴" localSheetId="6" hidden="1">{#N/A,#N/A,FALSE,"1.CRITERIA";#N/A,#N/A,FALSE,"2.IS";#N/A,#N/A,FALSE,"3.BS";#N/A,#N/A,FALSE,"4.PER PL";#N/A,#N/A,FALSE,"5.INVESTMENT";#N/A,#N/A,FALSE,"6.공문";#N/A,#N/A,FALSE,"7.netinvest"}</definedName>
    <definedName name="랴" localSheetId="45" hidden="1">{#N/A,#N/A,FALSE,"1.CRITERIA";#N/A,#N/A,FALSE,"2.IS";#N/A,#N/A,FALSE,"3.BS";#N/A,#N/A,FALSE,"4.PER PL";#N/A,#N/A,FALSE,"5.INVESTMENT";#N/A,#N/A,FALSE,"6.공문";#N/A,#N/A,FALSE,"7.netinvest"}</definedName>
    <definedName name="랴" localSheetId="42" hidden="1">{#N/A,#N/A,FALSE,"1.CRITERIA";#N/A,#N/A,FALSE,"2.IS";#N/A,#N/A,FALSE,"3.BS";#N/A,#N/A,FALSE,"4.PER PL";#N/A,#N/A,FALSE,"5.INVESTMENT";#N/A,#N/A,FALSE,"6.공문";#N/A,#N/A,FALSE,"7.netinvest"}</definedName>
    <definedName name="랴" hidden="1">{#N/A,#N/A,FALSE,"1.CRITERIA";#N/A,#N/A,FALSE,"2.IS";#N/A,#N/A,FALSE,"3.BS";#N/A,#N/A,FALSE,"4.PER PL";#N/A,#N/A,FALSE,"5.INVESTMENT";#N/A,#N/A,FALSE,"6.공문";#N/A,#N/A,FALSE,"7.netinvest"}</definedName>
    <definedName name="러ㅏㅇ" localSheetId="42" hidden="1">{#N/A,#N/A,FALSE,"1.CRITERIA";#N/A,#N/A,FALSE,"2.IS";#N/A,#N/A,FALSE,"3.BS";#N/A,#N/A,FALSE,"4.PER PL";#N/A,#N/A,FALSE,"5.INVESTMENT";#N/A,#N/A,FALSE,"6.공문";#N/A,#N/A,FALSE,"7.netinvest"}</definedName>
    <definedName name="러ㅏㅇ" hidden="1">{#N/A,#N/A,FALSE,"1.CRITERIA";#N/A,#N/A,FALSE,"2.IS";#N/A,#N/A,FALSE,"3.BS";#N/A,#N/A,FALSE,"4.PER PL";#N/A,#N/A,FALSE,"5.INVESTMENT";#N/A,#N/A,FALSE,"6.공문";#N/A,#N/A,FALSE,"7.netinvest"}</definedName>
    <definedName name="로" localSheetId="15" hidden="1">{#N/A,#N/A,FALSE,"1.CRITERIA";#N/A,#N/A,FALSE,"2.IS";#N/A,#N/A,FALSE,"3.BS";#N/A,#N/A,FALSE,"4.PER PL";#N/A,#N/A,FALSE,"5.INVESTMENT";#N/A,#N/A,FALSE,"6.공문";#N/A,#N/A,FALSE,"7.netinvest"}</definedName>
    <definedName name="로" localSheetId="6" hidden="1">{#N/A,#N/A,FALSE,"1.CRITERIA";#N/A,#N/A,FALSE,"2.IS";#N/A,#N/A,FALSE,"3.BS";#N/A,#N/A,FALSE,"4.PER PL";#N/A,#N/A,FALSE,"5.INVESTMENT";#N/A,#N/A,FALSE,"6.공문";#N/A,#N/A,FALSE,"7.netinvest"}</definedName>
    <definedName name="로" localSheetId="45" hidden="1">{#N/A,#N/A,FALSE,"1.CRITERIA";#N/A,#N/A,FALSE,"2.IS";#N/A,#N/A,FALSE,"3.BS";#N/A,#N/A,FALSE,"4.PER PL";#N/A,#N/A,FALSE,"5.INVESTMENT";#N/A,#N/A,FALSE,"6.공문";#N/A,#N/A,FALSE,"7.netinvest"}</definedName>
    <definedName name="로" localSheetId="42" hidden="1">{#N/A,#N/A,FALSE,"1.CRITERIA";#N/A,#N/A,FALSE,"2.IS";#N/A,#N/A,FALSE,"3.BS";#N/A,#N/A,FALSE,"4.PER PL";#N/A,#N/A,FALSE,"5.INVESTMENT";#N/A,#N/A,FALSE,"6.공문";#N/A,#N/A,FALSE,"7.netinvest"}</definedName>
    <definedName name="로" hidden="1">{#N/A,#N/A,FALSE,"1.CRITERIA";#N/A,#N/A,FALSE,"2.IS";#N/A,#N/A,FALSE,"3.BS";#N/A,#N/A,FALSE,"4.PER PL";#N/A,#N/A,FALSE,"5.INVESTMENT";#N/A,#N/A,FALSE,"6.공문";#N/A,#N/A,FALSE,"7.netinvest"}</definedName>
    <definedName name="류" localSheetId="15" hidden="1">{#N/A,#N/A,FALSE,"1.CRITERIA";#N/A,#N/A,FALSE,"2.IS";#N/A,#N/A,FALSE,"3.BS";#N/A,#N/A,FALSE,"4.PER PL";#N/A,#N/A,FALSE,"5.INVESTMENT";#N/A,#N/A,FALSE,"6.공문";#N/A,#N/A,FALSE,"7.netinvest"}</definedName>
    <definedName name="류" localSheetId="6" hidden="1">{#N/A,#N/A,FALSE,"1.CRITERIA";#N/A,#N/A,FALSE,"2.IS";#N/A,#N/A,FALSE,"3.BS";#N/A,#N/A,FALSE,"4.PER PL";#N/A,#N/A,FALSE,"5.INVESTMENT";#N/A,#N/A,FALSE,"6.공문";#N/A,#N/A,FALSE,"7.netinvest"}</definedName>
    <definedName name="류" localSheetId="45" hidden="1">{#N/A,#N/A,FALSE,"1.CRITERIA";#N/A,#N/A,FALSE,"2.IS";#N/A,#N/A,FALSE,"3.BS";#N/A,#N/A,FALSE,"4.PER PL";#N/A,#N/A,FALSE,"5.INVESTMENT";#N/A,#N/A,FALSE,"6.공문";#N/A,#N/A,FALSE,"7.netinvest"}</definedName>
    <definedName name="류" localSheetId="42" hidden="1">{#N/A,#N/A,FALSE,"1.CRITERIA";#N/A,#N/A,FALSE,"2.IS";#N/A,#N/A,FALSE,"3.BS";#N/A,#N/A,FALSE,"4.PER PL";#N/A,#N/A,FALSE,"5.INVESTMENT";#N/A,#N/A,FALSE,"6.공문";#N/A,#N/A,FALSE,"7.netinvest"}</definedName>
    <definedName name="류" hidden="1">{#N/A,#N/A,FALSE,"1.CRITERIA";#N/A,#N/A,FALSE,"2.IS";#N/A,#N/A,FALSE,"3.BS";#N/A,#N/A,FALSE,"4.PER PL";#N/A,#N/A,FALSE,"5.INVESTMENT";#N/A,#N/A,FALSE,"6.공문";#N/A,#N/A,FALSE,"7.netinvest"}</definedName>
    <definedName name="리비" localSheetId="15" hidden="1">#REF!</definedName>
    <definedName name="리비" localSheetId="6" hidden="1">#REF!</definedName>
    <definedName name="리비" localSheetId="42" hidden="1">#REF!</definedName>
    <definedName name="리비" hidden="1">#REF!</definedName>
    <definedName name="ㄺㄹ" localSheetId="12" hidden="1">{#N/A,#N/A,FALSE,"UNIT";#N/A,#N/A,FALSE,"UNIT";#N/A,#N/A,FALSE,"계정"}</definedName>
    <definedName name="ㄺㄹ" localSheetId="42" hidden="1">{#N/A,#N/A,FALSE,"UNIT";#N/A,#N/A,FALSE,"UNIT";#N/A,#N/A,FALSE,"계정"}</definedName>
    <definedName name="ㄺㄹ" hidden="1">{#N/A,#N/A,FALSE,"UNIT";#N/A,#N/A,FALSE,"UNIT";#N/A,#N/A,FALSE,"계정"}</definedName>
    <definedName name="ㅀㅎ" localSheetId="15" hidden="1">{#N/A,#N/A,FALSE,"손익표지";#N/A,#N/A,FALSE,"손익계산";#N/A,#N/A,FALSE,"일반관리비";#N/A,#N/A,FALSE,"영업외수익";#N/A,#N/A,FALSE,"영업외비용";#N/A,#N/A,FALSE,"매출액";#N/A,#N/A,FALSE,"요약손익";#N/A,#N/A,FALSE,"요약대차";#N/A,#N/A,FALSE,"매출채권현황";#N/A,#N/A,FALSE,"매출채권명세"}</definedName>
    <definedName name="ㅀㅎ"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ㅀㅎ" localSheetId="45" hidden="1">{#N/A,#N/A,FALSE,"손익표지";#N/A,#N/A,FALSE,"손익계산";#N/A,#N/A,FALSE,"일반관리비";#N/A,#N/A,FALSE,"영업외수익";#N/A,#N/A,FALSE,"영업외비용";#N/A,#N/A,FALSE,"매출액";#N/A,#N/A,FALSE,"요약손익";#N/A,#N/A,FALSE,"요약대차";#N/A,#N/A,FALSE,"매출채권현황";#N/A,#N/A,FALSE,"매출채권명세"}</definedName>
    <definedName name="ㅀㅎ" localSheetId="42" hidden="1">{#N/A,#N/A,FALSE,"손익표지";#N/A,#N/A,FALSE,"손익계산";#N/A,#N/A,FALSE,"일반관리비";#N/A,#N/A,FALSE,"영업외수익";#N/A,#N/A,FALSE,"영업외비용";#N/A,#N/A,FALSE,"매출액";#N/A,#N/A,FALSE,"요약손익";#N/A,#N/A,FALSE,"요약대차";#N/A,#N/A,FALSE,"매출채권현황";#N/A,#N/A,FALSE,"매출채권명세"}</definedName>
    <definedName name="ㅀㅎ" hidden="1">{#N/A,#N/A,FALSE,"손익표지";#N/A,#N/A,FALSE,"손익계산";#N/A,#N/A,FALSE,"일반관리비";#N/A,#N/A,FALSE,"영업외수익";#N/A,#N/A,FALSE,"영업외비용";#N/A,#N/A,FALSE,"매출액";#N/A,#N/A,FALSE,"요약손익";#N/A,#N/A,FALSE,"요약대차";#N/A,#N/A,FALSE,"매출채권현황";#N/A,#N/A,FALSE,"매출채권명세"}</definedName>
    <definedName name="ㅁ" localSheetId="15"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ㅁ" localSheetId="6"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ㅁ" localSheetId="45"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ㅁ" localSheetId="4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ㅁ"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ㅁㄱㅁㄷㅎㄷ" localSheetId="15" hidden="1">{#N/A,#N/A,FALSE,"손익표지";#N/A,#N/A,FALSE,"손익계산";#N/A,#N/A,FALSE,"일반관리비";#N/A,#N/A,FALSE,"영업외수익";#N/A,#N/A,FALSE,"영업외비용";#N/A,#N/A,FALSE,"매출액";#N/A,#N/A,FALSE,"요약손익";#N/A,#N/A,FALSE,"요약대차";#N/A,#N/A,FALSE,"매출채권현황";#N/A,#N/A,FALSE,"매출채권명세"}</definedName>
    <definedName name="ㅁㄱㅁㄷㅎㄷ"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ㅁㄱㅁㄷㅎㄷ" localSheetId="45" hidden="1">{#N/A,#N/A,FALSE,"손익표지";#N/A,#N/A,FALSE,"손익계산";#N/A,#N/A,FALSE,"일반관리비";#N/A,#N/A,FALSE,"영업외수익";#N/A,#N/A,FALSE,"영업외비용";#N/A,#N/A,FALSE,"매출액";#N/A,#N/A,FALSE,"요약손익";#N/A,#N/A,FALSE,"요약대차";#N/A,#N/A,FALSE,"매출채권현황";#N/A,#N/A,FALSE,"매출채권명세"}</definedName>
    <definedName name="ㅁㄱㅁㄷㅎㄷ" localSheetId="42" hidden="1">{#N/A,#N/A,FALSE,"손익표지";#N/A,#N/A,FALSE,"손익계산";#N/A,#N/A,FALSE,"일반관리비";#N/A,#N/A,FALSE,"영업외수익";#N/A,#N/A,FALSE,"영업외비용";#N/A,#N/A,FALSE,"매출액";#N/A,#N/A,FALSE,"요약손익";#N/A,#N/A,FALSE,"요약대차";#N/A,#N/A,FALSE,"매출채권현황";#N/A,#N/A,FALSE,"매출채권명세"}</definedName>
    <definedName name="ㅁㄱㅁㄷㅎㄷ" hidden="1">{#N/A,#N/A,FALSE,"손익표지";#N/A,#N/A,FALSE,"손익계산";#N/A,#N/A,FALSE,"일반관리비";#N/A,#N/A,FALSE,"영업외수익";#N/A,#N/A,FALSE,"영업외비용";#N/A,#N/A,FALSE,"매출액";#N/A,#N/A,FALSE,"요약손익";#N/A,#N/A,FALSE,"요약대차";#N/A,#N/A,FALSE,"매출채권현황";#N/A,#N/A,FALSE,"매출채권명세"}</definedName>
    <definedName name="ㅁㄴ" localSheetId="12" hidden="1">{#N/A,#N/A,FALSE,"UNIT";#N/A,#N/A,FALSE,"UNIT";#N/A,#N/A,FALSE,"계정"}</definedName>
    <definedName name="ㅁㄴ" localSheetId="42" hidden="1">{#N/A,#N/A,TRUE,"매출진척-1";#N/A,#N/A,TRUE,"매출진척-2";#N/A,#N/A,TRUE,"제품실적";#N/A,#N/A,TRUE,"RAC";#N/A,#N/A,TRUE,"PAC ";#N/A,#N/A,TRUE,"재고현황";#N/A,#N/A,TRUE,"공지사항"}</definedName>
    <definedName name="ㅁㄴ" hidden="1">{#N/A,#N/A,TRUE,"매출진척-1";#N/A,#N/A,TRUE,"매출진척-2";#N/A,#N/A,TRUE,"제품실적";#N/A,#N/A,TRUE,"RAC";#N/A,#N/A,TRUE,"PAC ";#N/A,#N/A,TRUE,"재고현황";#N/A,#N/A,TRUE,"공지사항"}</definedName>
    <definedName name="ㅁㄴㄴㅇㄹㄴㅁㄹ" localSheetId="15" hidden="1">{#N/A,#N/A,FALSE,"손익표지";#N/A,#N/A,FALSE,"손익계산";#N/A,#N/A,FALSE,"일반관리비";#N/A,#N/A,FALSE,"영업외수익";#N/A,#N/A,FALSE,"영업외비용";#N/A,#N/A,FALSE,"매출액";#N/A,#N/A,FALSE,"요약손익";#N/A,#N/A,FALSE,"요약대차";#N/A,#N/A,FALSE,"매출채권현황";#N/A,#N/A,FALSE,"매출채권명세"}</definedName>
    <definedName name="ㅁㄴㄴㅇㄹㄴㅁㄹ"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ㅁㄴㄴㅇㄹㄴㅁㄹ" localSheetId="45" hidden="1">{#N/A,#N/A,FALSE,"손익표지";#N/A,#N/A,FALSE,"손익계산";#N/A,#N/A,FALSE,"일반관리비";#N/A,#N/A,FALSE,"영업외수익";#N/A,#N/A,FALSE,"영업외비용";#N/A,#N/A,FALSE,"매출액";#N/A,#N/A,FALSE,"요약손익";#N/A,#N/A,FALSE,"요약대차";#N/A,#N/A,FALSE,"매출채권현황";#N/A,#N/A,FALSE,"매출채권명세"}</definedName>
    <definedName name="ㅁㄴㄴㅇㄹㄴㅁㄹ" localSheetId="42" hidden="1">{#N/A,#N/A,FALSE,"손익표지";#N/A,#N/A,FALSE,"손익계산";#N/A,#N/A,FALSE,"일반관리비";#N/A,#N/A,FALSE,"영업외수익";#N/A,#N/A,FALSE,"영업외비용";#N/A,#N/A,FALSE,"매출액";#N/A,#N/A,FALSE,"요약손익";#N/A,#N/A,FALSE,"요약대차";#N/A,#N/A,FALSE,"매출채권현황";#N/A,#N/A,FALSE,"매출채권명세"}</definedName>
    <definedName name="ㅁㄴㄴㅇㄹㄴㅁㄹ" hidden="1">{#N/A,#N/A,FALSE,"손익표지";#N/A,#N/A,FALSE,"손익계산";#N/A,#N/A,FALSE,"일반관리비";#N/A,#N/A,FALSE,"영업외수익";#N/A,#N/A,FALSE,"영업외비용";#N/A,#N/A,FALSE,"매출액";#N/A,#N/A,FALSE,"요약손익";#N/A,#N/A,FALSE,"요약대차";#N/A,#N/A,FALSE,"매출채권현황";#N/A,#N/A,FALSE,"매출채권명세"}</definedName>
    <definedName name="ㅁㄴㄹㅇ" localSheetId="15" hidden="1">{#N/A,#N/A,FALSE,"손익표지";#N/A,#N/A,FALSE,"손익계산";#N/A,#N/A,FALSE,"일반관리비";#N/A,#N/A,FALSE,"영업외수익";#N/A,#N/A,FALSE,"영업외비용";#N/A,#N/A,FALSE,"매출액";#N/A,#N/A,FALSE,"요약손익";#N/A,#N/A,FALSE,"요약대차";#N/A,#N/A,FALSE,"매출채권현황";#N/A,#N/A,FALSE,"매출채권명세"}</definedName>
    <definedName name="ㅁㄴㄹㅇ"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ㅁㄴㄹㅇ" localSheetId="45" hidden="1">{#N/A,#N/A,FALSE,"손익표지";#N/A,#N/A,FALSE,"손익계산";#N/A,#N/A,FALSE,"일반관리비";#N/A,#N/A,FALSE,"영업외수익";#N/A,#N/A,FALSE,"영업외비용";#N/A,#N/A,FALSE,"매출액";#N/A,#N/A,FALSE,"요약손익";#N/A,#N/A,FALSE,"요약대차";#N/A,#N/A,FALSE,"매출채권현황";#N/A,#N/A,FALSE,"매출채권명세"}</definedName>
    <definedName name="ㅁㄴㄹㅇ" localSheetId="42" hidden="1">{#N/A,#N/A,FALSE,"손익표지";#N/A,#N/A,FALSE,"손익계산";#N/A,#N/A,FALSE,"일반관리비";#N/A,#N/A,FALSE,"영업외수익";#N/A,#N/A,FALSE,"영업외비용";#N/A,#N/A,FALSE,"매출액";#N/A,#N/A,FALSE,"요약손익";#N/A,#N/A,FALSE,"요약대차";#N/A,#N/A,FALSE,"매출채권현황";#N/A,#N/A,FALSE,"매출채권명세"}</definedName>
    <definedName name="ㅁㄴㄹㅇ" hidden="1">{#N/A,#N/A,FALSE,"손익표지";#N/A,#N/A,FALSE,"손익계산";#N/A,#N/A,FALSE,"일반관리비";#N/A,#N/A,FALSE,"영업외수익";#N/A,#N/A,FALSE,"영업외비용";#N/A,#N/A,FALSE,"매출액";#N/A,#N/A,FALSE,"요약손익";#N/A,#N/A,FALSE,"요약대차";#N/A,#N/A,FALSE,"매출채권현황";#N/A,#N/A,FALSE,"매출채권명세"}</definedName>
    <definedName name="ㅁㄴㄹㅈㄷ" localSheetId="15" hidden="1">{#N/A,#N/A,FALSE,"손익표지";#N/A,#N/A,FALSE,"손익계산";#N/A,#N/A,FALSE,"일반관리비";#N/A,#N/A,FALSE,"영업외수익";#N/A,#N/A,FALSE,"영업외비용";#N/A,#N/A,FALSE,"매출액";#N/A,#N/A,FALSE,"요약손익";#N/A,#N/A,FALSE,"요약대차";#N/A,#N/A,FALSE,"매출채권현황";#N/A,#N/A,FALSE,"매출채권명세"}</definedName>
    <definedName name="ㅁㄴㄹㅈㄷ"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ㅁㄴㄹㅈㄷ" localSheetId="45" hidden="1">{#N/A,#N/A,FALSE,"손익표지";#N/A,#N/A,FALSE,"손익계산";#N/A,#N/A,FALSE,"일반관리비";#N/A,#N/A,FALSE,"영업외수익";#N/A,#N/A,FALSE,"영업외비용";#N/A,#N/A,FALSE,"매출액";#N/A,#N/A,FALSE,"요약손익";#N/A,#N/A,FALSE,"요약대차";#N/A,#N/A,FALSE,"매출채권현황";#N/A,#N/A,FALSE,"매출채권명세"}</definedName>
    <definedName name="ㅁㄴㄹㅈㄷ" localSheetId="42" hidden="1">{#N/A,#N/A,FALSE,"손익표지";#N/A,#N/A,FALSE,"손익계산";#N/A,#N/A,FALSE,"일반관리비";#N/A,#N/A,FALSE,"영업외수익";#N/A,#N/A,FALSE,"영업외비용";#N/A,#N/A,FALSE,"매출액";#N/A,#N/A,FALSE,"요약손익";#N/A,#N/A,FALSE,"요약대차";#N/A,#N/A,FALSE,"매출채권현황";#N/A,#N/A,FALSE,"매출채권명세"}</definedName>
    <definedName name="ㅁㄴㄹㅈㄷ" hidden="1">{#N/A,#N/A,FALSE,"손익표지";#N/A,#N/A,FALSE,"손익계산";#N/A,#N/A,FALSE,"일반관리비";#N/A,#N/A,FALSE,"영업외수익";#N/A,#N/A,FALSE,"영업외비용";#N/A,#N/A,FALSE,"매출액";#N/A,#N/A,FALSE,"요약손익";#N/A,#N/A,FALSE,"요약대차";#N/A,#N/A,FALSE,"매출채권현황";#N/A,#N/A,FALSE,"매출채권명세"}</definedName>
    <definedName name="ㅁㄴㅁㄴ" localSheetId="15" hidden="1">{#N/A,#N/A,FALSE,"정공"}</definedName>
    <definedName name="ㅁㄴㅁㄴ" localSheetId="6" hidden="1">{#N/A,#N/A,FALSE,"정공"}</definedName>
    <definedName name="ㅁㄴㅁㄴ" localSheetId="45" hidden="1">{#N/A,#N/A,FALSE,"정공"}</definedName>
    <definedName name="ㅁㄴㅁㄴ" localSheetId="42" hidden="1">{#N/A,#N/A,FALSE,"정공"}</definedName>
    <definedName name="ㅁㄴㅁㄴ" hidden="1">{#N/A,#N/A,FALSE,"정공"}</definedName>
    <definedName name="ㅁㄴㅇ" localSheetId="12" hidden="1">{#N/A,#N/A,FALSE,"Aging Summary";#N/A,#N/A,FALSE,"Ratio Analysis";#N/A,#N/A,FALSE,"Test 120 Day Accts";#N/A,#N/A,FALSE,"Tickmarks"}</definedName>
    <definedName name="ㅁㄴㅇ" localSheetId="42" hidden="1">{#N/A,#N/A,FALSE,"UNIT";#N/A,#N/A,FALSE,"UNIT";#N/A,#N/A,FALSE,"계정"}</definedName>
    <definedName name="ㅁㄴㅇ" hidden="1">{#N/A,#N/A,FALSE,"UNIT";#N/A,#N/A,FALSE,"UNIT";#N/A,#N/A,FALSE,"계정"}</definedName>
    <definedName name="ㅁㄴㅇㄴ" localSheetId="15" hidden="1">{#N/A,#N/A,FALSE,"정공"}</definedName>
    <definedName name="ㅁㄴㅇㄴ" localSheetId="6" hidden="1">{#N/A,#N/A,FALSE,"정공"}</definedName>
    <definedName name="ㅁㄴㅇㄴ" localSheetId="45" hidden="1">{#N/A,#N/A,FALSE,"정공"}</definedName>
    <definedName name="ㅁㄴㅇㄴ" localSheetId="42" hidden="1">{#N/A,#N/A,FALSE,"정공"}</definedName>
    <definedName name="ㅁㄴㅇㄴ" hidden="1">{#N/A,#N/A,FALSE,"정공"}</definedName>
    <definedName name="ㅁㄴㅇㄹ" localSheetId="15" hidden="1">{#N/A,#N/A,FALSE,"손익표지";#N/A,#N/A,FALSE,"손익계산";#N/A,#N/A,FALSE,"일반관리비";#N/A,#N/A,FALSE,"영업외수익";#N/A,#N/A,FALSE,"영업외비용";#N/A,#N/A,FALSE,"매출액";#N/A,#N/A,FALSE,"요약손익";#N/A,#N/A,FALSE,"요약대차";#N/A,#N/A,FALSE,"매출채권현황";#N/A,#N/A,FALSE,"매출채권명세"}</definedName>
    <definedName name="ㅁㄴㅇㄹ"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ㅁㄴㅇㄹ" localSheetId="45" hidden="1">{#N/A,#N/A,FALSE,"손익표지";#N/A,#N/A,FALSE,"손익계산";#N/A,#N/A,FALSE,"일반관리비";#N/A,#N/A,FALSE,"영업외수익";#N/A,#N/A,FALSE,"영업외비용";#N/A,#N/A,FALSE,"매출액";#N/A,#N/A,FALSE,"요약손익";#N/A,#N/A,FALSE,"요약대차";#N/A,#N/A,FALSE,"매출채권현황";#N/A,#N/A,FALSE,"매출채권명세"}</definedName>
    <definedName name="ㅁㄴㅇㄹ" localSheetId="42" hidden="1">{#N/A,#N/A,FALSE,"손익표지";#N/A,#N/A,FALSE,"손익계산";#N/A,#N/A,FALSE,"일반관리비";#N/A,#N/A,FALSE,"영업외수익";#N/A,#N/A,FALSE,"영업외비용";#N/A,#N/A,FALSE,"매출액";#N/A,#N/A,FALSE,"요약손익";#N/A,#N/A,FALSE,"요약대차";#N/A,#N/A,FALSE,"매출채권현황";#N/A,#N/A,FALSE,"매출채권명세"}</definedName>
    <definedName name="ㅁㄴㅇㄹ" hidden="1">{#N/A,#N/A,FALSE,"손익표지";#N/A,#N/A,FALSE,"손익계산";#N/A,#N/A,FALSE,"일반관리비";#N/A,#N/A,FALSE,"영업외수익";#N/A,#N/A,FALSE,"영업외비용";#N/A,#N/A,FALSE,"매출액";#N/A,#N/A,FALSE,"요약손익";#N/A,#N/A,FALSE,"요약대차";#N/A,#N/A,FALSE,"매출채권현황";#N/A,#N/A,FALSE,"매출채권명세"}</definedName>
    <definedName name="ㅁㄴㅇㄻㄴ" localSheetId="15" hidden="1">{#N/A,#N/A,FALSE,"손익표지";#N/A,#N/A,FALSE,"손익계산";#N/A,#N/A,FALSE,"일반관리비";#N/A,#N/A,FALSE,"영업외수익";#N/A,#N/A,FALSE,"영업외비용";#N/A,#N/A,FALSE,"매출액";#N/A,#N/A,FALSE,"요약손익";#N/A,#N/A,FALSE,"요약대차";#N/A,#N/A,FALSE,"매출채권현황";#N/A,#N/A,FALSE,"매출채권명세"}</definedName>
    <definedName name="ㅁㄴㅇㄻㄴ"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ㅁㄴㅇㄻㄴ" localSheetId="45" hidden="1">{#N/A,#N/A,FALSE,"손익표지";#N/A,#N/A,FALSE,"손익계산";#N/A,#N/A,FALSE,"일반관리비";#N/A,#N/A,FALSE,"영업외수익";#N/A,#N/A,FALSE,"영업외비용";#N/A,#N/A,FALSE,"매출액";#N/A,#N/A,FALSE,"요약손익";#N/A,#N/A,FALSE,"요약대차";#N/A,#N/A,FALSE,"매출채권현황";#N/A,#N/A,FALSE,"매출채권명세"}</definedName>
    <definedName name="ㅁㄴㅇㄻㄴ" localSheetId="42" hidden="1">{#N/A,#N/A,FALSE,"손익표지";#N/A,#N/A,FALSE,"손익계산";#N/A,#N/A,FALSE,"일반관리비";#N/A,#N/A,FALSE,"영업외수익";#N/A,#N/A,FALSE,"영업외비용";#N/A,#N/A,FALSE,"매출액";#N/A,#N/A,FALSE,"요약손익";#N/A,#N/A,FALSE,"요약대차";#N/A,#N/A,FALSE,"매출채권현황";#N/A,#N/A,FALSE,"매출채권명세"}</definedName>
    <definedName name="ㅁㄴㅇㄻㄴ" hidden="1">{#N/A,#N/A,FALSE,"손익표지";#N/A,#N/A,FALSE,"손익계산";#N/A,#N/A,FALSE,"일반관리비";#N/A,#N/A,FALSE,"영업외수익";#N/A,#N/A,FALSE,"영업외비용";#N/A,#N/A,FALSE,"매출액";#N/A,#N/A,FALSE,"요약손익";#N/A,#N/A,FALSE,"요약대차";#N/A,#N/A,FALSE,"매출채권현황";#N/A,#N/A,FALSE,"매출채권명세"}</definedName>
    <definedName name="ㅁㄴㅇㅁ" localSheetId="15" hidden="1">{#N/A,#N/A,FALSE,"정공"}</definedName>
    <definedName name="ㅁㄴㅇㅁ" localSheetId="6" hidden="1">{#N/A,#N/A,FALSE,"정공"}</definedName>
    <definedName name="ㅁㄴㅇㅁ" localSheetId="45" hidden="1">{#N/A,#N/A,FALSE,"정공"}</definedName>
    <definedName name="ㅁㄴㅇㅁ" localSheetId="42" hidden="1">{#N/A,#N/A,FALSE,"정공"}</definedName>
    <definedName name="ㅁㄴㅇㅁ" hidden="1">{#N/A,#N/A,FALSE,"정공"}</definedName>
    <definedName name="ㅁㄷㅅㅅㅈ3" localSheetId="42" hidden="1">{"'경비내역'!$E$11"}</definedName>
    <definedName name="ㅁㄷㅅㅅㅈ3" hidden="1">{"'경비내역'!$E$11"}</definedName>
    <definedName name="ㅁㅁ" localSheetId="1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ㅁㅁ" localSheetId="42" hidden="1">{"'5국공정'!$A$1:$E$128"}</definedName>
    <definedName name="ㅁㅁ" hidden="1">{"'5국공정'!$A$1:$E$128"}</definedName>
    <definedName name="ㅁㅁㄻㅎㅁ" localSheetId="15" hidden="1">{#N/A,#N/A,FALSE,"손익표지";#N/A,#N/A,FALSE,"손익계산";#N/A,#N/A,FALSE,"일반관리비";#N/A,#N/A,FALSE,"영업외수익";#N/A,#N/A,FALSE,"영업외비용";#N/A,#N/A,FALSE,"매출액";#N/A,#N/A,FALSE,"요약손익";#N/A,#N/A,FALSE,"요약대차";#N/A,#N/A,FALSE,"매출채권현황";#N/A,#N/A,FALSE,"매출채권명세"}</definedName>
    <definedName name="ㅁㅁㄻㅎㅁ"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ㅁㅁㄻㅎㅁ" localSheetId="45" hidden="1">{#N/A,#N/A,FALSE,"손익표지";#N/A,#N/A,FALSE,"손익계산";#N/A,#N/A,FALSE,"일반관리비";#N/A,#N/A,FALSE,"영업외수익";#N/A,#N/A,FALSE,"영업외비용";#N/A,#N/A,FALSE,"매출액";#N/A,#N/A,FALSE,"요약손익";#N/A,#N/A,FALSE,"요약대차";#N/A,#N/A,FALSE,"매출채권현황";#N/A,#N/A,FALSE,"매출채권명세"}</definedName>
    <definedName name="ㅁㅁㄻㅎㅁ" localSheetId="42" hidden="1">{#N/A,#N/A,FALSE,"손익표지";#N/A,#N/A,FALSE,"손익계산";#N/A,#N/A,FALSE,"일반관리비";#N/A,#N/A,FALSE,"영업외수익";#N/A,#N/A,FALSE,"영업외비용";#N/A,#N/A,FALSE,"매출액";#N/A,#N/A,FALSE,"요약손익";#N/A,#N/A,FALSE,"요약대차";#N/A,#N/A,FALSE,"매출채권현황";#N/A,#N/A,FALSE,"매출채권명세"}</definedName>
    <definedName name="ㅁㅁㄻㅎㅁ" hidden="1">{#N/A,#N/A,FALSE,"손익표지";#N/A,#N/A,FALSE,"손익계산";#N/A,#N/A,FALSE,"일반관리비";#N/A,#N/A,FALSE,"영업외수익";#N/A,#N/A,FALSE,"영업외비용";#N/A,#N/A,FALSE,"매출액";#N/A,#N/A,FALSE,"요약손익";#N/A,#N/A,FALSE,"요약대차";#N/A,#N/A,FALSE,"매출채권현황";#N/A,#N/A,FALSE,"매출채권명세"}</definedName>
    <definedName name="ㅁㅁㅁ" localSheetId="12" hidden="1">{#N/A,#N/A,FALSE,"UNIT";#N/A,#N/A,FALSE,"UNIT";#N/A,#N/A,FALSE,"계정"}</definedName>
    <definedName name="ㅁㅁㅁ" localSheetId="15" hidden="1">{#N/A,#N/A,FALSE,"계약직(여)"}</definedName>
    <definedName name="ㅁㅁㅁ" localSheetId="6" hidden="1">{#N/A,#N/A,FALSE,"계약직(여)"}</definedName>
    <definedName name="ㅁㅁㅁ" localSheetId="45" hidden="1">{#N/A,#N/A,FALSE,"계약직(여)"}</definedName>
    <definedName name="ㅁㅁㅁ" localSheetId="42" hidden="1">{#N/A,#N/A,FALSE,"계약직(여)"}</definedName>
    <definedName name="ㅁㅁㅁ" hidden="1">{#N/A,#N/A,FALSE,"UNIT";#N/A,#N/A,FALSE,"UNIT";#N/A,#N/A,FALSE,"계정"}</definedName>
    <definedName name="ㅁㅁㅁㅁ" localSheetId="12" hidden="1">{#N/A,#N/A,FALSE,"UNIT";#N/A,#N/A,FALSE,"UNIT";#N/A,#N/A,FALSE,"계정"}</definedName>
    <definedName name="ㅁㅁㅁㅁ" localSheetId="15" hidden="1">{#N/A,#N/A,FALSE,"손익표지";#N/A,#N/A,FALSE,"손익계산";#N/A,#N/A,FALSE,"일반관리비";#N/A,#N/A,FALSE,"영업외수익";#N/A,#N/A,FALSE,"영업외비용";#N/A,#N/A,FALSE,"매출액";#N/A,#N/A,FALSE,"요약손익";#N/A,#N/A,FALSE,"요약대차";#N/A,#N/A,FALSE,"매출채권현황";#N/A,#N/A,FALSE,"매출채권명세"}</definedName>
    <definedName name="ㅁㅁㅁㅁ"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ㅁㅁㅁㅁ" localSheetId="45" hidden="1">{#N/A,#N/A,FALSE,"손익표지";#N/A,#N/A,FALSE,"손익계산";#N/A,#N/A,FALSE,"일반관리비";#N/A,#N/A,FALSE,"영업외수익";#N/A,#N/A,FALSE,"영업외비용";#N/A,#N/A,FALSE,"매출액";#N/A,#N/A,FALSE,"요약손익";#N/A,#N/A,FALSE,"요약대차";#N/A,#N/A,FALSE,"매출채권현황";#N/A,#N/A,FALSE,"매출채권명세"}</definedName>
    <definedName name="ㅁㅁㅁㅁ" localSheetId="42" hidden="1">{#N/A,#N/A,FALSE,"손익표지";#N/A,#N/A,FALSE,"손익계산";#N/A,#N/A,FALSE,"일반관리비";#N/A,#N/A,FALSE,"영업외수익";#N/A,#N/A,FALSE,"영업외비용";#N/A,#N/A,FALSE,"매출액";#N/A,#N/A,FALSE,"요약손익";#N/A,#N/A,FALSE,"요약대차";#N/A,#N/A,FALSE,"매출채권현황";#N/A,#N/A,FALSE,"매출채권명세"}</definedName>
    <definedName name="ㅁㅁㅁㅁ" hidden="1">{"'5국공정'!$A$1:$E$128"}</definedName>
    <definedName name="ㅁㅁㅁㅁㅁ" localSheetId="12" hidden="1">{#N/A,#N/A,FALSE,"UNIT";#N/A,#N/A,FALSE,"UNIT";#N/A,#N/A,FALSE,"계정"}</definedName>
    <definedName name="ㅁㅁㅁㅁㅁ" localSheetId="15" hidden="1">#REF!</definedName>
    <definedName name="ㅁㅁㅁㅁㅁ" localSheetId="6" hidden="1">#REF!</definedName>
    <definedName name="ㅁㅁㅁㅁㅁ" localSheetId="45" hidden="1">#REF!</definedName>
    <definedName name="ㅁㅁㅁㅁㅁ" localSheetId="42" hidden="1">#REF!</definedName>
    <definedName name="ㅁㅁㅁㅁㅁ" hidden="1">{#N/A,#N/A,FALSE,"UNIT";#N/A,#N/A,FALSE,"UNIT";#N/A,#N/A,FALSE,"계정"}</definedName>
    <definedName name="ㅁㅁㅁㅁㅁㅁㅁ" localSheetId="15" hidden="1">{#N/A,#N/A,FALSE,"손익표지";#N/A,#N/A,FALSE,"손익계산";#N/A,#N/A,FALSE,"일반관리비";#N/A,#N/A,FALSE,"영업외수익";#N/A,#N/A,FALSE,"영업외비용";#N/A,#N/A,FALSE,"매출액";#N/A,#N/A,FALSE,"요약손익";#N/A,#N/A,FALSE,"요약대차";#N/A,#N/A,FALSE,"매출채권현황";#N/A,#N/A,FALSE,"매출채권명세"}</definedName>
    <definedName name="ㅁㅁㅁㅁㅁㅁㅁ"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ㅁㅁㅁㅁㅁㅁㅁ" localSheetId="45" hidden="1">{#N/A,#N/A,FALSE,"손익표지";#N/A,#N/A,FALSE,"손익계산";#N/A,#N/A,FALSE,"일반관리비";#N/A,#N/A,FALSE,"영업외수익";#N/A,#N/A,FALSE,"영업외비용";#N/A,#N/A,FALSE,"매출액";#N/A,#N/A,FALSE,"요약손익";#N/A,#N/A,FALSE,"요약대차";#N/A,#N/A,FALSE,"매출채권현황";#N/A,#N/A,FALSE,"매출채권명세"}</definedName>
    <definedName name="ㅁㅁㅁㅁㅁㅁㅁ" localSheetId="42" hidden="1">{#N/A,#N/A,FALSE,"손익표지";#N/A,#N/A,FALSE,"손익계산";#N/A,#N/A,FALSE,"일반관리비";#N/A,#N/A,FALSE,"영업외수익";#N/A,#N/A,FALSE,"영업외비용";#N/A,#N/A,FALSE,"매출액";#N/A,#N/A,FALSE,"요약손익";#N/A,#N/A,FALSE,"요약대차";#N/A,#N/A,FALSE,"매출채권현황";#N/A,#N/A,FALSE,"매출채권명세"}</definedName>
    <definedName name="ㅁㅁㅁㅁㅁㅁㅁ" hidden="1">{#N/A,#N/A,FALSE,"손익표지";#N/A,#N/A,FALSE,"손익계산";#N/A,#N/A,FALSE,"일반관리비";#N/A,#N/A,FALSE,"영업외수익";#N/A,#N/A,FALSE,"영업외비용";#N/A,#N/A,FALSE,"매출액";#N/A,#N/A,FALSE,"요약손익";#N/A,#N/A,FALSE,"요약대차";#N/A,#N/A,FALSE,"매출채권현황";#N/A,#N/A,FALSE,"매출채권명세"}</definedName>
    <definedName name="ㅁㅂㅈㄷ" localSheetId="12" hidden="1">{#N/A,#N/A,FALSE,"Aging Summary";#N/A,#N/A,FALSE,"Ratio Analysis";#N/A,#N/A,FALSE,"Test 120 Day Accts";#N/A,#N/A,FALSE,"Tickmarks"}</definedName>
    <definedName name="ㅁㅂㅈㄷ" localSheetId="42" hidden="1">{#N/A,#N/A,FALSE,"Aging Summary";#N/A,#N/A,FALSE,"Ratio Analysis";#N/A,#N/A,FALSE,"Test 120 Day Accts";#N/A,#N/A,FALSE,"Tickmarks"}</definedName>
    <definedName name="ㅁㅂㅈㄷ" hidden="1">{#N/A,#N/A,FALSE,"Aging Summary";#N/A,#N/A,FALSE,"Ratio Analysis";#N/A,#N/A,FALSE,"Test 120 Day Accts";#N/A,#N/A,FALSE,"Tickmarks"}</definedName>
    <definedName name="ㅁㅇ" localSheetId="15"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ㅁㅇ" localSheetId="6"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ㅁㅇ" localSheetId="45"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ㅁㅇ" localSheetId="42"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ㅁㅇ"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ㅁㅇㄹㅇㄴㅁ" localSheetId="15" hidden="1">{#N/A,#N/A,FALSE,"손익표지";#N/A,#N/A,FALSE,"손익계산";#N/A,#N/A,FALSE,"일반관리비";#N/A,#N/A,FALSE,"영업외수익";#N/A,#N/A,FALSE,"영업외비용";#N/A,#N/A,FALSE,"매출액";#N/A,#N/A,FALSE,"요약손익";#N/A,#N/A,FALSE,"요약대차";#N/A,#N/A,FALSE,"매출채권현황";#N/A,#N/A,FALSE,"매출채권명세"}</definedName>
    <definedName name="ㅁㅇㄹㅇㄴㅁ"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ㅁㅇㄹㅇㄴㅁ" localSheetId="45" hidden="1">{#N/A,#N/A,FALSE,"손익표지";#N/A,#N/A,FALSE,"손익계산";#N/A,#N/A,FALSE,"일반관리비";#N/A,#N/A,FALSE,"영업외수익";#N/A,#N/A,FALSE,"영업외비용";#N/A,#N/A,FALSE,"매출액";#N/A,#N/A,FALSE,"요약손익";#N/A,#N/A,FALSE,"요약대차";#N/A,#N/A,FALSE,"매출채권현황";#N/A,#N/A,FALSE,"매출채권명세"}</definedName>
    <definedName name="ㅁㅇㄹㅇㄴㅁ" localSheetId="42" hidden="1">{#N/A,#N/A,FALSE,"손익표지";#N/A,#N/A,FALSE,"손익계산";#N/A,#N/A,FALSE,"일반관리비";#N/A,#N/A,FALSE,"영업외수익";#N/A,#N/A,FALSE,"영업외비용";#N/A,#N/A,FALSE,"매출액";#N/A,#N/A,FALSE,"요약손익";#N/A,#N/A,FALSE,"요약대차";#N/A,#N/A,FALSE,"매출채권현황";#N/A,#N/A,FALSE,"매출채권명세"}</definedName>
    <definedName name="ㅁㅇㄹㅇㄴㅁ" hidden="1">{#N/A,#N/A,FALSE,"손익표지";#N/A,#N/A,FALSE,"손익계산";#N/A,#N/A,FALSE,"일반관리비";#N/A,#N/A,FALSE,"영업외수익";#N/A,#N/A,FALSE,"영업외비용";#N/A,#N/A,FALSE,"매출액";#N/A,#N/A,FALSE,"요약손익";#N/A,#N/A,FALSE,"요약대차";#N/A,#N/A,FALSE,"매출채권현황";#N/A,#N/A,FALSE,"매출채권명세"}</definedName>
    <definedName name="마" localSheetId="15" hidden="1">{#N/A,#N/A,FALSE,"1.CRITERIA";#N/A,#N/A,FALSE,"2.IS";#N/A,#N/A,FALSE,"3.BS";#N/A,#N/A,FALSE,"4.PER PL";#N/A,#N/A,FALSE,"5.INVESTMENT";#N/A,#N/A,FALSE,"6.공문";#N/A,#N/A,FALSE,"7.netinvest"}</definedName>
    <definedName name="마" localSheetId="6" hidden="1">{#N/A,#N/A,FALSE,"1.CRITERIA";#N/A,#N/A,FALSE,"2.IS";#N/A,#N/A,FALSE,"3.BS";#N/A,#N/A,FALSE,"4.PER PL";#N/A,#N/A,FALSE,"5.INVESTMENT";#N/A,#N/A,FALSE,"6.공문";#N/A,#N/A,FALSE,"7.netinvest"}</definedName>
    <definedName name="마" localSheetId="45" hidden="1">{#N/A,#N/A,FALSE,"1.CRITERIA";#N/A,#N/A,FALSE,"2.IS";#N/A,#N/A,FALSE,"3.BS";#N/A,#N/A,FALSE,"4.PER PL";#N/A,#N/A,FALSE,"5.INVESTMENT";#N/A,#N/A,FALSE,"6.공문";#N/A,#N/A,FALSE,"7.netinvest"}</definedName>
    <definedName name="마" localSheetId="42" hidden="1">{#N/A,#N/A,FALSE,"1.CRITERIA";#N/A,#N/A,FALSE,"2.IS";#N/A,#N/A,FALSE,"3.BS";#N/A,#N/A,FALSE,"4.PER PL";#N/A,#N/A,FALSE,"5.INVESTMENT";#N/A,#N/A,FALSE,"6.공문";#N/A,#N/A,FALSE,"7.netinvest"}</definedName>
    <definedName name="마" hidden="1">{#N/A,#N/A,FALSE,"1.CRITERIA";#N/A,#N/A,FALSE,"2.IS";#N/A,#N/A,FALSE,"3.BS";#N/A,#N/A,FALSE,"4.PER PL";#N/A,#N/A,FALSE,"5.INVESTMENT";#N/A,#N/A,FALSE,"6.공문";#N/A,#N/A,FALSE,"7.netinvest"}</definedName>
    <definedName name="마감" localSheetId="42" hidden="1">{#N/A,#N/A,FALSE,"기술료 비교"}</definedName>
    <definedName name="마감" hidden="1">{#N/A,#N/A,FALSE,"기술료 비교"}</definedName>
    <definedName name="마마" localSheetId="15" hidden="1">{#N/A,#N/A,FALSE,"1.CRITERIA";#N/A,#N/A,FALSE,"2.IS";#N/A,#N/A,FALSE,"3.BS";#N/A,#N/A,FALSE,"4.PER PL";#N/A,#N/A,FALSE,"5.INVESTMENT";#N/A,#N/A,FALSE,"6.공문";#N/A,#N/A,FALSE,"7.netinvest"}</definedName>
    <definedName name="마마" localSheetId="6" hidden="1">{#N/A,#N/A,FALSE,"1.CRITERIA";#N/A,#N/A,FALSE,"2.IS";#N/A,#N/A,FALSE,"3.BS";#N/A,#N/A,FALSE,"4.PER PL";#N/A,#N/A,FALSE,"5.INVESTMENT";#N/A,#N/A,FALSE,"6.공문";#N/A,#N/A,FALSE,"7.netinvest"}</definedName>
    <definedName name="마마" localSheetId="45" hidden="1">{#N/A,#N/A,FALSE,"1.CRITERIA";#N/A,#N/A,FALSE,"2.IS";#N/A,#N/A,FALSE,"3.BS";#N/A,#N/A,FALSE,"4.PER PL";#N/A,#N/A,FALSE,"5.INVESTMENT";#N/A,#N/A,FALSE,"6.공문";#N/A,#N/A,FALSE,"7.netinvest"}</definedName>
    <definedName name="마마" localSheetId="42" hidden="1">{#N/A,#N/A,FALSE,"1.CRITERIA";#N/A,#N/A,FALSE,"2.IS";#N/A,#N/A,FALSE,"3.BS";#N/A,#N/A,FALSE,"4.PER PL";#N/A,#N/A,FALSE,"5.INVESTMENT";#N/A,#N/A,FALSE,"6.공문";#N/A,#N/A,FALSE,"7.netinvest"}</definedName>
    <definedName name="마마" hidden="1">{#N/A,#N/A,FALSE,"1.CRITERIA";#N/A,#N/A,FALSE,"2.IS";#N/A,#N/A,FALSE,"3.BS";#N/A,#N/A,FALSE,"4.PER PL";#N/A,#N/A,FALSE,"5.INVESTMENT";#N/A,#N/A,FALSE,"6.공문";#N/A,#N/A,FALSE,"7.netinvest"}</definedName>
    <definedName name="마마오" localSheetId="15" hidden="1">{#N/A,#N/A,FALSE,"1.CRITERIA";#N/A,#N/A,FALSE,"2.IS";#N/A,#N/A,FALSE,"3.BS";#N/A,#N/A,FALSE,"4.PER PL";#N/A,#N/A,FALSE,"5.INVESTMENT";#N/A,#N/A,FALSE,"6.공문";#N/A,#N/A,FALSE,"7.netinvest"}</definedName>
    <definedName name="마마오" localSheetId="6" hidden="1">{#N/A,#N/A,FALSE,"1.CRITERIA";#N/A,#N/A,FALSE,"2.IS";#N/A,#N/A,FALSE,"3.BS";#N/A,#N/A,FALSE,"4.PER PL";#N/A,#N/A,FALSE,"5.INVESTMENT";#N/A,#N/A,FALSE,"6.공문";#N/A,#N/A,FALSE,"7.netinvest"}</definedName>
    <definedName name="마마오" localSheetId="45" hidden="1">{#N/A,#N/A,FALSE,"1.CRITERIA";#N/A,#N/A,FALSE,"2.IS";#N/A,#N/A,FALSE,"3.BS";#N/A,#N/A,FALSE,"4.PER PL";#N/A,#N/A,FALSE,"5.INVESTMENT";#N/A,#N/A,FALSE,"6.공문";#N/A,#N/A,FALSE,"7.netinvest"}</definedName>
    <definedName name="마마오" localSheetId="42" hidden="1">{#N/A,#N/A,FALSE,"1.CRITERIA";#N/A,#N/A,FALSE,"2.IS";#N/A,#N/A,FALSE,"3.BS";#N/A,#N/A,FALSE,"4.PER PL";#N/A,#N/A,FALSE,"5.INVESTMENT";#N/A,#N/A,FALSE,"6.공문";#N/A,#N/A,FALSE,"7.netinvest"}</definedName>
    <definedName name="마마오" hidden="1">{#N/A,#N/A,FALSE,"1.CRITERIA";#N/A,#N/A,FALSE,"2.IS";#N/A,#N/A,FALSE,"3.BS";#N/A,#N/A,FALSE,"4.PER PL";#N/A,#N/A,FALSE,"5.INVESTMENT";#N/A,#N/A,FALSE,"6.공문";#N/A,#N/A,FALSE,"7.netinvest"}</definedName>
    <definedName name="마마이" localSheetId="15" hidden="1">{#N/A,#N/A,FALSE,"1.CRITERIA";#N/A,#N/A,FALSE,"2.IS";#N/A,#N/A,FALSE,"3.BS";#N/A,#N/A,FALSE,"4.PER PL";#N/A,#N/A,FALSE,"5.INVESTMENT";#N/A,#N/A,FALSE,"6.공문";#N/A,#N/A,FALSE,"7.netinvest"}</definedName>
    <definedName name="마마이" localSheetId="6" hidden="1">{#N/A,#N/A,FALSE,"1.CRITERIA";#N/A,#N/A,FALSE,"2.IS";#N/A,#N/A,FALSE,"3.BS";#N/A,#N/A,FALSE,"4.PER PL";#N/A,#N/A,FALSE,"5.INVESTMENT";#N/A,#N/A,FALSE,"6.공문";#N/A,#N/A,FALSE,"7.netinvest"}</definedName>
    <definedName name="마마이" localSheetId="45" hidden="1">{#N/A,#N/A,FALSE,"1.CRITERIA";#N/A,#N/A,FALSE,"2.IS";#N/A,#N/A,FALSE,"3.BS";#N/A,#N/A,FALSE,"4.PER PL";#N/A,#N/A,FALSE,"5.INVESTMENT";#N/A,#N/A,FALSE,"6.공문";#N/A,#N/A,FALSE,"7.netinvest"}</definedName>
    <definedName name="마마이" localSheetId="42" hidden="1">{#N/A,#N/A,FALSE,"1.CRITERIA";#N/A,#N/A,FALSE,"2.IS";#N/A,#N/A,FALSE,"3.BS";#N/A,#N/A,FALSE,"4.PER PL";#N/A,#N/A,FALSE,"5.INVESTMENT";#N/A,#N/A,FALSE,"6.공문";#N/A,#N/A,FALSE,"7.netinvest"}</definedName>
    <definedName name="마마이" hidden="1">{#N/A,#N/A,FALSE,"1.CRITERIA";#N/A,#N/A,FALSE,"2.IS";#N/A,#N/A,FALSE,"3.BS";#N/A,#N/A,FALSE,"4.PER PL";#N/A,#N/A,FALSE,"5.INVESTMENT";#N/A,#N/A,FALSE,"6.공문";#N/A,#N/A,FALSE,"7.netinvest"}</definedName>
    <definedName name="마아" localSheetId="15" hidden="1">{#N/A,#N/A,FALSE,"1.CRITERIA";#N/A,#N/A,FALSE,"2.IS";#N/A,#N/A,FALSE,"3.BS";#N/A,#N/A,FALSE,"4.PER PL";#N/A,#N/A,FALSE,"5.INVESTMENT";#N/A,#N/A,FALSE,"6.공문";#N/A,#N/A,FALSE,"7.netinvest"}</definedName>
    <definedName name="마아" localSheetId="6" hidden="1">{#N/A,#N/A,FALSE,"1.CRITERIA";#N/A,#N/A,FALSE,"2.IS";#N/A,#N/A,FALSE,"3.BS";#N/A,#N/A,FALSE,"4.PER PL";#N/A,#N/A,FALSE,"5.INVESTMENT";#N/A,#N/A,FALSE,"6.공문";#N/A,#N/A,FALSE,"7.netinvest"}</definedName>
    <definedName name="마아" localSheetId="45" hidden="1">{#N/A,#N/A,FALSE,"1.CRITERIA";#N/A,#N/A,FALSE,"2.IS";#N/A,#N/A,FALSE,"3.BS";#N/A,#N/A,FALSE,"4.PER PL";#N/A,#N/A,FALSE,"5.INVESTMENT";#N/A,#N/A,FALSE,"6.공문";#N/A,#N/A,FALSE,"7.netinvest"}</definedName>
    <definedName name="마아" localSheetId="42" hidden="1">{#N/A,#N/A,FALSE,"1.CRITERIA";#N/A,#N/A,FALSE,"2.IS";#N/A,#N/A,FALSE,"3.BS";#N/A,#N/A,FALSE,"4.PER PL";#N/A,#N/A,FALSE,"5.INVESTMENT";#N/A,#N/A,FALSE,"6.공문";#N/A,#N/A,FALSE,"7.netinvest"}</definedName>
    <definedName name="마아" hidden="1">{#N/A,#N/A,FALSE,"1.CRITERIA";#N/A,#N/A,FALSE,"2.IS";#N/A,#N/A,FALSE,"3.BS";#N/A,#N/A,FALSE,"4.PER PL";#N/A,#N/A,FALSE,"5.INVESTMENT";#N/A,#N/A,FALSE,"6.공문";#N/A,#N/A,FALSE,"7.netinvest"}</definedName>
    <definedName name="마케팅" localSheetId="12" hidden="1">{"'5국공정'!$A$1:$E$128"}</definedName>
    <definedName name="마케팅" localSheetId="42" hidden="1">{"'5국공정'!$A$1:$E$128"}</definedName>
    <definedName name="마케팅" hidden="1">{"'5국공정'!$A$1:$E$128"}</definedName>
    <definedName name="마케팅2" localSheetId="12" hidden="1">{"'5국공정'!$A$1:$E$128"}</definedName>
    <definedName name="마케팅2" localSheetId="42" hidden="1">{"'5국공정'!$A$1:$E$128"}</definedName>
    <definedName name="마케팅2" hidden="1">{"'5국공정'!$A$1:$E$128"}</definedName>
    <definedName name="만국어" localSheetId="15" hidden="1">{#N/A,#N/A,FALSE,"정공"}</definedName>
    <definedName name="만국어" localSheetId="6" hidden="1">{#N/A,#N/A,FALSE,"정공"}</definedName>
    <definedName name="만국어" localSheetId="45" hidden="1">{#N/A,#N/A,FALSE,"정공"}</definedName>
    <definedName name="만국어" localSheetId="42" hidden="1">{#N/A,#N/A,FALSE,"정공"}</definedName>
    <definedName name="만국어" hidden="1">{#N/A,#N/A,FALSE,"정공"}</definedName>
    <definedName name="만기">#REF!</definedName>
    <definedName name="만다라어" localSheetId="15" hidden="1">{#N/A,#N/A,FALSE,"정공"}</definedName>
    <definedName name="만다라어" localSheetId="6" hidden="1">{#N/A,#N/A,FALSE,"정공"}</definedName>
    <definedName name="만다라어" localSheetId="45" hidden="1">{#N/A,#N/A,FALSE,"정공"}</definedName>
    <definedName name="만다라어" localSheetId="42" hidden="1">{#N/A,#N/A,FALSE,"정공"}</definedName>
    <definedName name="만다라어" hidden="1">{#N/A,#N/A,FALSE,"정공"}</definedName>
    <definedName name="만다라어빈국" localSheetId="15" hidden="1">{#N/A,#N/A,FALSE,"정공"}</definedName>
    <definedName name="만다라어빈국" localSheetId="6" hidden="1">{#N/A,#N/A,FALSE,"정공"}</definedName>
    <definedName name="만다라어빈국" localSheetId="45" hidden="1">{#N/A,#N/A,FALSE,"정공"}</definedName>
    <definedName name="만다라어빈국" localSheetId="42" hidden="1">{#N/A,#N/A,FALSE,"정공"}</definedName>
    <definedName name="만다라어빈국" hidden="1">{#N/A,#N/A,FALSE,"정공"}</definedName>
    <definedName name="매" localSheetId="15" hidden="1">{#N/A,#N/A,FALSE,"1.CRITERIA";#N/A,#N/A,FALSE,"2.IS";#N/A,#N/A,FALSE,"3.BS";#N/A,#N/A,FALSE,"4.PER PL";#N/A,#N/A,FALSE,"5.INVESTMENT";#N/A,#N/A,FALSE,"6.공문";#N/A,#N/A,FALSE,"7.netinvest"}</definedName>
    <definedName name="매" localSheetId="6" hidden="1">{#N/A,#N/A,FALSE,"1.CRITERIA";#N/A,#N/A,FALSE,"2.IS";#N/A,#N/A,FALSE,"3.BS";#N/A,#N/A,FALSE,"4.PER PL";#N/A,#N/A,FALSE,"5.INVESTMENT";#N/A,#N/A,FALSE,"6.공문";#N/A,#N/A,FALSE,"7.netinvest"}</definedName>
    <definedName name="매" localSheetId="45" hidden="1">{#N/A,#N/A,FALSE,"1.CRITERIA";#N/A,#N/A,FALSE,"2.IS";#N/A,#N/A,FALSE,"3.BS";#N/A,#N/A,FALSE,"4.PER PL";#N/A,#N/A,FALSE,"5.INVESTMENT";#N/A,#N/A,FALSE,"6.공문";#N/A,#N/A,FALSE,"7.netinvest"}</definedName>
    <definedName name="매" localSheetId="42" hidden="1">{#N/A,#N/A,FALSE,"1.CRITERIA";#N/A,#N/A,FALSE,"2.IS";#N/A,#N/A,FALSE,"3.BS";#N/A,#N/A,FALSE,"4.PER PL";#N/A,#N/A,FALSE,"5.INVESTMENT";#N/A,#N/A,FALSE,"6.공문";#N/A,#N/A,FALSE,"7.netinvest"}</definedName>
    <definedName name="매" hidden="1">{#N/A,#N/A,FALSE,"1.CRITERIA";#N/A,#N/A,FALSE,"2.IS";#N/A,#N/A,FALSE,"3.BS";#N/A,#N/A,FALSE,"4.PER PL";#N/A,#N/A,FALSE,"5.INVESTMENT";#N/A,#N/A,FALSE,"6.공문";#N/A,#N/A,FALSE,"7.netinvest"}</definedName>
    <definedName name="매축액2" localSheetId="15" hidden="1">{#N/A,#N/A,FALSE,"1.CRITERIA";#N/A,#N/A,FALSE,"2.IS";#N/A,#N/A,FALSE,"3.BS";#N/A,#N/A,FALSE,"4.PER PL";#N/A,#N/A,FALSE,"5.INVESTMENT";#N/A,#N/A,FALSE,"6.공문";#N/A,#N/A,FALSE,"7.netinvest"}</definedName>
    <definedName name="매축액2" localSheetId="6" hidden="1">{#N/A,#N/A,FALSE,"1.CRITERIA";#N/A,#N/A,FALSE,"2.IS";#N/A,#N/A,FALSE,"3.BS";#N/A,#N/A,FALSE,"4.PER PL";#N/A,#N/A,FALSE,"5.INVESTMENT";#N/A,#N/A,FALSE,"6.공문";#N/A,#N/A,FALSE,"7.netinvest"}</definedName>
    <definedName name="매축액2" localSheetId="45" hidden="1">{#N/A,#N/A,FALSE,"1.CRITERIA";#N/A,#N/A,FALSE,"2.IS";#N/A,#N/A,FALSE,"3.BS";#N/A,#N/A,FALSE,"4.PER PL";#N/A,#N/A,FALSE,"5.INVESTMENT";#N/A,#N/A,FALSE,"6.공문";#N/A,#N/A,FALSE,"7.netinvest"}</definedName>
    <definedName name="매축액2" localSheetId="42" hidden="1">{#N/A,#N/A,FALSE,"1.CRITERIA";#N/A,#N/A,FALSE,"2.IS";#N/A,#N/A,FALSE,"3.BS";#N/A,#N/A,FALSE,"4.PER PL";#N/A,#N/A,FALSE,"5.INVESTMENT";#N/A,#N/A,FALSE,"6.공문";#N/A,#N/A,FALSE,"7.netinvest"}</definedName>
    <definedName name="매축액2" hidden="1">{#N/A,#N/A,FALSE,"1.CRITERIA";#N/A,#N/A,FALSE,"2.IS";#N/A,#N/A,FALSE,"3.BS";#N/A,#N/A,FALSE,"4.PER PL";#N/A,#N/A,FALSE,"5.INVESTMENT";#N/A,#N/A,FALSE,"6.공문";#N/A,#N/A,FALSE,"7.netinvest"}</definedName>
    <definedName name="매출" localSheetId="12" hidden="1">{#N/A,#N/A,TRUE,"일정"}</definedName>
    <definedName name="매출" localSheetId="42" hidden="1">{#N/A,#N/A,FALSE,"96자동차사 계획";#N/A,#N/A,FALSE,"96자동차사 계획"}</definedName>
    <definedName name="매출" hidden="1">{#N/A,#N/A,FALSE,"96자동차사 계획";#N/A,#N/A,FALSE,"96자동차사 계획"}</definedName>
    <definedName name="매출bogo" localSheetId="15" hidden="1">{#N/A,#N/A,FALSE,"손익표지";#N/A,#N/A,FALSE,"손익계산";#N/A,#N/A,FALSE,"일반관리비";#N/A,#N/A,FALSE,"영업외수익";#N/A,#N/A,FALSE,"영업외비용";#N/A,#N/A,FALSE,"매출액";#N/A,#N/A,FALSE,"요약손익";#N/A,#N/A,FALSE,"요약대차";#N/A,#N/A,FALSE,"매출채권현황";#N/A,#N/A,FALSE,"매출채권명세"}</definedName>
    <definedName name="매출bogo" localSheetId="6" hidden="1">{#N/A,#N/A,FALSE,"손익표지";#N/A,#N/A,FALSE,"손익계산";#N/A,#N/A,FALSE,"일반관리비";#N/A,#N/A,FALSE,"영업외수익";#N/A,#N/A,FALSE,"영업외비용";#N/A,#N/A,FALSE,"매출액";#N/A,#N/A,FALSE,"요약손익";#N/A,#N/A,FALSE,"요약대차";#N/A,#N/A,FALSE,"매출채권현황";#N/A,#N/A,FALSE,"매출채권명세"}</definedName>
    <definedName name="매출bogo" localSheetId="45" hidden="1">{#N/A,#N/A,FALSE,"손익표지";#N/A,#N/A,FALSE,"손익계산";#N/A,#N/A,FALSE,"일반관리비";#N/A,#N/A,FALSE,"영업외수익";#N/A,#N/A,FALSE,"영업외비용";#N/A,#N/A,FALSE,"매출액";#N/A,#N/A,FALSE,"요약손익";#N/A,#N/A,FALSE,"요약대차";#N/A,#N/A,FALSE,"매출채권현황";#N/A,#N/A,FALSE,"매출채권명세"}</definedName>
    <definedName name="매출bogo" localSheetId="42" hidden="1">{#N/A,#N/A,FALSE,"손익표지";#N/A,#N/A,FALSE,"손익계산";#N/A,#N/A,FALSE,"일반관리비";#N/A,#N/A,FALSE,"영업외수익";#N/A,#N/A,FALSE,"영업외비용";#N/A,#N/A,FALSE,"매출액";#N/A,#N/A,FALSE,"요약손익";#N/A,#N/A,FALSE,"요약대차";#N/A,#N/A,FALSE,"매출채권현황";#N/A,#N/A,FALSE,"매출채권명세"}</definedName>
    <definedName name="매출bogo" hidden="1">{#N/A,#N/A,FALSE,"손익표지";#N/A,#N/A,FALSE,"손익계산";#N/A,#N/A,FALSE,"일반관리비";#N/A,#N/A,FALSE,"영업외수익";#N/A,#N/A,FALSE,"영업외비용";#N/A,#N/A,FALSE,"매출액";#N/A,#N/A,FALSE,"요약손익";#N/A,#N/A,FALSE,"요약대차";#N/A,#N/A,FALSE,"매출채권현황";#N/A,#N/A,FALSE,"매출채권명세"}</definedName>
    <definedName name="매출계획" localSheetId="12" hidden="1">{#N/A,#N/A,FALSE,"UNIT";#N/A,#N/A,FALSE,"UNIT";#N/A,#N/A,FALSE,"계정"}</definedName>
    <definedName name="매출계획" localSheetId="42" hidden="1">{#N/A,#N/A,FALSE,"UNIT";#N/A,#N/A,FALSE,"UNIT";#N/A,#N/A,FALSE,"계정"}</definedName>
    <definedName name="매출계획" hidden="1">{#N/A,#N/A,FALSE,"UNIT";#N/A,#N/A,FALSE,"UNIT";#N/A,#N/A,FALSE,"계정"}</definedName>
    <definedName name="매출기준" localSheetId="15" hidden="1">{#N/A,#N/A,FALSE,"정공"}</definedName>
    <definedName name="매출기준" localSheetId="6" hidden="1">{#N/A,#N/A,FALSE,"정공"}</definedName>
    <definedName name="매출기준" localSheetId="45" hidden="1">{#N/A,#N/A,FALSE,"정공"}</definedName>
    <definedName name="매출기준" localSheetId="42" hidden="1">{#N/A,#N/A,FALSE,"정공"}</definedName>
    <definedName name="매출기준" hidden="1">{#N/A,#N/A,FALSE,"정공"}</definedName>
    <definedName name="매출보고" localSheetId="15" hidden="1">{#N/A,#N/A,FALSE,"손익표지";#N/A,#N/A,FALSE,"손익계산";#N/A,#N/A,FALSE,"일반관리비";#N/A,#N/A,FALSE,"영업외수익";#N/A,#N/A,FALSE,"영업외비용";#N/A,#N/A,FALSE,"매출액";#N/A,#N/A,FALSE,"요약손익";#N/A,#N/A,FALSE,"요약대차";#N/A,#N/A,FALSE,"매출채권현황";#N/A,#N/A,FALSE,"매출채권명세"}</definedName>
    <definedName name="매출보고" localSheetId="6" hidden="1">{#N/A,#N/A,FALSE,"손익표지";#N/A,#N/A,FALSE,"손익계산";#N/A,#N/A,FALSE,"일반관리비";#N/A,#N/A,FALSE,"영업외수익";#N/A,#N/A,FALSE,"영업외비용";#N/A,#N/A,FALSE,"매출액";#N/A,#N/A,FALSE,"요약손익";#N/A,#N/A,FALSE,"요약대차";#N/A,#N/A,FALSE,"매출채권현황";#N/A,#N/A,FALSE,"매출채권명세"}</definedName>
    <definedName name="매출보고" localSheetId="45" hidden="1">{#N/A,#N/A,FALSE,"손익표지";#N/A,#N/A,FALSE,"손익계산";#N/A,#N/A,FALSE,"일반관리비";#N/A,#N/A,FALSE,"영업외수익";#N/A,#N/A,FALSE,"영업외비용";#N/A,#N/A,FALSE,"매출액";#N/A,#N/A,FALSE,"요약손익";#N/A,#N/A,FALSE,"요약대차";#N/A,#N/A,FALSE,"매출채권현황";#N/A,#N/A,FALSE,"매출채권명세"}</definedName>
    <definedName name="매출보고" localSheetId="42" hidden="1">{#N/A,#N/A,FALSE,"손익표지";#N/A,#N/A,FALSE,"손익계산";#N/A,#N/A,FALSE,"일반관리비";#N/A,#N/A,FALSE,"영업외수익";#N/A,#N/A,FALSE,"영업외비용";#N/A,#N/A,FALSE,"매출액";#N/A,#N/A,FALSE,"요약손익";#N/A,#N/A,FALSE,"요약대차";#N/A,#N/A,FALSE,"매출채권현황";#N/A,#N/A,FALSE,"매출채권명세"}</definedName>
    <definedName name="매출보고" hidden="1">{#N/A,#N/A,FALSE,"손익표지";#N/A,#N/A,FALSE,"손익계산";#N/A,#N/A,FALSE,"일반관리비";#N/A,#N/A,FALSE,"영업외수익";#N/A,#N/A,FALSE,"영업외비용";#N/A,#N/A,FALSE,"매출액";#N/A,#N/A,FALSE,"요약손익";#N/A,#N/A,FALSE,"요약대차";#N/A,#N/A,FALSE,"매출채권현황";#N/A,#N/A,FALSE,"매출채권명세"}</definedName>
    <definedName name="매출손익" localSheetId="15" hidden="1">{#N/A,#N/A,FALSE,"정공"}</definedName>
    <definedName name="매출손익" localSheetId="6" hidden="1">{#N/A,#N/A,FALSE,"정공"}</definedName>
    <definedName name="매출손익" localSheetId="45" hidden="1">{#N/A,#N/A,FALSE,"정공"}</definedName>
    <definedName name="매출손익" localSheetId="42" hidden="1">{#N/A,#N/A,FALSE,"정공"}</definedName>
    <definedName name="매출손익" hidden="1">{#N/A,#N/A,FALSE,"정공"}</definedName>
    <definedName name="매출액2" localSheetId="15" hidden="1">{#N/A,#N/A,FALSE,"1.CRITERIA";#N/A,#N/A,FALSE,"2.IS";#N/A,#N/A,FALSE,"3.BS";#N/A,#N/A,FALSE,"4.PER PL";#N/A,#N/A,FALSE,"5.INVESTMENT";#N/A,#N/A,FALSE,"6.공문";#N/A,#N/A,FALSE,"7.netinvest"}</definedName>
    <definedName name="매출액2" localSheetId="6" hidden="1">{#N/A,#N/A,FALSE,"1.CRITERIA";#N/A,#N/A,FALSE,"2.IS";#N/A,#N/A,FALSE,"3.BS";#N/A,#N/A,FALSE,"4.PER PL";#N/A,#N/A,FALSE,"5.INVESTMENT";#N/A,#N/A,FALSE,"6.공문";#N/A,#N/A,FALSE,"7.netinvest"}</definedName>
    <definedName name="매출액2" localSheetId="45" hidden="1">{#N/A,#N/A,FALSE,"1.CRITERIA";#N/A,#N/A,FALSE,"2.IS";#N/A,#N/A,FALSE,"3.BS";#N/A,#N/A,FALSE,"4.PER PL";#N/A,#N/A,FALSE,"5.INVESTMENT";#N/A,#N/A,FALSE,"6.공문";#N/A,#N/A,FALSE,"7.netinvest"}</definedName>
    <definedName name="매출액2" localSheetId="42" hidden="1">{#N/A,#N/A,FALSE,"1.CRITERIA";#N/A,#N/A,FALSE,"2.IS";#N/A,#N/A,FALSE,"3.BS";#N/A,#N/A,FALSE,"4.PER PL";#N/A,#N/A,FALSE,"5.INVESTMENT";#N/A,#N/A,FALSE,"6.공문";#N/A,#N/A,FALSE,"7.netinvest"}</definedName>
    <definedName name="매출액2" hidden="1">{#N/A,#N/A,FALSE,"1.CRITERIA";#N/A,#N/A,FALSE,"2.IS";#N/A,#N/A,FALSE,"3.BS";#N/A,#N/A,FALSE,"4.PER PL";#N/A,#N/A,FALSE,"5.INVESTMENT";#N/A,#N/A,FALSE,"6.공문";#N/A,#N/A,FALSE,"7.netinvest"}</definedName>
    <definedName name="매출원가" localSheetId="42" hidden="1">{#N/A,#N/A,FALSE,"Aging Summary";#N/A,#N/A,FALSE,"Ratio Analysis";#N/A,#N/A,FALSE,"Test 120 Day Accts";#N/A,#N/A,FALSE,"Tickmarks"}</definedName>
    <definedName name="매출원가" hidden="1">{#N/A,#N/A,FALSE,"Aging Summary";#N/A,#N/A,FALSE,"Ratio Analysis";#N/A,#N/A,FALSE,"Test 120 Day Accts";#N/A,#N/A,FALSE,"Tickmarks"}</definedName>
    <definedName name="매출원가1" localSheetId="42" hidden="1">{#N/A,#N/A,FALSE,"Aging Summary";#N/A,#N/A,FALSE,"Ratio Analysis";#N/A,#N/A,FALSE,"Test 120 Day Accts";#N/A,#N/A,FALSE,"Tickmarks"}</definedName>
    <definedName name="매출원가1" hidden="1">{#N/A,#N/A,FALSE,"Aging Summary";#N/A,#N/A,FALSE,"Ratio Analysis";#N/A,#N/A,FALSE,"Test 120 Day Accts";#N/A,#N/A,FALSE,"Tickmarks"}</definedName>
    <definedName name="매출전환손익" localSheetId="15" hidden="1">{#N/A,#N/A,FALSE,"정공"}</definedName>
    <definedName name="매출전환손익" localSheetId="6" hidden="1">{#N/A,#N/A,FALSE,"정공"}</definedName>
    <definedName name="매출전환손익" localSheetId="45" hidden="1">{#N/A,#N/A,FALSE,"정공"}</definedName>
    <definedName name="매출전환손익" localSheetId="42" hidden="1">{#N/A,#N/A,FALSE,"정공"}</definedName>
    <definedName name="매출전환손익" hidden="1">{#N/A,#N/A,FALSE,"정공"}</definedName>
    <definedName name="매출추1" localSheetId="15" hidden="1">{#N/A,#N/A,FALSE,"정공"}</definedName>
    <definedName name="매출추1" localSheetId="6" hidden="1">{#N/A,#N/A,FALSE,"정공"}</definedName>
    <definedName name="매출추1" localSheetId="45" hidden="1">{#N/A,#N/A,FALSE,"정공"}</definedName>
    <definedName name="매출추1" localSheetId="42" hidden="1">{#N/A,#N/A,FALSE,"정공"}</definedName>
    <definedName name="매출추1" hidden="1">{#N/A,#N/A,FALSE,"정공"}</definedName>
    <definedName name="매출추정" localSheetId="15" hidden="1">{#N/A,#N/A,FALSE,"정공"}</definedName>
    <definedName name="매출추정" localSheetId="6" hidden="1">{#N/A,#N/A,FALSE,"정공"}</definedName>
    <definedName name="매출추정" localSheetId="45" hidden="1">{#N/A,#N/A,FALSE,"정공"}</definedName>
    <definedName name="매출추정" localSheetId="42" hidden="1">{#N/A,#N/A,FALSE,"정공"}</definedName>
    <definedName name="매출추정" hidden="1">{#N/A,#N/A,FALSE,"정공"}</definedName>
    <definedName name="머머" localSheetId="15" hidden="1">{#N/A,#N/A,FALSE,"1.CRITERIA";#N/A,#N/A,FALSE,"2.IS";#N/A,#N/A,FALSE,"3.BS";#N/A,#N/A,FALSE,"4.PER PL";#N/A,#N/A,FALSE,"5.INVESTMENT";#N/A,#N/A,FALSE,"6.공문";#N/A,#N/A,FALSE,"7.netinvest"}</definedName>
    <definedName name="머머" localSheetId="6" hidden="1">{#N/A,#N/A,FALSE,"1.CRITERIA";#N/A,#N/A,FALSE,"2.IS";#N/A,#N/A,FALSE,"3.BS";#N/A,#N/A,FALSE,"4.PER PL";#N/A,#N/A,FALSE,"5.INVESTMENT";#N/A,#N/A,FALSE,"6.공문";#N/A,#N/A,FALSE,"7.netinvest"}</definedName>
    <definedName name="머머" localSheetId="45" hidden="1">{#N/A,#N/A,FALSE,"1.CRITERIA";#N/A,#N/A,FALSE,"2.IS";#N/A,#N/A,FALSE,"3.BS";#N/A,#N/A,FALSE,"4.PER PL";#N/A,#N/A,FALSE,"5.INVESTMENT";#N/A,#N/A,FALSE,"6.공문";#N/A,#N/A,FALSE,"7.netinvest"}</definedName>
    <definedName name="머머" localSheetId="42" hidden="1">{#N/A,#N/A,FALSE,"1.CRITERIA";#N/A,#N/A,FALSE,"2.IS";#N/A,#N/A,FALSE,"3.BS";#N/A,#N/A,FALSE,"4.PER PL";#N/A,#N/A,FALSE,"5.INVESTMENT";#N/A,#N/A,FALSE,"6.공문";#N/A,#N/A,FALSE,"7.netinvest"}</definedName>
    <definedName name="머머" hidden="1">{#N/A,#N/A,FALSE,"1.CRITERIA";#N/A,#N/A,FALSE,"2.IS";#N/A,#N/A,FALSE,"3.BS";#N/A,#N/A,FALSE,"4.PER PL";#N/A,#N/A,FALSE,"5.INVESTMENT";#N/A,#N/A,FALSE,"6.공문";#N/A,#N/A,FALSE,"7.netinvest"}</definedName>
    <definedName name="며며" localSheetId="15" hidden="1">{#N/A,#N/A,FALSE,"1.CRITERIA";#N/A,#N/A,FALSE,"2.IS";#N/A,#N/A,FALSE,"3.BS";#N/A,#N/A,FALSE,"4.PER PL";#N/A,#N/A,FALSE,"5.INVESTMENT";#N/A,#N/A,FALSE,"6.공문";#N/A,#N/A,FALSE,"7.netinvest"}</definedName>
    <definedName name="며며" localSheetId="6" hidden="1">{#N/A,#N/A,FALSE,"1.CRITERIA";#N/A,#N/A,FALSE,"2.IS";#N/A,#N/A,FALSE,"3.BS";#N/A,#N/A,FALSE,"4.PER PL";#N/A,#N/A,FALSE,"5.INVESTMENT";#N/A,#N/A,FALSE,"6.공문";#N/A,#N/A,FALSE,"7.netinvest"}</definedName>
    <definedName name="며며" localSheetId="45" hidden="1">{#N/A,#N/A,FALSE,"1.CRITERIA";#N/A,#N/A,FALSE,"2.IS";#N/A,#N/A,FALSE,"3.BS";#N/A,#N/A,FALSE,"4.PER PL";#N/A,#N/A,FALSE,"5.INVESTMENT";#N/A,#N/A,FALSE,"6.공문";#N/A,#N/A,FALSE,"7.netinvest"}</definedName>
    <definedName name="며며" localSheetId="42" hidden="1">{#N/A,#N/A,FALSE,"1.CRITERIA";#N/A,#N/A,FALSE,"2.IS";#N/A,#N/A,FALSE,"3.BS";#N/A,#N/A,FALSE,"4.PER PL";#N/A,#N/A,FALSE,"5.INVESTMENT";#N/A,#N/A,FALSE,"6.공문";#N/A,#N/A,FALSE,"7.netinvest"}</definedName>
    <definedName name="며며" hidden="1">{#N/A,#N/A,FALSE,"1.CRITERIA";#N/A,#N/A,FALSE,"2.IS";#N/A,#N/A,FALSE,"3.BS";#N/A,#N/A,FALSE,"4.PER PL";#N/A,#N/A,FALSE,"5.INVESTMENT";#N/A,#N/A,FALSE,"6.공문";#N/A,#N/A,FALSE,"7.netinvest"}</definedName>
    <definedName name="모" localSheetId="42" hidden="1">{#N/A,#N/A,FALSE,"UNIT";#N/A,#N/A,FALSE,"UNIT";#N/A,#N/A,FALSE,"계정"}</definedName>
    <definedName name="모" hidden="1">{#N/A,#N/A,FALSE,"UNIT";#N/A,#N/A,FALSE,"UNIT";#N/A,#N/A,FALSE,"계정"}</definedName>
    <definedName name="모리" localSheetId="15" hidden="1">{#N/A,#N/A,FALSE,"1.CRITERIA";#N/A,#N/A,FALSE,"2.IS";#N/A,#N/A,FALSE,"3.BS";#N/A,#N/A,FALSE,"4.PER PL";#N/A,#N/A,FALSE,"5.INVESTMENT";#N/A,#N/A,FALSE,"6.공문";#N/A,#N/A,FALSE,"7.netinvest"}</definedName>
    <definedName name="모리" localSheetId="6" hidden="1">{#N/A,#N/A,FALSE,"1.CRITERIA";#N/A,#N/A,FALSE,"2.IS";#N/A,#N/A,FALSE,"3.BS";#N/A,#N/A,FALSE,"4.PER PL";#N/A,#N/A,FALSE,"5.INVESTMENT";#N/A,#N/A,FALSE,"6.공문";#N/A,#N/A,FALSE,"7.netinvest"}</definedName>
    <definedName name="모리" localSheetId="45" hidden="1">{#N/A,#N/A,FALSE,"1.CRITERIA";#N/A,#N/A,FALSE,"2.IS";#N/A,#N/A,FALSE,"3.BS";#N/A,#N/A,FALSE,"4.PER PL";#N/A,#N/A,FALSE,"5.INVESTMENT";#N/A,#N/A,FALSE,"6.공문";#N/A,#N/A,FALSE,"7.netinvest"}</definedName>
    <definedName name="모리" localSheetId="42" hidden="1">{#N/A,#N/A,FALSE,"1.CRITERIA";#N/A,#N/A,FALSE,"2.IS";#N/A,#N/A,FALSE,"3.BS";#N/A,#N/A,FALSE,"4.PER PL";#N/A,#N/A,FALSE,"5.INVESTMENT";#N/A,#N/A,FALSE,"6.공문";#N/A,#N/A,FALSE,"7.netinvest"}</definedName>
    <definedName name="모리" hidden="1">{#N/A,#N/A,FALSE,"1.CRITERIA";#N/A,#N/A,FALSE,"2.IS";#N/A,#N/A,FALSE,"3.BS";#N/A,#N/A,FALSE,"4.PER PL";#N/A,#N/A,FALSE,"5.INVESTMENT";#N/A,#N/A,FALSE,"6.공문";#N/A,#N/A,FALSE,"7.netinvest"}</definedName>
    <definedName name="모모" localSheetId="15" hidden="1">{#N/A,#N/A,FALSE,"1.CRITERIA";#N/A,#N/A,FALSE,"2.IS";#N/A,#N/A,FALSE,"3.BS";#N/A,#N/A,FALSE,"4.PER PL";#N/A,#N/A,FALSE,"5.INVESTMENT";#N/A,#N/A,FALSE,"6.공문";#N/A,#N/A,FALSE,"7.netinvest"}</definedName>
    <definedName name="모모" localSheetId="6" hidden="1">{#N/A,#N/A,FALSE,"1.CRITERIA";#N/A,#N/A,FALSE,"2.IS";#N/A,#N/A,FALSE,"3.BS";#N/A,#N/A,FALSE,"4.PER PL";#N/A,#N/A,FALSE,"5.INVESTMENT";#N/A,#N/A,FALSE,"6.공문";#N/A,#N/A,FALSE,"7.netinvest"}</definedName>
    <definedName name="모모" localSheetId="45" hidden="1">{#N/A,#N/A,FALSE,"1.CRITERIA";#N/A,#N/A,FALSE,"2.IS";#N/A,#N/A,FALSE,"3.BS";#N/A,#N/A,FALSE,"4.PER PL";#N/A,#N/A,FALSE,"5.INVESTMENT";#N/A,#N/A,FALSE,"6.공문";#N/A,#N/A,FALSE,"7.netinvest"}</definedName>
    <definedName name="모모" localSheetId="42" hidden="1">{#N/A,#N/A,FALSE,"1.CRITERIA";#N/A,#N/A,FALSE,"2.IS";#N/A,#N/A,FALSE,"3.BS";#N/A,#N/A,FALSE,"4.PER PL";#N/A,#N/A,FALSE,"5.INVESTMENT";#N/A,#N/A,FALSE,"6.공문";#N/A,#N/A,FALSE,"7.netinvest"}</definedName>
    <definedName name="모모" hidden="1">{#N/A,#N/A,FALSE,"1.CRITERIA";#N/A,#N/A,FALSE,"2.IS";#N/A,#N/A,FALSE,"3.BS";#N/A,#N/A,FALSE,"4.PER PL";#N/A,#N/A,FALSE,"5.INVESTMENT";#N/A,#N/A,FALSE,"6.공문";#N/A,#N/A,FALSE,"7.netinvest"}</definedName>
    <definedName name="목차도" localSheetId="15" hidden="1">{#N/A,#N/A,FALSE,"정공"}</definedName>
    <definedName name="목차도" localSheetId="6" hidden="1">{#N/A,#N/A,FALSE,"정공"}</definedName>
    <definedName name="목차도" localSheetId="45" hidden="1">{#N/A,#N/A,FALSE,"정공"}</definedName>
    <definedName name="목차도" localSheetId="42" hidden="1">{#N/A,#N/A,FALSE,"정공"}</definedName>
    <definedName name="목차도" hidden="1">{#N/A,#N/A,FALSE,"정공"}</definedName>
    <definedName name="몰라" localSheetId="15" hidden="1">{#N/A,#N/A,FALSE,"계약직(여)"}</definedName>
    <definedName name="몰라" localSheetId="6" hidden="1">{#N/A,#N/A,FALSE,"계약직(여)"}</definedName>
    <definedName name="몰라" localSheetId="45" hidden="1">{#N/A,#N/A,FALSE,"계약직(여)"}</definedName>
    <definedName name="몰라" localSheetId="42" hidden="1">{#N/A,#N/A,FALSE,"계약직(여)"}</definedName>
    <definedName name="몰라" hidden="1">{#N/A,#N/A,FALSE,"계약직(여)"}</definedName>
    <definedName name="뫌" localSheetId="15" hidden="1">{#N/A,#N/A,FALSE,"1.CRITERIA";#N/A,#N/A,FALSE,"2.IS";#N/A,#N/A,FALSE,"3.BS";#N/A,#N/A,FALSE,"4.PER PL";#N/A,#N/A,FALSE,"5.INVESTMENT";#N/A,#N/A,FALSE,"6.공문";#N/A,#N/A,FALSE,"7.netinvest"}</definedName>
    <definedName name="뫌" localSheetId="6" hidden="1">{#N/A,#N/A,FALSE,"1.CRITERIA";#N/A,#N/A,FALSE,"2.IS";#N/A,#N/A,FALSE,"3.BS";#N/A,#N/A,FALSE,"4.PER PL";#N/A,#N/A,FALSE,"5.INVESTMENT";#N/A,#N/A,FALSE,"6.공문";#N/A,#N/A,FALSE,"7.netinvest"}</definedName>
    <definedName name="뫌" localSheetId="45" hidden="1">{#N/A,#N/A,FALSE,"1.CRITERIA";#N/A,#N/A,FALSE,"2.IS";#N/A,#N/A,FALSE,"3.BS";#N/A,#N/A,FALSE,"4.PER PL";#N/A,#N/A,FALSE,"5.INVESTMENT";#N/A,#N/A,FALSE,"6.공문";#N/A,#N/A,FALSE,"7.netinvest"}</definedName>
    <definedName name="뫌" localSheetId="42" hidden="1">{#N/A,#N/A,FALSE,"1.CRITERIA";#N/A,#N/A,FALSE,"2.IS";#N/A,#N/A,FALSE,"3.BS";#N/A,#N/A,FALSE,"4.PER PL";#N/A,#N/A,FALSE,"5.INVESTMENT";#N/A,#N/A,FALSE,"6.공문";#N/A,#N/A,FALSE,"7.netinvest"}</definedName>
    <definedName name="뫌" hidden="1">{#N/A,#N/A,FALSE,"1.CRITERIA";#N/A,#N/A,FALSE,"2.IS";#N/A,#N/A,FALSE,"3.BS";#N/A,#N/A,FALSE,"4.PER PL";#N/A,#N/A,FALSE,"5.INVESTMENT";#N/A,#N/A,FALSE,"6.공문";#N/A,#N/A,FALSE,"7.netinvest"}</definedName>
    <definedName name="무늬분석" localSheetId="15"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무늬분석" localSheetId="6"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무늬분석" localSheetId="45"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무늬분석" localSheetId="42"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무늬분석"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무무" localSheetId="15" hidden="1">{#N/A,#N/A,FALSE,"1.CRITERIA";#N/A,#N/A,FALSE,"2.IS";#N/A,#N/A,FALSE,"3.BS";#N/A,#N/A,FALSE,"4.PER PL";#N/A,#N/A,FALSE,"5.INVESTMENT";#N/A,#N/A,FALSE,"6.공문";#N/A,#N/A,FALSE,"7.netinvest"}</definedName>
    <definedName name="무무" localSheetId="6" hidden="1">{#N/A,#N/A,FALSE,"1.CRITERIA";#N/A,#N/A,FALSE,"2.IS";#N/A,#N/A,FALSE,"3.BS";#N/A,#N/A,FALSE,"4.PER PL";#N/A,#N/A,FALSE,"5.INVESTMENT";#N/A,#N/A,FALSE,"6.공문";#N/A,#N/A,FALSE,"7.netinvest"}</definedName>
    <definedName name="무무" localSheetId="45" hidden="1">{#N/A,#N/A,FALSE,"1.CRITERIA";#N/A,#N/A,FALSE,"2.IS";#N/A,#N/A,FALSE,"3.BS";#N/A,#N/A,FALSE,"4.PER PL";#N/A,#N/A,FALSE,"5.INVESTMENT";#N/A,#N/A,FALSE,"6.공문";#N/A,#N/A,FALSE,"7.netinvest"}</definedName>
    <definedName name="무무" localSheetId="42" hidden="1">{#N/A,#N/A,FALSE,"1.CRITERIA";#N/A,#N/A,FALSE,"2.IS";#N/A,#N/A,FALSE,"3.BS";#N/A,#N/A,FALSE,"4.PER PL";#N/A,#N/A,FALSE,"5.INVESTMENT";#N/A,#N/A,FALSE,"6.공문";#N/A,#N/A,FALSE,"7.netinvest"}</definedName>
    <definedName name="무무" hidden="1">{#N/A,#N/A,FALSE,"1.CRITERIA";#N/A,#N/A,FALSE,"2.IS";#N/A,#N/A,FALSE,"3.BS";#N/A,#N/A,FALSE,"4.PER PL";#N/A,#N/A,FALSE,"5.INVESTMENT";#N/A,#N/A,FALSE,"6.공문";#N/A,#N/A,FALSE,"7.netinvest"}</definedName>
    <definedName name="문성수" localSheetId="15" hidden="1">{#N/A,#N/A,FALSE,"손익표지";#N/A,#N/A,FALSE,"손익계산";#N/A,#N/A,FALSE,"일반관리비";#N/A,#N/A,FALSE,"영업외수익";#N/A,#N/A,FALSE,"영업외비용";#N/A,#N/A,FALSE,"매출액";#N/A,#N/A,FALSE,"요약손익";#N/A,#N/A,FALSE,"요약대차";#N/A,#N/A,FALSE,"매출채권현황";#N/A,#N/A,FALSE,"매출채권명세"}</definedName>
    <definedName name="문성수" localSheetId="6" hidden="1">{#N/A,#N/A,FALSE,"손익표지";#N/A,#N/A,FALSE,"손익계산";#N/A,#N/A,FALSE,"일반관리비";#N/A,#N/A,FALSE,"영업외수익";#N/A,#N/A,FALSE,"영업외비용";#N/A,#N/A,FALSE,"매출액";#N/A,#N/A,FALSE,"요약손익";#N/A,#N/A,FALSE,"요약대차";#N/A,#N/A,FALSE,"매출채권현황";#N/A,#N/A,FALSE,"매출채권명세"}</definedName>
    <definedName name="문성수" localSheetId="45" hidden="1">{#N/A,#N/A,FALSE,"손익표지";#N/A,#N/A,FALSE,"손익계산";#N/A,#N/A,FALSE,"일반관리비";#N/A,#N/A,FALSE,"영업외수익";#N/A,#N/A,FALSE,"영업외비용";#N/A,#N/A,FALSE,"매출액";#N/A,#N/A,FALSE,"요약손익";#N/A,#N/A,FALSE,"요약대차";#N/A,#N/A,FALSE,"매출채권현황";#N/A,#N/A,FALSE,"매출채권명세"}</definedName>
    <definedName name="문성수" localSheetId="42" hidden="1">{#N/A,#N/A,FALSE,"손익표지";#N/A,#N/A,FALSE,"손익계산";#N/A,#N/A,FALSE,"일반관리비";#N/A,#N/A,FALSE,"영업외수익";#N/A,#N/A,FALSE,"영업외비용";#N/A,#N/A,FALSE,"매출액";#N/A,#N/A,FALSE,"요약손익";#N/A,#N/A,FALSE,"요약대차";#N/A,#N/A,FALSE,"매출채권현황";#N/A,#N/A,FALSE,"매출채권명세"}</definedName>
    <definedName name="문성수" hidden="1">{#N/A,#N/A,FALSE,"손익표지";#N/A,#N/A,FALSE,"손익계산";#N/A,#N/A,FALSE,"일반관리비";#N/A,#N/A,FALSE,"영업외수익";#N/A,#N/A,FALSE,"영업외비용";#N/A,#N/A,FALSE,"매출액";#N/A,#N/A,FALSE,"요약손익";#N/A,#N/A,FALSE,"요약대차";#N/A,#N/A,FALSE,"매출채권현황";#N/A,#N/A,FALSE,"매출채권명세"}</definedName>
    <definedName name="물랴자" localSheetId="42" hidden="1">{#N/A,#N/A,TRUE,"Y생산";#N/A,#N/A,TRUE,"Y판매";#N/A,#N/A,TRUE,"Y총물량";#N/A,#N/A,TRUE,"Y능력";#N/A,#N/A,TRUE,"YKD"}</definedName>
    <definedName name="물랴자" hidden="1">{#N/A,#N/A,TRUE,"Y생산";#N/A,#N/A,TRUE,"Y판매";#N/A,#N/A,TRUE,"Y총물량";#N/A,#N/A,TRUE,"Y능력";#N/A,#N/A,TRUE,"YKD"}</definedName>
    <definedName name="물량수" localSheetId="42" hidden="1">{#N/A,#N/A,TRUE,"Y생산";#N/A,#N/A,TRUE,"Y판매";#N/A,#N/A,TRUE,"Y총물량";#N/A,#N/A,TRUE,"Y능력";#N/A,#N/A,TRUE,"YKD"}</definedName>
    <definedName name="물량수" hidden="1">{#N/A,#N/A,TRUE,"Y생산";#N/A,#N/A,TRUE,"Y판매";#N/A,#N/A,TRUE,"Y총물량";#N/A,#N/A,TRUE,"Y능력";#N/A,#N/A,TRUE,"YKD"}</definedName>
    <definedName name="물량수전ㅇ" localSheetId="42" hidden="1">{#N/A,#N/A,TRUE,"Y생산";#N/A,#N/A,TRUE,"Y판매";#N/A,#N/A,TRUE,"Y총물량";#N/A,#N/A,TRUE,"Y능력";#N/A,#N/A,TRUE,"YKD"}</definedName>
    <definedName name="물량수전ㅇ" hidden="1">{#N/A,#N/A,TRUE,"Y생산";#N/A,#N/A,TRUE,"Y판매";#N/A,#N/A,TRUE,"Y총물량";#N/A,#N/A,TRUE,"Y능력";#N/A,#N/A,TRUE,"YKD"}</definedName>
    <definedName name="물량수정" localSheetId="42" hidden="1">{#N/A,#N/A,TRUE,"Y생산";#N/A,#N/A,TRUE,"Y판매";#N/A,#N/A,TRUE,"Y총물량";#N/A,#N/A,TRUE,"Y능력";#N/A,#N/A,TRUE,"YKD"}</definedName>
    <definedName name="물량수정" hidden="1">{#N/A,#N/A,TRUE,"Y생산";#N/A,#N/A,TRUE,"Y판매";#N/A,#N/A,TRUE,"Y총물량";#N/A,#N/A,TRUE,"Y능력";#N/A,#N/A,TRUE,"YKD"}</definedName>
    <definedName name="물량수정1" localSheetId="42" hidden="1">{#N/A,#N/A,TRUE,"Y생산";#N/A,#N/A,TRUE,"Y판매";#N/A,#N/A,TRUE,"Y총물량";#N/A,#N/A,TRUE,"Y능력";#N/A,#N/A,TRUE,"YKD"}</definedName>
    <definedName name="물량수정1" hidden="1">{#N/A,#N/A,TRUE,"Y생산";#N/A,#N/A,TRUE,"Y판매";#N/A,#N/A,TRUE,"Y총물량";#N/A,#N/A,TRUE,"Y능력";#N/A,#N/A,TRUE,"YKD"}</definedName>
    <definedName name="물량수정2" localSheetId="42" hidden="1">{#N/A,#N/A,TRUE,"Y생산";#N/A,#N/A,TRUE,"Y판매";#N/A,#N/A,TRUE,"Y총물량";#N/A,#N/A,TRUE,"Y능력";#N/A,#N/A,TRUE,"YKD"}</definedName>
    <definedName name="물량수정2" hidden="1">{#N/A,#N/A,TRUE,"Y생산";#N/A,#N/A,TRUE,"Y판매";#N/A,#N/A,TRUE,"Y총물량";#N/A,#N/A,TRUE,"Y능력";#N/A,#N/A,TRUE,"YKD"}</definedName>
    <definedName name="물량정" localSheetId="42" hidden="1">{#N/A,#N/A,TRUE,"Y생산";#N/A,#N/A,TRUE,"Y판매";#N/A,#N/A,TRUE,"Y총물량";#N/A,#N/A,TRUE,"Y능력";#N/A,#N/A,TRUE,"YKD"}</definedName>
    <definedName name="물량정" hidden="1">{#N/A,#N/A,TRUE,"Y생산";#N/A,#N/A,TRUE,"Y판매";#N/A,#N/A,TRUE,"Y총물량";#N/A,#N/A,TRUE,"Y능력";#N/A,#N/A,TRUE,"YKD"}</definedName>
    <definedName name="물량조정" localSheetId="42" hidden="1">{#N/A,#N/A,TRUE,"Y생산";#N/A,#N/A,TRUE,"Y판매";#N/A,#N/A,TRUE,"Y총물량";#N/A,#N/A,TRUE,"Y능력";#N/A,#N/A,TRUE,"YKD"}</definedName>
    <definedName name="물량조정" hidden="1">{#N/A,#N/A,TRUE,"Y생산";#N/A,#N/A,TRUE,"Y판매";#N/A,#N/A,TRUE,"Y총물량";#N/A,#N/A,TRUE,"Y능력";#N/A,#N/A,TRUE,"YKD"}</definedName>
    <definedName name="물수" localSheetId="42" hidden="1">{#N/A,#N/A,TRUE,"Y생산";#N/A,#N/A,TRUE,"Y판매";#N/A,#N/A,TRUE,"Y총물량";#N/A,#N/A,TRUE,"Y능력";#N/A,#N/A,TRUE,"YKD"}</definedName>
    <definedName name="물수" hidden="1">{#N/A,#N/A,TRUE,"Y생산";#N/A,#N/A,TRUE,"Y판매";#N/A,#N/A,TRUE,"Y총물량";#N/A,#N/A,TRUE,"Y능력";#N/A,#N/A,TRUE,"YKD"}</definedName>
    <definedName name="뮤" localSheetId="12" hidden="1">{#N/A,#N/A,FALSE,"지침";#N/A,#N/A,FALSE,"환경분석";#N/A,#N/A,FALSE,"Sheet16"}</definedName>
    <definedName name="뮤" localSheetId="42" hidden="1">{#N/A,#N/A,FALSE,"기술료 비교"}</definedName>
    <definedName name="뮤" hidden="1">{#N/A,#N/A,FALSE,"기술료 비교"}</definedName>
    <definedName name="뮤뮤" localSheetId="15" hidden="1">{#N/A,#N/A,FALSE,"1.CRITERIA";#N/A,#N/A,FALSE,"2.IS";#N/A,#N/A,FALSE,"3.BS";#N/A,#N/A,FALSE,"4.PER PL";#N/A,#N/A,FALSE,"5.INVESTMENT";#N/A,#N/A,FALSE,"6.공문";#N/A,#N/A,FALSE,"7.netinvest"}</definedName>
    <definedName name="뮤뮤" localSheetId="6" hidden="1">{#N/A,#N/A,FALSE,"1.CRITERIA";#N/A,#N/A,FALSE,"2.IS";#N/A,#N/A,FALSE,"3.BS";#N/A,#N/A,FALSE,"4.PER PL";#N/A,#N/A,FALSE,"5.INVESTMENT";#N/A,#N/A,FALSE,"6.공문";#N/A,#N/A,FALSE,"7.netinvest"}</definedName>
    <definedName name="뮤뮤" localSheetId="45" hidden="1">{#N/A,#N/A,FALSE,"1.CRITERIA";#N/A,#N/A,FALSE,"2.IS";#N/A,#N/A,FALSE,"3.BS";#N/A,#N/A,FALSE,"4.PER PL";#N/A,#N/A,FALSE,"5.INVESTMENT";#N/A,#N/A,FALSE,"6.공문";#N/A,#N/A,FALSE,"7.netinvest"}</definedName>
    <definedName name="뮤뮤" localSheetId="42" hidden="1">{#N/A,#N/A,FALSE,"1.CRITERIA";#N/A,#N/A,FALSE,"2.IS";#N/A,#N/A,FALSE,"3.BS";#N/A,#N/A,FALSE,"4.PER PL";#N/A,#N/A,FALSE,"5.INVESTMENT";#N/A,#N/A,FALSE,"6.공문";#N/A,#N/A,FALSE,"7.netinvest"}</definedName>
    <definedName name="뮤뮤" hidden="1">{#N/A,#N/A,FALSE,"1.CRITERIA";#N/A,#N/A,FALSE,"2.IS";#N/A,#N/A,FALSE,"3.BS";#N/A,#N/A,FALSE,"4.PER PL";#N/A,#N/A,FALSE,"5.INVESTMENT";#N/A,#N/A,FALSE,"6.공문";#N/A,#N/A,FALSE,"7.netinvest"}</definedName>
    <definedName name="미" localSheetId="15" hidden="1">{#N/A,#N/A,FALSE,"손익표지";#N/A,#N/A,FALSE,"손익계산";#N/A,#N/A,FALSE,"일반관리비";#N/A,#N/A,FALSE,"영업외수익";#N/A,#N/A,FALSE,"영업외비용";#N/A,#N/A,FALSE,"매출액";#N/A,#N/A,FALSE,"요약손익";#N/A,#N/A,FALSE,"요약대차";#N/A,#N/A,FALSE,"매출채권현황";#N/A,#N/A,FALSE,"매출채권명세"}</definedName>
    <definedName name="미" localSheetId="6" hidden="1">{#N/A,#N/A,FALSE,"손익표지";#N/A,#N/A,FALSE,"손익계산";#N/A,#N/A,FALSE,"일반관리비";#N/A,#N/A,FALSE,"영업외수익";#N/A,#N/A,FALSE,"영업외비용";#N/A,#N/A,FALSE,"매출액";#N/A,#N/A,FALSE,"요약손익";#N/A,#N/A,FALSE,"요약대차";#N/A,#N/A,FALSE,"매출채권현황";#N/A,#N/A,FALSE,"매출채권명세"}</definedName>
    <definedName name="미" localSheetId="45" hidden="1">{#N/A,#N/A,FALSE,"손익표지";#N/A,#N/A,FALSE,"손익계산";#N/A,#N/A,FALSE,"일반관리비";#N/A,#N/A,FALSE,"영업외수익";#N/A,#N/A,FALSE,"영업외비용";#N/A,#N/A,FALSE,"매출액";#N/A,#N/A,FALSE,"요약손익";#N/A,#N/A,FALSE,"요약대차";#N/A,#N/A,FALSE,"매출채권현황";#N/A,#N/A,FALSE,"매출채권명세"}</definedName>
    <definedName name="미" localSheetId="42" hidden="1">{#N/A,#N/A,FALSE,"손익표지";#N/A,#N/A,FALSE,"손익계산";#N/A,#N/A,FALSE,"일반관리비";#N/A,#N/A,FALSE,"영업외수익";#N/A,#N/A,FALSE,"영업외비용";#N/A,#N/A,FALSE,"매출액";#N/A,#N/A,FALSE,"요약손익";#N/A,#N/A,FALSE,"요약대차";#N/A,#N/A,FALSE,"매출채권현황";#N/A,#N/A,FALSE,"매출채권명세"}</definedName>
    <definedName name="미" hidden="1">{#N/A,#N/A,TRUE,"일정"}</definedName>
    <definedName name="미라" localSheetId="15" hidden="1">{#N/A,#N/A,FALSE,"1.CRITERIA";#N/A,#N/A,FALSE,"2.IS";#N/A,#N/A,FALSE,"3.BS";#N/A,#N/A,FALSE,"4.PER PL";#N/A,#N/A,FALSE,"5.INVESTMENT";#N/A,#N/A,FALSE,"6.공문";#N/A,#N/A,FALSE,"7.netinvest"}</definedName>
    <definedName name="미라" localSheetId="6" hidden="1">{#N/A,#N/A,FALSE,"1.CRITERIA";#N/A,#N/A,FALSE,"2.IS";#N/A,#N/A,FALSE,"3.BS";#N/A,#N/A,FALSE,"4.PER PL";#N/A,#N/A,FALSE,"5.INVESTMENT";#N/A,#N/A,FALSE,"6.공문";#N/A,#N/A,FALSE,"7.netinvest"}</definedName>
    <definedName name="미라" localSheetId="45" hidden="1">{#N/A,#N/A,FALSE,"1.CRITERIA";#N/A,#N/A,FALSE,"2.IS";#N/A,#N/A,FALSE,"3.BS";#N/A,#N/A,FALSE,"4.PER PL";#N/A,#N/A,FALSE,"5.INVESTMENT";#N/A,#N/A,FALSE,"6.공문";#N/A,#N/A,FALSE,"7.netinvest"}</definedName>
    <definedName name="미라" localSheetId="42" hidden="1">{#N/A,#N/A,FALSE,"1.CRITERIA";#N/A,#N/A,FALSE,"2.IS";#N/A,#N/A,FALSE,"3.BS";#N/A,#N/A,FALSE,"4.PER PL";#N/A,#N/A,FALSE,"5.INVESTMENT";#N/A,#N/A,FALSE,"6.공문";#N/A,#N/A,FALSE,"7.netinvest"}</definedName>
    <definedName name="미라" hidden="1">{#N/A,#N/A,FALSE,"1.CRITERIA";#N/A,#N/A,FALSE,"2.IS";#N/A,#N/A,FALSE,"3.BS";#N/A,#N/A,FALSE,"4.PER PL";#N/A,#N/A,FALSE,"5.INVESTMENT";#N/A,#N/A,FALSE,"6.공문";#N/A,#N/A,FALSE,"7.netinvest"}</definedName>
    <definedName name="미래_웰빙판매" localSheetId="42" hidden="1">{"'경비내역'!$E$11"}</definedName>
    <definedName name="미래_웰빙판매" hidden="1">{"'경비내역'!$E$11"}</definedName>
    <definedName name="미로" localSheetId="15" hidden="1">{#N/A,#N/A,FALSE,"1.CRITERIA";#N/A,#N/A,FALSE,"2.IS";#N/A,#N/A,FALSE,"3.BS";#N/A,#N/A,FALSE,"4.PER PL";#N/A,#N/A,FALSE,"5.INVESTMENT";#N/A,#N/A,FALSE,"6.공문";#N/A,#N/A,FALSE,"7.netinvest"}</definedName>
    <definedName name="미로" localSheetId="6" hidden="1">{#N/A,#N/A,FALSE,"1.CRITERIA";#N/A,#N/A,FALSE,"2.IS";#N/A,#N/A,FALSE,"3.BS";#N/A,#N/A,FALSE,"4.PER PL";#N/A,#N/A,FALSE,"5.INVESTMENT";#N/A,#N/A,FALSE,"6.공문";#N/A,#N/A,FALSE,"7.netinvest"}</definedName>
    <definedName name="미로" localSheetId="45" hidden="1">{#N/A,#N/A,FALSE,"1.CRITERIA";#N/A,#N/A,FALSE,"2.IS";#N/A,#N/A,FALSE,"3.BS";#N/A,#N/A,FALSE,"4.PER PL";#N/A,#N/A,FALSE,"5.INVESTMENT";#N/A,#N/A,FALSE,"6.공문";#N/A,#N/A,FALSE,"7.netinvest"}</definedName>
    <definedName name="미로" localSheetId="42" hidden="1">{#N/A,#N/A,FALSE,"1.CRITERIA";#N/A,#N/A,FALSE,"2.IS";#N/A,#N/A,FALSE,"3.BS";#N/A,#N/A,FALSE,"4.PER PL";#N/A,#N/A,FALSE,"5.INVESTMENT";#N/A,#N/A,FALSE,"6.공문";#N/A,#N/A,FALSE,"7.netinvest"}</definedName>
    <definedName name="미로" hidden="1">{#N/A,#N/A,FALSE,"1.CRITERIA";#N/A,#N/A,FALSE,"2.IS";#N/A,#N/A,FALSE,"3.BS";#N/A,#N/A,FALSE,"4.PER PL";#N/A,#N/A,FALSE,"5.INVESTMENT";#N/A,#N/A,FALSE,"6.공문";#N/A,#N/A,FALSE,"7.netinvest"}</definedName>
    <definedName name="미로어" localSheetId="15" hidden="1">{#N/A,#N/A,FALSE,"1.CRITERIA";#N/A,#N/A,FALSE,"2.IS";#N/A,#N/A,FALSE,"3.BS";#N/A,#N/A,FALSE,"4.PER PL";#N/A,#N/A,FALSE,"5.INVESTMENT";#N/A,#N/A,FALSE,"6.공문";#N/A,#N/A,FALSE,"7.netinvest"}</definedName>
    <definedName name="미로어" localSheetId="6" hidden="1">{#N/A,#N/A,FALSE,"1.CRITERIA";#N/A,#N/A,FALSE,"2.IS";#N/A,#N/A,FALSE,"3.BS";#N/A,#N/A,FALSE,"4.PER PL";#N/A,#N/A,FALSE,"5.INVESTMENT";#N/A,#N/A,FALSE,"6.공문";#N/A,#N/A,FALSE,"7.netinvest"}</definedName>
    <definedName name="미로어" localSheetId="45" hidden="1">{#N/A,#N/A,FALSE,"1.CRITERIA";#N/A,#N/A,FALSE,"2.IS";#N/A,#N/A,FALSE,"3.BS";#N/A,#N/A,FALSE,"4.PER PL";#N/A,#N/A,FALSE,"5.INVESTMENT";#N/A,#N/A,FALSE,"6.공문";#N/A,#N/A,FALSE,"7.netinvest"}</definedName>
    <definedName name="미로어" localSheetId="42" hidden="1">{#N/A,#N/A,FALSE,"1.CRITERIA";#N/A,#N/A,FALSE,"2.IS";#N/A,#N/A,FALSE,"3.BS";#N/A,#N/A,FALSE,"4.PER PL";#N/A,#N/A,FALSE,"5.INVESTMENT";#N/A,#N/A,FALSE,"6.공문";#N/A,#N/A,FALSE,"7.netinvest"}</definedName>
    <definedName name="미로어" hidden="1">{#N/A,#N/A,FALSE,"1.CRITERIA";#N/A,#N/A,FALSE,"2.IS";#N/A,#N/A,FALSE,"3.BS";#N/A,#N/A,FALSE,"4.PER PL";#N/A,#N/A,FALSE,"5.INVESTMENT";#N/A,#N/A,FALSE,"6.공문";#N/A,#N/A,FALSE,"7.netinvest"}</definedName>
    <definedName name="미료" localSheetId="15" hidden="1">{#N/A,#N/A,FALSE,"1.CRITERIA";#N/A,#N/A,FALSE,"2.IS";#N/A,#N/A,FALSE,"3.BS";#N/A,#N/A,FALSE,"4.PER PL";#N/A,#N/A,FALSE,"5.INVESTMENT";#N/A,#N/A,FALSE,"6.공문";#N/A,#N/A,FALSE,"7.netinvest"}</definedName>
    <definedName name="미료" localSheetId="6" hidden="1">{#N/A,#N/A,FALSE,"1.CRITERIA";#N/A,#N/A,FALSE,"2.IS";#N/A,#N/A,FALSE,"3.BS";#N/A,#N/A,FALSE,"4.PER PL";#N/A,#N/A,FALSE,"5.INVESTMENT";#N/A,#N/A,FALSE,"6.공문";#N/A,#N/A,FALSE,"7.netinvest"}</definedName>
    <definedName name="미료" localSheetId="45" hidden="1">{#N/A,#N/A,FALSE,"1.CRITERIA";#N/A,#N/A,FALSE,"2.IS";#N/A,#N/A,FALSE,"3.BS";#N/A,#N/A,FALSE,"4.PER PL";#N/A,#N/A,FALSE,"5.INVESTMENT";#N/A,#N/A,FALSE,"6.공문";#N/A,#N/A,FALSE,"7.netinvest"}</definedName>
    <definedName name="미료" localSheetId="42" hidden="1">{#N/A,#N/A,FALSE,"1.CRITERIA";#N/A,#N/A,FALSE,"2.IS";#N/A,#N/A,FALSE,"3.BS";#N/A,#N/A,FALSE,"4.PER PL";#N/A,#N/A,FALSE,"5.INVESTMENT";#N/A,#N/A,FALSE,"6.공문";#N/A,#N/A,FALSE,"7.netinvest"}</definedName>
    <definedName name="미료" hidden="1">{#N/A,#N/A,FALSE,"1.CRITERIA";#N/A,#N/A,FALSE,"2.IS";#N/A,#N/A,FALSE,"3.BS";#N/A,#N/A,FALSE,"4.PER PL";#N/A,#N/A,FALSE,"5.INVESTMENT";#N/A,#N/A,FALSE,"6.공문";#N/A,#N/A,FALSE,"7.netinvest"}</definedName>
    <definedName name="미미" localSheetId="15" hidden="1">{#N/A,#N/A,FALSE,"1.CRITERIA";#N/A,#N/A,FALSE,"2.IS";#N/A,#N/A,FALSE,"3.BS";#N/A,#N/A,FALSE,"4.PER PL";#N/A,#N/A,FALSE,"5.INVESTMENT";#N/A,#N/A,FALSE,"6.공문";#N/A,#N/A,FALSE,"7.netinvest"}</definedName>
    <definedName name="미미" localSheetId="6" hidden="1">{#N/A,#N/A,FALSE,"1.CRITERIA";#N/A,#N/A,FALSE,"2.IS";#N/A,#N/A,FALSE,"3.BS";#N/A,#N/A,FALSE,"4.PER PL";#N/A,#N/A,FALSE,"5.INVESTMENT";#N/A,#N/A,FALSE,"6.공문";#N/A,#N/A,FALSE,"7.netinvest"}</definedName>
    <definedName name="미미" localSheetId="45" hidden="1">{#N/A,#N/A,FALSE,"1.CRITERIA";#N/A,#N/A,FALSE,"2.IS";#N/A,#N/A,FALSE,"3.BS";#N/A,#N/A,FALSE,"4.PER PL";#N/A,#N/A,FALSE,"5.INVESTMENT";#N/A,#N/A,FALSE,"6.공문";#N/A,#N/A,FALSE,"7.netinvest"}</definedName>
    <definedName name="미미" localSheetId="42" hidden="1">{#N/A,#N/A,FALSE,"1.CRITERIA";#N/A,#N/A,FALSE,"2.IS";#N/A,#N/A,FALSE,"3.BS";#N/A,#N/A,FALSE,"4.PER PL";#N/A,#N/A,FALSE,"5.INVESTMENT";#N/A,#N/A,FALSE,"6.공문";#N/A,#N/A,FALSE,"7.netinvest"}</definedName>
    <definedName name="미미" hidden="1">{#N/A,#N/A,FALSE,"1.CRITERIA";#N/A,#N/A,FALSE,"2.IS";#N/A,#N/A,FALSE,"3.BS";#N/A,#N/A,FALSE,"4.PER PL";#N/A,#N/A,FALSE,"5.INVESTMENT";#N/A,#N/A,FALSE,"6.공문";#N/A,#N/A,FALSE,"7.netinvest"}</definedName>
    <definedName name="미미미아" localSheetId="15" hidden="1">{#N/A,#N/A,FALSE,"정공"}</definedName>
    <definedName name="미미미아" localSheetId="6" hidden="1">{#N/A,#N/A,FALSE,"정공"}</definedName>
    <definedName name="미미미아" localSheetId="45" hidden="1">{#N/A,#N/A,FALSE,"정공"}</definedName>
    <definedName name="미미미아" localSheetId="42" hidden="1">{#N/A,#N/A,FALSE,"정공"}</definedName>
    <definedName name="미미미아" hidden="1">{#N/A,#N/A,FALSE,"정공"}</definedName>
    <definedName name="미석" localSheetId="15" hidden="1">{#N/A,#N/A,FALSE,"정공"}</definedName>
    <definedName name="미석" localSheetId="6" hidden="1">{#N/A,#N/A,FALSE,"정공"}</definedName>
    <definedName name="미석" localSheetId="45" hidden="1">{#N/A,#N/A,FALSE,"정공"}</definedName>
    <definedName name="미석" localSheetId="42" hidden="1">{#N/A,#N/A,FALSE,"정공"}</definedName>
    <definedName name="미석" hidden="1">{#N/A,#N/A,FALSE,"정공"}</definedName>
    <definedName name="미수금" localSheetId="42" hidden="1">{#N/A,#N/A,FALSE,"1.CRITERIA";#N/A,#N/A,FALSE,"2.IS";#N/A,#N/A,FALSE,"3.BS";#N/A,#N/A,FALSE,"4.PER PL";#N/A,#N/A,FALSE,"5.INVESTMENT";#N/A,#N/A,FALSE,"6.공문";#N/A,#N/A,FALSE,"7.netinvest"}</definedName>
    <definedName name="미수금" hidden="1">{#N/A,#N/A,FALSE,"1.CRITERIA";#N/A,#N/A,FALSE,"2.IS";#N/A,#N/A,FALSE,"3.BS";#N/A,#N/A,FALSE,"4.PER PL";#N/A,#N/A,FALSE,"5.INVESTMENT";#N/A,#N/A,FALSE,"6.공문";#N/A,#N/A,FALSE,"7.netinvest"}</definedName>
    <definedName name="미수수" localSheetId="12" hidden="1">{"'보고양식'!$A$58:$K$111"}</definedName>
    <definedName name="미수수" localSheetId="42" hidden="1">{"'보고양식'!$A$58:$K$111"}</definedName>
    <definedName name="미수수" hidden="1">{"'보고양식'!$A$58:$K$111"}</definedName>
    <definedName name="미수수익" localSheetId="42" hidden="1">{"'보고양식'!$A$58:$K$111"}</definedName>
    <definedName name="미수수익" hidden="1">{"'보고양식'!$A$58:$K$111"}</definedName>
    <definedName name="미수수익2" localSheetId="12" hidden="1">{"'보고양식'!$A$58:$K$111"}</definedName>
    <definedName name="미수수익2" localSheetId="42" hidden="1">{"'보고양식'!$A$58:$K$111"}</definedName>
    <definedName name="미수수익2" hidden="1">{"'보고양식'!$A$58:$K$111"}</definedName>
    <definedName name="미수이자1" localSheetId="12" hidden="1">#REF!</definedName>
    <definedName name="미수이자1" localSheetId="30" hidden="1">#REF!</definedName>
    <definedName name="미수이자1" localSheetId="29" hidden="1">#REF!</definedName>
    <definedName name="미수이자1" localSheetId="33" hidden="1">#REF!</definedName>
    <definedName name="미수이자1" localSheetId="31" hidden="1">#REF!</definedName>
    <definedName name="미수이자1" hidden="1">#REF!</definedName>
    <definedName name="미승인" localSheetId="1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 localSheetId="4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움" localSheetId="15" hidden="1">{#N/A,#N/A,FALSE,"98소지이동TOTvs99.1 (2)";#N/A,#N/A,FALSE,"TOTAL";#N/A,#N/A,FALSE,"98소지이동TOTvs99.1(b) (2)"}</definedName>
    <definedName name="미움" localSheetId="6" hidden="1">{#N/A,#N/A,FALSE,"98소지이동TOTvs99.1 (2)";#N/A,#N/A,FALSE,"TOTAL";#N/A,#N/A,FALSE,"98소지이동TOTvs99.1(b) (2)"}</definedName>
    <definedName name="미움" localSheetId="45" hidden="1">{#N/A,#N/A,FALSE,"98소지이동TOTvs99.1 (2)";#N/A,#N/A,FALSE,"TOTAL";#N/A,#N/A,FALSE,"98소지이동TOTvs99.1(b) (2)"}</definedName>
    <definedName name="미움" localSheetId="42" hidden="1">{#N/A,#N/A,FALSE,"98소지이동TOTvs99.1 (2)";#N/A,#N/A,FALSE,"TOTAL";#N/A,#N/A,FALSE,"98소지이동TOTvs99.1(b) (2)"}</definedName>
    <definedName name="미움" hidden="1">{#N/A,#N/A,FALSE,"98소지이동TOTvs99.1 (2)";#N/A,#N/A,FALSE,"TOTAL";#N/A,#N/A,FALSE,"98소지이동TOTvs99.1(b) (2)"}</definedName>
    <definedName name="미지" localSheetId="12" hidden="1">{#N/A,#N/A,FALSE,"UNIT";#N/A,#N/A,FALSE,"UNIT";#N/A,#N/A,FALSE,"계정"}</definedName>
    <definedName name="미지" localSheetId="42" hidden="1">{#N/A,#N/A,FALSE,"UNIT";#N/A,#N/A,FALSE,"UNIT";#N/A,#N/A,FALSE,"계정"}</definedName>
    <definedName name="미지" hidden="1">{#N/A,#N/A,FALSE,"UNIT";#N/A,#N/A,FALSE,"UNIT";#N/A,#N/A,FALSE,"계정"}</definedName>
    <definedName name="미지급" localSheetId="12" hidden="1">{#N/A,#N/A,FALSE,"Sheet1"}</definedName>
    <definedName name="미지급" localSheetId="42" hidden="1">{#N/A,#N/A,FALSE,"Sheet1"}</definedName>
    <definedName name="미지급" hidden="1">{#N/A,#N/A,FALSE,"Sheet1"}</definedName>
    <definedName name="미지급11" localSheetId="12" hidden="1">{#N/A,#N/A,FALSE,"Sheet1"}</definedName>
    <definedName name="미지급11" localSheetId="42" hidden="1">{#N/A,#N/A,FALSE,"Sheet1"}</definedName>
    <definedName name="미지급11" hidden="1">{#N/A,#N/A,FALSE,"Sheet1"}</definedName>
    <definedName name="미지급비" localSheetId="12" hidden="1">{#N/A,#N/A,FALSE,"Sheet1"}</definedName>
    <definedName name="미지급비" localSheetId="42" hidden="1">{#N/A,#N/A,FALSE,"Sheet1"}</definedName>
    <definedName name="미지급비" hidden="1">{#N/A,#N/A,FALSE,"Sheet1"}</definedName>
    <definedName name="미지급비용.." localSheetId="12" hidden="1">{#N/A,#N/A,FALSE,"Sheet1"}</definedName>
    <definedName name="미지급비용.." localSheetId="42" hidden="1">{#N/A,#N/A,FALSE,"Sheet1"}</definedName>
    <definedName name="미지급비용.." hidden="1">{#N/A,#N/A,FALSE,"Sheet1"}</definedName>
    <definedName name="미지급비용1" localSheetId="15" hidden="1">{#N/A,#N/A,FALSE,"손익표지";#N/A,#N/A,FALSE,"손익계산";#N/A,#N/A,FALSE,"일반관리비";#N/A,#N/A,FALSE,"영업외수익";#N/A,#N/A,FALSE,"영업외비용";#N/A,#N/A,FALSE,"매출액";#N/A,#N/A,FALSE,"요약손익";#N/A,#N/A,FALSE,"요약대차";#N/A,#N/A,FALSE,"매출채권현황";#N/A,#N/A,FALSE,"매출채권명세"}</definedName>
    <definedName name="미지급비용1" localSheetId="6" hidden="1">{#N/A,#N/A,FALSE,"손익표지";#N/A,#N/A,FALSE,"손익계산";#N/A,#N/A,FALSE,"일반관리비";#N/A,#N/A,FALSE,"영업외수익";#N/A,#N/A,FALSE,"영업외비용";#N/A,#N/A,FALSE,"매출액";#N/A,#N/A,FALSE,"요약손익";#N/A,#N/A,FALSE,"요약대차";#N/A,#N/A,FALSE,"매출채권현황";#N/A,#N/A,FALSE,"매출채권명세"}</definedName>
    <definedName name="미지급비용1" localSheetId="45" hidden="1">{#N/A,#N/A,FALSE,"손익표지";#N/A,#N/A,FALSE,"손익계산";#N/A,#N/A,FALSE,"일반관리비";#N/A,#N/A,FALSE,"영업외수익";#N/A,#N/A,FALSE,"영업외비용";#N/A,#N/A,FALSE,"매출액";#N/A,#N/A,FALSE,"요약손익";#N/A,#N/A,FALSE,"요약대차";#N/A,#N/A,FALSE,"매출채권현황";#N/A,#N/A,FALSE,"매출채권명세"}</definedName>
    <definedName name="미지급비용1" localSheetId="42" hidden="1">{#N/A,#N/A,FALSE,"손익표지";#N/A,#N/A,FALSE,"손익계산";#N/A,#N/A,FALSE,"일반관리비";#N/A,#N/A,FALSE,"영업외수익";#N/A,#N/A,FALSE,"영업외비용";#N/A,#N/A,FALSE,"매출액";#N/A,#N/A,FALSE,"요약손익";#N/A,#N/A,FALSE,"요약대차";#N/A,#N/A,FALSE,"매출채권현황";#N/A,#N/A,FALSE,"매출채권명세"}</definedName>
    <definedName name="미지급비용1" hidden="1">{#N/A,#N/A,FALSE,"손익표지";#N/A,#N/A,FALSE,"손익계산";#N/A,#N/A,FALSE,"일반관리비";#N/A,#N/A,FALSE,"영업외수익";#N/A,#N/A,FALSE,"영업외비용";#N/A,#N/A,FALSE,"매출액";#N/A,#N/A,FALSE,"요약손익";#N/A,#N/A,FALSE,"요약대차";#N/A,#N/A,FALSE,"매출채권현황";#N/A,#N/A,FALSE,"매출채권명세"}</definedName>
    <definedName name="미지급비용2" localSheetId="12" hidden="1">{#N/A,#N/A,FALSE,"Sheet1"}</definedName>
    <definedName name="미지급비용2" localSheetId="42" hidden="1">{#N/A,#N/A,FALSE,"Sheet1"}</definedName>
    <definedName name="미지급비용2" hidden="1">{#N/A,#N/A,FALSE,"Sheet1"}</definedName>
    <definedName name="미지급비용분류" localSheetId="42" hidden="1">{#N/A,#N/A,FALSE,"계약직(여)"}</definedName>
    <definedName name="미지급비용분류" hidden="1">{#N/A,#N/A,FALSE,"계약직(여)"}</definedName>
    <definedName name="미진사유" localSheetId="15" hidden="1">{#N/A,#N/A,FALSE,"손익표지";#N/A,#N/A,FALSE,"손익계산";#N/A,#N/A,FALSE,"일반관리비";#N/A,#N/A,FALSE,"영업외수익";#N/A,#N/A,FALSE,"영업외비용";#N/A,#N/A,FALSE,"매출액";#N/A,#N/A,FALSE,"요약손익";#N/A,#N/A,FALSE,"요약대차";#N/A,#N/A,FALSE,"매출채권현황";#N/A,#N/A,FALSE,"매출채권명세"}</definedName>
    <definedName name="미진사유" localSheetId="6" hidden="1">{#N/A,#N/A,FALSE,"손익표지";#N/A,#N/A,FALSE,"손익계산";#N/A,#N/A,FALSE,"일반관리비";#N/A,#N/A,FALSE,"영업외수익";#N/A,#N/A,FALSE,"영업외비용";#N/A,#N/A,FALSE,"매출액";#N/A,#N/A,FALSE,"요약손익";#N/A,#N/A,FALSE,"요약대차";#N/A,#N/A,FALSE,"매출채권현황";#N/A,#N/A,FALSE,"매출채권명세"}</definedName>
    <definedName name="미진사유" localSheetId="45" hidden="1">{#N/A,#N/A,FALSE,"손익표지";#N/A,#N/A,FALSE,"손익계산";#N/A,#N/A,FALSE,"일반관리비";#N/A,#N/A,FALSE,"영업외수익";#N/A,#N/A,FALSE,"영업외비용";#N/A,#N/A,FALSE,"매출액";#N/A,#N/A,FALSE,"요약손익";#N/A,#N/A,FALSE,"요약대차";#N/A,#N/A,FALSE,"매출채권현황";#N/A,#N/A,FALSE,"매출채권명세"}</definedName>
    <definedName name="미진사유" localSheetId="42" hidden="1">{#N/A,#N/A,FALSE,"손익표지";#N/A,#N/A,FALSE,"손익계산";#N/A,#N/A,FALSE,"일반관리비";#N/A,#N/A,FALSE,"영업외수익";#N/A,#N/A,FALSE,"영업외비용";#N/A,#N/A,FALSE,"매출액";#N/A,#N/A,FALSE,"요약손익";#N/A,#N/A,FALSE,"요약대차";#N/A,#N/A,FALSE,"매출채권현황";#N/A,#N/A,FALSE,"매출채권명세"}</definedName>
    <definedName name="미진사유" hidden="1">{#N/A,#N/A,FALSE,"손익표지";#N/A,#N/A,FALSE,"손익계산";#N/A,#N/A,FALSE,"일반관리비";#N/A,#N/A,FALSE,"영업외수익";#N/A,#N/A,FALSE,"영업외비용";#N/A,#N/A,FALSE,"매출액";#N/A,#N/A,FALSE,"요약손익";#N/A,#N/A,FALSE,"요약대차";#N/A,#N/A,FALSE,"매출채권현황";#N/A,#N/A,FALSE,"매출채권명세"}</definedName>
    <definedName name="미착10월" localSheetId="42" hidden="1">{#N/A,#N/A,FALSE,"BS";#N/A,#N/A,FALSE,"PL";#N/A,#N/A,FALSE,"처분";#N/A,#N/A,FALSE,"현금";#N/A,#N/A,FALSE,"매출";#N/A,#N/A,FALSE,"원가";#N/A,#N/A,FALSE,"경영"}</definedName>
    <definedName name="미착10월" hidden="1">{#N/A,#N/A,FALSE,"BS";#N/A,#N/A,FALSE,"PL";#N/A,#N/A,FALSE,"처분";#N/A,#N/A,FALSE,"현금";#N/A,#N/A,FALSE,"매출";#N/A,#N/A,FALSE,"원가";#N/A,#N/A,FALSE,"경영"}</definedName>
    <definedName name="민자" localSheetId="15" hidden="1">{#N/A,#N/A,FALSE,"손익표지";#N/A,#N/A,FALSE,"손익계산";#N/A,#N/A,FALSE,"일반관리비";#N/A,#N/A,FALSE,"영업외수익";#N/A,#N/A,FALSE,"영업외비용";#N/A,#N/A,FALSE,"매출액";#N/A,#N/A,FALSE,"요약손익";#N/A,#N/A,FALSE,"요약대차";#N/A,#N/A,FALSE,"매출채권현황";#N/A,#N/A,FALSE,"매출채권명세"}</definedName>
    <definedName name="민자" localSheetId="6" hidden="1">{#N/A,#N/A,FALSE,"손익표지";#N/A,#N/A,FALSE,"손익계산";#N/A,#N/A,FALSE,"일반관리비";#N/A,#N/A,FALSE,"영업외수익";#N/A,#N/A,FALSE,"영업외비용";#N/A,#N/A,FALSE,"매출액";#N/A,#N/A,FALSE,"요약손익";#N/A,#N/A,FALSE,"요약대차";#N/A,#N/A,FALSE,"매출채권현황";#N/A,#N/A,FALSE,"매출채권명세"}</definedName>
    <definedName name="민자" localSheetId="45" hidden="1">{#N/A,#N/A,FALSE,"손익표지";#N/A,#N/A,FALSE,"손익계산";#N/A,#N/A,FALSE,"일반관리비";#N/A,#N/A,FALSE,"영업외수익";#N/A,#N/A,FALSE,"영업외비용";#N/A,#N/A,FALSE,"매출액";#N/A,#N/A,FALSE,"요약손익";#N/A,#N/A,FALSE,"요약대차";#N/A,#N/A,FALSE,"매출채권현황";#N/A,#N/A,FALSE,"매출채권명세"}</definedName>
    <definedName name="민자" localSheetId="42" hidden="1">{#N/A,#N/A,FALSE,"손익표지";#N/A,#N/A,FALSE,"손익계산";#N/A,#N/A,FALSE,"일반관리비";#N/A,#N/A,FALSE,"영업외수익";#N/A,#N/A,FALSE,"영업외비용";#N/A,#N/A,FALSE,"매출액";#N/A,#N/A,FALSE,"요약손익";#N/A,#N/A,FALSE,"요약대차";#N/A,#N/A,FALSE,"매출채권현황";#N/A,#N/A,FALSE,"매출채권명세"}</definedName>
    <definedName name="민자" hidden="1">{#N/A,#N/A,FALSE,"손익표지";#N/A,#N/A,FALSE,"손익계산";#N/A,#N/A,FALSE,"일반관리비";#N/A,#N/A,FALSE,"영업외수익";#N/A,#N/A,FALSE,"영업외비용";#N/A,#N/A,FALSE,"매출액";#N/A,#N/A,FALSE,"요약손익";#N/A,#N/A,FALSE,"요약대차";#N/A,#N/A,FALSE,"매출채권현황";#N/A,#N/A,FALSE,"매출채권명세"}</definedName>
    <definedName name="민자사업" localSheetId="15" hidden="1">{#N/A,#N/A,FALSE,"손익표지";#N/A,#N/A,FALSE,"손익계산";#N/A,#N/A,FALSE,"일반관리비";#N/A,#N/A,FALSE,"영업외수익";#N/A,#N/A,FALSE,"영업외비용";#N/A,#N/A,FALSE,"매출액";#N/A,#N/A,FALSE,"요약손익";#N/A,#N/A,FALSE,"요약대차";#N/A,#N/A,FALSE,"매출채권현황";#N/A,#N/A,FALSE,"매출채권명세"}</definedName>
    <definedName name="민자사업" localSheetId="6" hidden="1">{#N/A,#N/A,FALSE,"손익표지";#N/A,#N/A,FALSE,"손익계산";#N/A,#N/A,FALSE,"일반관리비";#N/A,#N/A,FALSE,"영업외수익";#N/A,#N/A,FALSE,"영업외비용";#N/A,#N/A,FALSE,"매출액";#N/A,#N/A,FALSE,"요약손익";#N/A,#N/A,FALSE,"요약대차";#N/A,#N/A,FALSE,"매출채권현황";#N/A,#N/A,FALSE,"매출채권명세"}</definedName>
    <definedName name="민자사업" localSheetId="45" hidden="1">{#N/A,#N/A,FALSE,"손익표지";#N/A,#N/A,FALSE,"손익계산";#N/A,#N/A,FALSE,"일반관리비";#N/A,#N/A,FALSE,"영업외수익";#N/A,#N/A,FALSE,"영업외비용";#N/A,#N/A,FALSE,"매출액";#N/A,#N/A,FALSE,"요약손익";#N/A,#N/A,FALSE,"요약대차";#N/A,#N/A,FALSE,"매출채권현황";#N/A,#N/A,FALSE,"매출채권명세"}</definedName>
    <definedName name="민자사업" localSheetId="42" hidden="1">{#N/A,#N/A,FALSE,"손익표지";#N/A,#N/A,FALSE,"손익계산";#N/A,#N/A,FALSE,"일반관리비";#N/A,#N/A,FALSE,"영업외수익";#N/A,#N/A,FALSE,"영업외비용";#N/A,#N/A,FALSE,"매출액";#N/A,#N/A,FALSE,"요약손익";#N/A,#N/A,FALSE,"요약대차";#N/A,#N/A,FALSE,"매출채권현황";#N/A,#N/A,FALSE,"매출채권명세"}</definedName>
    <definedName name="민자사업" hidden="1">{#N/A,#N/A,FALSE,"손익표지";#N/A,#N/A,FALSE,"손익계산";#N/A,#N/A,FALSE,"일반관리비";#N/A,#N/A,FALSE,"영업외수익";#N/A,#N/A,FALSE,"영업외비용";#N/A,#N/A,FALSE,"매출액";#N/A,#N/A,FALSE,"요약손익";#N/A,#N/A,FALSE,"요약대차";#N/A,#N/A,FALSE,"매출채권현황";#N/A,#N/A,FALSE,"매출채권명세"}</definedName>
    <definedName name="ㅂ" localSheetId="12" hidden="1">{#N/A,#N/A,FALSE,"Aging Summary";#N/A,#N/A,FALSE,"Ratio Analysis";#N/A,#N/A,FALSE,"Test 120 Day Accts";#N/A,#N/A,FALSE,"Tickmarks"}</definedName>
    <definedName name="ㅂ" localSheetId="30" hidden="1">#REF!</definedName>
    <definedName name="ㅂ" localSheetId="29" hidden="1">#REF!</definedName>
    <definedName name="ㅂ" localSheetId="33" hidden="1">#REF!</definedName>
    <definedName name="ㅂ" localSheetId="1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ㅂ" localSheetId="31" hidden="1">#REF!</definedName>
    <definedName name="ㅂ"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ㅂ" localSheetId="32" hidden="1">#REF!</definedName>
    <definedName name="ㅂ" localSheetId="4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ㅂ" localSheetId="4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ㅂ" hidden="1">#REF!</definedName>
    <definedName name="ㅂㄱㄷㅅㅂㄷ" localSheetId="15" hidden="1">{#N/A,#N/A,FALSE,"손익표지";#N/A,#N/A,FALSE,"손익계산";#N/A,#N/A,FALSE,"일반관리비";#N/A,#N/A,FALSE,"영업외수익";#N/A,#N/A,FALSE,"영업외비용";#N/A,#N/A,FALSE,"매출액";#N/A,#N/A,FALSE,"요약손익";#N/A,#N/A,FALSE,"요약대차";#N/A,#N/A,FALSE,"매출채권현황";#N/A,#N/A,FALSE,"매출채권명세"}</definedName>
    <definedName name="ㅂㄱㄷㅅㅂㄷ"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ㅂㄱㄷㅅㅂㄷ" localSheetId="45" hidden="1">{#N/A,#N/A,FALSE,"손익표지";#N/A,#N/A,FALSE,"손익계산";#N/A,#N/A,FALSE,"일반관리비";#N/A,#N/A,FALSE,"영업외수익";#N/A,#N/A,FALSE,"영업외비용";#N/A,#N/A,FALSE,"매출액";#N/A,#N/A,FALSE,"요약손익";#N/A,#N/A,FALSE,"요약대차";#N/A,#N/A,FALSE,"매출채권현황";#N/A,#N/A,FALSE,"매출채권명세"}</definedName>
    <definedName name="ㅂㄱㄷㅅㅂㄷ" localSheetId="42" hidden="1">{#N/A,#N/A,FALSE,"손익표지";#N/A,#N/A,FALSE,"손익계산";#N/A,#N/A,FALSE,"일반관리비";#N/A,#N/A,FALSE,"영업외수익";#N/A,#N/A,FALSE,"영업외비용";#N/A,#N/A,FALSE,"매출액";#N/A,#N/A,FALSE,"요약손익";#N/A,#N/A,FALSE,"요약대차";#N/A,#N/A,FALSE,"매출채권현황";#N/A,#N/A,FALSE,"매출채권명세"}</definedName>
    <definedName name="ㅂㄱㄷㅅㅂㄷ" hidden="1">{#N/A,#N/A,FALSE,"손익표지";#N/A,#N/A,FALSE,"손익계산";#N/A,#N/A,FALSE,"일반관리비";#N/A,#N/A,FALSE,"영업외수익";#N/A,#N/A,FALSE,"영업외비용";#N/A,#N/A,FALSE,"매출액";#N/A,#N/A,FALSE,"요약손익";#N/A,#N/A,FALSE,"요약대차";#N/A,#N/A,FALSE,"매출채권현황";#N/A,#N/A,FALSE,"매출채권명세"}</definedName>
    <definedName name="ㅂㅂ" localSheetId="12" hidden="1">{#N/A,#N/A,FALSE,"UNIT";#N/A,#N/A,FALSE,"UNIT";#N/A,#N/A,FALSE,"계정"}</definedName>
    <definedName name="ㅂㅂ" localSheetId="15" hidden="1">{#N/A,#N/A,FALSE,"손익표지";#N/A,#N/A,FALSE,"손익계산";#N/A,#N/A,FALSE,"일반관리비";#N/A,#N/A,FALSE,"영업외수익";#N/A,#N/A,FALSE,"영업외비용";#N/A,#N/A,FALSE,"매출액";#N/A,#N/A,FALSE,"요약손익";#N/A,#N/A,FALSE,"요약대차";#N/A,#N/A,FALSE,"매출채권현황";#N/A,#N/A,FALSE,"매출채권명세"}</definedName>
    <definedName name="ㅂㅂ"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ㅂㅂ" localSheetId="45" hidden="1">{#N/A,#N/A,FALSE,"손익표지";#N/A,#N/A,FALSE,"손익계산";#N/A,#N/A,FALSE,"일반관리비";#N/A,#N/A,FALSE,"영업외수익";#N/A,#N/A,FALSE,"영업외비용";#N/A,#N/A,FALSE,"매출액";#N/A,#N/A,FALSE,"요약손익";#N/A,#N/A,FALSE,"요약대차";#N/A,#N/A,FALSE,"매출채권현황";#N/A,#N/A,FALSE,"매출채권명세"}</definedName>
    <definedName name="ㅂㅂ" localSheetId="42" hidden="1">{#N/A,#N/A,FALSE,"손익표지";#N/A,#N/A,FALSE,"손익계산";#N/A,#N/A,FALSE,"일반관리비";#N/A,#N/A,FALSE,"영업외수익";#N/A,#N/A,FALSE,"영업외비용";#N/A,#N/A,FALSE,"매출액";#N/A,#N/A,FALSE,"요약손익";#N/A,#N/A,FALSE,"요약대차";#N/A,#N/A,FALSE,"매출채권현황";#N/A,#N/A,FALSE,"매출채권명세"}</definedName>
    <definedName name="ㅂㅂ"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ㅂㅂㅂ" localSheetId="1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ㅂㅂㅂ" localSheetId="15" hidden="1">{#N/A,#N/A,FALSE,"군산원가";#N/A,#N/A,FALSE,"팀별월별";#N/A,#N/A,FALSE,"타공정대체";#N/A,#N/A,FALSE,"기타경비";#N/A,#N/A,FALSE,"원료";#N/A,#N/A,FALSE,"연료"}</definedName>
    <definedName name="ㅂㅂㅂ" localSheetId="6" hidden="1">{#N/A,#N/A,FALSE,"군산원가";#N/A,#N/A,FALSE,"팀별월별";#N/A,#N/A,FALSE,"타공정대체";#N/A,#N/A,FALSE,"기타경비";#N/A,#N/A,FALSE,"원료";#N/A,#N/A,FALSE,"연료"}</definedName>
    <definedName name="ㅂㅂㅂ" localSheetId="45" hidden="1">{#N/A,#N/A,FALSE,"군산원가";#N/A,#N/A,FALSE,"팀별월별";#N/A,#N/A,FALSE,"타공정대체";#N/A,#N/A,FALSE,"기타경비";#N/A,#N/A,FALSE,"원료";#N/A,#N/A,FALSE,"연료"}</definedName>
    <definedName name="ㅂㅂㅂ" localSheetId="42" hidden="1">{#N/A,#N/A,FALSE,"군산원가";#N/A,#N/A,FALSE,"팀별월별";#N/A,#N/A,FALSE,"타공정대체";#N/A,#N/A,FALSE,"기타경비";#N/A,#N/A,FALSE,"원료";#N/A,#N/A,FALSE,"연료"}</definedName>
    <definedName name="ㅂㅂㅂ" hidden="1">{#N/A,#N/A,FALSE,"UNIT";#N/A,#N/A,FALSE,"UNIT";#N/A,#N/A,FALSE,"계정"}</definedName>
    <definedName name="ㅂㅂㅂㅂ" localSheetId="4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ㅂㅂㅂㅂ"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ㅂㅂㅂㅂㅂ" localSheetId="12" hidden="1">{#N/A,#N/A,FALSE,"UNIT";#N/A,#N/A,FALSE,"UNIT";#N/A,#N/A,FALSE,"계정"}</definedName>
    <definedName name="ㅂㅂㅂㅂㅂ" localSheetId="42" hidden="1">{#N/A,#N/A,FALSE,"UNIT";#N/A,#N/A,FALSE,"UNIT";#N/A,#N/A,FALSE,"계정"}</definedName>
    <definedName name="ㅂㅂㅂㅂㅂ" hidden="1">{#N/A,#N/A,FALSE,"UNIT";#N/A,#N/A,FALSE,"UNIT";#N/A,#N/A,FALSE,"계정"}</definedName>
    <definedName name="ㅂㅈㄴㅁ" localSheetId="15" hidden="1">{#N/A,#N/A,FALSE,"정공"}</definedName>
    <definedName name="ㅂㅈㄴㅁ" localSheetId="6" hidden="1">{#N/A,#N/A,FALSE,"정공"}</definedName>
    <definedName name="ㅂㅈㄴㅁ" localSheetId="45" hidden="1">{#N/A,#N/A,FALSE,"정공"}</definedName>
    <definedName name="ㅂㅈㄴㅁ" localSheetId="42" hidden="1">{#N/A,#N/A,FALSE,"정공"}</definedName>
    <definedName name="ㅂㅈㄴㅁ" hidden="1">{#N/A,#N/A,FALSE,"정공"}</definedName>
    <definedName name="ㅂㅈㄷㄷㄱㄱ" localSheetId="12" hidden="1">{#N/A,#N/A,FALSE,"UNIT";#N/A,#N/A,FALSE,"UNIT";#N/A,#N/A,FALSE,"계정"}</definedName>
    <definedName name="ㅂㅈㄷㄷㄱㄱ" localSheetId="42" hidden="1">{#N/A,#N/A,FALSE,"UNIT";#N/A,#N/A,FALSE,"UNIT";#N/A,#N/A,FALSE,"계정"}</definedName>
    <definedName name="ㅂㅈㄷㄷㄱㄱ" hidden="1">{#N/A,#N/A,FALSE,"UNIT";#N/A,#N/A,FALSE,"UNIT";#N/A,#N/A,FALSE,"계정"}</definedName>
    <definedName name="ㅂㅈㅅㅎㄴㅇㄹ" localSheetId="30" hidden="1">#REF!</definedName>
    <definedName name="ㅂㅈㅅㅎㄴㅇㄹ" localSheetId="29" hidden="1">#REF!</definedName>
    <definedName name="ㅂㅈㅅㅎㄴㅇㄹ" localSheetId="33" hidden="1">#REF!</definedName>
    <definedName name="ㅂㅈㅅㅎㄴㅇㄹ" localSheetId="31" hidden="1">#REF!</definedName>
    <definedName name="ㅂㅈㅅㅎㄴㅇㄹ" hidden="1">#REF!</definedName>
    <definedName name="바" localSheetId="12" hidden="1">{#N/A,#N/A,FALSE,"Sheet1"}</definedName>
    <definedName name="바" localSheetId="15" hidden="1">{#N/A,#N/A,FALSE,"1.CRITERIA";#N/A,#N/A,FALSE,"2.IS";#N/A,#N/A,FALSE,"3.BS";#N/A,#N/A,FALSE,"4.PER PL";#N/A,#N/A,FALSE,"5.INVESTMENT";#N/A,#N/A,FALSE,"6.공문";#N/A,#N/A,FALSE,"7.netinvest"}</definedName>
    <definedName name="바" localSheetId="6" hidden="1">{#N/A,#N/A,FALSE,"1.CRITERIA";#N/A,#N/A,FALSE,"2.IS";#N/A,#N/A,FALSE,"3.BS";#N/A,#N/A,FALSE,"4.PER PL";#N/A,#N/A,FALSE,"5.INVESTMENT";#N/A,#N/A,FALSE,"6.공문";#N/A,#N/A,FALSE,"7.netinvest"}</definedName>
    <definedName name="바" localSheetId="45" hidden="1">{#N/A,#N/A,FALSE,"1.CRITERIA";#N/A,#N/A,FALSE,"2.IS";#N/A,#N/A,FALSE,"3.BS";#N/A,#N/A,FALSE,"4.PER PL";#N/A,#N/A,FALSE,"5.INVESTMENT";#N/A,#N/A,FALSE,"6.공문";#N/A,#N/A,FALSE,"7.netinvest"}</definedName>
    <definedName name="바" localSheetId="42" hidden="1">{#N/A,#N/A,FALSE,"1.CRITERIA";#N/A,#N/A,FALSE,"2.IS";#N/A,#N/A,FALSE,"3.BS";#N/A,#N/A,FALSE,"4.PER PL";#N/A,#N/A,FALSE,"5.INVESTMENT";#N/A,#N/A,FALSE,"6.공문";#N/A,#N/A,FALSE,"7.netinvest"}</definedName>
    <definedName name="바" hidden="1">{#N/A,#N/A,FALSE,"1.CRITERIA";#N/A,#N/A,FALSE,"2.IS";#N/A,#N/A,FALSE,"3.BS";#N/A,#N/A,FALSE,"4.PER PL";#N/A,#N/A,FALSE,"5.INVESTMENT";#N/A,#N/A,FALSE,"6.공문";#N/A,#N/A,FALSE,"7.netinvest"}</definedName>
    <definedName name="바가" localSheetId="15" hidden="1">{#N/A,#N/A,FALSE,"1.CRITERIA";#N/A,#N/A,FALSE,"2.IS";#N/A,#N/A,FALSE,"3.BS";#N/A,#N/A,FALSE,"4.PER PL";#N/A,#N/A,FALSE,"5.INVESTMENT";#N/A,#N/A,FALSE,"6.공문";#N/A,#N/A,FALSE,"7.netinvest"}</definedName>
    <definedName name="바가" localSheetId="6" hidden="1">{#N/A,#N/A,FALSE,"1.CRITERIA";#N/A,#N/A,FALSE,"2.IS";#N/A,#N/A,FALSE,"3.BS";#N/A,#N/A,FALSE,"4.PER PL";#N/A,#N/A,FALSE,"5.INVESTMENT";#N/A,#N/A,FALSE,"6.공문";#N/A,#N/A,FALSE,"7.netinvest"}</definedName>
    <definedName name="바가" localSheetId="45" hidden="1">{#N/A,#N/A,FALSE,"1.CRITERIA";#N/A,#N/A,FALSE,"2.IS";#N/A,#N/A,FALSE,"3.BS";#N/A,#N/A,FALSE,"4.PER PL";#N/A,#N/A,FALSE,"5.INVESTMENT";#N/A,#N/A,FALSE,"6.공문";#N/A,#N/A,FALSE,"7.netinvest"}</definedName>
    <definedName name="바가" localSheetId="42" hidden="1">{#N/A,#N/A,FALSE,"1.CRITERIA";#N/A,#N/A,FALSE,"2.IS";#N/A,#N/A,FALSE,"3.BS";#N/A,#N/A,FALSE,"4.PER PL";#N/A,#N/A,FALSE,"5.INVESTMENT";#N/A,#N/A,FALSE,"6.공문";#N/A,#N/A,FALSE,"7.netinvest"}</definedName>
    <definedName name="바가" hidden="1">{#N/A,#N/A,FALSE,"1.CRITERIA";#N/A,#N/A,FALSE,"2.IS";#N/A,#N/A,FALSE,"3.BS";#N/A,#N/A,FALSE,"4.PER PL";#N/A,#N/A,FALSE,"5.INVESTMENT";#N/A,#N/A,FALSE,"6.공문";#N/A,#N/A,FALSE,"7.netinvest"}</definedName>
    <definedName name="바나" localSheetId="15" hidden="1">{#N/A,#N/A,FALSE,"1.CRITERIA";#N/A,#N/A,FALSE,"2.IS";#N/A,#N/A,FALSE,"3.BS";#N/A,#N/A,FALSE,"4.PER PL";#N/A,#N/A,FALSE,"5.INVESTMENT";#N/A,#N/A,FALSE,"6.공문";#N/A,#N/A,FALSE,"7.netinvest"}</definedName>
    <definedName name="바나" localSheetId="6" hidden="1">{#N/A,#N/A,FALSE,"1.CRITERIA";#N/A,#N/A,FALSE,"2.IS";#N/A,#N/A,FALSE,"3.BS";#N/A,#N/A,FALSE,"4.PER PL";#N/A,#N/A,FALSE,"5.INVESTMENT";#N/A,#N/A,FALSE,"6.공문";#N/A,#N/A,FALSE,"7.netinvest"}</definedName>
    <definedName name="바나" localSheetId="45" hidden="1">{#N/A,#N/A,FALSE,"1.CRITERIA";#N/A,#N/A,FALSE,"2.IS";#N/A,#N/A,FALSE,"3.BS";#N/A,#N/A,FALSE,"4.PER PL";#N/A,#N/A,FALSE,"5.INVESTMENT";#N/A,#N/A,FALSE,"6.공문";#N/A,#N/A,FALSE,"7.netinvest"}</definedName>
    <definedName name="바나" localSheetId="42" hidden="1">{#N/A,#N/A,FALSE,"1.CRITERIA";#N/A,#N/A,FALSE,"2.IS";#N/A,#N/A,FALSE,"3.BS";#N/A,#N/A,FALSE,"4.PER PL";#N/A,#N/A,FALSE,"5.INVESTMENT";#N/A,#N/A,FALSE,"6.공문";#N/A,#N/A,FALSE,"7.netinvest"}</definedName>
    <definedName name="바나" hidden="1">{#N/A,#N/A,FALSE,"1.CRITERIA";#N/A,#N/A,FALSE,"2.IS";#N/A,#N/A,FALSE,"3.BS";#N/A,#N/A,FALSE,"4.PER PL";#N/A,#N/A,FALSE,"5.INVESTMENT";#N/A,#N/A,FALSE,"6.공문";#N/A,#N/A,FALSE,"7.netinvest"}</definedName>
    <definedName name="바다올" localSheetId="15" hidden="1">{#N/A,#N/A,FALSE,"1.CRITERIA";#N/A,#N/A,FALSE,"2.IS";#N/A,#N/A,FALSE,"3.BS";#N/A,#N/A,FALSE,"4.PER PL";#N/A,#N/A,FALSE,"5.INVESTMENT";#N/A,#N/A,FALSE,"6.공문";#N/A,#N/A,FALSE,"7.netinvest"}</definedName>
    <definedName name="바다올" localSheetId="6" hidden="1">{#N/A,#N/A,FALSE,"1.CRITERIA";#N/A,#N/A,FALSE,"2.IS";#N/A,#N/A,FALSE,"3.BS";#N/A,#N/A,FALSE,"4.PER PL";#N/A,#N/A,FALSE,"5.INVESTMENT";#N/A,#N/A,FALSE,"6.공문";#N/A,#N/A,FALSE,"7.netinvest"}</definedName>
    <definedName name="바다올" localSheetId="45" hidden="1">{#N/A,#N/A,FALSE,"1.CRITERIA";#N/A,#N/A,FALSE,"2.IS";#N/A,#N/A,FALSE,"3.BS";#N/A,#N/A,FALSE,"4.PER PL";#N/A,#N/A,FALSE,"5.INVESTMENT";#N/A,#N/A,FALSE,"6.공문";#N/A,#N/A,FALSE,"7.netinvest"}</definedName>
    <definedName name="바다올" localSheetId="42" hidden="1">{#N/A,#N/A,FALSE,"1.CRITERIA";#N/A,#N/A,FALSE,"2.IS";#N/A,#N/A,FALSE,"3.BS";#N/A,#N/A,FALSE,"4.PER PL";#N/A,#N/A,FALSE,"5.INVESTMENT";#N/A,#N/A,FALSE,"6.공문";#N/A,#N/A,FALSE,"7.netinvest"}</definedName>
    <definedName name="바다올" hidden="1">{#N/A,#N/A,FALSE,"1.CRITERIA";#N/A,#N/A,FALSE,"2.IS";#N/A,#N/A,FALSE,"3.BS";#N/A,#N/A,FALSE,"4.PER PL";#N/A,#N/A,FALSE,"5.INVESTMENT";#N/A,#N/A,FALSE,"6.공문";#N/A,#N/A,FALSE,"7.netinvest"}</definedName>
    <definedName name="바도" localSheetId="15" hidden="1">{"'분양원가'!$B$1:$F$113"}</definedName>
    <definedName name="바도" localSheetId="6" hidden="1">{"'분양원가'!$B$1:$F$113"}</definedName>
    <definedName name="바도" localSheetId="45" hidden="1">{"'분양원가'!$B$1:$F$113"}</definedName>
    <definedName name="바도" localSheetId="42" hidden="1">{"'분양원가'!$B$1:$F$113"}</definedName>
    <definedName name="바도" hidden="1">{"'분양원가'!$B$1:$F$113"}</definedName>
    <definedName name="바라" localSheetId="15" hidden="1">{#N/A,#N/A,FALSE,"1.CRITERIA";#N/A,#N/A,FALSE,"2.IS";#N/A,#N/A,FALSE,"3.BS";#N/A,#N/A,FALSE,"4.PER PL";#N/A,#N/A,FALSE,"5.INVESTMENT";#N/A,#N/A,FALSE,"6.공문";#N/A,#N/A,FALSE,"7.netinvest"}</definedName>
    <definedName name="바라" localSheetId="6" hidden="1">{#N/A,#N/A,FALSE,"1.CRITERIA";#N/A,#N/A,FALSE,"2.IS";#N/A,#N/A,FALSE,"3.BS";#N/A,#N/A,FALSE,"4.PER PL";#N/A,#N/A,FALSE,"5.INVESTMENT";#N/A,#N/A,FALSE,"6.공문";#N/A,#N/A,FALSE,"7.netinvest"}</definedName>
    <definedName name="바라" localSheetId="45" hidden="1">{#N/A,#N/A,FALSE,"1.CRITERIA";#N/A,#N/A,FALSE,"2.IS";#N/A,#N/A,FALSE,"3.BS";#N/A,#N/A,FALSE,"4.PER PL";#N/A,#N/A,FALSE,"5.INVESTMENT";#N/A,#N/A,FALSE,"6.공문";#N/A,#N/A,FALSE,"7.netinvest"}</definedName>
    <definedName name="바라" localSheetId="42" hidden="1">{#N/A,#N/A,FALSE,"1.CRITERIA";#N/A,#N/A,FALSE,"2.IS";#N/A,#N/A,FALSE,"3.BS";#N/A,#N/A,FALSE,"4.PER PL";#N/A,#N/A,FALSE,"5.INVESTMENT";#N/A,#N/A,FALSE,"6.공문";#N/A,#N/A,FALSE,"7.netinvest"}</definedName>
    <definedName name="바라" hidden="1">{#N/A,#N/A,FALSE,"1.CRITERIA";#N/A,#N/A,FALSE,"2.IS";#N/A,#N/A,FALSE,"3.BS";#N/A,#N/A,FALSE,"4.PER PL";#N/A,#N/A,FALSE,"5.INVESTMENT";#N/A,#N/A,FALSE,"6.공문";#N/A,#N/A,FALSE,"7.netinvest"}</definedName>
    <definedName name="바라오" localSheetId="15" hidden="1">{#N/A,#N/A,FALSE,"1.CRITERIA";#N/A,#N/A,FALSE,"2.IS";#N/A,#N/A,FALSE,"3.BS";#N/A,#N/A,FALSE,"4.PER PL";#N/A,#N/A,FALSE,"5.INVESTMENT";#N/A,#N/A,FALSE,"6.공문";#N/A,#N/A,FALSE,"7.netinvest"}</definedName>
    <definedName name="바라오" localSheetId="6" hidden="1">{#N/A,#N/A,FALSE,"1.CRITERIA";#N/A,#N/A,FALSE,"2.IS";#N/A,#N/A,FALSE,"3.BS";#N/A,#N/A,FALSE,"4.PER PL";#N/A,#N/A,FALSE,"5.INVESTMENT";#N/A,#N/A,FALSE,"6.공문";#N/A,#N/A,FALSE,"7.netinvest"}</definedName>
    <definedName name="바라오" localSheetId="45" hidden="1">{#N/A,#N/A,FALSE,"1.CRITERIA";#N/A,#N/A,FALSE,"2.IS";#N/A,#N/A,FALSE,"3.BS";#N/A,#N/A,FALSE,"4.PER PL";#N/A,#N/A,FALSE,"5.INVESTMENT";#N/A,#N/A,FALSE,"6.공문";#N/A,#N/A,FALSE,"7.netinvest"}</definedName>
    <definedName name="바라오" localSheetId="42" hidden="1">{#N/A,#N/A,FALSE,"1.CRITERIA";#N/A,#N/A,FALSE,"2.IS";#N/A,#N/A,FALSE,"3.BS";#N/A,#N/A,FALSE,"4.PER PL";#N/A,#N/A,FALSE,"5.INVESTMENT";#N/A,#N/A,FALSE,"6.공문";#N/A,#N/A,FALSE,"7.netinvest"}</definedName>
    <definedName name="바라오" hidden="1">{#N/A,#N/A,FALSE,"1.CRITERIA";#N/A,#N/A,FALSE,"2.IS";#N/A,#N/A,FALSE,"3.BS";#N/A,#N/A,FALSE,"4.PER PL";#N/A,#N/A,FALSE,"5.INVESTMENT";#N/A,#N/A,FALSE,"6.공문";#N/A,#N/A,FALSE,"7.netinvest"}</definedName>
    <definedName name="바랑라" localSheetId="15" hidden="1">{#N/A,#N/A,FALSE,"정공"}</definedName>
    <definedName name="바랑라" localSheetId="6" hidden="1">{#N/A,#N/A,FALSE,"정공"}</definedName>
    <definedName name="바랑라" localSheetId="45" hidden="1">{#N/A,#N/A,FALSE,"정공"}</definedName>
    <definedName name="바랑라" localSheetId="42" hidden="1">{#N/A,#N/A,FALSE,"정공"}</definedName>
    <definedName name="바랑라" hidden="1">{#N/A,#N/A,FALSE,"정공"}</definedName>
    <definedName name="바로" localSheetId="15" hidden="1">{#N/A,#N/A,FALSE,"1.CRITERIA";#N/A,#N/A,FALSE,"2.IS";#N/A,#N/A,FALSE,"3.BS";#N/A,#N/A,FALSE,"4.PER PL";#N/A,#N/A,FALSE,"5.INVESTMENT";#N/A,#N/A,FALSE,"6.공문";#N/A,#N/A,FALSE,"7.netinvest"}</definedName>
    <definedName name="바로" localSheetId="6" hidden="1">{#N/A,#N/A,FALSE,"1.CRITERIA";#N/A,#N/A,FALSE,"2.IS";#N/A,#N/A,FALSE,"3.BS";#N/A,#N/A,FALSE,"4.PER PL";#N/A,#N/A,FALSE,"5.INVESTMENT";#N/A,#N/A,FALSE,"6.공문";#N/A,#N/A,FALSE,"7.netinvest"}</definedName>
    <definedName name="바로" localSheetId="45" hidden="1">{#N/A,#N/A,FALSE,"1.CRITERIA";#N/A,#N/A,FALSE,"2.IS";#N/A,#N/A,FALSE,"3.BS";#N/A,#N/A,FALSE,"4.PER PL";#N/A,#N/A,FALSE,"5.INVESTMENT";#N/A,#N/A,FALSE,"6.공문";#N/A,#N/A,FALSE,"7.netinvest"}</definedName>
    <definedName name="바로" localSheetId="42" hidden="1">{#N/A,#N/A,FALSE,"1.CRITERIA";#N/A,#N/A,FALSE,"2.IS";#N/A,#N/A,FALSE,"3.BS";#N/A,#N/A,FALSE,"4.PER PL";#N/A,#N/A,FALSE,"5.INVESTMENT";#N/A,#N/A,FALSE,"6.공문";#N/A,#N/A,FALSE,"7.netinvest"}</definedName>
    <definedName name="바로" hidden="1">{#N/A,#N/A,FALSE,"1.CRITERIA";#N/A,#N/A,FALSE,"2.IS";#N/A,#N/A,FALSE,"3.BS";#N/A,#N/A,FALSE,"4.PER PL";#N/A,#N/A,FALSE,"5.INVESTMENT";#N/A,#N/A,FALSE,"6.공문";#N/A,#N/A,FALSE,"7.netinvest"}</definedName>
    <definedName name="바바" localSheetId="15" hidden="1">{#N/A,#N/A,FALSE,"1.CRITERIA";#N/A,#N/A,FALSE,"2.IS";#N/A,#N/A,FALSE,"3.BS";#N/A,#N/A,FALSE,"4.PER PL";#N/A,#N/A,FALSE,"5.INVESTMENT";#N/A,#N/A,FALSE,"6.공문";#N/A,#N/A,FALSE,"7.netinvest"}</definedName>
    <definedName name="바바" localSheetId="6" hidden="1">{#N/A,#N/A,FALSE,"1.CRITERIA";#N/A,#N/A,FALSE,"2.IS";#N/A,#N/A,FALSE,"3.BS";#N/A,#N/A,FALSE,"4.PER PL";#N/A,#N/A,FALSE,"5.INVESTMENT";#N/A,#N/A,FALSE,"6.공문";#N/A,#N/A,FALSE,"7.netinvest"}</definedName>
    <definedName name="바바" localSheetId="45" hidden="1">{#N/A,#N/A,FALSE,"1.CRITERIA";#N/A,#N/A,FALSE,"2.IS";#N/A,#N/A,FALSE,"3.BS";#N/A,#N/A,FALSE,"4.PER PL";#N/A,#N/A,FALSE,"5.INVESTMENT";#N/A,#N/A,FALSE,"6.공문";#N/A,#N/A,FALSE,"7.netinvest"}</definedName>
    <definedName name="바바" localSheetId="42" hidden="1">{#N/A,#N/A,FALSE,"1.CRITERIA";#N/A,#N/A,FALSE,"2.IS";#N/A,#N/A,FALSE,"3.BS";#N/A,#N/A,FALSE,"4.PER PL";#N/A,#N/A,FALSE,"5.INVESTMENT";#N/A,#N/A,FALSE,"6.공문";#N/A,#N/A,FALSE,"7.netinvest"}</definedName>
    <definedName name="바바" hidden="1">{#N/A,#N/A,FALSE,"1.CRITERIA";#N/A,#N/A,FALSE,"2.IS";#N/A,#N/A,FALSE,"3.BS";#N/A,#N/A,FALSE,"4.PER PL";#N/A,#N/A,FALSE,"5.INVESTMENT";#N/A,#N/A,FALSE,"6.공문";#N/A,#N/A,FALSE,"7.netinvest"}</definedName>
    <definedName name="바바라" localSheetId="42" hidden="1">{#N/A,#N/A,TRUE,"Y생산";#N/A,#N/A,TRUE,"Y판매";#N/A,#N/A,TRUE,"Y총물량";#N/A,#N/A,TRUE,"Y능력";#N/A,#N/A,TRUE,"YKD"}</definedName>
    <definedName name="바바라" hidden="1">{#N/A,#N/A,TRUE,"Y생산";#N/A,#N/A,TRUE,"Y판매";#N/A,#N/A,TRUE,"Y총물량";#N/A,#N/A,TRUE,"Y능력";#N/A,#N/A,TRUE,"YKD"}</definedName>
    <definedName name="바보상자" localSheetId="15" hidden="1">{#N/A,#N/A,FALSE,"정공"}</definedName>
    <definedName name="바보상자" localSheetId="6" hidden="1">{#N/A,#N/A,FALSE,"정공"}</definedName>
    <definedName name="바보상자" localSheetId="45" hidden="1">{#N/A,#N/A,FALSE,"정공"}</definedName>
    <definedName name="바보상자" localSheetId="42" hidden="1">{#N/A,#N/A,FALSE,"정공"}</definedName>
    <definedName name="바보상자" hidden="1">{#N/A,#N/A,FALSE,"정공"}</definedName>
    <definedName name="바아" localSheetId="15" hidden="1">{#N/A,#N/A,FALSE,"1.CRITERIA";#N/A,#N/A,FALSE,"2.IS";#N/A,#N/A,FALSE,"3.BS";#N/A,#N/A,FALSE,"4.PER PL";#N/A,#N/A,FALSE,"5.INVESTMENT";#N/A,#N/A,FALSE,"6.공문";#N/A,#N/A,FALSE,"7.netinvest"}</definedName>
    <definedName name="바아" localSheetId="6" hidden="1">{#N/A,#N/A,FALSE,"1.CRITERIA";#N/A,#N/A,FALSE,"2.IS";#N/A,#N/A,FALSE,"3.BS";#N/A,#N/A,FALSE,"4.PER PL";#N/A,#N/A,FALSE,"5.INVESTMENT";#N/A,#N/A,FALSE,"6.공문";#N/A,#N/A,FALSE,"7.netinvest"}</definedName>
    <definedName name="바아" localSheetId="45" hidden="1">{#N/A,#N/A,FALSE,"1.CRITERIA";#N/A,#N/A,FALSE,"2.IS";#N/A,#N/A,FALSE,"3.BS";#N/A,#N/A,FALSE,"4.PER PL";#N/A,#N/A,FALSE,"5.INVESTMENT";#N/A,#N/A,FALSE,"6.공문";#N/A,#N/A,FALSE,"7.netinvest"}</definedName>
    <definedName name="바아" localSheetId="42" hidden="1">{#N/A,#N/A,FALSE,"1.CRITERIA";#N/A,#N/A,FALSE,"2.IS";#N/A,#N/A,FALSE,"3.BS";#N/A,#N/A,FALSE,"4.PER PL";#N/A,#N/A,FALSE,"5.INVESTMENT";#N/A,#N/A,FALSE,"6.공문";#N/A,#N/A,FALSE,"7.netinvest"}</definedName>
    <definedName name="바아" hidden="1">{#N/A,#N/A,FALSE,"1.CRITERIA";#N/A,#N/A,FALSE,"2.IS";#N/A,#N/A,FALSE,"3.BS";#N/A,#N/A,FALSE,"4.PER PL";#N/A,#N/A,FALSE,"5.INVESTMENT";#N/A,#N/A,FALSE,"6.공문";#N/A,#N/A,FALSE,"7.netinvest"}</definedName>
    <definedName name="바아가" localSheetId="15" hidden="1">{#N/A,#N/A,FALSE,"1.CRITERIA";#N/A,#N/A,FALSE,"2.IS";#N/A,#N/A,FALSE,"3.BS";#N/A,#N/A,FALSE,"4.PER PL";#N/A,#N/A,FALSE,"5.INVESTMENT";#N/A,#N/A,FALSE,"6.공문";#N/A,#N/A,FALSE,"7.netinvest"}</definedName>
    <definedName name="바아가" localSheetId="6" hidden="1">{#N/A,#N/A,FALSE,"1.CRITERIA";#N/A,#N/A,FALSE,"2.IS";#N/A,#N/A,FALSE,"3.BS";#N/A,#N/A,FALSE,"4.PER PL";#N/A,#N/A,FALSE,"5.INVESTMENT";#N/A,#N/A,FALSE,"6.공문";#N/A,#N/A,FALSE,"7.netinvest"}</definedName>
    <definedName name="바아가" localSheetId="45" hidden="1">{#N/A,#N/A,FALSE,"1.CRITERIA";#N/A,#N/A,FALSE,"2.IS";#N/A,#N/A,FALSE,"3.BS";#N/A,#N/A,FALSE,"4.PER PL";#N/A,#N/A,FALSE,"5.INVESTMENT";#N/A,#N/A,FALSE,"6.공문";#N/A,#N/A,FALSE,"7.netinvest"}</definedName>
    <definedName name="바아가" localSheetId="42" hidden="1">{#N/A,#N/A,FALSE,"1.CRITERIA";#N/A,#N/A,FALSE,"2.IS";#N/A,#N/A,FALSE,"3.BS";#N/A,#N/A,FALSE,"4.PER PL";#N/A,#N/A,FALSE,"5.INVESTMENT";#N/A,#N/A,FALSE,"6.공문";#N/A,#N/A,FALSE,"7.netinvest"}</definedName>
    <definedName name="바아가" hidden="1">{#N/A,#N/A,FALSE,"1.CRITERIA";#N/A,#N/A,FALSE,"2.IS";#N/A,#N/A,FALSE,"3.BS";#N/A,#N/A,FALSE,"4.PER PL";#N/A,#N/A,FALSE,"5.INVESTMENT";#N/A,#N/A,FALSE,"6.공문";#N/A,#N/A,FALSE,"7.netinvest"}</definedName>
    <definedName name="바아가오" localSheetId="15" hidden="1">{#N/A,#N/A,FALSE,"1.CRITERIA";#N/A,#N/A,FALSE,"2.IS";#N/A,#N/A,FALSE,"3.BS";#N/A,#N/A,FALSE,"4.PER PL";#N/A,#N/A,FALSE,"5.INVESTMENT";#N/A,#N/A,FALSE,"6.공문";#N/A,#N/A,FALSE,"7.netinvest"}</definedName>
    <definedName name="바아가오" localSheetId="6" hidden="1">{#N/A,#N/A,FALSE,"1.CRITERIA";#N/A,#N/A,FALSE,"2.IS";#N/A,#N/A,FALSE,"3.BS";#N/A,#N/A,FALSE,"4.PER PL";#N/A,#N/A,FALSE,"5.INVESTMENT";#N/A,#N/A,FALSE,"6.공문";#N/A,#N/A,FALSE,"7.netinvest"}</definedName>
    <definedName name="바아가오" localSheetId="45" hidden="1">{#N/A,#N/A,FALSE,"1.CRITERIA";#N/A,#N/A,FALSE,"2.IS";#N/A,#N/A,FALSE,"3.BS";#N/A,#N/A,FALSE,"4.PER PL";#N/A,#N/A,FALSE,"5.INVESTMENT";#N/A,#N/A,FALSE,"6.공문";#N/A,#N/A,FALSE,"7.netinvest"}</definedName>
    <definedName name="바아가오" localSheetId="42" hidden="1">{#N/A,#N/A,FALSE,"1.CRITERIA";#N/A,#N/A,FALSE,"2.IS";#N/A,#N/A,FALSE,"3.BS";#N/A,#N/A,FALSE,"4.PER PL";#N/A,#N/A,FALSE,"5.INVESTMENT";#N/A,#N/A,FALSE,"6.공문";#N/A,#N/A,FALSE,"7.netinvest"}</definedName>
    <definedName name="바아가오" hidden="1">{#N/A,#N/A,FALSE,"1.CRITERIA";#N/A,#N/A,FALSE,"2.IS";#N/A,#N/A,FALSE,"3.BS";#N/A,#N/A,FALSE,"4.PER PL";#N/A,#N/A,FALSE,"5.INVESTMENT";#N/A,#N/A,FALSE,"6.공문";#N/A,#N/A,FALSE,"7.netinvest"}</definedName>
    <definedName name="바아고" localSheetId="15" hidden="1">{#N/A,#N/A,FALSE,"1.CRITERIA";#N/A,#N/A,FALSE,"2.IS";#N/A,#N/A,FALSE,"3.BS";#N/A,#N/A,FALSE,"4.PER PL";#N/A,#N/A,FALSE,"5.INVESTMENT";#N/A,#N/A,FALSE,"6.공문";#N/A,#N/A,FALSE,"7.netinvest"}</definedName>
    <definedName name="바아고" localSheetId="6" hidden="1">{#N/A,#N/A,FALSE,"1.CRITERIA";#N/A,#N/A,FALSE,"2.IS";#N/A,#N/A,FALSE,"3.BS";#N/A,#N/A,FALSE,"4.PER PL";#N/A,#N/A,FALSE,"5.INVESTMENT";#N/A,#N/A,FALSE,"6.공문";#N/A,#N/A,FALSE,"7.netinvest"}</definedName>
    <definedName name="바아고" localSheetId="45" hidden="1">{#N/A,#N/A,FALSE,"1.CRITERIA";#N/A,#N/A,FALSE,"2.IS";#N/A,#N/A,FALSE,"3.BS";#N/A,#N/A,FALSE,"4.PER PL";#N/A,#N/A,FALSE,"5.INVESTMENT";#N/A,#N/A,FALSE,"6.공문";#N/A,#N/A,FALSE,"7.netinvest"}</definedName>
    <definedName name="바아고" localSheetId="42" hidden="1">{#N/A,#N/A,FALSE,"1.CRITERIA";#N/A,#N/A,FALSE,"2.IS";#N/A,#N/A,FALSE,"3.BS";#N/A,#N/A,FALSE,"4.PER PL";#N/A,#N/A,FALSE,"5.INVESTMENT";#N/A,#N/A,FALSE,"6.공문";#N/A,#N/A,FALSE,"7.netinvest"}</definedName>
    <definedName name="바아고" hidden="1">{#N/A,#N/A,FALSE,"1.CRITERIA";#N/A,#N/A,FALSE,"2.IS";#N/A,#N/A,FALSE,"3.BS";#N/A,#N/A,FALSE,"4.PER PL";#N/A,#N/A,FALSE,"5.INVESTMENT";#N/A,#N/A,FALSE,"6.공문";#N/A,#N/A,FALSE,"7.netinvest"}</definedName>
    <definedName name="바이" localSheetId="15" hidden="1">{#N/A,#N/A,FALSE,"1.CRITERIA";#N/A,#N/A,FALSE,"2.IS";#N/A,#N/A,FALSE,"3.BS";#N/A,#N/A,FALSE,"4.PER PL";#N/A,#N/A,FALSE,"5.INVESTMENT";#N/A,#N/A,FALSE,"6.공문";#N/A,#N/A,FALSE,"7.netinvest"}</definedName>
    <definedName name="바이" localSheetId="6" hidden="1">{#N/A,#N/A,FALSE,"1.CRITERIA";#N/A,#N/A,FALSE,"2.IS";#N/A,#N/A,FALSE,"3.BS";#N/A,#N/A,FALSE,"4.PER PL";#N/A,#N/A,FALSE,"5.INVESTMENT";#N/A,#N/A,FALSE,"6.공문";#N/A,#N/A,FALSE,"7.netinvest"}</definedName>
    <definedName name="바이" localSheetId="45" hidden="1">{#N/A,#N/A,FALSE,"1.CRITERIA";#N/A,#N/A,FALSE,"2.IS";#N/A,#N/A,FALSE,"3.BS";#N/A,#N/A,FALSE,"4.PER PL";#N/A,#N/A,FALSE,"5.INVESTMENT";#N/A,#N/A,FALSE,"6.공문";#N/A,#N/A,FALSE,"7.netinvest"}</definedName>
    <definedName name="바이" localSheetId="42" hidden="1">{#N/A,#N/A,FALSE,"1.CRITERIA";#N/A,#N/A,FALSE,"2.IS";#N/A,#N/A,FALSE,"3.BS";#N/A,#N/A,FALSE,"4.PER PL";#N/A,#N/A,FALSE,"5.INVESTMENT";#N/A,#N/A,FALSE,"6.공문";#N/A,#N/A,FALSE,"7.netinvest"}</definedName>
    <definedName name="바이" hidden="1">{#N/A,#N/A,FALSE,"1.CRITERIA";#N/A,#N/A,FALSE,"2.IS";#N/A,#N/A,FALSE,"3.BS";#N/A,#N/A,FALSE,"4.PER PL";#N/A,#N/A,FALSE,"5.INVESTMENT";#N/A,#N/A,FALSE,"6.공문";#N/A,#N/A,FALSE,"7.netinvest"}</definedName>
    <definedName name="박" localSheetId="15" hidden="1">{"'분양원가'!$B$1:$F$113"}</definedName>
    <definedName name="박" localSheetId="6" hidden="1">{"'분양원가'!$B$1:$F$113"}</definedName>
    <definedName name="박" localSheetId="45" hidden="1">{"'분양원가'!$B$1:$F$113"}</definedName>
    <definedName name="박" localSheetId="42" hidden="1">{"'분양원가'!$B$1:$F$113"}</definedName>
    <definedName name="박" hidden="1">{#N/A,#N/A,FALSE,"1.CRITERIA";#N/A,#N/A,FALSE,"2.IS";#N/A,#N/A,FALSE,"3.BS";#N/A,#N/A,FALSE,"4.PER PL";#N/A,#N/A,FALSE,"5.INVESTMENT";#N/A,#N/A,FALSE,"6.공문";#N/A,#N/A,FALSE,"7.netinvest"}</definedName>
    <definedName name="박왕근" localSheetId="15" hidden="1">{#N/A,#N/A,FALSE,"98소지이동TOTvs99.1 (2)";#N/A,#N/A,FALSE,"TOTAL";#N/A,#N/A,FALSE,"98소지이동TOTvs99.1(b) (2)"}</definedName>
    <definedName name="박왕근" localSheetId="6" hidden="1">{#N/A,#N/A,FALSE,"98소지이동TOTvs99.1 (2)";#N/A,#N/A,FALSE,"TOTAL";#N/A,#N/A,FALSE,"98소지이동TOTvs99.1(b) (2)"}</definedName>
    <definedName name="박왕근" localSheetId="45" hidden="1">{#N/A,#N/A,FALSE,"98소지이동TOTvs99.1 (2)";#N/A,#N/A,FALSE,"TOTAL";#N/A,#N/A,FALSE,"98소지이동TOTvs99.1(b) (2)"}</definedName>
    <definedName name="박왕근" localSheetId="42" hidden="1">{#N/A,#N/A,FALSE,"98소지이동TOTvs99.1 (2)";#N/A,#N/A,FALSE,"TOTAL";#N/A,#N/A,FALSE,"98소지이동TOTvs99.1(b) (2)"}</definedName>
    <definedName name="박왕근" hidden="1">{#N/A,#N/A,FALSE,"98소지이동TOTvs99.1 (2)";#N/A,#N/A,FALSE,"TOTAL";#N/A,#N/A,FALSE,"98소지이동TOTvs99.1(b) (2)"}</definedName>
    <definedName name="발" localSheetId="15" hidden="1">{#N/A,#N/A,FALSE,"1.CRITERIA";#N/A,#N/A,FALSE,"2.IS";#N/A,#N/A,FALSE,"3.BS";#N/A,#N/A,FALSE,"4.PER PL";#N/A,#N/A,FALSE,"5.INVESTMENT";#N/A,#N/A,FALSE,"6.공문";#N/A,#N/A,FALSE,"7.netinvest"}</definedName>
    <definedName name="발" localSheetId="6" hidden="1">{#N/A,#N/A,FALSE,"1.CRITERIA";#N/A,#N/A,FALSE,"2.IS";#N/A,#N/A,FALSE,"3.BS";#N/A,#N/A,FALSE,"4.PER PL";#N/A,#N/A,FALSE,"5.INVESTMENT";#N/A,#N/A,FALSE,"6.공문";#N/A,#N/A,FALSE,"7.netinvest"}</definedName>
    <definedName name="발" localSheetId="45" hidden="1">{#N/A,#N/A,FALSE,"1.CRITERIA";#N/A,#N/A,FALSE,"2.IS";#N/A,#N/A,FALSE,"3.BS";#N/A,#N/A,FALSE,"4.PER PL";#N/A,#N/A,FALSE,"5.INVESTMENT";#N/A,#N/A,FALSE,"6.공문";#N/A,#N/A,FALSE,"7.netinvest"}</definedName>
    <definedName name="발" localSheetId="42" hidden="1">{#N/A,#N/A,FALSE,"1.CRITERIA";#N/A,#N/A,FALSE,"2.IS";#N/A,#N/A,FALSE,"3.BS";#N/A,#N/A,FALSE,"4.PER PL";#N/A,#N/A,FALSE,"5.INVESTMENT";#N/A,#N/A,FALSE,"6.공문";#N/A,#N/A,FALSE,"7.netinvest"}</definedName>
    <definedName name="발" hidden="1">{#N/A,#N/A,FALSE,"1.CRITERIA";#N/A,#N/A,FALSE,"2.IS";#N/A,#N/A,FALSE,"3.BS";#N/A,#N/A,FALSE,"4.PER PL";#N/A,#N/A,FALSE,"5.INVESTMENT";#N/A,#N/A,FALSE,"6.공문";#N/A,#N/A,FALSE,"7.netinvest"}</definedName>
    <definedName name="방판일시불" localSheetId="42" hidden="1">{"'경비내역'!$E$11"}</definedName>
    <definedName name="방판일시불" hidden="1">{"'경비내역'!$E$11"}</definedName>
    <definedName name="배" localSheetId="15" hidden="1">{#N/A,#N/A,FALSE,"1.CRITERIA";#N/A,#N/A,FALSE,"2.IS";#N/A,#N/A,FALSE,"3.BS";#N/A,#N/A,FALSE,"4.PER PL";#N/A,#N/A,FALSE,"5.INVESTMENT";#N/A,#N/A,FALSE,"6.공문";#N/A,#N/A,FALSE,"7.netinvest"}</definedName>
    <definedName name="배" localSheetId="6" hidden="1">{#N/A,#N/A,FALSE,"1.CRITERIA";#N/A,#N/A,FALSE,"2.IS";#N/A,#N/A,FALSE,"3.BS";#N/A,#N/A,FALSE,"4.PER PL";#N/A,#N/A,FALSE,"5.INVESTMENT";#N/A,#N/A,FALSE,"6.공문";#N/A,#N/A,FALSE,"7.netinvest"}</definedName>
    <definedName name="배" localSheetId="45" hidden="1">{#N/A,#N/A,FALSE,"1.CRITERIA";#N/A,#N/A,FALSE,"2.IS";#N/A,#N/A,FALSE,"3.BS";#N/A,#N/A,FALSE,"4.PER PL";#N/A,#N/A,FALSE,"5.INVESTMENT";#N/A,#N/A,FALSE,"6.공문";#N/A,#N/A,FALSE,"7.netinvest"}</definedName>
    <definedName name="배" localSheetId="42" hidden="1">{#N/A,#N/A,FALSE,"1.CRITERIA";#N/A,#N/A,FALSE,"2.IS";#N/A,#N/A,FALSE,"3.BS";#N/A,#N/A,FALSE,"4.PER PL";#N/A,#N/A,FALSE,"5.INVESTMENT";#N/A,#N/A,FALSE,"6.공문";#N/A,#N/A,FALSE,"7.netinvest"}</definedName>
    <definedName name="배" hidden="1">{#N/A,#N/A,FALSE,"1.CRITERIA";#N/A,#N/A,FALSE,"2.IS";#N/A,#N/A,FALSE,"3.BS";#N/A,#N/A,FALSE,"4.PER PL";#N/A,#N/A,FALSE,"5.INVESTMENT";#N/A,#N/A,FALSE,"6.공문";#N/A,#N/A,FALSE,"7.netinvest"}</definedName>
    <definedName name="배관명세" localSheetId="15" hidden="1">#REF!</definedName>
    <definedName name="배관명세" localSheetId="6" hidden="1">#REF!</definedName>
    <definedName name="배관명세" localSheetId="42" hidden="1">#REF!</definedName>
    <definedName name="배관명세" hidden="1">#REF!</definedName>
    <definedName name="배배배" localSheetId="15" hidden="1">{"'미착금액'!$A$4:$G$14"}</definedName>
    <definedName name="배배배" localSheetId="6" hidden="1">{"'미착금액'!$A$4:$G$14"}</definedName>
    <definedName name="배배배" localSheetId="45" hidden="1">{"'미착금액'!$A$4:$G$14"}</definedName>
    <definedName name="배배배" localSheetId="42" hidden="1">{"'미착금액'!$A$4:$G$14"}</definedName>
    <definedName name="배배배" hidden="1">{"'미착금액'!$A$4:$G$14"}</definedName>
    <definedName name="배부기준첨부" localSheetId="15" hidden="1">{#N/A,#N/A,FALSE,"정공"}</definedName>
    <definedName name="배부기준첨부" localSheetId="6" hidden="1">{#N/A,#N/A,FALSE,"정공"}</definedName>
    <definedName name="배부기준첨부" localSheetId="45" hidden="1">{#N/A,#N/A,FALSE,"정공"}</definedName>
    <definedName name="배부기준첨부" localSheetId="42" hidden="1">{#N/A,#N/A,FALSE,"정공"}</definedName>
    <definedName name="배부기준첨부" hidden="1">{#N/A,#N/A,FALSE,"정공"}</definedName>
    <definedName name="배부기준첨부하오" localSheetId="15" hidden="1">{#N/A,#N/A,FALSE,"정공"}</definedName>
    <definedName name="배부기준첨부하오" localSheetId="6" hidden="1">{#N/A,#N/A,FALSE,"정공"}</definedName>
    <definedName name="배부기준첨부하오" localSheetId="45" hidden="1">{#N/A,#N/A,FALSE,"정공"}</definedName>
    <definedName name="배부기준첨부하오" localSheetId="42" hidden="1">{#N/A,#N/A,FALSE,"정공"}</definedName>
    <definedName name="배부기준첨부하오" hidden="1">{#N/A,#N/A,FALSE,"정공"}</definedName>
    <definedName name="배부내역서2월" localSheetId="12" hidden="1">{#N/A,#N/A,FALSE,"목차";#N/A,#N/A,FALSE,"목차(2)";#N/A,#N/A,FALSE,"손익요약(당월)";#N/A,#N/A,FALSE,"손익요약(누계)";#N/A,#N/A,FALSE,"전기동기대비손익요약";#N/A,#N/A,FALSE,"손익분기점(월계)";#N/A,#N/A,FALSE,"손익분기점분석";#N/A,#N/A,FALSE,"요약대차대조표";#N/A,#N/A,FALSE,"현금흐름표";#N/A,#N/A,FALSE,"계획대비손익계산서비교";#N/A,#N/A,FALSE,"계획대비제조원가비교";#N/A,#N/A,FALSE,"전기동기대비손익계산서비교";#N/A,#N/A,FALSE,"전기동기대비제조원가비교";#N/A,#N/A,FALSE,"인건비비교";#N/A,#N/A,FALSE,"대차대조표";#N/A,#N/A,FALSE,"손익배부전(월계)";#N/A,#N/A,FALSE,"손익배부전(누계) ";#N/A,#N/A,FALSE,"손익배부후(월계)";#N/A,#N/A,FALSE,"손익배부후(누계)";#N/A,#N/A,FALSE,"제조원가월계(배부전)";#N/A,#N/A,FALSE,"제조원가누계(배부전)";#N/A,#N/A,FALSE,"제조원가당월(배부후)";#N/A,#N/A,FALSE,"제조원가누계(배부후)"}</definedName>
    <definedName name="배부내역서2월" localSheetId="42" hidden="1">{#N/A,#N/A,FALSE,"목차";#N/A,#N/A,FALSE,"목차(2)";#N/A,#N/A,FALSE,"손익요약(당월)";#N/A,#N/A,FALSE,"손익요약(누계)";#N/A,#N/A,FALSE,"전기동기대비손익요약";#N/A,#N/A,FALSE,"손익분기점(월계)";#N/A,#N/A,FALSE,"손익분기점분석";#N/A,#N/A,FALSE,"요약대차대조표";#N/A,#N/A,FALSE,"현금흐름표";#N/A,#N/A,FALSE,"계획대비손익계산서비교";#N/A,#N/A,FALSE,"계획대비제조원가비교";#N/A,#N/A,FALSE,"전기동기대비손익계산서비교";#N/A,#N/A,FALSE,"전기동기대비제조원가비교";#N/A,#N/A,FALSE,"인건비비교";#N/A,#N/A,FALSE,"대차대조표";#N/A,#N/A,FALSE,"손익배부전(월계)";#N/A,#N/A,FALSE,"손익배부전(누계) ";#N/A,#N/A,FALSE,"손익배부후(월계)";#N/A,#N/A,FALSE,"손익배부후(누계)";#N/A,#N/A,FALSE,"제조원가월계(배부전)";#N/A,#N/A,FALSE,"제조원가누계(배부전)";#N/A,#N/A,FALSE,"제조원가당월(배부후)";#N/A,#N/A,FALSE,"제조원가누계(배부후)"}</definedName>
    <definedName name="배부내역서2월" hidden="1">{#N/A,#N/A,FALSE,"목차";#N/A,#N/A,FALSE,"목차(2)";#N/A,#N/A,FALSE,"손익요약(당월)";#N/A,#N/A,FALSE,"손익요약(누계)";#N/A,#N/A,FALSE,"전기동기대비손익요약";#N/A,#N/A,FALSE,"손익분기점(월계)";#N/A,#N/A,FALSE,"손익분기점분석";#N/A,#N/A,FALSE,"요약대차대조표";#N/A,#N/A,FALSE,"현금흐름표";#N/A,#N/A,FALSE,"계획대비손익계산서비교";#N/A,#N/A,FALSE,"계획대비제조원가비교";#N/A,#N/A,FALSE,"전기동기대비손익계산서비교";#N/A,#N/A,FALSE,"전기동기대비제조원가비교";#N/A,#N/A,FALSE,"인건비비교";#N/A,#N/A,FALSE,"대차대조표";#N/A,#N/A,FALSE,"손익배부전(월계)";#N/A,#N/A,FALSE,"손익배부전(누계) ";#N/A,#N/A,FALSE,"손익배부후(월계)";#N/A,#N/A,FALSE,"손익배부후(누계)";#N/A,#N/A,FALSE,"제조원가월계(배부전)";#N/A,#N/A,FALSE,"제조원가누계(배부전)";#N/A,#N/A,FALSE,"제조원가당월(배부후)";#N/A,#N/A,FALSE,"제조원가누계(배부후)"}</definedName>
    <definedName name="배치계획" localSheetId="1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배치계획" localSheetId="4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배치계획"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버바바" localSheetId="15" hidden="1">{#N/A,#N/A,FALSE,"정공"}</definedName>
    <definedName name="버바바" localSheetId="6" hidden="1">{#N/A,#N/A,FALSE,"정공"}</definedName>
    <definedName name="버바바" localSheetId="45" hidden="1">{#N/A,#N/A,FALSE,"정공"}</definedName>
    <definedName name="버바바" localSheetId="42" hidden="1">{#N/A,#N/A,FALSE,"정공"}</definedName>
    <definedName name="버바바" hidden="1">{#N/A,#N/A,FALSE,"정공"}</definedName>
    <definedName name="버버" localSheetId="15" hidden="1">{#N/A,#N/A,FALSE,"1.CRITERIA";#N/A,#N/A,FALSE,"2.IS";#N/A,#N/A,FALSE,"3.BS";#N/A,#N/A,FALSE,"4.PER PL";#N/A,#N/A,FALSE,"5.INVESTMENT";#N/A,#N/A,FALSE,"6.공문";#N/A,#N/A,FALSE,"7.netinvest"}</definedName>
    <definedName name="버버" localSheetId="6" hidden="1">{#N/A,#N/A,FALSE,"1.CRITERIA";#N/A,#N/A,FALSE,"2.IS";#N/A,#N/A,FALSE,"3.BS";#N/A,#N/A,FALSE,"4.PER PL";#N/A,#N/A,FALSE,"5.INVESTMENT";#N/A,#N/A,FALSE,"6.공문";#N/A,#N/A,FALSE,"7.netinvest"}</definedName>
    <definedName name="버버" localSheetId="45" hidden="1">{#N/A,#N/A,FALSE,"1.CRITERIA";#N/A,#N/A,FALSE,"2.IS";#N/A,#N/A,FALSE,"3.BS";#N/A,#N/A,FALSE,"4.PER PL";#N/A,#N/A,FALSE,"5.INVESTMENT";#N/A,#N/A,FALSE,"6.공문";#N/A,#N/A,FALSE,"7.netinvest"}</definedName>
    <definedName name="버버" localSheetId="42" hidden="1">{#N/A,#N/A,FALSE,"1.CRITERIA";#N/A,#N/A,FALSE,"2.IS";#N/A,#N/A,FALSE,"3.BS";#N/A,#N/A,FALSE,"4.PER PL";#N/A,#N/A,FALSE,"5.INVESTMENT";#N/A,#N/A,FALSE,"6.공문";#N/A,#N/A,FALSE,"7.netinvest"}</definedName>
    <definedName name="버버" hidden="1">{#N/A,#N/A,FALSE,"1.CRITERIA";#N/A,#N/A,FALSE,"2.IS";#N/A,#N/A,FALSE,"3.BS";#N/A,#N/A,FALSE,"4.PER PL";#N/A,#N/A,FALSE,"5.INVESTMENT";#N/A,#N/A,FALSE,"6.공문";#N/A,#N/A,FALSE,"7.netinvest"}</definedName>
    <definedName name="법인" localSheetId="42" hidden="1">{#N/A,#N/A,TRUE,"Y생산";#N/A,#N/A,TRUE,"Y판매";#N/A,#N/A,TRUE,"Y총물량";#N/A,#N/A,TRUE,"Y능력";#N/A,#N/A,TRUE,"YKD"}</definedName>
    <definedName name="법인" hidden="1">{#N/A,#N/A,TRUE,"Y생산";#N/A,#N/A,TRUE,"Y판매";#N/A,#N/A,TRUE,"Y총물량";#N/A,#N/A,TRUE,"Y능력";#N/A,#N/A,TRUE,"YKD"}</definedName>
    <definedName name="법인세주석사항정리" localSheetId="12" hidden="1">{#N/A,#N/A,FALSE,"UNIT";#N/A,#N/A,FALSE,"UNIT";#N/A,#N/A,FALSE,"계정"}</definedName>
    <definedName name="법인세주석사항정리" localSheetId="42" hidden="1">{#N/A,#N/A,FALSE,"UNIT";#N/A,#N/A,FALSE,"UNIT";#N/A,#N/A,FALSE,"계정"}</definedName>
    <definedName name="법인세주석사항정리" hidden="1">{#N/A,#N/A,FALSE,"UNIT";#N/A,#N/A,FALSE,"UNIT";#N/A,#N/A,FALSE,"계정"}</definedName>
    <definedName name="법정" localSheetId="15" hidden="1">{#N/A,#N/A,FALSE,"손익표지";#N/A,#N/A,FALSE,"손익계산";#N/A,#N/A,FALSE,"일반관리비";#N/A,#N/A,FALSE,"영업외수익";#N/A,#N/A,FALSE,"영업외비용";#N/A,#N/A,FALSE,"매출액";#N/A,#N/A,FALSE,"요약손익";#N/A,#N/A,FALSE,"요약대차";#N/A,#N/A,FALSE,"매출채권현황";#N/A,#N/A,FALSE,"매출채권명세"}</definedName>
    <definedName name="법정" localSheetId="6" hidden="1">{#N/A,#N/A,FALSE,"손익표지";#N/A,#N/A,FALSE,"손익계산";#N/A,#N/A,FALSE,"일반관리비";#N/A,#N/A,FALSE,"영업외수익";#N/A,#N/A,FALSE,"영업외비용";#N/A,#N/A,FALSE,"매출액";#N/A,#N/A,FALSE,"요약손익";#N/A,#N/A,FALSE,"요약대차";#N/A,#N/A,FALSE,"매출채권현황";#N/A,#N/A,FALSE,"매출채권명세"}</definedName>
    <definedName name="법정" localSheetId="45" hidden="1">{#N/A,#N/A,FALSE,"손익표지";#N/A,#N/A,FALSE,"손익계산";#N/A,#N/A,FALSE,"일반관리비";#N/A,#N/A,FALSE,"영업외수익";#N/A,#N/A,FALSE,"영업외비용";#N/A,#N/A,FALSE,"매출액";#N/A,#N/A,FALSE,"요약손익";#N/A,#N/A,FALSE,"요약대차";#N/A,#N/A,FALSE,"매출채권현황";#N/A,#N/A,FALSE,"매출채권명세"}</definedName>
    <definedName name="법정" localSheetId="42" hidden="1">{#N/A,#N/A,FALSE,"손익표지";#N/A,#N/A,FALSE,"손익계산";#N/A,#N/A,FALSE,"일반관리비";#N/A,#N/A,FALSE,"영업외수익";#N/A,#N/A,FALSE,"영업외비용";#N/A,#N/A,FALSE,"매출액";#N/A,#N/A,FALSE,"요약손익";#N/A,#N/A,FALSE,"요약대차";#N/A,#N/A,FALSE,"매출채권현황";#N/A,#N/A,FALSE,"매출채권명세"}</definedName>
    <definedName name="법정" hidden="1">{#N/A,#N/A,FALSE,"손익표지";#N/A,#N/A,FALSE,"손익계산";#N/A,#N/A,FALSE,"일반관리비";#N/A,#N/A,FALSE,"영업외수익";#N/A,#N/A,FALSE,"영업외비용";#N/A,#N/A,FALSE,"매출액";#N/A,#N/A,FALSE,"요약손익";#N/A,#N/A,FALSE,"요약대차";#N/A,#N/A,FALSE,"매출채권현황";#N/A,#N/A,FALSE,"매출채권명세"}</definedName>
    <definedName name="베" localSheetId="15" hidden="1">{#N/A,#N/A,FALSE,"1.CRITERIA";#N/A,#N/A,FALSE,"2.IS";#N/A,#N/A,FALSE,"3.BS";#N/A,#N/A,FALSE,"4.PER PL";#N/A,#N/A,FALSE,"5.INVESTMENT";#N/A,#N/A,FALSE,"6.공문";#N/A,#N/A,FALSE,"7.netinvest"}</definedName>
    <definedName name="베" localSheetId="6" hidden="1">{#N/A,#N/A,FALSE,"1.CRITERIA";#N/A,#N/A,FALSE,"2.IS";#N/A,#N/A,FALSE,"3.BS";#N/A,#N/A,FALSE,"4.PER PL";#N/A,#N/A,FALSE,"5.INVESTMENT";#N/A,#N/A,FALSE,"6.공문";#N/A,#N/A,FALSE,"7.netinvest"}</definedName>
    <definedName name="베" localSheetId="45" hidden="1">{#N/A,#N/A,FALSE,"1.CRITERIA";#N/A,#N/A,FALSE,"2.IS";#N/A,#N/A,FALSE,"3.BS";#N/A,#N/A,FALSE,"4.PER PL";#N/A,#N/A,FALSE,"5.INVESTMENT";#N/A,#N/A,FALSE,"6.공문";#N/A,#N/A,FALSE,"7.netinvest"}</definedName>
    <definedName name="베" localSheetId="42" hidden="1">{#N/A,#N/A,FALSE,"1.CRITERIA";#N/A,#N/A,FALSE,"2.IS";#N/A,#N/A,FALSE,"3.BS";#N/A,#N/A,FALSE,"4.PER PL";#N/A,#N/A,FALSE,"5.INVESTMENT";#N/A,#N/A,FALSE,"6.공문";#N/A,#N/A,FALSE,"7.netinvest"}</definedName>
    <definedName name="베" hidden="1">{#N/A,#N/A,FALSE,"1.CRITERIA";#N/A,#N/A,FALSE,"2.IS";#N/A,#N/A,FALSE,"3.BS";#N/A,#N/A,FALSE,"4.PER PL";#N/A,#N/A,FALSE,"5.INVESTMENT";#N/A,#N/A,FALSE,"6.공문";#N/A,#N/A,FALSE,"7.netinvest"}</definedName>
    <definedName name="변동" localSheetId="12" hidden="1">{#N/A,#N/A,FALSE,"Sheet1"}</definedName>
    <definedName name="변동" localSheetId="42" hidden="1">{#N/A,#N/A,FALSE,"Sheet1"}</definedName>
    <definedName name="변동" hidden="1">{#N/A,#N/A,FALSE,"Sheet1"}</definedName>
    <definedName name="변동비" localSheetId="12" hidden="1">{#N/A,#N/A,FALSE,"Sheet1"}</definedName>
    <definedName name="변동비" localSheetId="42" hidden="1">{#N/A,#N/A,FALSE,"Sheet1"}</definedName>
    <definedName name="변동비" hidden="1">{#N/A,#N/A,FALSE,"Sheet1"}</definedName>
    <definedName name="별지8" localSheetId="4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별지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보" localSheetId="12" hidden="1">{#N/A,#N/A,FALSE,"목차";#N/A,#N/A,FALSE,"목차(2)";#N/A,#N/A,FALSE,"손익요약(당월)";#N/A,#N/A,FALSE,"손익요약(누계)";#N/A,#N/A,FALSE,"전기동기대비손익요약";#N/A,#N/A,FALSE,"손익분기점(월계)";#N/A,#N/A,FALSE,"손익분기점분석";#N/A,#N/A,FALSE,"요약대차대조표";#N/A,#N/A,FALSE,"현금흐름표";#N/A,#N/A,FALSE,"계획대비손익계산서비교";#N/A,#N/A,FALSE,"계획대비제조원가비교";#N/A,#N/A,FALSE,"전기동기대비손익계산서비교";#N/A,#N/A,FALSE,"전기동기대비제조원가비교";#N/A,#N/A,FALSE,"인건비비교";#N/A,#N/A,FALSE,"대차대조표";#N/A,#N/A,FALSE,"손익배부전(월계)";#N/A,#N/A,FALSE,"손익배부전(누계) ";#N/A,#N/A,FALSE,"손익배부후(월계)";#N/A,#N/A,FALSE,"손익배부후(누계)";#N/A,#N/A,FALSE,"제조원가월계(배부전)";#N/A,#N/A,FALSE,"제조원가누계(배부전)";#N/A,#N/A,FALSE,"제조원가당월(배부후)";#N/A,#N/A,FALSE,"제조원가누계(배부후)"}</definedName>
    <definedName name="보" localSheetId="15" hidden="1">{#N/A,#N/A,FALSE,"1.CRITERIA";#N/A,#N/A,FALSE,"2.IS";#N/A,#N/A,FALSE,"3.BS";#N/A,#N/A,FALSE,"4.PER PL";#N/A,#N/A,FALSE,"5.INVESTMENT";#N/A,#N/A,FALSE,"6.공문";#N/A,#N/A,FALSE,"7.netinvest"}</definedName>
    <definedName name="보" localSheetId="6" hidden="1">{#N/A,#N/A,FALSE,"1.CRITERIA";#N/A,#N/A,FALSE,"2.IS";#N/A,#N/A,FALSE,"3.BS";#N/A,#N/A,FALSE,"4.PER PL";#N/A,#N/A,FALSE,"5.INVESTMENT";#N/A,#N/A,FALSE,"6.공문";#N/A,#N/A,FALSE,"7.netinvest"}</definedName>
    <definedName name="보" localSheetId="45" hidden="1">{#N/A,#N/A,FALSE,"1.CRITERIA";#N/A,#N/A,FALSE,"2.IS";#N/A,#N/A,FALSE,"3.BS";#N/A,#N/A,FALSE,"4.PER PL";#N/A,#N/A,FALSE,"5.INVESTMENT";#N/A,#N/A,FALSE,"6.공문";#N/A,#N/A,FALSE,"7.netinvest"}</definedName>
    <definedName name="보" localSheetId="42" hidden="1">{#N/A,#N/A,FALSE,"1.CRITERIA";#N/A,#N/A,FALSE,"2.IS";#N/A,#N/A,FALSE,"3.BS";#N/A,#N/A,FALSE,"4.PER PL";#N/A,#N/A,FALSE,"5.INVESTMENT";#N/A,#N/A,FALSE,"6.공문";#N/A,#N/A,FALSE,"7.netinvest"}</definedName>
    <definedName name="보" hidden="1">{#N/A,#N/A,FALSE,"목차";#N/A,#N/A,FALSE,"목차(2)";#N/A,#N/A,FALSE,"손익요약(당월)";#N/A,#N/A,FALSE,"손익요약(누계)";#N/A,#N/A,FALSE,"전기동기대비손익요약";#N/A,#N/A,FALSE,"손익분기점(월계)";#N/A,#N/A,FALSE,"손익분기점분석";#N/A,#N/A,FALSE,"요약대차대조표";#N/A,#N/A,FALSE,"현금흐름표";#N/A,#N/A,FALSE,"계획대비손익계산서비교";#N/A,#N/A,FALSE,"계획대비제조원가비교";#N/A,#N/A,FALSE,"전기동기대비손익계산서비교";#N/A,#N/A,FALSE,"전기동기대비제조원가비교";#N/A,#N/A,FALSE,"인건비비교";#N/A,#N/A,FALSE,"대차대조표";#N/A,#N/A,FALSE,"손익배부전(월계)";#N/A,#N/A,FALSE,"손익배부전(누계) ";#N/A,#N/A,FALSE,"손익배부후(월계)";#N/A,#N/A,FALSE,"손익배부후(누계)";#N/A,#N/A,FALSE,"제조원가월계(배부전)";#N/A,#N/A,FALSE,"제조원가누계(배부전)";#N/A,#N/A,FALSE,"제조원가당월(배부후)";#N/A,#N/A,FALSE,"제조원가누계(배부후)"}</definedName>
    <definedName name="보고" localSheetId="12" hidden="1">{#N/A,#N/A,FALSE,"UNIT";#N/A,#N/A,FALSE,"UNIT";#N/A,#N/A,FALSE,"계정"}</definedName>
    <definedName name="보고" localSheetId="42" hidden="1">{#N/A,#N/A,FALSE,"UNIT";#N/A,#N/A,FALSE,"UNIT";#N/A,#N/A,FALSE,"계정"}</definedName>
    <definedName name="보고" hidden="1">{#N/A,#N/A,FALSE,"UNIT";#N/A,#N/A,FALSE,"UNIT";#N/A,#N/A,FALSE,"계정"}</definedName>
    <definedName name="보고기준" localSheetId="12" hidden="1">{#N/A,#N/A,FALSE,"UNIT";#N/A,#N/A,FALSE,"UNIT";#N/A,#N/A,FALSE,"계정"}</definedName>
    <definedName name="보고기준" localSheetId="42" hidden="1">{#N/A,#N/A,FALSE,"UNIT";#N/A,#N/A,FALSE,"UNIT";#N/A,#N/A,FALSE,"계정"}</definedName>
    <definedName name="보고기준" hidden="1">{#N/A,#N/A,FALSE,"UNIT";#N/A,#N/A,FALSE,"UNIT";#N/A,#N/A,FALSE,"계정"}</definedName>
    <definedName name="보라차" localSheetId="15" hidden="1">{#N/A,#N/A,FALSE,"1.CRITERIA";#N/A,#N/A,FALSE,"2.IS";#N/A,#N/A,FALSE,"3.BS";#N/A,#N/A,FALSE,"4.PER PL";#N/A,#N/A,FALSE,"5.INVESTMENT";#N/A,#N/A,FALSE,"6.공문";#N/A,#N/A,FALSE,"7.netinvest"}</definedName>
    <definedName name="보라차" localSheetId="6" hidden="1">{#N/A,#N/A,FALSE,"1.CRITERIA";#N/A,#N/A,FALSE,"2.IS";#N/A,#N/A,FALSE,"3.BS";#N/A,#N/A,FALSE,"4.PER PL";#N/A,#N/A,FALSE,"5.INVESTMENT";#N/A,#N/A,FALSE,"6.공문";#N/A,#N/A,FALSE,"7.netinvest"}</definedName>
    <definedName name="보라차" localSheetId="45" hidden="1">{#N/A,#N/A,FALSE,"1.CRITERIA";#N/A,#N/A,FALSE,"2.IS";#N/A,#N/A,FALSE,"3.BS";#N/A,#N/A,FALSE,"4.PER PL";#N/A,#N/A,FALSE,"5.INVESTMENT";#N/A,#N/A,FALSE,"6.공문";#N/A,#N/A,FALSE,"7.netinvest"}</definedName>
    <definedName name="보라차" localSheetId="42" hidden="1">{#N/A,#N/A,FALSE,"1.CRITERIA";#N/A,#N/A,FALSE,"2.IS";#N/A,#N/A,FALSE,"3.BS";#N/A,#N/A,FALSE,"4.PER PL";#N/A,#N/A,FALSE,"5.INVESTMENT";#N/A,#N/A,FALSE,"6.공문";#N/A,#N/A,FALSE,"7.netinvest"}</definedName>
    <definedName name="보라차" hidden="1">{#N/A,#N/A,FALSE,"1.CRITERIA";#N/A,#N/A,FALSE,"2.IS";#N/A,#N/A,FALSE,"3.BS";#N/A,#N/A,FALSE,"4.PER PL";#N/A,#N/A,FALSE,"5.INVESTMENT";#N/A,#N/A,FALSE,"6.공문";#N/A,#N/A,FALSE,"7.netinvest"}</definedName>
    <definedName name="보봅" localSheetId="12" hidden="1">{#N/A,#N/A,FALSE,"Aging Summary";#N/A,#N/A,FALSE,"Ratio Analysis";#N/A,#N/A,FALSE,"Test 120 Day Accts";#N/A,#N/A,FALSE,"Tickmarks"}</definedName>
    <definedName name="보봅" localSheetId="42" hidden="1">{#N/A,#N/A,FALSE,"Aging Summary";#N/A,#N/A,FALSE,"Ratio Analysis";#N/A,#N/A,FALSE,"Test 120 Day Accts";#N/A,#N/A,FALSE,"Tickmarks"}</definedName>
    <definedName name="보봅" hidden="1">{#N/A,#N/A,FALSE,"Aging Summary";#N/A,#N/A,FALSE,"Ratio Analysis";#N/A,#N/A,FALSE,"Test 120 Day Accts";#N/A,#N/A,FALSE,"Tickmarks"}</definedName>
    <definedName name="보아리" localSheetId="15" hidden="1">{#N/A,#N/A,FALSE,"1.CRITERIA";#N/A,#N/A,FALSE,"2.IS";#N/A,#N/A,FALSE,"3.BS";#N/A,#N/A,FALSE,"4.PER PL";#N/A,#N/A,FALSE,"5.INVESTMENT";#N/A,#N/A,FALSE,"6.공문";#N/A,#N/A,FALSE,"7.netinvest"}</definedName>
    <definedName name="보아리" localSheetId="6" hidden="1">{#N/A,#N/A,FALSE,"1.CRITERIA";#N/A,#N/A,FALSE,"2.IS";#N/A,#N/A,FALSE,"3.BS";#N/A,#N/A,FALSE,"4.PER PL";#N/A,#N/A,FALSE,"5.INVESTMENT";#N/A,#N/A,FALSE,"6.공문";#N/A,#N/A,FALSE,"7.netinvest"}</definedName>
    <definedName name="보아리" localSheetId="45" hidden="1">{#N/A,#N/A,FALSE,"1.CRITERIA";#N/A,#N/A,FALSE,"2.IS";#N/A,#N/A,FALSE,"3.BS";#N/A,#N/A,FALSE,"4.PER PL";#N/A,#N/A,FALSE,"5.INVESTMENT";#N/A,#N/A,FALSE,"6.공문";#N/A,#N/A,FALSE,"7.netinvest"}</definedName>
    <definedName name="보아리" localSheetId="42" hidden="1">{#N/A,#N/A,FALSE,"1.CRITERIA";#N/A,#N/A,FALSE,"2.IS";#N/A,#N/A,FALSE,"3.BS";#N/A,#N/A,FALSE,"4.PER PL";#N/A,#N/A,FALSE,"5.INVESTMENT";#N/A,#N/A,FALSE,"6.공문";#N/A,#N/A,FALSE,"7.netinvest"}</definedName>
    <definedName name="보아리" hidden="1">{#N/A,#N/A,FALSE,"1.CRITERIA";#N/A,#N/A,FALSE,"2.IS";#N/A,#N/A,FALSE,"3.BS";#N/A,#N/A,FALSE,"4.PER PL";#N/A,#N/A,FALSE,"5.INVESTMENT";#N/A,#N/A,FALSE,"6.공문";#N/A,#N/A,FALSE,"7.netinvest"}</definedName>
    <definedName name="보이" localSheetId="15" hidden="1">{#N/A,#N/A,FALSE,"1.CRITERIA";#N/A,#N/A,FALSE,"2.IS";#N/A,#N/A,FALSE,"3.BS";#N/A,#N/A,FALSE,"4.PER PL";#N/A,#N/A,FALSE,"5.INVESTMENT";#N/A,#N/A,FALSE,"6.공문";#N/A,#N/A,FALSE,"7.netinvest"}</definedName>
    <definedName name="보이" localSheetId="6" hidden="1">{#N/A,#N/A,FALSE,"1.CRITERIA";#N/A,#N/A,FALSE,"2.IS";#N/A,#N/A,FALSE,"3.BS";#N/A,#N/A,FALSE,"4.PER PL";#N/A,#N/A,FALSE,"5.INVESTMENT";#N/A,#N/A,FALSE,"6.공문";#N/A,#N/A,FALSE,"7.netinvest"}</definedName>
    <definedName name="보이" localSheetId="45" hidden="1">{#N/A,#N/A,FALSE,"1.CRITERIA";#N/A,#N/A,FALSE,"2.IS";#N/A,#N/A,FALSE,"3.BS";#N/A,#N/A,FALSE,"4.PER PL";#N/A,#N/A,FALSE,"5.INVESTMENT";#N/A,#N/A,FALSE,"6.공문";#N/A,#N/A,FALSE,"7.netinvest"}</definedName>
    <definedName name="보이" localSheetId="42" hidden="1">{#N/A,#N/A,FALSE,"1.CRITERIA";#N/A,#N/A,FALSE,"2.IS";#N/A,#N/A,FALSE,"3.BS";#N/A,#N/A,FALSE,"4.PER PL";#N/A,#N/A,FALSE,"5.INVESTMENT";#N/A,#N/A,FALSE,"6.공문";#N/A,#N/A,FALSE,"7.netinvest"}</definedName>
    <definedName name="보이" hidden="1">{#N/A,#N/A,FALSE,"1.CRITERIA";#N/A,#N/A,FALSE,"2.IS";#N/A,#N/A,FALSE,"3.BS";#N/A,#N/A,FALSE,"4.PER PL";#N/A,#N/A,FALSE,"5.INVESTMENT";#N/A,#N/A,FALSE,"6.공문";#N/A,#N/A,FALSE,"7.netinvest"}</definedName>
    <definedName name="보이아" localSheetId="15" hidden="1">{#N/A,#N/A,FALSE,"1.CRITERIA";#N/A,#N/A,FALSE,"2.IS";#N/A,#N/A,FALSE,"3.BS";#N/A,#N/A,FALSE,"4.PER PL";#N/A,#N/A,FALSE,"5.INVESTMENT";#N/A,#N/A,FALSE,"6.공문";#N/A,#N/A,FALSE,"7.netinvest"}</definedName>
    <definedName name="보이아" localSheetId="6" hidden="1">{#N/A,#N/A,FALSE,"1.CRITERIA";#N/A,#N/A,FALSE,"2.IS";#N/A,#N/A,FALSE,"3.BS";#N/A,#N/A,FALSE,"4.PER PL";#N/A,#N/A,FALSE,"5.INVESTMENT";#N/A,#N/A,FALSE,"6.공문";#N/A,#N/A,FALSE,"7.netinvest"}</definedName>
    <definedName name="보이아" localSheetId="45" hidden="1">{#N/A,#N/A,FALSE,"1.CRITERIA";#N/A,#N/A,FALSE,"2.IS";#N/A,#N/A,FALSE,"3.BS";#N/A,#N/A,FALSE,"4.PER PL";#N/A,#N/A,FALSE,"5.INVESTMENT";#N/A,#N/A,FALSE,"6.공문";#N/A,#N/A,FALSE,"7.netinvest"}</definedName>
    <definedName name="보이아" localSheetId="42" hidden="1">{#N/A,#N/A,FALSE,"1.CRITERIA";#N/A,#N/A,FALSE,"2.IS";#N/A,#N/A,FALSE,"3.BS";#N/A,#N/A,FALSE,"4.PER PL";#N/A,#N/A,FALSE,"5.INVESTMENT";#N/A,#N/A,FALSE,"6.공문";#N/A,#N/A,FALSE,"7.netinvest"}</definedName>
    <definedName name="보이아" hidden="1">{#N/A,#N/A,FALSE,"1.CRITERIA";#N/A,#N/A,FALSE,"2.IS";#N/A,#N/A,FALSE,"3.BS";#N/A,#N/A,FALSE,"4.PER PL";#N/A,#N/A,FALSE,"5.INVESTMENT";#N/A,#N/A,FALSE,"6.공문";#N/A,#N/A,FALSE,"7.netinvest"}</definedName>
    <definedName name="보증금명" localSheetId="12" hidden="1">#REF!</definedName>
    <definedName name="보증금명" localSheetId="30" hidden="1">#REF!</definedName>
    <definedName name="보증금명" localSheetId="29" hidden="1">#REF!</definedName>
    <definedName name="보증금명" localSheetId="33" hidden="1">#REF!</definedName>
    <definedName name="보증금명" localSheetId="31" hidden="1">#REF!</definedName>
    <definedName name="보증금명" hidden="1">#REF!</definedName>
    <definedName name="보증금명세" localSheetId="12" hidden="1">#REF!</definedName>
    <definedName name="보증금명세" localSheetId="30" hidden="1">#REF!</definedName>
    <definedName name="보증금명세" localSheetId="29" hidden="1">#REF!</definedName>
    <definedName name="보증금명세" localSheetId="33" hidden="1">#REF!</definedName>
    <definedName name="보증금명세" localSheetId="31" hidden="1">#REF!</definedName>
    <definedName name="보증금명세" hidden="1">#REF!</definedName>
    <definedName name="복사" localSheetId="42" hidden="1">{"'2 혼례가구(1)'!$C$10"}</definedName>
    <definedName name="복사" hidden="1">{"'2 혼례가구(1)'!$C$10"}</definedName>
    <definedName name="본사" localSheetId="12" hidden="1">{#N/A,#N/A,FALSE,"DAOCM 2차 검토"}</definedName>
    <definedName name="본사" localSheetId="42" hidden="1">{#N/A,#N/A,FALSE,"DAOCM 2차 검토"}</definedName>
    <definedName name="본사" hidden="1">{#N/A,#N/A,FALSE,"DAOCM 2차 검토"}</definedName>
    <definedName name="볼" localSheetId="15" hidden="1">{#N/A,#N/A,FALSE,"1.CRITERIA";#N/A,#N/A,FALSE,"2.IS";#N/A,#N/A,FALSE,"3.BS";#N/A,#N/A,FALSE,"4.PER PL";#N/A,#N/A,FALSE,"5.INVESTMENT";#N/A,#N/A,FALSE,"6.공문";#N/A,#N/A,FALSE,"7.netinvest"}</definedName>
    <definedName name="볼" localSheetId="6" hidden="1">{#N/A,#N/A,FALSE,"1.CRITERIA";#N/A,#N/A,FALSE,"2.IS";#N/A,#N/A,FALSE,"3.BS";#N/A,#N/A,FALSE,"4.PER PL";#N/A,#N/A,FALSE,"5.INVESTMENT";#N/A,#N/A,FALSE,"6.공문";#N/A,#N/A,FALSE,"7.netinvest"}</definedName>
    <definedName name="볼" localSheetId="45" hidden="1">{#N/A,#N/A,FALSE,"1.CRITERIA";#N/A,#N/A,FALSE,"2.IS";#N/A,#N/A,FALSE,"3.BS";#N/A,#N/A,FALSE,"4.PER PL";#N/A,#N/A,FALSE,"5.INVESTMENT";#N/A,#N/A,FALSE,"6.공문";#N/A,#N/A,FALSE,"7.netinvest"}</definedName>
    <definedName name="볼" localSheetId="42" hidden="1">{#N/A,#N/A,FALSE,"1.CRITERIA";#N/A,#N/A,FALSE,"2.IS";#N/A,#N/A,FALSE,"3.BS";#N/A,#N/A,FALSE,"4.PER PL";#N/A,#N/A,FALSE,"5.INVESTMENT";#N/A,#N/A,FALSE,"6.공문";#N/A,#N/A,FALSE,"7.netinvest"}</definedName>
    <definedName name="볼" hidden="1">{#N/A,#N/A,FALSE,"1.CRITERIA";#N/A,#N/A,FALSE,"2.IS";#N/A,#N/A,FALSE,"3.BS";#N/A,#N/A,FALSE,"4.PER PL";#N/A,#N/A,FALSE,"5.INVESTMENT";#N/A,#N/A,FALSE,"6.공문";#N/A,#N/A,FALSE,"7.netinvest"}</definedName>
    <definedName name="봐" localSheetId="15" hidden="1">{#N/A,#N/A,FALSE,"1.CRITERIA";#N/A,#N/A,FALSE,"2.IS";#N/A,#N/A,FALSE,"3.BS";#N/A,#N/A,FALSE,"4.PER PL";#N/A,#N/A,FALSE,"5.INVESTMENT";#N/A,#N/A,FALSE,"6.공문";#N/A,#N/A,FALSE,"7.netinvest"}</definedName>
    <definedName name="봐" localSheetId="6" hidden="1">{#N/A,#N/A,FALSE,"1.CRITERIA";#N/A,#N/A,FALSE,"2.IS";#N/A,#N/A,FALSE,"3.BS";#N/A,#N/A,FALSE,"4.PER PL";#N/A,#N/A,FALSE,"5.INVESTMENT";#N/A,#N/A,FALSE,"6.공문";#N/A,#N/A,FALSE,"7.netinvest"}</definedName>
    <definedName name="봐" localSheetId="45" hidden="1">{#N/A,#N/A,FALSE,"1.CRITERIA";#N/A,#N/A,FALSE,"2.IS";#N/A,#N/A,FALSE,"3.BS";#N/A,#N/A,FALSE,"4.PER PL";#N/A,#N/A,FALSE,"5.INVESTMENT";#N/A,#N/A,FALSE,"6.공문";#N/A,#N/A,FALSE,"7.netinvest"}</definedName>
    <definedName name="봐" localSheetId="42" hidden="1">{#N/A,#N/A,FALSE,"1.CRITERIA";#N/A,#N/A,FALSE,"2.IS";#N/A,#N/A,FALSE,"3.BS";#N/A,#N/A,FALSE,"4.PER PL";#N/A,#N/A,FALSE,"5.INVESTMENT";#N/A,#N/A,FALSE,"6.공문";#N/A,#N/A,FALSE,"7.netinvest"}</definedName>
    <definedName name="봐" hidden="1">{#N/A,#N/A,FALSE,"1.CRITERIA";#N/A,#N/A,FALSE,"2.IS";#N/A,#N/A,FALSE,"3.BS";#N/A,#N/A,FALSE,"4.PER PL";#N/A,#N/A,FALSE,"5.INVESTMENT";#N/A,#N/A,FALSE,"6.공문";#N/A,#N/A,FALSE,"7.netinvest"}</definedName>
    <definedName name="부문별손익" localSheetId="15" hidden="1">{#N/A,#N/A,FALSE,"손익표지";#N/A,#N/A,FALSE,"손익계산";#N/A,#N/A,FALSE,"일반관리비";#N/A,#N/A,FALSE,"영업외수익";#N/A,#N/A,FALSE,"영업외비용";#N/A,#N/A,FALSE,"매출액";#N/A,#N/A,FALSE,"요약손익";#N/A,#N/A,FALSE,"요약대차";#N/A,#N/A,FALSE,"매출채권현황";#N/A,#N/A,FALSE,"매출채권명세"}</definedName>
    <definedName name="부문별손익" localSheetId="6" hidden="1">{#N/A,#N/A,FALSE,"손익표지";#N/A,#N/A,FALSE,"손익계산";#N/A,#N/A,FALSE,"일반관리비";#N/A,#N/A,FALSE,"영업외수익";#N/A,#N/A,FALSE,"영업외비용";#N/A,#N/A,FALSE,"매출액";#N/A,#N/A,FALSE,"요약손익";#N/A,#N/A,FALSE,"요약대차";#N/A,#N/A,FALSE,"매출채권현황";#N/A,#N/A,FALSE,"매출채권명세"}</definedName>
    <definedName name="부문별손익" localSheetId="45" hidden="1">{#N/A,#N/A,FALSE,"손익표지";#N/A,#N/A,FALSE,"손익계산";#N/A,#N/A,FALSE,"일반관리비";#N/A,#N/A,FALSE,"영업외수익";#N/A,#N/A,FALSE,"영업외비용";#N/A,#N/A,FALSE,"매출액";#N/A,#N/A,FALSE,"요약손익";#N/A,#N/A,FALSE,"요약대차";#N/A,#N/A,FALSE,"매출채권현황";#N/A,#N/A,FALSE,"매출채권명세"}</definedName>
    <definedName name="부문별손익" localSheetId="42" hidden="1">{#N/A,#N/A,FALSE,"손익표지";#N/A,#N/A,FALSE,"손익계산";#N/A,#N/A,FALSE,"일반관리비";#N/A,#N/A,FALSE,"영업외수익";#N/A,#N/A,FALSE,"영업외비용";#N/A,#N/A,FALSE,"매출액";#N/A,#N/A,FALSE,"요약손익";#N/A,#N/A,FALSE,"요약대차";#N/A,#N/A,FALSE,"매출채권현황";#N/A,#N/A,FALSE,"매출채권명세"}</definedName>
    <definedName name="부문별손익" hidden="1">{#N/A,#N/A,FALSE,"손익표지";#N/A,#N/A,FALSE,"손익계산";#N/A,#N/A,FALSE,"일반관리비";#N/A,#N/A,FALSE,"영업외수익";#N/A,#N/A,FALSE,"영업외비용";#N/A,#N/A,FALSE,"매출액";#N/A,#N/A,FALSE,"요약손익";#N/A,#N/A,FALSE,"요약대차";#N/A,#N/A,FALSE,"매출채권현황";#N/A,#N/A,FALSE,"매출채권명세"}</definedName>
    <definedName name="부산지하철310" localSheetId="15" hidden="1">{#N/A,#N/A,FALSE,"손익표지";#N/A,#N/A,FALSE,"손익계산";#N/A,#N/A,FALSE,"일반관리비";#N/A,#N/A,FALSE,"영업외수익";#N/A,#N/A,FALSE,"영업외비용";#N/A,#N/A,FALSE,"매출액";#N/A,#N/A,FALSE,"요약손익";#N/A,#N/A,FALSE,"요약대차";#N/A,#N/A,FALSE,"매출채권현황";#N/A,#N/A,FALSE,"매출채권명세"}</definedName>
    <definedName name="부산지하철310" localSheetId="6" hidden="1">{#N/A,#N/A,FALSE,"손익표지";#N/A,#N/A,FALSE,"손익계산";#N/A,#N/A,FALSE,"일반관리비";#N/A,#N/A,FALSE,"영업외수익";#N/A,#N/A,FALSE,"영업외비용";#N/A,#N/A,FALSE,"매출액";#N/A,#N/A,FALSE,"요약손익";#N/A,#N/A,FALSE,"요약대차";#N/A,#N/A,FALSE,"매출채권현황";#N/A,#N/A,FALSE,"매출채권명세"}</definedName>
    <definedName name="부산지하철310" localSheetId="45" hidden="1">{#N/A,#N/A,FALSE,"손익표지";#N/A,#N/A,FALSE,"손익계산";#N/A,#N/A,FALSE,"일반관리비";#N/A,#N/A,FALSE,"영업외수익";#N/A,#N/A,FALSE,"영업외비용";#N/A,#N/A,FALSE,"매출액";#N/A,#N/A,FALSE,"요약손익";#N/A,#N/A,FALSE,"요약대차";#N/A,#N/A,FALSE,"매출채권현황";#N/A,#N/A,FALSE,"매출채권명세"}</definedName>
    <definedName name="부산지하철310" localSheetId="42" hidden="1">{#N/A,#N/A,FALSE,"손익표지";#N/A,#N/A,FALSE,"손익계산";#N/A,#N/A,FALSE,"일반관리비";#N/A,#N/A,FALSE,"영업외수익";#N/A,#N/A,FALSE,"영업외비용";#N/A,#N/A,FALSE,"매출액";#N/A,#N/A,FALSE,"요약손익";#N/A,#N/A,FALSE,"요약대차";#N/A,#N/A,FALSE,"매출채권현황";#N/A,#N/A,FALSE,"매출채권명세"}</definedName>
    <definedName name="부산지하철310" hidden="1">{#N/A,#N/A,FALSE,"손익표지";#N/A,#N/A,FALSE,"손익계산";#N/A,#N/A,FALSE,"일반관리비";#N/A,#N/A,FALSE,"영업외수익";#N/A,#N/A,FALSE,"영업외비용";#N/A,#N/A,FALSE,"매출액";#N/A,#N/A,FALSE,"요약손익";#N/A,#N/A,FALSE,"요약대차";#N/A,#N/A,FALSE,"매출채권현황";#N/A,#N/A,FALSE,"매출채권명세"}</definedName>
    <definedName name="부속" localSheetId="12" hidden="1">#REF!</definedName>
    <definedName name="부속" localSheetId="30" hidden="1">#REF!</definedName>
    <definedName name="부속" localSheetId="29" hidden="1">#REF!</definedName>
    <definedName name="부속" localSheetId="33" hidden="1">#REF!</definedName>
    <definedName name="부속" localSheetId="15" hidden="1">#REF!</definedName>
    <definedName name="부속" localSheetId="31" hidden="1">#REF!</definedName>
    <definedName name="부속" localSheetId="6" hidden="1">#REF!</definedName>
    <definedName name="부속" localSheetId="32" hidden="1">#REF!</definedName>
    <definedName name="부속" localSheetId="42" hidden="1">#REF!</definedName>
    <definedName name="부속" hidden="1">#REF!</definedName>
    <definedName name="부외부채" localSheetId="15" hidden="1">{"adj95mult",#N/A,FALSE,"COMPCO";"adj95est",#N/A,FALSE,"COMPCO"}</definedName>
    <definedName name="부외부채" localSheetId="6" hidden="1">{"adj95mult",#N/A,FALSE,"COMPCO";"adj95est",#N/A,FALSE,"COMPCO"}</definedName>
    <definedName name="부외부채" localSheetId="45" hidden="1">{"adj95mult",#N/A,FALSE,"COMPCO";"adj95est",#N/A,FALSE,"COMPCO"}</definedName>
    <definedName name="부외부채" localSheetId="42" hidden="1">{"adj95mult",#N/A,FALSE,"COMPCO";"adj95est",#N/A,FALSE,"COMPCO"}</definedName>
    <definedName name="부외부채" hidden="1">{"adj95mult",#N/A,FALSE,"COMPCO";"adj95est",#N/A,FALSE,"COMPCO"}</definedName>
    <definedName name="부재료" localSheetId="15"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부재료" localSheetId="6"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부재료" localSheetId="45"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부재료" localSheetId="42"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부재료"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분기목표대비" localSheetId="15" hidden="1">{#N/A,#N/A,FALSE,"현장 NCR 분석";#N/A,#N/A,FALSE,"현장품질감사";#N/A,#N/A,FALSE,"현장품질감사"}</definedName>
    <definedName name="분기목표대비" localSheetId="6" hidden="1">{#N/A,#N/A,FALSE,"현장 NCR 분석";#N/A,#N/A,FALSE,"현장품질감사";#N/A,#N/A,FALSE,"현장품질감사"}</definedName>
    <definedName name="분기목표대비" localSheetId="45" hidden="1">{#N/A,#N/A,FALSE,"현장 NCR 분석";#N/A,#N/A,FALSE,"현장품질감사";#N/A,#N/A,FALSE,"현장품질감사"}</definedName>
    <definedName name="분기목표대비" localSheetId="42" hidden="1">{#N/A,#N/A,FALSE,"현장 NCR 분석";#N/A,#N/A,FALSE,"현장품질감사";#N/A,#N/A,FALSE,"현장품질감사"}</definedName>
    <definedName name="분기목표대비" hidden="1">{#N/A,#N/A,FALSE,"현장 NCR 분석";#N/A,#N/A,FALSE,"현장품질감사";#N/A,#N/A,FALSE,"현장품질감사"}</definedName>
    <definedName name="분기별" localSheetId="42" hidden="1">{#N/A,#N/A,TRUE,"Y생산";#N/A,#N/A,TRUE,"Y판매";#N/A,#N/A,TRUE,"Y총물량";#N/A,#N/A,TRUE,"Y능력";#N/A,#N/A,TRUE,"YKD"}</definedName>
    <definedName name="분기별" hidden="1">{#N/A,#N/A,TRUE,"Y생산";#N/A,#N/A,TRUE,"Y판매";#N/A,#N/A,TRUE,"Y총물량";#N/A,#N/A,TRUE,"Y능력";#N/A,#N/A,TRUE,"YKD"}</definedName>
    <definedName name="분기외화" localSheetId="42" hidden="1">{#N/A,#N/A,FALSE,"1.CRITERIA";#N/A,#N/A,FALSE,"2.IS";#N/A,#N/A,FALSE,"3.BS";#N/A,#N/A,FALSE,"4.PER PL";#N/A,#N/A,FALSE,"5.INVESTMENT";#N/A,#N/A,FALSE,"6.공문";#N/A,#N/A,FALSE,"7.netinvest"}</definedName>
    <definedName name="분기외화" hidden="1">{#N/A,#N/A,FALSE,"1.CRITERIA";#N/A,#N/A,FALSE,"2.IS";#N/A,#N/A,FALSE,"3.BS";#N/A,#N/A,FALSE,"4.PER PL";#N/A,#N/A,FALSE,"5.INVESTMENT";#N/A,#N/A,FALSE,"6.공문";#N/A,#N/A,FALSE,"7.netinvest"}</definedName>
    <definedName name="분사" localSheetId="15" hidden="1">{"'미착금액'!$A$4:$G$14"}</definedName>
    <definedName name="분사" localSheetId="6" hidden="1">{"'미착금액'!$A$4:$G$14"}</definedName>
    <definedName name="분사" localSheetId="45" hidden="1">{"'미착금액'!$A$4:$G$14"}</definedName>
    <definedName name="분사" localSheetId="42" hidden="1">{"'미착금액'!$A$4:$G$14"}</definedName>
    <definedName name="분사" hidden="1">{"'미착금액'!$A$4:$G$14"}</definedName>
    <definedName name="분석4" localSheetId="15" hidden="1">{#N/A,#N/A,FALSE,"손익표지";#N/A,#N/A,FALSE,"손익계산";#N/A,#N/A,FALSE,"일반관리비";#N/A,#N/A,FALSE,"영업외수익";#N/A,#N/A,FALSE,"영업외비용";#N/A,#N/A,FALSE,"매출액";#N/A,#N/A,FALSE,"요약손익";#N/A,#N/A,FALSE,"요약대차";#N/A,#N/A,FALSE,"매출채권현황";#N/A,#N/A,FALSE,"매출채권명세"}</definedName>
    <definedName name="분석4" localSheetId="6" hidden="1">{#N/A,#N/A,FALSE,"손익표지";#N/A,#N/A,FALSE,"손익계산";#N/A,#N/A,FALSE,"일반관리비";#N/A,#N/A,FALSE,"영업외수익";#N/A,#N/A,FALSE,"영업외비용";#N/A,#N/A,FALSE,"매출액";#N/A,#N/A,FALSE,"요약손익";#N/A,#N/A,FALSE,"요약대차";#N/A,#N/A,FALSE,"매출채권현황";#N/A,#N/A,FALSE,"매출채권명세"}</definedName>
    <definedName name="분석4" localSheetId="45" hidden="1">{#N/A,#N/A,FALSE,"손익표지";#N/A,#N/A,FALSE,"손익계산";#N/A,#N/A,FALSE,"일반관리비";#N/A,#N/A,FALSE,"영업외수익";#N/A,#N/A,FALSE,"영업외비용";#N/A,#N/A,FALSE,"매출액";#N/A,#N/A,FALSE,"요약손익";#N/A,#N/A,FALSE,"요약대차";#N/A,#N/A,FALSE,"매출채권현황";#N/A,#N/A,FALSE,"매출채권명세"}</definedName>
    <definedName name="분석4" localSheetId="42" hidden="1">{#N/A,#N/A,FALSE,"손익표지";#N/A,#N/A,FALSE,"손익계산";#N/A,#N/A,FALSE,"일반관리비";#N/A,#N/A,FALSE,"영업외수익";#N/A,#N/A,FALSE,"영업외비용";#N/A,#N/A,FALSE,"매출액";#N/A,#N/A,FALSE,"요약손익";#N/A,#N/A,FALSE,"요약대차";#N/A,#N/A,FALSE,"매출채권현황";#N/A,#N/A,FALSE,"매출채권명세"}</definedName>
    <definedName name="분석4" hidden="1">{#N/A,#N/A,FALSE,"손익표지";#N/A,#N/A,FALSE,"손익계산";#N/A,#N/A,FALSE,"일반관리비";#N/A,#N/A,FALSE,"영업외수익";#N/A,#N/A,FALSE,"영업외비용";#N/A,#N/A,FALSE,"매출액";#N/A,#N/A,FALSE,"요약손익";#N/A,#N/A,FALSE,"요약대차";#N/A,#N/A,FALSE,"매출채권현황";#N/A,#N/A,FALSE,"매출채권명세"}</definedName>
    <definedName name="비" localSheetId="15"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비" localSheetId="6"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비" localSheetId="45"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비" localSheetId="42"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비" hidden="1">{#N/A,#N/A,FALSE,"1.CRITERIA";#N/A,#N/A,FALSE,"2.IS";#N/A,#N/A,FALSE,"3.BS";#N/A,#N/A,FALSE,"4.PER PL";#N/A,#N/A,FALSE,"5.INVESTMENT";#N/A,#N/A,FALSE,"6.공문";#N/A,#N/A,FALSE,"7.netinvest"}</definedName>
    <definedName name="비교" localSheetId="15"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비교" localSheetId="6"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비교" localSheetId="45"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비교" localSheetId="4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비교"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비교손익당초" localSheetId="15" hidden="1">{#N/A,#N/A,FALSE,"정공"}</definedName>
    <definedName name="비교손익당초" localSheetId="6" hidden="1">{#N/A,#N/A,FALSE,"정공"}</definedName>
    <definedName name="비교손익당초" localSheetId="45" hidden="1">{#N/A,#N/A,FALSE,"정공"}</definedName>
    <definedName name="비교손익당초" localSheetId="42" hidden="1">{#N/A,#N/A,FALSE,"정공"}</definedName>
    <definedName name="비교손익당초" hidden="1">{#N/A,#N/A,FALSE,"정공"}</definedName>
    <definedName name="비비비" localSheetId="12" hidden="1">#REF!</definedName>
    <definedName name="비비비" localSheetId="30" hidden="1">#REF!</definedName>
    <definedName name="비비비" localSheetId="29" hidden="1">#REF!</definedName>
    <definedName name="비비비" localSheetId="33" hidden="1">#REF!</definedName>
    <definedName name="비비비" localSheetId="15" hidden="1">#REF!</definedName>
    <definedName name="비비비" localSheetId="31" hidden="1">#REF!</definedName>
    <definedName name="비비비" localSheetId="6" hidden="1">#REF!</definedName>
    <definedName name="비비비" localSheetId="42" hidden="1">#REF!</definedName>
    <definedName name="비비비" hidden="1">#REF!</definedName>
    <definedName name="비율0" localSheetId="12" hidden="1">#REF!</definedName>
    <definedName name="비율0" localSheetId="30" hidden="1">#REF!</definedName>
    <definedName name="비율0" localSheetId="29" hidden="1">#REF!</definedName>
    <definedName name="비율0" localSheetId="33" hidden="1">#REF!</definedName>
    <definedName name="비율0" localSheetId="31" hidden="1">#REF!</definedName>
    <definedName name="비율0" hidden="1">#REF!</definedName>
    <definedName name="비율2" localSheetId="12" hidden="1">#REF!</definedName>
    <definedName name="비율2" localSheetId="30" hidden="1">#REF!</definedName>
    <definedName name="비율2" localSheetId="29" hidden="1">#REF!</definedName>
    <definedName name="비율2" localSheetId="33" hidden="1">#REF!</definedName>
    <definedName name="비율2" localSheetId="15" hidden="1">#REF!</definedName>
    <definedName name="비율2" localSheetId="31" hidden="1">#REF!</definedName>
    <definedName name="비율2" localSheetId="6" hidden="1">#REF!</definedName>
    <definedName name="비율2" localSheetId="42" hidden="1">#REF!</definedName>
    <definedName name="비율2" hidden="1">#REF!</definedName>
    <definedName name="비품1" localSheetId="15" hidden="1">#REF!</definedName>
    <definedName name="비품1" localSheetId="6" hidden="1">#REF!</definedName>
    <definedName name="비품1" localSheetId="42" hidden="1">#REF!</definedName>
    <definedName name="비품1" hidden="1">#REF!</definedName>
    <definedName name="빙수" localSheetId="15" hidden="1">{#N/A,#N/A,FALSE,"1.CRITERIA";#N/A,#N/A,FALSE,"2.IS";#N/A,#N/A,FALSE,"3.BS";#N/A,#N/A,FALSE,"4.PER PL";#N/A,#N/A,FALSE,"5.INVESTMENT";#N/A,#N/A,FALSE,"6.공문";#N/A,#N/A,FALSE,"7.netinvest"}</definedName>
    <definedName name="빙수" localSheetId="6" hidden="1">{#N/A,#N/A,FALSE,"1.CRITERIA";#N/A,#N/A,FALSE,"2.IS";#N/A,#N/A,FALSE,"3.BS";#N/A,#N/A,FALSE,"4.PER PL";#N/A,#N/A,FALSE,"5.INVESTMENT";#N/A,#N/A,FALSE,"6.공문";#N/A,#N/A,FALSE,"7.netinvest"}</definedName>
    <definedName name="빙수" localSheetId="45" hidden="1">{#N/A,#N/A,FALSE,"1.CRITERIA";#N/A,#N/A,FALSE,"2.IS";#N/A,#N/A,FALSE,"3.BS";#N/A,#N/A,FALSE,"4.PER PL";#N/A,#N/A,FALSE,"5.INVESTMENT";#N/A,#N/A,FALSE,"6.공문";#N/A,#N/A,FALSE,"7.netinvest"}</definedName>
    <definedName name="빙수" localSheetId="42" hidden="1">{#N/A,#N/A,FALSE,"1.CRITERIA";#N/A,#N/A,FALSE,"2.IS";#N/A,#N/A,FALSE,"3.BS";#N/A,#N/A,FALSE,"4.PER PL";#N/A,#N/A,FALSE,"5.INVESTMENT";#N/A,#N/A,FALSE,"6.공문";#N/A,#N/A,FALSE,"7.netinvest"}</definedName>
    <definedName name="빙수" hidden="1">{#N/A,#N/A,FALSE,"1.CRITERIA";#N/A,#N/A,FALSE,"2.IS";#N/A,#N/A,FALSE,"3.BS";#N/A,#N/A,FALSE,"4.PER PL";#N/A,#N/A,FALSE,"5.INVESTMENT";#N/A,#N/A,FALSE,"6.공문";#N/A,#N/A,FALSE,"7.netinvest"}</definedName>
    <definedName name="ㅄㄱㅎㅁㄴㅇ" localSheetId="15" hidden="1">{#N/A,#N/A,FALSE,"손익표지";#N/A,#N/A,FALSE,"손익계산";#N/A,#N/A,FALSE,"일반관리비";#N/A,#N/A,FALSE,"영업외수익";#N/A,#N/A,FALSE,"영업외비용";#N/A,#N/A,FALSE,"매출액";#N/A,#N/A,FALSE,"요약손익";#N/A,#N/A,FALSE,"요약대차";#N/A,#N/A,FALSE,"매출채권현황";#N/A,#N/A,FALSE,"매출채권명세"}</definedName>
    <definedName name="ㅄㄱㅎㅁㄴㅇ"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ㅄㄱㅎㅁㄴㅇ" localSheetId="45" hidden="1">{#N/A,#N/A,FALSE,"손익표지";#N/A,#N/A,FALSE,"손익계산";#N/A,#N/A,FALSE,"일반관리비";#N/A,#N/A,FALSE,"영업외수익";#N/A,#N/A,FALSE,"영업외비용";#N/A,#N/A,FALSE,"매출액";#N/A,#N/A,FALSE,"요약손익";#N/A,#N/A,FALSE,"요약대차";#N/A,#N/A,FALSE,"매출채권현황";#N/A,#N/A,FALSE,"매출채권명세"}</definedName>
    <definedName name="ㅄㄱㅎㅁㄴㅇ" localSheetId="42" hidden="1">{#N/A,#N/A,FALSE,"손익표지";#N/A,#N/A,FALSE,"손익계산";#N/A,#N/A,FALSE,"일반관리비";#N/A,#N/A,FALSE,"영업외수익";#N/A,#N/A,FALSE,"영업외비용";#N/A,#N/A,FALSE,"매출액";#N/A,#N/A,FALSE,"요약손익";#N/A,#N/A,FALSE,"요약대차";#N/A,#N/A,FALSE,"매출채권현황";#N/A,#N/A,FALSE,"매출채권명세"}</definedName>
    <definedName name="ㅄㄱㅎㅁㄴㅇ" hidden="1">{#N/A,#N/A,FALSE,"손익표지";#N/A,#N/A,FALSE,"손익계산";#N/A,#N/A,FALSE,"일반관리비";#N/A,#N/A,FALSE,"영업외수익";#N/A,#N/A,FALSE,"영업외비용";#N/A,#N/A,FALSE,"매출액";#N/A,#N/A,FALSE,"요약손익";#N/A,#N/A,FALSE,"요약대차";#N/A,#N/A,FALSE,"매출채권현황";#N/A,#N/A,FALSE,"매출채권명세"}</definedName>
    <definedName name="ㅅ" localSheetId="42" hidden="1">{#N/A,#N/A,FALSE,"BS";#N/A,#N/A,FALSE,"PL";#N/A,#N/A,FALSE,"처분";#N/A,#N/A,FALSE,"현금";#N/A,#N/A,FALSE,"매출";#N/A,#N/A,FALSE,"원가";#N/A,#N/A,FALSE,"경영"}</definedName>
    <definedName name="ㅅ" hidden="1">{#N/A,#N/A,FALSE,"BS";#N/A,#N/A,FALSE,"PL";#N/A,#N/A,FALSE,"처분";#N/A,#N/A,FALSE,"현금";#N/A,#N/A,FALSE,"매출";#N/A,#N/A,FALSE,"원가";#N/A,#N/A,FALSE,"경영"}</definedName>
    <definedName name="ㅅ교ㄳ" localSheetId="15" hidden="1">{#N/A,#N/A,FALSE,"손익표지";#N/A,#N/A,FALSE,"손익계산";#N/A,#N/A,FALSE,"일반관리비";#N/A,#N/A,FALSE,"영업외수익";#N/A,#N/A,FALSE,"영업외비용";#N/A,#N/A,FALSE,"매출액";#N/A,#N/A,FALSE,"요약손익";#N/A,#N/A,FALSE,"요약대차";#N/A,#N/A,FALSE,"매출채권현황";#N/A,#N/A,FALSE,"매출채권명세"}</definedName>
    <definedName name="ㅅ교ㄳ"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ㅅ교ㄳ" localSheetId="45" hidden="1">{#N/A,#N/A,FALSE,"손익표지";#N/A,#N/A,FALSE,"손익계산";#N/A,#N/A,FALSE,"일반관리비";#N/A,#N/A,FALSE,"영업외수익";#N/A,#N/A,FALSE,"영업외비용";#N/A,#N/A,FALSE,"매출액";#N/A,#N/A,FALSE,"요약손익";#N/A,#N/A,FALSE,"요약대차";#N/A,#N/A,FALSE,"매출채권현황";#N/A,#N/A,FALSE,"매출채권명세"}</definedName>
    <definedName name="ㅅ교ㄳ" localSheetId="42" hidden="1">{#N/A,#N/A,FALSE,"손익표지";#N/A,#N/A,FALSE,"손익계산";#N/A,#N/A,FALSE,"일반관리비";#N/A,#N/A,FALSE,"영업외수익";#N/A,#N/A,FALSE,"영업외비용";#N/A,#N/A,FALSE,"매출액";#N/A,#N/A,FALSE,"요약손익";#N/A,#N/A,FALSE,"요약대차";#N/A,#N/A,FALSE,"매출채권현황";#N/A,#N/A,FALSE,"매출채권명세"}</definedName>
    <definedName name="ㅅ교ㄳ" hidden="1">{#N/A,#N/A,FALSE,"손익표지";#N/A,#N/A,FALSE,"손익계산";#N/A,#N/A,FALSE,"일반관리비";#N/A,#N/A,FALSE,"영업외수익";#N/A,#N/A,FALSE,"영업외비용";#N/A,#N/A,FALSE,"매출액";#N/A,#N/A,FALSE,"요약손익";#N/A,#N/A,FALSE,"요약대차";#N/A,#N/A,FALSE,"매출채권현황";#N/A,#N/A,FALSE,"매출채권명세"}</definedName>
    <definedName name="ㅅㄷㄱ" localSheetId="15" hidden="1">{#N/A,#N/A,FALSE,"손익표지";#N/A,#N/A,FALSE,"손익계산";#N/A,#N/A,FALSE,"일반관리비";#N/A,#N/A,FALSE,"영업외수익";#N/A,#N/A,FALSE,"영업외비용";#N/A,#N/A,FALSE,"매출액";#N/A,#N/A,FALSE,"요약손익";#N/A,#N/A,FALSE,"요약대차";#N/A,#N/A,FALSE,"매출채권현황";#N/A,#N/A,FALSE,"매출채권명세"}</definedName>
    <definedName name="ㅅㄷㄱ"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ㅅㄷㄱ" localSheetId="45" hidden="1">{#N/A,#N/A,FALSE,"손익표지";#N/A,#N/A,FALSE,"손익계산";#N/A,#N/A,FALSE,"일반관리비";#N/A,#N/A,FALSE,"영업외수익";#N/A,#N/A,FALSE,"영업외비용";#N/A,#N/A,FALSE,"매출액";#N/A,#N/A,FALSE,"요약손익";#N/A,#N/A,FALSE,"요약대차";#N/A,#N/A,FALSE,"매출채권현황";#N/A,#N/A,FALSE,"매출채권명세"}</definedName>
    <definedName name="ㅅㄷㄱ" localSheetId="42" hidden="1">{#N/A,#N/A,FALSE,"손익표지";#N/A,#N/A,FALSE,"손익계산";#N/A,#N/A,FALSE,"일반관리비";#N/A,#N/A,FALSE,"영업외수익";#N/A,#N/A,FALSE,"영업외비용";#N/A,#N/A,FALSE,"매출액";#N/A,#N/A,FALSE,"요약손익";#N/A,#N/A,FALSE,"요약대차";#N/A,#N/A,FALSE,"매출채권현황";#N/A,#N/A,FALSE,"매출채권명세"}</definedName>
    <definedName name="ㅅㄷㄱ" hidden="1">{#N/A,#N/A,FALSE,"손익표지";#N/A,#N/A,FALSE,"손익계산";#N/A,#N/A,FALSE,"일반관리비";#N/A,#N/A,FALSE,"영업외수익";#N/A,#N/A,FALSE,"영업외비용";#N/A,#N/A,FALSE,"매출액";#N/A,#N/A,FALSE,"요약손익";#N/A,#N/A,FALSE,"요약대차";#N/A,#N/A,FALSE,"매출채권현황";#N/A,#N/A,FALSE,"매출채권명세"}</definedName>
    <definedName name="ㅅㅅ" localSheetId="12" hidden="1">{#N/A,#N/A,FALSE,"UNIT";#N/A,#N/A,FALSE,"UNIT";#N/A,#N/A,FALSE,"계정"}</definedName>
    <definedName name="ㅅㅅ" localSheetId="42" hidden="1">{#N/A,#N/A,FALSE,"UNIT";#N/A,#N/A,FALSE,"UNIT";#N/A,#N/A,FALSE,"계정"}</definedName>
    <definedName name="ㅅㅅ" hidden="1">{#N/A,#N/A,FALSE,"UNIT";#N/A,#N/A,FALSE,"UNIT";#N/A,#N/A,FALSE,"계정"}</definedName>
    <definedName name="ㅅㅅㅅ" localSheetId="12" hidden="1">{"'손익현황'!$A$1:$J$29"}</definedName>
    <definedName name="ㅅㅅㅅ" localSheetId="42" hidden="1">{"'손익현황'!$A$1:$J$29"}</definedName>
    <definedName name="ㅅㅅㅅ" hidden="1">{"'손익현황'!$A$1:$J$29"}</definedName>
    <definedName name="ㅅㅅㅅㅅ" localSheetId="12" hidden="1">{#N/A,#N/A,FALSE,"UNIT";#N/A,#N/A,FALSE,"UNIT";#N/A,#N/A,FALSE,"계정"}</definedName>
    <definedName name="ㅅㅅㅅㅅ" localSheetId="42" hidden="1">{#N/A,#N/A,FALSE,"UNIT";#N/A,#N/A,FALSE,"UNIT";#N/A,#N/A,FALSE,"계정"}</definedName>
    <definedName name="ㅅㅅㅅㅅ" hidden="1">{#N/A,#N/A,FALSE,"UNIT";#N/A,#N/A,FALSE,"UNIT";#N/A,#N/A,FALSE,"계정"}</definedName>
    <definedName name="ㅅㅅㅅㅅㅅㅅㅅ" localSheetId="12" hidden="1">{#N/A,#N/A,FALSE,"UNIT";#N/A,#N/A,FALSE,"UNIT";#N/A,#N/A,FALSE,"계정"}</definedName>
    <definedName name="ㅅㅅㅅㅅㅅㅅㅅ" localSheetId="42" hidden="1">{#N/A,#N/A,FALSE,"UNIT";#N/A,#N/A,FALSE,"UNIT";#N/A,#N/A,FALSE,"계정"}</definedName>
    <definedName name="ㅅㅅㅅㅅㅅㅅㅅ" hidden="1">{#N/A,#N/A,FALSE,"UNIT";#N/A,#N/A,FALSE,"UNIT";#N/A,#N/A,FALSE,"계정"}</definedName>
    <definedName name="ㅅ세" localSheetId="15" hidden="1">{#N/A,#N/A,FALSE,"98소지이동TOTvs99.1 (2)";#N/A,#N/A,FALSE,"TOTAL";#N/A,#N/A,FALSE,"98소지이동TOTvs99.1(b) (2)"}</definedName>
    <definedName name="ㅅ세" localSheetId="6" hidden="1">{#N/A,#N/A,FALSE,"98소지이동TOTvs99.1 (2)";#N/A,#N/A,FALSE,"TOTAL";#N/A,#N/A,FALSE,"98소지이동TOTvs99.1(b) (2)"}</definedName>
    <definedName name="ㅅ세" localSheetId="45" hidden="1">{#N/A,#N/A,FALSE,"98소지이동TOTvs99.1 (2)";#N/A,#N/A,FALSE,"TOTAL";#N/A,#N/A,FALSE,"98소지이동TOTvs99.1(b) (2)"}</definedName>
    <definedName name="ㅅ세" localSheetId="42" hidden="1">{#N/A,#N/A,FALSE,"98소지이동TOTvs99.1 (2)";#N/A,#N/A,FALSE,"TOTAL";#N/A,#N/A,FALSE,"98소지이동TOTvs99.1(b) (2)"}</definedName>
    <definedName name="ㅅ세" hidden="1">{#N/A,#N/A,FALSE,"98소지이동TOTvs99.1 (2)";#N/A,#N/A,FALSE,"TOTAL";#N/A,#N/A,FALSE,"98소지이동TOTvs99.1(b) (2)"}</definedName>
    <definedName name="사" localSheetId="15" hidden="1">{#N/A,#N/A,FALSE,"1.CRITERIA";#N/A,#N/A,FALSE,"2.IS";#N/A,#N/A,FALSE,"3.BS";#N/A,#N/A,FALSE,"4.PER PL";#N/A,#N/A,FALSE,"5.INVESTMENT";#N/A,#N/A,FALSE,"6.공문";#N/A,#N/A,FALSE,"7.netinvest"}</definedName>
    <definedName name="사" localSheetId="6" hidden="1">{#N/A,#N/A,FALSE,"1.CRITERIA";#N/A,#N/A,FALSE,"2.IS";#N/A,#N/A,FALSE,"3.BS";#N/A,#N/A,FALSE,"4.PER PL";#N/A,#N/A,FALSE,"5.INVESTMENT";#N/A,#N/A,FALSE,"6.공문";#N/A,#N/A,FALSE,"7.netinvest"}</definedName>
    <definedName name="사" localSheetId="45" hidden="1">{#N/A,#N/A,FALSE,"1.CRITERIA";#N/A,#N/A,FALSE,"2.IS";#N/A,#N/A,FALSE,"3.BS";#N/A,#N/A,FALSE,"4.PER PL";#N/A,#N/A,FALSE,"5.INVESTMENT";#N/A,#N/A,FALSE,"6.공문";#N/A,#N/A,FALSE,"7.netinvest"}</definedName>
    <definedName name="사" localSheetId="42" hidden="1">{#N/A,#N/A,FALSE,"1.CRITERIA";#N/A,#N/A,FALSE,"2.IS";#N/A,#N/A,FALSE,"3.BS";#N/A,#N/A,FALSE,"4.PER PL";#N/A,#N/A,FALSE,"5.INVESTMENT";#N/A,#N/A,FALSE,"6.공문";#N/A,#N/A,FALSE,"7.netinvest"}</definedName>
    <definedName name="사" hidden="1">{#N/A,#N/A,FALSE,"지침";#N/A,#N/A,FALSE,"환경분석";#N/A,#N/A,FALSE,"Sheet16"}</definedName>
    <definedName name="사1" localSheetId="12" hidden="1">{#N/A,#N/A,FALSE,"지침";#N/A,#N/A,FALSE,"환경분석";#N/A,#N/A,FALSE,"Sheet16"}</definedName>
    <definedName name="사1" localSheetId="42" hidden="1">{#N/A,#N/A,FALSE,"지침";#N/A,#N/A,FALSE,"환경분석";#N/A,#N/A,FALSE,"Sheet16"}</definedName>
    <definedName name="사1" hidden="1">{#N/A,#N/A,FALSE,"지침";#N/A,#N/A,FALSE,"환경분석";#N/A,#N/A,FALSE,"Sheet16"}</definedName>
    <definedName name="사고뭉치" localSheetId="42" hidden="1">{#N/A,#N/A,FALSE,"96 3월물량표";#N/A,#N/A,FALSE,"96 4월물량표";#N/A,#N/A,FALSE,"96 5월물량표"}</definedName>
    <definedName name="사고뭉치" hidden="1">{#N/A,#N/A,FALSE,"96 3월물량표";#N/A,#N/A,FALSE,"96 4월물량표";#N/A,#N/A,FALSE,"96 5월물량표"}</definedName>
    <definedName name="사다함이" localSheetId="15" hidden="1">{#N/A,#N/A,FALSE,"정공"}</definedName>
    <definedName name="사다함이" localSheetId="6" hidden="1">{#N/A,#N/A,FALSE,"정공"}</definedName>
    <definedName name="사다함이" localSheetId="45" hidden="1">{#N/A,#N/A,FALSE,"정공"}</definedName>
    <definedName name="사다함이" localSheetId="42" hidden="1">{#N/A,#N/A,FALSE,"정공"}</definedName>
    <definedName name="사다함이" hidden="1">{#N/A,#N/A,FALSE,"정공"}</definedName>
    <definedName name="사랑" localSheetId="12" hidden="1">{#N/A,#N/A,FALSE,"지침";#N/A,#N/A,FALSE,"환경분석";#N/A,#N/A,FALSE,"Sheet16"}</definedName>
    <definedName name="사랑" localSheetId="42" hidden="1">{#N/A,#N/A,FALSE,"지침";#N/A,#N/A,FALSE,"환경분석";#N/A,#N/A,FALSE,"Sheet16"}</definedName>
    <definedName name="사랑" hidden="1">{#N/A,#N/A,FALSE,"지침";#N/A,#N/A,FALSE,"환경분석";#N/A,#N/A,FALSE,"Sheet16"}</definedName>
    <definedName name="사망" localSheetId="4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사망"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사업" localSheetId="42" hidden="1">{"'경비내역'!$E$11"}</definedName>
    <definedName name="사업" hidden="1">{"'경비내역'!$E$11"}</definedName>
    <definedName name="사업계획" localSheetId="42" hidden="1">{#N/A,#N/A,FALSE,"기술료 비교"}</definedName>
    <definedName name="사업계획" hidden="1">{#N/A,#N/A,FALSE,"기술료 비교"}</definedName>
    <definedName name="사업계획2" localSheetId="15" hidden="1">{#N/A,#N/A,FALSE,"정공"}</definedName>
    <definedName name="사업계획2" localSheetId="6" hidden="1">{#N/A,#N/A,FALSE,"정공"}</definedName>
    <definedName name="사업계획2" localSheetId="45" hidden="1">{#N/A,#N/A,FALSE,"정공"}</definedName>
    <definedName name="사업계획2" localSheetId="42" hidden="1">{#N/A,#N/A,FALSE,"정공"}</definedName>
    <definedName name="사업계획2" hidden="1">{#N/A,#N/A,FALSE,"정공"}</definedName>
    <definedName name="사업비교표" localSheetId="15" hidden="1">{#N/A,#N/A,FALSE,"정공"}</definedName>
    <definedName name="사업비교표" localSheetId="6" hidden="1">{#N/A,#N/A,FALSE,"정공"}</definedName>
    <definedName name="사업비교표" localSheetId="45" hidden="1">{#N/A,#N/A,FALSE,"정공"}</definedName>
    <definedName name="사업비교표" localSheetId="42" hidden="1">{#N/A,#N/A,FALSE,"정공"}</definedName>
    <definedName name="사업비교표" hidden="1">{#N/A,#N/A,FALSE,"정공"}</definedName>
    <definedName name="사업추진" localSheetId="15" hidden="1">{#N/A,#N/A,FALSE,"정공"}</definedName>
    <definedName name="사업추진" localSheetId="6" hidden="1">{#N/A,#N/A,FALSE,"정공"}</definedName>
    <definedName name="사업추진" localSheetId="45" hidden="1">{#N/A,#N/A,FALSE,"정공"}</definedName>
    <definedName name="사업추진" localSheetId="42" hidden="1">{#N/A,#N/A,FALSE,"정공"}</definedName>
    <definedName name="사업추진" hidden="1">{#N/A,#N/A,FALSE,"정공"}</definedName>
    <definedName name="사업활성" localSheetId="12" hidden="1">{#N/A,#N/A,FALSE,"UNIT";#N/A,#N/A,FALSE,"UNIT";#N/A,#N/A,FALSE,"계정"}</definedName>
    <definedName name="사업활성" localSheetId="42" hidden="1">{#N/A,#N/A,FALSE,"UNIT";#N/A,#N/A,FALSE,"UNIT";#N/A,#N/A,FALSE,"계정"}</definedName>
    <definedName name="사업활성" hidden="1">{#N/A,#N/A,FALSE,"UNIT";#N/A,#N/A,FALSE,"UNIT";#N/A,#N/A,FALSE,"계정"}</definedName>
    <definedName name="사원미지급" localSheetId="15" hidden="1">{#N/A,#N/A,FALSE,"1.CRITERIA";#N/A,#N/A,FALSE,"2.IS";#N/A,#N/A,FALSE,"3.BS";#N/A,#N/A,FALSE,"4.PER PL";#N/A,#N/A,FALSE,"5.INVESTMENT";#N/A,#N/A,FALSE,"6.공문";#N/A,#N/A,FALSE,"7.netinvest"}</definedName>
    <definedName name="사원미지급" localSheetId="6" hidden="1">{#N/A,#N/A,FALSE,"1.CRITERIA";#N/A,#N/A,FALSE,"2.IS";#N/A,#N/A,FALSE,"3.BS";#N/A,#N/A,FALSE,"4.PER PL";#N/A,#N/A,FALSE,"5.INVESTMENT";#N/A,#N/A,FALSE,"6.공문";#N/A,#N/A,FALSE,"7.netinvest"}</definedName>
    <definedName name="사원미지급" localSheetId="45" hidden="1">{#N/A,#N/A,FALSE,"1.CRITERIA";#N/A,#N/A,FALSE,"2.IS";#N/A,#N/A,FALSE,"3.BS";#N/A,#N/A,FALSE,"4.PER PL";#N/A,#N/A,FALSE,"5.INVESTMENT";#N/A,#N/A,FALSE,"6.공문";#N/A,#N/A,FALSE,"7.netinvest"}</definedName>
    <definedName name="사원미지급" localSheetId="42" hidden="1">{#N/A,#N/A,FALSE,"1.CRITERIA";#N/A,#N/A,FALSE,"2.IS";#N/A,#N/A,FALSE,"3.BS";#N/A,#N/A,FALSE,"4.PER PL";#N/A,#N/A,FALSE,"5.INVESTMENT";#N/A,#N/A,FALSE,"6.공문";#N/A,#N/A,FALSE,"7.netinvest"}</definedName>
    <definedName name="사원미지급" hidden="1">{#N/A,#N/A,FALSE,"1.CRITERIA";#N/A,#N/A,FALSE,"2.IS";#N/A,#N/A,FALSE,"3.BS";#N/A,#N/A,FALSE,"4.PER PL";#N/A,#N/A,FALSE,"5.INVESTMENT";#N/A,#N/A,FALSE,"6.공문";#N/A,#N/A,FALSE,"7.netinvest"}</definedName>
    <definedName name="삼성" localSheetId="15" hidden="1">{#N/A,#N/A,FALSE,"정공"}</definedName>
    <definedName name="삼성" localSheetId="6" hidden="1">{#N/A,#N/A,FALSE,"정공"}</definedName>
    <definedName name="삼성" localSheetId="45" hidden="1">{#N/A,#N/A,FALSE,"정공"}</definedName>
    <definedName name="삼성" localSheetId="42" hidden="1">{#N/A,#N/A,FALSE,"정공"}</definedName>
    <definedName name="삼성" hidden="1">{#N/A,#N/A,FALSE,"정공"}</definedName>
    <definedName name="삼성2" localSheetId="15" hidden="1">{#N/A,#N/A,FALSE,"정공"}</definedName>
    <definedName name="삼성2" localSheetId="6" hidden="1">{#N/A,#N/A,FALSE,"정공"}</definedName>
    <definedName name="삼성2" localSheetId="45" hidden="1">{#N/A,#N/A,FALSE,"정공"}</definedName>
    <definedName name="삼성2" localSheetId="42" hidden="1">{#N/A,#N/A,FALSE,"정공"}</definedName>
    <definedName name="삼성2" hidden="1">{#N/A,#N/A,FALSE,"정공"}</definedName>
    <definedName name="상로허호" localSheetId="15" hidden="1">{#N/A,#N/A,FALSE,"정공"}</definedName>
    <definedName name="상로허호" localSheetId="6" hidden="1">{#N/A,#N/A,FALSE,"정공"}</definedName>
    <definedName name="상로허호" localSheetId="45" hidden="1">{#N/A,#N/A,FALSE,"정공"}</definedName>
    <definedName name="상로허호" localSheetId="42" hidden="1">{#N/A,#N/A,FALSE,"정공"}</definedName>
    <definedName name="상로허호" hidden="1">{#N/A,#N/A,FALSE,"정공"}</definedName>
    <definedName name="상반고과" localSheetId="15" hidden="1">{#N/A,#N/A,FALSE,"손익표지";#N/A,#N/A,FALSE,"손익계산";#N/A,#N/A,FALSE,"일반관리비";#N/A,#N/A,FALSE,"영업외수익";#N/A,#N/A,FALSE,"영업외비용";#N/A,#N/A,FALSE,"매출액";#N/A,#N/A,FALSE,"요약손익";#N/A,#N/A,FALSE,"요약대차";#N/A,#N/A,FALSE,"매출채권현황";#N/A,#N/A,FALSE,"매출채권명세"}</definedName>
    <definedName name="상반고과" localSheetId="6" hidden="1">{#N/A,#N/A,FALSE,"손익표지";#N/A,#N/A,FALSE,"손익계산";#N/A,#N/A,FALSE,"일반관리비";#N/A,#N/A,FALSE,"영업외수익";#N/A,#N/A,FALSE,"영업외비용";#N/A,#N/A,FALSE,"매출액";#N/A,#N/A,FALSE,"요약손익";#N/A,#N/A,FALSE,"요약대차";#N/A,#N/A,FALSE,"매출채권현황";#N/A,#N/A,FALSE,"매출채권명세"}</definedName>
    <definedName name="상반고과" localSheetId="45" hidden="1">{#N/A,#N/A,FALSE,"손익표지";#N/A,#N/A,FALSE,"손익계산";#N/A,#N/A,FALSE,"일반관리비";#N/A,#N/A,FALSE,"영업외수익";#N/A,#N/A,FALSE,"영업외비용";#N/A,#N/A,FALSE,"매출액";#N/A,#N/A,FALSE,"요약손익";#N/A,#N/A,FALSE,"요약대차";#N/A,#N/A,FALSE,"매출채권현황";#N/A,#N/A,FALSE,"매출채권명세"}</definedName>
    <definedName name="상반고과" localSheetId="42" hidden="1">{#N/A,#N/A,FALSE,"손익표지";#N/A,#N/A,FALSE,"손익계산";#N/A,#N/A,FALSE,"일반관리비";#N/A,#N/A,FALSE,"영업외수익";#N/A,#N/A,FALSE,"영업외비용";#N/A,#N/A,FALSE,"매출액";#N/A,#N/A,FALSE,"요약손익";#N/A,#N/A,FALSE,"요약대차";#N/A,#N/A,FALSE,"매출채권현황";#N/A,#N/A,FALSE,"매출채권명세"}</definedName>
    <definedName name="상반고과" hidden="1">{#N/A,#N/A,FALSE,"손익표지";#N/A,#N/A,FALSE,"손익계산";#N/A,#N/A,FALSE,"일반관리비";#N/A,#N/A,FALSE,"영업외수익";#N/A,#N/A,FALSE,"영업외비용";#N/A,#N/A,FALSE,"매출액";#N/A,#N/A,FALSE,"요약손익";#N/A,#N/A,FALSE,"요약대차";#N/A,#N/A,FALSE,"매출채권현황";#N/A,#N/A,FALSE,"매출채권명세"}</definedName>
    <definedName name="상반기" localSheetId="12" hidden="1">{#N/A,#N/A,FALSE,"회선임차현황"}</definedName>
    <definedName name="상반기" localSheetId="42" hidden="1">{#N/A,#N/A,FALSE,"회선임차현황"}</definedName>
    <definedName name="상반기" hidden="1">{#N/A,#N/A,FALSE,"회선임차현황"}</definedName>
    <definedName name="상품" localSheetId="15" hidden="1">#REF!</definedName>
    <definedName name="상품" localSheetId="6" hidden="1">#REF!</definedName>
    <definedName name="상품" localSheetId="42" hidden="1">#REF!</definedName>
    <definedName name="상품" hidden="1">#REF!</definedName>
    <definedName name="새로운이름" localSheetId="12" hidden="1">{#N/A,#N/A,FALSE,"UNIT";#N/A,#N/A,FALSE,"UNIT";#N/A,#N/A,FALSE,"계정"}</definedName>
    <definedName name="새로운이름" localSheetId="42" hidden="1">{#N/A,#N/A,FALSE,"UNIT";#N/A,#N/A,FALSE,"UNIT";#N/A,#N/A,FALSE,"계정"}</definedName>
    <definedName name="새로운이름" hidden="1">{#N/A,#N/A,FALSE,"UNIT";#N/A,#N/A,FALSE,"UNIT";#N/A,#N/A,FALSE,"계정"}</definedName>
    <definedName name="새새샛" localSheetId="15" hidden="1">{"'미착금액'!$A$4:$G$14"}</definedName>
    <definedName name="새새샛" localSheetId="6" hidden="1">{"'미착금액'!$A$4:$G$14"}</definedName>
    <definedName name="새새샛" localSheetId="45" hidden="1">{"'미착금액'!$A$4:$G$14"}</definedName>
    <definedName name="새새샛" localSheetId="42" hidden="1">{"'미착금액'!$A$4:$G$14"}</definedName>
    <definedName name="새새샛" hidden="1">{"'미착금액'!$A$4:$G$14"}</definedName>
    <definedName name="새이름" localSheetId="12" hidden="1">#REF!</definedName>
    <definedName name="새이름" localSheetId="30" hidden="1">#REF!</definedName>
    <definedName name="새이름" localSheetId="29" hidden="1">#REF!</definedName>
    <definedName name="새이름" localSheetId="33" hidden="1">#REF!</definedName>
    <definedName name="새이름" localSheetId="31" hidden="1">#REF!</definedName>
    <definedName name="새이름" hidden="1">#REF!</definedName>
    <definedName name="새천년" localSheetId="42" hidden="1">{#N/A,#N/A,TRUE,"Y생산";#N/A,#N/A,TRUE,"Y판매";#N/A,#N/A,TRUE,"Y총물량";#N/A,#N/A,TRUE,"Y능력";#N/A,#N/A,TRUE,"YKD"}</definedName>
    <definedName name="새천년" hidden="1">{#N/A,#N/A,TRUE,"Y생산";#N/A,#N/A,TRUE,"Y판매";#N/A,#N/A,TRUE,"Y총물량";#N/A,#N/A,TRUE,"Y능력";#N/A,#N/A,TRUE,"YKD"}</definedName>
    <definedName name="새파일편집" localSheetId="15" hidden="1">{#N/A,#N/A,FALSE,"정공"}</definedName>
    <definedName name="새파일편집" localSheetId="6" hidden="1">{#N/A,#N/A,FALSE,"정공"}</definedName>
    <definedName name="새파일편집" localSheetId="45" hidden="1">{#N/A,#N/A,FALSE,"정공"}</definedName>
    <definedName name="새파일편집" localSheetId="42" hidden="1">{#N/A,#N/A,FALSE,"정공"}</definedName>
    <definedName name="새파일편집" hidden="1">{#N/A,#N/A,FALSE,"정공"}</definedName>
    <definedName name="생산" localSheetId="15" hidden="1">{#N/A,#N/A,FALSE,"98소지이동TOTvs99.1 (2)";#N/A,#N/A,FALSE,"TOTAL";#N/A,#N/A,FALSE,"98소지이동TOTvs99.1(b) (2)"}</definedName>
    <definedName name="생산" localSheetId="6" hidden="1">{#N/A,#N/A,FALSE,"98소지이동TOTvs99.1 (2)";#N/A,#N/A,FALSE,"TOTAL";#N/A,#N/A,FALSE,"98소지이동TOTvs99.1(b) (2)"}</definedName>
    <definedName name="생산" localSheetId="45" hidden="1">{#N/A,#N/A,FALSE,"98소지이동TOTvs99.1 (2)";#N/A,#N/A,FALSE,"TOTAL";#N/A,#N/A,FALSE,"98소지이동TOTvs99.1(b) (2)"}</definedName>
    <definedName name="생산" localSheetId="42" hidden="1">{#N/A,#N/A,FALSE,"98소지이동TOTvs99.1 (2)";#N/A,#N/A,FALSE,"TOTAL";#N/A,#N/A,FALSE,"98소지이동TOTvs99.1(b) (2)"}</definedName>
    <definedName name="생산" hidden="1">{#N/A,#N/A,FALSE,"98소지이동TOTvs99.1 (2)";#N/A,#N/A,FALSE,"TOTAL";#N/A,#N/A,FALSE,"98소지이동TOTvs99.1(b) (2)"}</definedName>
    <definedName name="생산1" localSheetId="15" hidden="1">{#N/A,#N/A,FALSE,"군산원가";#N/A,#N/A,FALSE,"팀별월별";#N/A,#N/A,FALSE,"타공정대체";#N/A,#N/A,FALSE,"기타경비";#N/A,#N/A,FALSE,"원료";#N/A,#N/A,FALSE,"연료"}</definedName>
    <definedName name="생산1" localSheetId="6" hidden="1">{#N/A,#N/A,FALSE,"군산원가";#N/A,#N/A,FALSE,"팀별월별";#N/A,#N/A,FALSE,"타공정대체";#N/A,#N/A,FALSE,"기타경비";#N/A,#N/A,FALSE,"원료";#N/A,#N/A,FALSE,"연료"}</definedName>
    <definedName name="생산1" localSheetId="45" hidden="1">{#N/A,#N/A,FALSE,"군산원가";#N/A,#N/A,FALSE,"팀별월별";#N/A,#N/A,FALSE,"타공정대체";#N/A,#N/A,FALSE,"기타경비";#N/A,#N/A,FALSE,"원료";#N/A,#N/A,FALSE,"연료"}</definedName>
    <definedName name="생산1" localSheetId="42" hidden="1">{#N/A,#N/A,FALSE,"군산원가";#N/A,#N/A,FALSE,"팀별월별";#N/A,#N/A,FALSE,"타공정대체";#N/A,#N/A,FALSE,"기타경비";#N/A,#N/A,FALSE,"원료";#N/A,#N/A,FALSE,"연료"}</definedName>
    <definedName name="생산1" hidden="1">{#N/A,#N/A,FALSE,"군산원가";#N/A,#N/A,FALSE,"팀별월별";#N/A,#N/A,FALSE,"타공정대체";#N/A,#N/A,FALSE,"기타경비";#N/A,#N/A,FALSE,"원료";#N/A,#N/A,FALSE,"연료"}</definedName>
    <definedName name="생산2" localSheetId="15" hidden="1">{#N/A,#N/A,FALSE,"군산원가";#N/A,#N/A,FALSE,"팀별월별";#N/A,#N/A,FALSE,"타공정대체";#N/A,#N/A,FALSE,"기타경비";#N/A,#N/A,FALSE,"원료";#N/A,#N/A,FALSE,"연료"}</definedName>
    <definedName name="생산2" localSheetId="6" hidden="1">{#N/A,#N/A,FALSE,"군산원가";#N/A,#N/A,FALSE,"팀별월별";#N/A,#N/A,FALSE,"타공정대체";#N/A,#N/A,FALSE,"기타경비";#N/A,#N/A,FALSE,"원료";#N/A,#N/A,FALSE,"연료"}</definedName>
    <definedName name="생산2" localSheetId="45" hidden="1">{#N/A,#N/A,FALSE,"군산원가";#N/A,#N/A,FALSE,"팀별월별";#N/A,#N/A,FALSE,"타공정대체";#N/A,#N/A,FALSE,"기타경비";#N/A,#N/A,FALSE,"원료";#N/A,#N/A,FALSE,"연료"}</definedName>
    <definedName name="생산2" localSheetId="42" hidden="1">{#N/A,#N/A,FALSE,"군산원가";#N/A,#N/A,FALSE,"팀별월별";#N/A,#N/A,FALSE,"타공정대체";#N/A,#N/A,FALSE,"기타경비";#N/A,#N/A,FALSE,"원료";#N/A,#N/A,FALSE,"연료"}</definedName>
    <definedName name="생산2" hidden="1">{#N/A,#N/A,FALSE,"군산원가";#N/A,#N/A,FALSE,"팀별월별";#N/A,#N/A,FALSE,"타공정대체";#N/A,#N/A,FALSE,"기타경비";#N/A,#N/A,FALSE,"원료";#N/A,#N/A,FALSE,"연료"}</definedName>
    <definedName name="생산3" localSheetId="15" hidden="1">{#N/A,#N/A,FALSE,"98소지이동TOTvs99.1 (2)";#N/A,#N/A,FALSE,"TOTAL";#N/A,#N/A,FALSE,"98소지이동TOTvs99.1(b) (2)"}</definedName>
    <definedName name="생산3" localSheetId="6" hidden="1">{#N/A,#N/A,FALSE,"98소지이동TOTvs99.1 (2)";#N/A,#N/A,FALSE,"TOTAL";#N/A,#N/A,FALSE,"98소지이동TOTvs99.1(b) (2)"}</definedName>
    <definedName name="생산3" localSheetId="45" hidden="1">{#N/A,#N/A,FALSE,"98소지이동TOTvs99.1 (2)";#N/A,#N/A,FALSE,"TOTAL";#N/A,#N/A,FALSE,"98소지이동TOTvs99.1(b) (2)"}</definedName>
    <definedName name="생산3" localSheetId="42" hidden="1">{#N/A,#N/A,FALSE,"98소지이동TOTvs99.1 (2)";#N/A,#N/A,FALSE,"TOTAL";#N/A,#N/A,FALSE,"98소지이동TOTvs99.1(b) (2)"}</definedName>
    <definedName name="생산3" hidden="1">{#N/A,#N/A,FALSE,"98소지이동TOTvs99.1 (2)";#N/A,#N/A,FALSE,"TOTAL";#N/A,#N/A,FALSE,"98소지이동TOTvs99.1(b) (2)"}</definedName>
    <definedName name="생산4" localSheetId="15"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생산4" localSheetId="6"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생산4" localSheetId="45"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생산4" localSheetId="42"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생산4"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생산5" localSheetId="15"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생산5" localSheetId="6"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생산5" localSheetId="45"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생산5" localSheetId="42"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생산5"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생산6" localSheetId="15" hidden="1">{#N/A,#N/A,FALSE,"Yield";#N/A,#N/A,FALSE,"Loss1";#N/A,#N/A,FALSE,"Loss2";#N/A,#N/A,FALSE,"Hour-Labor(배분)";#N/A,#N/A,FALSE,"Capital Expenditure";#N/A,#N/A,FALSE,"Productivity"}</definedName>
    <definedName name="생산6" localSheetId="6" hidden="1">{#N/A,#N/A,FALSE,"Yield";#N/A,#N/A,FALSE,"Loss1";#N/A,#N/A,FALSE,"Loss2";#N/A,#N/A,FALSE,"Hour-Labor(배분)";#N/A,#N/A,FALSE,"Capital Expenditure";#N/A,#N/A,FALSE,"Productivity"}</definedName>
    <definedName name="생산6" localSheetId="45" hidden="1">{#N/A,#N/A,FALSE,"Yield";#N/A,#N/A,FALSE,"Loss1";#N/A,#N/A,FALSE,"Loss2";#N/A,#N/A,FALSE,"Hour-Labor(배분)";#N/A,#N/A,FALSE,"Capital Expenditure";#N/A,#N/A,FALSE,"Productivity"}</definedName>
    <definedName name="생산6" localSheetId="42" hidden="1">{#N/A,#N/A,FALSE,"Yield";#N/A,#N/A,FALSE,"Loss1";#N/A,#N/A,FALSE,"Loss2";#N/A,#N/A,FALSE,"Hour-Labor(배분)";#N/A,#N/A,FALSE,"Capital Expenditure";#N/A,#N/A,FALSE,"Productivity"}</definedName>
    <definedName name="생산6" hidden="1">{#N/A,#N/A,FALSE,"Yield";#N/A,#N/A,FALSE,"Loss1";#N/A,#N/A,FALSE,"Loss2";#N/A,#N/A,FALSE,"Hour-Labor(배분)";#N/A,#N/A,FALSE,"Capital Expenditure";#N/A,#N/A,FALSE,"Productivity"}</definedName>
    <definedName name="생산7" localSheetId="15" hidden="1">{#N/A,#N/A,FALSE,"98소지이동TOTvs99.1 (2)";#N/A,#N/A,FALSE,"TOTAL";#N/A,#N/A,FALSE,"98소지이동TOTvs99.1(b) (2)"}</definedName>
    <definedName name="생산7" localSheetId="6" hidden="1">{#N/A,#N/A,FALSE,"98소지이동TOTvs99.1 (2)";#N/A,#N/A,FALSE,"TOTAL";#N/A,#N/A,FALSE,"98소지이동TOTvs99.1(b) (2)"}</definedName>
    <definedName name="생산7" localSheetId="45" hidden="1">{#N/A,#N/A,FALSE,"98소지이동TOTvs99.1 (2)";#N/A,#N/A,FALSE,"TOTAL";#N/A,#N/A,FALSE,"98소지이동TOTvs99.1(b) (2)"}</definedName>
    <definedName name="생산7" localSheetId="42" hidden="1">{#N/A,#N/A,FALSE,"98소지이동TOTvs99.1 (2)";#N/A,#N/A,FALSE,"TOTAL";#N/A,#N/A,FALSE,"98소지이동TOTvs99.1(b) (2)"}</definedName>
    <definedName name="생산7" hidden="1">{#N/A,#N/A,FALSE,"98소지이동TOTvs99.1 (2)";#N/A,#N/A,FALSE,"TOTAL";#N/A,#N/A,FALSE,"98소지이동TOTvs99.1(b) (2)"}</definedName>
    <definedName name="생산TON" localSheetId="42" hidden="1">{#N/A,#N/A,TRUE,"Y생산";#N/A,#N/A,TRUE,"Y판매";#N/A,#N/A,TRUE,"Y총물량";#N/A,#N/A,TRUE,"Y능력";#N/A,#N/A,TRUE,"YKD"}</definedName>
    <definedName name="생산TON" hidden="1">{#N/A,#N/A,TRUE,"Y생산";#N/A,#N/A,TRUE,"Y판매";#N/A,#N/A,TRUE,"Y총물량";#N/A,#N/A,TRUE,"Y능력";#N/A,#N/A,TRUE,"YKD"}</definedName>
    <definedName name="생산능력" localSheetId="15" hidden="1">{#N/A,#N/A,FALSE,"정공"}</definedName>
    <definedName name="생산능력" localSheetId="6" hidden="1">{#N/A,#N/A,FALSE,"정공"}</definedName>
    <definedName name="생산능력" localSheetId="45" hidden="1">{#N/A,#N/A,FALSE,"정공"}</definedName>
    <definedName name="생산능력" localSheetId="42" hidden="1">{#N/A,#N/A,FALSE,"정공"}</definedName>
    <definedName name="생산능력" hidden="1">{#N/A,#N/A,FALSE,"정공"}</definedName>
    <definedName name="생산성" localSheetId="15" hidden="1">{#N/A,#N/A,FALSE,"손익표지";#N/A,#N/A,FALSE,"손익계산";#N/A,#N/A,FALSE,"일반관리비";#N/A,#N/A,FALSE,"영업외수익";#N/A,#N/A,FALSE,"영업외비용";#N/A,#N/A,FALSE,"매출액";#N/A,#N/A,FALSE,"요약손익";#N/A,#N/A,FALSE,"요약대차";#N/A,#N/A,FALSE,"매출채권현황";#N/A,#N/A,FALSE,"매출채권명세"}</definedName>
    <definedName name="생산성" localSheetId="6" hidden="1">{#N/A,#N/A,FALSE,"손익표지";#N/A,#N/A,FALSE,"손익계산";#N/A,#N/A,FALSE,"일반관리비";#N/A,#N/A,FALSE,"영업외수익";#N/A,#N/A,FALSE,"영업외비용";#N/A,#N/A,FALSE,"매출액";#N/A,#N/A,FALSE,"요약손익";#N/A,#N/A,FALSE,"요약대차";#N/A,#N/A,FALSE,"매출채권현황";#N/A,#N/A,FALSE,"매출채권명세"}</definedName>
    <definedName name="생산성" localSheetId="45" hidden="1">{#N/A,#N/A,FALSE,"손익표지";#N/A,#N/A,FALSE,"손익계산";#N/A,#N/A,FALSE,"일반관리비";#N/A,#N/A,FALSE,"영업외수익";#N/A,#N/A,FALSE,"영업외비용";#N/A,#N/A,FALSE,"매출액";#N/A,#N/A,FALSE,"요약손익";#N/A,#N/A,FALSE,"요약대차";#N/A,#N/A,FALSE,"매출채권현황";#N/A,#N/A,FALSE,"매출채권명세"}</definedName>
    <definedName name="생산성" localSheetId="42" hidden="1">{#N/A,#N/A,FALSE,"손익표지";#N/A,#N/A,FALSE,"손익계산";#N/A,#N/A,FALSE,"일반관리비";#N/A,#N/A,FALSE,"영업외수익";#N/A,#N/A,FALSE,"영업외비용";#N/A,#N/A,FALSE,"매출액";#N/A,#N/A,FALSE,"요약손익";#N/A,#N/A,FALSE,"요약대차";#N/A,#N/A,FALSE,"매출채권현황";#N/A,#N/A,FALSE,"매출채권명세"}</definedName>
    <definedName name="생산성" hidden="1">{#N/A,#N/A,FALSE,"손익표지";#N/A,#N/A,FALSE,"손익계산";#N/A,#N/A,FALSE,"일반관리비";#N/A,#N/A,FALSE,"영업외수익";#N/A,#N/A,FALSE,"영업외비용";#N/A,#N/A,FALSE,"매출액";#N/A,#N/A,FALSE,"요약손익";#N/A,#N/A,FALSE,"요약대차";#N/A,#N/A,FALSE,"매출채권현황";#N/A,#N/A,FALSE,"매출채권명세"}</definedName>
    <definedName name="생산성ㄹ" localSheetId="15" hidden="1">{#N/A,#N/A,FALSE,"손익표지";#N/A,#N/A,FALSE,"손익계산";#N/A,#N/A,FALSE,"일반관리비";#N/A,#N/A,FALSE,"영업외수익";#N/A,#N/A,FALSE,"영업외비용";#N/A,#N/A,FALSE,"매출액";#N/A,#N/A,FALSE,"요약손익";#N/A,#N/A,FALSE,"요약대차";#N/A,#N/A,FALSE,"매출채권현황";#N/A,#N/A,FALSE,"매출채권명세"}</definedName>
    <definedName name="생산성ㄹ" localSheetId="6" hidden="1">{#N/A,#N/A,FALSE,"손익표지";#N/A,#N/A,FALSE,"손익계산";#N/A,#N/A,FALSE,"일반관리비";#N/A,#N/A,FALSE,"영업외수익";#N/A,#N/A,FALSE,"영업외비용";#N/A,#N/A,FALSE,"매출액";#N/A,#N/A,FALSE,"요약손익";#N/A,#N/A,FALSE,"요약대차";#N/A,#N/A,FALSE,"매출채권현황";#N/A,#N/A,FALSE,"매출채권명세"}</definedName>
    <definedName name="생산성ㄹ" localSheetId="45" hidden="1">{#N/A,#N/A,FALSE,"손익표지";#N/A,#N/A,FALSE,"손익계산";#N/A,#N/A,FALSE,"일반관리비";#N/A,#N/A,FALSE,"영업외수익";#N/A,#N/A,FALSE,"영업외비용";#N/A,#N/A,FALSE,"매출액";#N/A,#N/A,FALSE,"요약손익";#N/A,#N/A,FALSE,"요약대차";#N/A,#N/A,FALSE,"매출채권현황";#N/A,#N/A,FALSE,"매출채권명세"}</definedName>
    <definedName name="생산성ㄹ" localSheetId="42" hidden="1">{#N/A,#N/A,FALSE,"손익표지";#N/A,#N/A,FALSE,"손익계산";#N/A,#N/A,FALSE,"일반관리비";#N/A,#N/A,FALSE,"영업외수익";#N/A,#N/A,FALSE,"영업외비용";#N/A,#N/A,FALSE,"매출액";#N/A,#N/A,FALSE,"요약손익";#N/A,#N/A,FALSE,"요약대차";#N/A,#N/A,FALSE,"매출채권현황";#N/A,#N/A,FALSE,"매출채권명세"}</definedName>
    <definedName name="생산성ㄹ" hidden="1">{#N/A,#N/A,FALSE,"손익표지";#N/A,#N/A,FALSE,"손익계산";#N/A,#N/A,FALSE,"일반관리비";#N/A,#N/A,FALSE,"영업외수익";#N/A,#N/A,FALSE,"영업외비용";#N/A,#N/A,FALSE,"매출액";#N/A,#N/A,FALSE,"요약손익";#N/A,#N/A,FALSE,"요약대차";#N/A,#N/A,FALSE,"매출채권현황";#N/A,#N/A,FALSE,"매출채권명세"}</definedName>
    <definedName name="생산손익" localSheetId="15" hidden="1">{#N/A,#N/A,FALSE,"정공"}</definedName>
    <definedName name="생산손익" localSheetId="6" hidden="1">{#N/A,#N/A,FALSE,"정공"}</definedName>
    <definedName name="생산손익" localSheetId="45" hidden="1">{#N/A,#N/A,FALSE,"정공"}</definedName>
    <definedName name="생산손익" localSheetId="42" hidden="1">{#N/A,#N/A,FALSE,"정공"}</definedName>
    <definedName name="생산손익" hidden="1">{#N/A,#N/A,FALSE,"정공"}</definedName>
    <definedName name="생산특장2" localSheetId="42" hidden="1">{#N/A,#N/A,TRUE,"Y생산";#N/A,#N/A,TRUE,"Y판매";#N/A,#N/A,TRUE,"Y총물량";#N/A,#N/A,TRUE,"Y능력";#N/A,#N/A,TRUE,"YKD"}</definedName>
    <definedName name="생산특장2" hidden="1">{#N/A,#N/A,TRUE,"Y생산";#N/A,#N/A,TRUE,"Y판매";#N/A,#N/A,TRUE,"Y총물량";#N/A,#N/A,TRUE,"Y능력";#N/A,#N/A,TRUE,"YKD"}</definedName>
    <definedName name="생산품목" localSheetId="15" hidden="1">{#N/A,#N/A,FALSE,"정공"}</definedName>
    <definedName name="생산품목" localSheetId="6" hidden="1">{#N/A,#N/A,FALSE,"정공"}</definedName>
    <definedName name="생산품목" localSheetId="45" hidden="1">{#N/A,#N/A,FALSE,"정공"}</definedName>
    <definedName name="생산품목" localSheetId="42" hidden="1">{#N/A,#N/A,FALSE,"정공"}</definedName>
    <definedName name="생산품목" hidden="1">{#N/A,#N/A,FALSE,"정공"}</definedName>
    <definedName name="생산합격" localSheetId="42" hidden="1">{#N/A,#N/A,TRUE,"Y생산";#N/A,#N/A,TRUE,"Y판매";#N/A,#N/A,TRUE,"Y총물량";#N/A,#N/A,TRUE,"Y능력";#N/A,#N/A,TRUE,"YKD"}</definedName>
    <definedName name="생산합격" hidden="1">{#N/A,#N/A,TRUE,"Y생산";#N/A,#N/A,TRUE,"Y판매";#N/A,#N/A,TRUE,"Y총물량";#N/A,#N/A,TRUE,"Y능력";#N/A,#N/A,TRUE,"YKD"}</definedName>
    <definedName name="서" localSheetId="42" hidden="1">{#N/A,#N/A,FALSE,"기술료 비교"}</definedName>
    <definedName name="서" hidden="1">{#N/A,#N/A,FALSE,"기술료 비교"}</definedName>
    <definedName name="서안동확인서" localSheetId="15" hidden="1">{#N/A,#N/A,FALSE,"DAOCM 2차 검토"}</definedName>
    <definedName name="서안동확인서" localSheetId="6" hidden="1">{#N/A,#N/A,FALSE,"DAOCM 2차 검토"}</definedName>
    <definedName name="서안동확인서" localSheetId="45" hidden="1">{#N/A,#N/A,FALSE,"DAOCM 2차 검토"}</definedName>
    <definedName name="서안동확인서" localSheetId="42" hidden="1">{#N/A,#N/A,FALSE,"DAOCM 2차 검토"}</definedName>
    <definedName name="서안동확인서" hidden="1">{#N/A,#N/A,FALSE,"DAOCM 2차 검토"}</definedName>
    <definedName name="서이" localSheetId="15" hidden="1">{#N/A,#N/A,FALSE,"1.CRITERIA";#N/A,#N/A,FALSE,"2.IS";#N/A,#N/A,FALSE,"3.BS";#N/A,#N/A,FALSE,"4.PER PL";#N/A,#N/A,FALSE,"5.INVESTMENT";#N/A,#N/A,FALSE,"6.공문";#N/A,#N/A,FALSE,"7.netinvest"}</definedName>
    <definedName name="서이" localSheetId="6" hidden="1">{#N/A,#N/A,FALSE,"1.CRITERIA";#N/A,#N/A,FALSE,"2.IS";#N/A,#N/A,FALSE,"3.BS";#N/A,#N/A,FALSE,"4.PER PL";#N/A,#N/A,FALSE,"5.INVESTMENT";#N/A,#N/A,FALSE,"6.공문";#N/A,#N/A,FALSE,"7.netinvest"}</definedName>
    <definedName name="서이" localSheetId="45" hidden="1">{#N/A,#N/A,FALSE,"1.CRITERIA";#N/A,#N/A,FALSE,"2.IS";#N/A,#N/A,FALSE,"3.BS";#N/A,#N/A,FALSE,"4.PER PL";#N/A,#N/A,FALSE,"5.INVESTMENT";#N/A,#N/A,FALSE,"6.공문";#N/A,#N/A,FALSE,"7.netinvest"}</definedName>
    <definedName name="서이" localSheetId="42" hidden="1">{#N/A,#N/A,FALSE,"1.CRITERIA";#N/A,#N/A,FALSE,"2.IS";#N/A,#N/A,FALSE,"3.BS";#N/A,#N/A,FALSE,"4.PER PL";#N/A,#N/A,FALSE,"5.INVESTMENT";#N/A,#N/A,FALSE,"6.공문";#N/A,#N/A,FALSE,"7.netinvest"}</definedName>
    <definedName name="서이" hidden="1">{#N/A,#N/A,FALSE,"1.CRITERIA";#N/A,#N/A,FALSE,"2.IS";#N/A,#N/A,FALSE,"3.BS";#N/A,#N/A,FALSE,"4.PER PL";#N/A,#N/A,FALSE,"5.INVESTMENT";#N/A,#N/A,FALSE,"6.공문";#N/A,#N/A,FALSE,"7.netinvest"}</definedName>
    <definedName name="선급1" localSheetId="12" hidden="1">#REF!</definedName>
    <definedName name="선급1" localSheetId="30" hidden="1">#REF!</definedName>
    <definedName name="선급1" localSheetId="29" hidden="1">#REF!</definedName>
    <definedName name="선급1" localSheetId="33" hidden="1">#REF!</definedName>
    <definedName name="선급1" localSheetId="31" hidden="1">#REF!</definedName>
    <definedName name="선급1" hidden="1">#REF!</definedName>
    <definedName name="선급금" localSheetId="15" hidden="1">{#N/A,#N/A,FALSE,"1.CRITERIA";#N/A,#N/A,FALSE,"2.IS";#N/A,#N/A,FALSE,"3.BS";#N/A,#N/A,FALSE,"4.PER PL";#N/A,#N/A,FALSE,"5.INVESTMENT";#N/A,#N/A,FALSE,"6.공문";#N/A,#N/A,FALSE,"7.netinvest"}</definedName>
    <definedName name="선급금" localSheetId="6" hidden="1">{#N/A,#N/A,FALSE,"1.CRITERIA";#N/A,#N/A,FALSE,"2.IS";#N/A,#N/A,FALSE,"3.BS";#N/A,#N/A,FALSE,"4.PER PL";#N/A,#N/A,FALSE,"5.INVESTMENT";#N/A,#N/A,FALSE,"6.공문";#N/A,#N/A,FALSE,"7.netinvest"}</definedName>
    <definedName name="선급금" localSheetId="45" hidden="1">{#N/A,#N/A,FALSE,"1.CRITERIA";#N/A,#N/A,FALSE,"2.IS";#N/A,#N/A,FALSE,"3.BS";#N/A,#N/A,FALSE,"4.PER PL";#N/A,#N/A,FALSE,"5.INVESTMENT";#N/A,#N/A,FALSE,"6.공문";#N/A,#N/A,FALSE,"7.netinvest"}</definedName>
    <definedName name="선급금" localSheetId="42" hidden="1">{#N/A,#N/A,FALSE,"1.CRITERIA";#N/A,#N/A,FALSE,"2.IS";#N/A,#N/A,FALSE,"3.BS";#N/A,#N/A,FALSE,"4.PER PL";#N/A,#N/A,FALSE,"5.INVESTMENT";#N/A,#N/A,FALSE,"6.공문";#N/A,#N/A,FALSE,"7.netinvest"}</definedName>
    <definedName name="선급금" hidden="1">{#N/A,#N/A,FALSE,"1.CRITERIA";#N/A,#N/A,FALSE,"2.IS";#N/A,#N/A,FALSE,"3.BS";#N/A,#N/A,FALSE,"4.PER PL";#N/A,#N/A,FALSE,"5.INVESTMENT";#N/A,#N/A,FALSE,"6.공문";#N/A,#N/A,FALSE,"7.netinvest"}</definedName>
    <definedName name="선급금1" localSheetId="12" hidden="1">#REF!</definedName>
    <definedName name="선급금1" localSheetId="30" hidden="1">#REF!</definedName>
    <definedName name="선급금1" localSheetId="29" hidden="1">#REF!</definedName>
    <definedName name="선급금1" localSheetId="33" hidden="1">#REF!</definedName>
    <definedName name="선급금1" localSheetId="31" hidden="1">#REF!</definedName>
    <definedName name="선급금1" hidden="1">#REF!</definedName>
    <definedName name="설계2팀" localSheetId="12" hidden="1">{#N/A,#N/A,FALSE,"UNIT";#N/A,#N/A,FALSE,"UNIT";#N/A,#N/A,FALSE,"계정"}</definedName>
    <definedName name="설계2팀" localSheetId="42" hidden="1">{#N/A,#N/A,FALSE,"UNIT";#N/A,#N/A,FALSE,"UNIT";#N/A,#N/A,FALSE,"계정"}</definedName>
    <definedName name="설계2팀" hidden="1">{#N/A,#N/A,FALSE,"UNIT";#N/A,#N/A,FALSE,"UNIT";#N/A,#N/A,FALSE,"계정"}</definedName>
    <definedName name="설비투자" localSheetId="15" hidden="1">{#N/A,#N/A,FALSE,"정공"}</definedName>
    <definedName name="설비투자" localSheetId="6" hidden="1">{#N/A,#N/A,FALSE,"정공"}</definedName>
    <definedName name="설비투자" localSheetId="45" hidden="1">{#N/A,#N/A,FALSE,"정공"}</definedName>
    <definedName name="설비투자" localSheetId="42" hidden="1">{#N/A,#N/A,FALSE,"정공"}</definedName>
    <definedName name="설비투자" hidden="1">{#N/A,#N/A,FALSE,"정공"}</definedName>
    <definedName name="성" localSheetId="12" hidden="1">{#N/A,#N/A,FALSE,"UNIT";#N/A,#N/A,FALSE,"UNIT";#N/A,#N/A,FALSE,"계정"}</definedName>
    <definedName name="성" localSheetId="42" hidden="1">{#N/A,#N/A,FALSE,"UNIT";#N/A,#N/A,FALSE,"UNIT";#N/A,#N/A,FALSE,"계정"}</definedName>
    <definedName name="성" hidden="1">{#N/A,#N/A,FALSE,"UNIT";#N/A,#N/A,FALSE,"UNIT";#N/A,#N/A,FALSE,"계정"}</definedName>
    <definedName name="세금" localSheetId="12" hidden="1">#REF!</definedName>
    <definedName name="세금" localSheetId="30" hidden="1">#REF!</definedName>
    <definedName name="세금" localSheetId="29" hidden="1">#REF!</definedName>
    <definedName name="세금" localSheetId="33" hidden="1">#REF!</definedName>
    <definedName name="세금" localSheetId="31" hidden="1">#REF!</definedName>
    <definedName name="세금" hidden="1">#REF!</definedName>
    <definedName name="세금과" localSheetId="12" hidden="1">#REF!</definedName>
    <definedName name="세금과" localSheetId="30" hidden="1">#REF!</definedName>
    <definedName name="세금과" localSheetId="29" hidden="1">#REF!</definedName>
    <definedName name="세금과" localSheetId="33" hidden="1">#REF!</definedName>
    <definedName name="세금과" localSheetId="31" hidden="1">#REF!</definedName>
    <definedName name="세금과" hidden="1">#REF!</definedName>
    <definedName name="세부생산계획" localSheetId="42" hidden="1">{#N/A,#N/A,TRUE,"Y생산";#N/A,#N/A,TRUE,"Y판매";#N/A,#N/A,TRUE,"Y총물량";#N/A,#N/A,TRUE,"Y능력";#N/A,#N/A,TRUE,"YKD"}</definedName>
    <definedName name="세부생산계획" hidden="1">{#N/A,#N/A,TRUE,"Y생산";#N/A,#N/A,TRUE,"Y판매";#N/A,#N/A,TRUE,"Y총물량";#N/A,#N/A,TRUE,"Y능력";#N/A,#N/A,TRUE,"YKD"}</definedName>
    <definedName name="세전익익" localSheetId="42" hidden="1">{#N/A,#N/A,FALSE,"지침";#N/A,#N/A,FALSE,"환경분석";#N/A,#N/A,FALSE,"Sheet16"}</definedName>
    <definedName name="세전익익" hidden="1">{#N/A,#N/A,FALSE,"지침";#N/A,#N/A,FALSE,"환경분석";#N/A,#N/A,FALSE,"Sheet16"}</definedName>
    <definedName name="소득금액" localSheetId="12" hidden="1">{#N/A,#N/A,FALSE,"UNIT";#N/A,#N/A,FALSE,"UNIT";#N/A,#N/A,FALSE,"계정"}</definedName>
    <definedName name="소득금액" localSheetId="42" hidden="1">{#N/A,#N/A,FALSE,"UNIT";#N/A,#N/A,FALSE,"UNIT";#N/A,#N/A,FALSE,"계정"}</definedName>
    <definedName name="소득금액" hidden="1">{#N/A,#N/A,FALSE,"UNIT";#N/A,#N/A,FALSE,"UNIT";#N/A,#N/A,FALSE,"계정"}</definedName>
    <definedName name="소득금액2000" localSheetId="12" hidden="1">{#N/A,#N/A,FALSE,"UNIT";#N/A,#N/A,FALSE,"UNIT";#N/A,#N/A,FALSE,"계정"}</definedName>
    <definedName name="소득금액2000" localSheetId="42" hidden="1">{#N/A,#N/A,FALSE,"UNIT";#N/A,#N/A,FALSE,"UNIT";#N/A,#N/A,FALSE,"계정"}</definedName>
    <definedName name="소득금액2000" hidden="1">{#N/A,#N/A,FALSE,"UNIT";#N/A,#N/A,FALSE,"UNIT";#N/A,#N/A,FALSE,"계정"}</definedName>
    <definedName name="소송충당부채" localSheetId="42" hidden="1">{#N/A,#N/A,TRUE,"매출진척-1";#N/A,#N/A,TRUE,"매출진척-2";#N/A,#N/A,TRUE,"제품실적";#N/A,#N/A,TRUE,"RAC";#N/A,#N/A,TRUE,"PAC ";#N/A,#N/A,TRUE,"재고현황";#N/A,#N/A,TRUE,"공지사항"}</definedName>
    <definedName name="소송충당부채" hidden="1">{#N/A,#N/A,TRUE,"매출진척-1";#N/A,#N/A,TRUE,"매출진척-2";#N/A,#N/A,TRUE,"제품실적";#N/A,#N/A,TRUE,"RAC";#N/A,#N/A,TRUE,"PAC ";#N/A,#N/A,TRUE,"재고현황";#N/A,#N/A,TRUE,"공지사항"}</definedName>
    <definedName name="소요기간" localSheetId="15" hidden="1">{#N/A,#N/A,FALSE,"정공"}</definedName>
    <definedName name="소요기간" localSheetId="6" hidden="1">{#N/A,#N/A,FALSE,"정공"}</definedName>
    <definedName name="소요기간" localSheetId="45" hidden="1">{#N/A,#N/A,FALSE,"정공"}</definedName>
    <definedName name="소요기간" localSheetId="42" hidden="1">{#N/A,#N/A,FALSE,"정공"}</definedName>
    <definedName name="소요기간" hidden="1">{#N/A,#N/A,FALSE,"정공"}</definedName>
    <definedName name="손" localSheetId="12" hidden="1">{#N/A,#N/A,TRUE,"일정"}</definedName>
    <definedName name="손" localSheetId="15" hidden="1">{#N/A,#N/A,FALSE,"계약직(여)"}</definedName>
    <definedName name="손" localSheetId="6" hidden="1">{#N/A,#N/A,FALSE,"계약직(여)"}</definedName>
    <definedName name="손" localSheetId="45" hidden="1">{#N/A,#N/A,FALSE,"계약직(여)"}</definedName>
    <definedName name="손" localSheetId="42" hidden="1">{#N/A,#N/A,FALSE,"계약직(여)"}</definedName>
    <definedName name="손"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손실" localSheetId="15" hidden="1">{#N/A,#N/A,FALSE,"98소지이동TOTvs99.1 (2)";#N/A,#N/A,FALSE,"TOTAL";#N/A,#N/A,FALSE,"98소지이동TOTvs99.1(b) (2)"}</definedName>
    <definedName name="손실" localSheetId="6" hidden="1">{#N/A,#N/A,FALSE,"98소지이동TOTvs99.1 (2)";#N/A,#N/A,FALSE,"TOTAL";#N/A,#N/A,FALSE,"98소지이동TOTvs99.1(b) (2)"}</definedName>
    <definedName name="손실" localSheetId="45" hidden="1">{#N/A,#N/A,FALSE,"98소지이동TOTvs99.1 (2)";#N/A,#N/A,FALSE,"TOTAL";#N/A,#N/A,FALSE,"98소지이동TOTvs99.1(b) (2)"}</definedName>
    <definedName name="손실" localSheetId="42" hidden="1">{#N/A,#N/A,FALSE,"98소지이동TOTvs99.1 (2)";#N/A,#N/A,FALSE,"TOTAL";#N/A,#N/A,FALSE,"98소지이동TOTvs99.1(b) (2)"}</definedName>
    <definedName name="손실" hidden="1">{#N/A,#N/A,FALSE,"1.CRITERIA";#N/A,#N/A,FALSE,"2.IS";#N/A,#N/A,FALSE,"3.BS";#N/A,#N/A,FALSE,"4.PER PL";#N/A,#N/A,FALSE,"5.INVESTMENT";#N/A,#N/A,FALSE,"6.공문";#N/A,#N/A,FALSE,"7.netinvest"}</definedName>
    <definedName name="손익" localSheetId="42" hidden="1">{#N/A,#N/A,FALSE,"지침";#N/A,#N/A,FALSE,"환경분석";#N/A,#N/A,FALSE,"Sheet16"}</definedName>
    <definedName name="손익" hidden="1">{#N/A,#N/A,FALSE,"지침";#N/A,#N/A,FALSE,"환경분석";#N/A,#N/A,FALSE,"Sheet16"}</definedName>
    <definedName name="손익3" localSheetId="12" hidden="1">{#N/A,#N/A,FALSE,"UNIT";#N/A,#N/A,FALSE,"UNIT";#N/A,#N/A,FALSE,"계정"}</definedName>
    <definedName name="손익3" localSheetId="42" hidden="1">{#N/A,#N/A,FALSE,"UNIT";#N/A,#N/A,FALSE,"UNIT";#N/A,#N/A,FALSE,"계정"}</definedName>
    <definedName name="손익3" hidden="1">{#N/A,#N/A,FALSE,"UNIT";#N/A,#N/A,FALSE,"UNIT";#N/A,#N/A,FALSE,"계정"}</definedName>
    <definedName name="손익계산" localSheetId="15" hidden="1">{#N/A,#N/A,FALSE,"정공"}</definedName>
    <definedName name="손익계산" localSheetId="6" hidden="1">{#N/A,#N/A,FALSE,"정공"}</definedName>
    <definedName name="손익계산" localSheetId="45" hidden="1">{#N/A,#N/A,FALSE,"정공"}</definedName>
    <definedName name="손익계산" localSheetId="42" hidden="1">{#N/A,#N/A,FALSE,"정공"}</definedName>
    <definedName name="손익계산" hidden="1">{#N/A,#N/A,FALSE,"정공"}</definedName>
    <definedName name="손익계산서" localSheetId="12" hidden="1">{#N/A,#N/A,FALSE,"지침";#N/A,#N/A,FALSE,"환경분석";#N/A,#N/A,FALSE,"Sheet16"}</definedName>
    <definedName name="손익계산서" localSheetId="15"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손익계산서" localSheetId="6"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손익계산서" localSheetId="45"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손익계산서" localSheetId="42"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손익계산서" hidden="1">{#N/A,#N/A,FALSE,"지침";#N/A,#N/A,FALSE,"환경분석";#N/A,#N/A,FALSE,"Sheet16"}</definedName>
    <definedName name="손익계산서1" localSheetId="15"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손익계산서1" localSheetId="6"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손익계산서1" localSheetId="45"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손익계산서1" localSheetId="42"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손익계산서1"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손익계산서조정_04_12" localSheetId="15" hidden="1">{#N/A,#N/A,FALSE,"1.CRITERIA";#N/A,#N/A,FALSE,"2.IS";#N/A,#N/A,FALSE,"3.BS";#N/A,#N/A,FALSE,"4.PER PL";#N/A,#N/A,FALSE,"5.INVESTMENT";#N/A,#N/A,FALSE,"6.공문";#N/A,#N/A,FALSE,"7.netinvest"}</definedName>
    <definedName name="손익계산서조정_04_12" localSheetId="6" hidden="1">{#N/A,#N/A,FALSE,"1.CRITERIA";#N/A,#N/A,FALSE,"2.IS";#N/A,#N/A,FALSE,"3.BS";#N/A,#N/A,FALSE,"4.PER PL";#N/A,#N/A,FALSE,"5.INVESTMENT";#N/A,#N/A,FALSE,"6.공문";#N/A,#N/A,FALSE,"7.netinvest"}</definedName>
    <definedName name="손익계산서조정_04_12" localSheetId="45" hidden="1">{#N/A,#N/A,FALSE,"1.CRITERIA";#N/A,#N/A,FALSE,"2.IS";#N/A,#N/A,FALSE,"3.BS";#N/A,#N/A,FALSE,"4.PER PL";#N/A,#N/A,FALSE,"5.INVESTMENT";#N/A,#N/A,FALSE,"6.공문";#N/A,#N/A,FALSE,"7.netinvest"}</definedName>
    <definedName name="손익계산서조정_04_12" localSheetId="42" hidden="1">{#N/A,#N/A,FALSE,"1.CRITERIA";#N/A,#N/A,FALSE,"2.IS";#N/A,#N/A,FALSE,"3.BS";#N/A,#N/A,FALSE,"4.PER PL";#N/A,#N/A,FALSE,"5.INVESTMENT";#N/A,#N/A,FALSE,"6.공문";#N/A,#N/A,FALSE,"7.netinvest"}</definedName>
    <definedName name="손익계산서조정_04_12" hidden="1">{#N/A,#N/A,FALSE,"1.CRITERIA";#N/A,#N/A,FALSE,"2.IS";#N/A,#N/A,FALSE,"3.BS";#N/A,#N/A,FALSE,"4.PER PL";#N/A,#N/A,FALSE,"5.INVESTMENT";#N/A,#N/A,FALSE,"6.공문";#N/A,#N/A,FALSE,"7.netinvest"}</definedName>
    <definedName name="손익변경" localSheetId="42" hidden="1">{#N/A,#N/A,FALSE,"지침";#N/A,#N/A,FALSE,"환경분석";#N/A,#N/A,FALSE,"Sheet16"}</definedName>
    <definedName name="손익변경" hidden="1">{#N/A,#N/A,FALSE,"지침";#N/A,#N/A,FALSE,"환경분석";#N/A,#N/A,FALSE,"Sheet16"}</definedName>
    <definedName name="손익보고" localSheetId="15" hidden="1">{#N/A,#N/A,FALSE,"손익표지";#N/A,#N/A,FALSE,"손익계산";#N/A,#N/A,FALSE,"일반관리비";#N/A,#N/A,FALSE,"영업외수익";#N/A,#N/A,FALSE,"영업외비용";#N/A,#N/A,FALSE,"매출액";#N/A,#N/A,FALSE,"요약손익";#N/A,#N/A,FALSE,"요약대차";#N/A,#N/A,FALSE,"매출채권현황";#N/A,#N/A,FALSE,"매출채권명세"}</definedName>
    <definedName name="손익보고" localSheetId="6" hidden="1">{#N/A,#N/A,FALSE,"손익표지";#N/A,#N/A,FALSE,"손익계산";#N/A,#N/A,FALSE,"일반관리비";#N/A,#N/A,FALSE,"영업외수익";#N/A,#N/A,FALSE,"영업외비용";#N/A,#N/A,FALSE,"매출액";#N/A,#N/A,FALSE,"요약손익";#N/A,#N/A,FALSE,"요약대차";#N/A,#N/A,FALSE,"매출채권현황";#N/A,#N/A,FALSE,"매출채권명세"}</definedName>
    <definedName name="손익보고" localSheetId="45" hidden="1">{#N/A,#N/A,FALSE,"손익표지";#N/A,#N/A,FALSE,"손익계산";#N/A,#N/A,FALSE,"일반관리비";#N/A,#N/A,FALSE,"영업외수익";#N/A,#N/A,FALSE,"영업외비용";#N/A,#N/A,FALSE,"매출액";#N/A,#N/A,FALSE,"요약손익";#N/A,#N/A,FALSE,"요약대차";#N/A,#N/A,FALSE,"매출채권현황";#N/A,#N/A,FALSE,"매출채권명세"}</definedName>
    <definedName name="손익보고" localSheetId="42" hidden="1">{#N/A,#N/A,FALSE,"손익표지";#N/A,#N/A,FALSE,"손익계산";#N/A,#N/A,FALSE,"일반관리비";#N/A,#N/A,FALSE,"영업외수익";#N/A,#N/A,FALSE,"영업외비용";#N/A,#N/A,FALSE,"매출액";#N/A,#N/A,FALSE,"요약손익";#N/A,#N/A,FALSE,"요약대차";#N/A,#N/A,FALSE,"매출채권현황";#N/A,#N/A,FALSE,"매출채권명세"}</definedName>
    <definedName name="손익보고" hidden="1">{#N/A,#N/A,FALSE,"손익표지";#N/A,#N/A,FALSE,"손익계산";#N/A,#N/A,FALSE,"일반관리비";#N/A,#N/A,FALSE,"영업외수익";#N/A,#N/A,FALSE,"영업외비용";#N/A,#N/A,FALSE,"매출액";#N/A,#N/A,FALSE,"요약손익";#N/A,#N/A,FALSE,"요약대차";#N/A,#N/A,FALSE,"매출채권현황";#N/A,#N/A,FALSE,"매출채권명세"}</definedName>
    <definedName name="손익예상" localSheetId="12" hidden="1">{#N/A,#N/A,FALSE,"UNIT";#N/A,#N/A,FALSE,"UNIT";#N/A,#N/A,FALSE,"계정"}</definedName>
    <definedName name="손익예상" localSheetId="42" hidden="1">{#N/A,#N/A,FALSE,"UNIT";#N/A,#N/A,FALSE,"UNIT";#N/A,#N/A,FALSE,"계정"}</definedName>
    <definedName name="손익예상" hidden="1">{#N/A,#N/A,FALSE,"UNIT";#N/A,#N/A,FALSE,"UNIT";#N/A,#N/A,FALSE,"계정"}</definedName>
    <definedName name="송" localSheetId="15" hidden="1">{#N/A,#N/A,TRUE,"Y생산";#N/A,#N/A,TRUE,"Y판매";#N/A,#N/A,TRUE,"Y총물량";#N/A,#N/A,TRUE,"Y능력";#N/A,#N/A,TRUE,"YKD"}</definedName>
    <definedName name="송" localSheetId="6" hidden="1">{#N/A,#N/A,TRUE,"Y생산";#N/A,#N/A,TRUE,"Y판매";#N/A,#N/A,TRUE,"Y총물량";#N/A,#N/A,TRUE,"Y능력";#N/A,#N/A,TRUE,"YKD"}</definedName>
    <definedName name="송" localSheetId="45" hidden="1">{#N/A,#N/A,TRUE,"Y생산";#N/A,#N/A,TRUE,"Y판매";#N/A,#N/A,TRUE,"Y총물량";#N/A,#N/A,TRUE,"Y능력";#N/A,#N/A,TRUE,"YKD"}</definedName>
    <definedName name="송" localSheetId="42" hidden="1">{#N/A,#N/A,TRUE,"Y생산";#N/A,#N/A,TRUE,"Y판매";#N/A,#N/A,TRUE,"Y총물량";#N/A,#N/A,TRUE,"Y능력";#N/A,#N/A,TRUE,"YKD"}</definedName>
    <definedName name="송" hidden="1">{#N/A,#N/A,TRUE,"Y생산";#N/A,#N/A,TRUE,"Y판매";#N/A,#N/A,TRUE,"Y총물량";#N/A,#N/A,TRUE,"Y능력";#N/A,#N/A,TRUE,"YKD"}</definedName>
    <definedName name="송익" localSheetId="15" hidden="1">{#N/A,#N/A,FALSE,"정공"}</definedName>
    <definedName name="송익" localSheetId="6" hidden="1">{#N/A,#N/A,FALSE,"정공"}</definedName>
    <definedName name="송익" localSheetId="45" hidden="1">{#N/A,#N/A,FALSE,"정공"}</definedName>
    <definedName name="송익" localSheetId="42" hidden="1">{#N/A,#N/A,FALSE,"정공"}</definedName>
    <definedName name="송익" hidden="1">{#N/A,#N/A,FALSE,"정공"}</definedName>
    <definedName name="송창기" localSheetId="15" hidden="1">{#N/A,#N/A,TRUE,"Y생산";#N/A,#N/A,TRUE,"Y판매";#N/A,#N/A,TRUE,"Y총물량";#N/A,#N/A,TRUE,"Y능력";#N/A,#N/A,TRUE,"YKD"}</definedName>
    <definedName name="송창기" localSheetId="6" hidden="1">{#N/A,#N/A,TRUE,"Y생산";#N/A,#N/A,TRUE,"Y판매";#N/A,#N/A,TRUE,"Y총물량";#N/A,#N/A,TRUE,"Y능력";#N/A,#N/A,TRUE,"YKD"}</definedName>
    <definedName name="송창기" localSheetId="45" hidden="1">{#N/A,#N/A,TRUE,"Y생산";#N/A,#N/A,TRUE,"Y판매";#N/A,#N/A,TRUE,"Y총물량";#N/A,#N/A,TRUE,"Y능력";#N/A,#N/A,TRUE,"YKD"}</definedName>
    <definedName name="송창기" localSheetId="42" hidden="1">{#N/A,#N/A,TRUE,"Y생산";#N/A,#N/A,TRUE,"Y판매";#N/A,#N/A,TRUE,"Y총물량";#N/A,#N/A,TRUE,"Y능력";#N/A,#N/A,TRUE,"YKD"}</definedName>
    <definedName name="송창기" hidden="1">{#N/A,#N/A,TRUE,"Y생산";#N/A,#N/A,TRUE,"Y판매";#N/A,#N/A,TRUE,"Y총물량";#N/A,#N/A,TRUE,"Y능력";#N/A,#N/A,TRUE,"YKD"}</definedName>
    <definedName name="수량추정" localSheetId="15" hidden="1">{#N/A,#N/A,FALSE,"정공"}</definedName>
    <definedName name="수량추정" localSheetId="6" hidden="1">{#N/A,#N/A,FALSE,"정공"}</definedName>
    <definedName name="수량추정" localSheetId="45" hidden="1">{#N/A,#N/A,FALSE,"정공"}</definedName>
    <definedName name="수량추정" localSheetId="42" hidden="1">{#N/A,#N/A,FALSE,"정공"}</definedName>
    <definedName name="수량추정" hidden="1">{#N/A,#N/A,FALSE,"정공"}</definedName>
    <definedName name="수선비세부" hidden="1">#N/A</definedName>
    <definedName name="수수료" localSheetId="12" hidden="1">{#N/A,#N/A,FALSE,"DAOCM 2차 검토"}</definedName>
    <definedName name="수수료" localSheetId="42" hidden="1">{#N/A,#N/A,FALSE,"DAOCM 2차 검토"}</definedName>
    <definedName name="수수료" hidden="1">{#N/A,#N/A,FALSE,"DAOCM 2차 검토"}</definedName>
    <definedName name="수요분석최종" localSheetId="15"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 localSheetId="6"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 localSheetId="45"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 localSheetId="42"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본" localSheetId="15"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본" localSheetId="6"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본" localSheetId="45"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본" localSheetId="42"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본" hidden="1">{#N/A,#N/A,FALSE,"손익표지";#N/A,#N/A,FALSE,"손익계산";#N/A,#N/A,FALSE,"일반관리비";#N/A,#N/A,FALSE,"영업외수익";#N/A,#N/A,FALSE,"영업외비용";#N/A,#N/A,FALSE,"매출액";#N/A,#N/A,FALSE,"요약손익";#N/A,#N/A,FALSE,"요약대차";#N/A,#N/A,FALSE,"매출채권현황";#N/A,#N/A,FALSE,"매출채권명세"}</definedName>
    <definedName name="수유LOSS" localSheetId="15" hidden="1">{#N/A,#N/A,FALSE,"군산원가";#N/A,#N/A,FALSE,"팀별월별";#N/A,#N/A,FALSE,"타공정대체";#N/A,#N/A,FALSE,"기타경비";#N/A,#N/A,FALSE,"원료";#N/A,#N/A,FALSE,"연료"}</definedName>
    <definedName name="수유LOSS" localSheetId="6" hidden="1">{#N/A,#N/A,FALSE,"군산원가";#N/A,#N/A,FALSE,"팀별월별";#N/A,#N/A,FALSE,"타공정대체";#N/A,#N/A,FALSE,"기타경비";#N/A,#N/A,FALSE,"원료";#N/A,#N/A,FALSE,"연료"}</definedName>
    <definedName name="수유LOSS" localSheetId="45" hidden="1">{#N/A,#N/A,FALSE,"군산원가";#N/A,#N/A,FALSE,"팀별월별";#N/A,#N/A,FALSE,"타공정대체";#N/A,#N/A,FALSE,"기타경비";#N/A,#N/A,FALSE,"원료";#N/A,#N/A,FALSE,"연료"}</definedName>
    <definedName name="수유LOSS" localSheetId="42" hidden="1">{#N/A,#N/A,FALSE,"군산원가";#N/A,#N/A,FALSE,"팀별월별";#N/A,#N/A,FALSE,"타공정대체";#N/A,#N/A,FALSE,"기타경비";#N/A,#N/A,FALSE,"원료";#N/A,#N/A,FALSE,"연료"}</definedName>
    <definedName name="수유LOSS" hidden="1">{#N/A,#N/A,FALSE,"군산원가";#N/A,#N/A,FALSE,"팀별월별";#N/A,#N/A,FALSE,"타공정대체";#N/A,#N/A,FALSE,"기타경비";#N/A,#N/A,FALSE,"원료";#N/A,#N/A,FALSE,"연료"}</definedName>
    <definedName name="수입" localSheetId="12" hidden="1">{#N/A,#N/A,FALSE,"DAOCM 2차 검토"}</definedName>
    <definedName name="수입" localSheetId="42" hidden="1">{#N/A,#N/A,FALSE,"DAOCM 2차 검토"}</definedName>
    <definedName name="수입" hidden="1">{#N/A,#N/A,FALSE,"DAOCM 2차 검토"}</definedName>
    <definedName name="수입02" localSheetId="12" hidden="1">{#N/A,#N/A,FALSE,"DAOCM 2차 검토"}</definedName>
    <definedName name="수입02" localSheetId="42" hidden="1">{#N/A,#N/A,FALSE,"DAOCM 2차 검토"}</definedName>
    <definedName name="수입02" hidden="1">{#N/A,#N/A,FALSE,"DAOCM 2차 검토"}</definedName>
    <definedName name="수정" localSheetId="15" hidden="1">{#N/A,#N/A,FALSE,"손익표지";#N/A,#N/A,FALSE,"손익계산";#N/A,#N/A,FALSE,"일반관리비";#N/A,#N/A,FALSE,"영업외수익";#N/A,#N/A,FALSE,"영업외비용";#N/A,#N/A,FALSE,"매출액";#N/A,#N/A,FALSE,"요약손익";#N/A,#N/A,FALSE,"요약대차";#N/A,#N/A,FALSE,"매출채권현황";#N/A,#N/A,FALSE,"매출채권명세"}</definedName>
    <definedName name="수정" localSheetId="6" hidden="1">{#N/A,#N/A,FALSE,"손익표지";#N/A,#N/A,FALSE,"손익계산";#N/A,#N/A,FALSE,"일반관리비";#N/A,#N/A,FALSE,"영업외수익";#N/A,#N/A,FALSE,"영업외비용";#N/A,#N/A,FALSE,"매출액";#N/A,#N/A,FALSE,"요약손익";#N/A,#N/A,FALSE,"요약대차";#N/A,#N/A,FALSE,"매출채권현황";#N/A,#N/A,FALSE,"매출채권명세"}</definedName>
    <definedName name="수정" localSheetId="45" hidden="1">{#N/A,#N/A,FALSE,"손익표지";#N/A,#N/A,FALSE,"손익계산";#N/A,#N/A,FALSE,"일반관리비";#N/A,#N/A,FALSE,"영업외수익";#N/A,#N/A,FALSE,"영업외비용";#N/A,#N/A,FALSE,"매출액";#N/A,#N/A,FALSE,"요약손익";#N/A,#N/A,FALSE,"요약대차";#N/A,#N/A,FALSE,"매출채권현황";#N/A,#N/A,FALSE,"매출채권명세"}</definedName>
    <definedName name="수정" localSheetId="42" hidden="1">{#N/A,#N/A,FALSE,"손익표지";#N/A,#N/A,FALSE,"손익계산";#N/A,#N/A,FALSE,"일반관리비";#N/A,#N/A,FALSE,"영업외수익";#N/A,#N/A,FALSE,"영업외비용";#N/A,#N/A,FALSE,"매출액";#N/A,#N/A,FALSE,"요약손익";#N/A,#N/A,FALSE,"요약대차";#N/A,#N/A,FALSE,"매출채권현황";#N/A,#N/A,FALSE,"매출채권명세"}</definedName>
    <definedName name="수정" hidden="1">{#N/A,#N/A,FALSE,"손익표지";#N/A,#N/A,FALSE,"손익계산";#N/A,#N/A,FALSE,"일반관리비";#N/A,#N/A,FALSE,"영업외수익";#N/A,#N/A,FALSE,"영업외비용";#N/A,#N/A,FALSE,"매출액";#N/A,#N/A,FALSE,"요약손익";#N/A,#N/A,FALSE,"요약대차";#N/A,#N/A,FALSE,"매출채권현황";#N/A,#N/A,FALSE,"매출채권명세"}</definedName>
    <definedName name="수정6누적" localSheetId="15" hidden="1">{#N/A,#N/A,FALSE,"98소지이동TOTvs99.1 (2)";#N/A,#N/A,FALSE,"TOTAL";#N/A,#N/A,FALSE,"98소지이동TOTvs99.1(b) (2)"}</definedName>
    <definedName name="수정6누적" localSheetId="6" hidden="1">{#N/A,#N/A,FALSE,"98소지이동TOTvs99.1 (2)";#N/A,#N/A,FALSE,"TOTAL";#N/A,#N/A,FALSE,"98소지이동TOTvs99.1(b) (2)"}</definedName>
    <definedName name="수정6누적" localSheetId="45" hidden="1">{#N/A,#N/A,FALSE,"98소지이동TOTvs99.1 (2)";#N/A,#N/A,FALSE,"TOTAL";#N/A,#N/A,FALSE,"98소지이동TOTvs99.1(b) (2)"}</definedName>
    <definedName name="수정6누적" localSheetId="42" hidden="1">{#N/A,#N/A,FALSE,"98소지이동TOTvs99.1 (2)";#N/A,#N/A,FALSE,"TOTAL";#N/A,#N/A,FALSE,"98소지이동TOTvs99.1(b) (2)"}</definedName>
    <definedName name="수정6누적" hidden="1">{#N/A,#N/A,FALSE,"98소지이동TOTvs99.1 (2)";#N/A,#N/A,FALSE,"TOTAL";#N/A,#N/A,FALSE,"98소지이동TOTvs99.1(b) (2)"}</definedName>
    <definedName name="수정물량" localSheetId="42" hidden="1">{#N/A,#N/A,TRUE,"Y생산";#N/A,#N/A,TRUE,"Y판매";#N/A,#N/A,TRUE,"Y총물량";#N/A,#N/A,TRUE,"Y능력";#N/A,#N/A,TRUE,"YKD"}</definedName>
    <definedName name="수정물량" hidden="1">{#N/A,#N/A,TRUE,"Y생산";#N/A,#N/A,TRUE,"Y판매";#N/A,#N/A,TRUE,"Y총물량";#N/A,#N/A,TRUE,"Y능력";#N/A,#N/A,TRUE,"YKD"}</definedName>
    <definedName name="수정사항" localSheetId="12" hidden="1">#REF!</definedName>
    <definedName name="수정사항" localSheetId="30" hidden="1">#REF!</definedName>
    <definedName name="수정사항" localSheetId="29" hidden="1">#REF!</definedName>
    <definedName name="수정사항" localSheetId="33" hidden="1">#REF!</definedName>
    <definedName name="수정사항" localSheetId="31" hidden="1">#REF!</definedName>
    <definedName name="수정사항" hidden="1">#REF!</definedName>
    <definedName name="수정현금흐름표" localSheetId="12" hidden="1">{#N/A,#N/A,TRUE,"Summary";#N/A,#N/A,TRUE,"IS";#N/A,#N/A,TRUE,"Adj";#N/A,#N/A,TRUE,"BS";#N/A,#N/A,TRUE,"CF";#N/A,#N/A,TRUE,"Debt";#N/A,#N/A,TRUE,"IRR"}</definedName>
    <definedName name="수정현금흐름표" localSheetId="15" hidden="1">{#N/A,#N/A,TRUE,"Summary";#N/A,#N/A,TRUE,"IS";#N/A,#N/A,TRUE,"Adj";#N/A,#N/A,TRUE,"BS";#N/A,#N/A,TRUE,"CF";#N/A,#N/A,TRUE,"Debt";#N/A,#N/A,TRUE,"IRR"}</definedName>
    <definedName name="수정현금흐름표" localSheetId="6" hidden="1">{#N/A,#N/A,TRUE,"Summary";#N/A,#N/A,TRUE,"IS";#N/A,#N/A,TRUE,"Adj";#N/A,#N/A,TRUE,"BS";#N/A,#N/A,TRUE,"CF";#N/A,#N/A,TRUE,"Debt";#N/A,#N/A,TRUE,"IRR"}</definedName>
    <definedName name="수정현금흐름표" localSheetId="45" hidden="1">{#N/A,#N/A,TRUE,"Summary";#N/A,#N/A,TRUE,"IS";#N/A,#N/A,TRUE,"Adj";#N/A,#N/A,TRUE,"BS";#N/A,#N/A,TRUE,"CF";#N/A,#N/A,TRUE,"Debt";#N/A,#N/A,TRUE,"IRR"}</definedName>
    <definedName name="수정현금흐름표" localSheetId="42" hidden="1">{#N/A,#N/A,TRUE,"Summary";#N/A,#N/A,TRUE,"IS";#N/A,#N/A,TRUE,"Adj";#N/A,#N/A,TRUE,"BS";#N/A,#N/A,TRUE,"CF";#N/A,#N/A,TRUE,"Debt";#N/A,#N/A,TRUE,"IRR"}</definedName>
    <definedName name="수정현금흐름표" hidden="1">{#N/A,#N/A,TRUE,"Summary";#N/A,#N/A,TRUE,"IS";#N/A,#N/A,TRUE,"Adj";#N/A,#N/A,TRUE,"BS";#N/A,#N/A,TRUE,"CF";#N/A,#N/A,TRUE,"Debt";#N/A,#N/A,TRUE,"IRR"}</definedName>
    <definedName name="수정현금흐름표2" localSheetId="12" hidden="1">{#N/A,#N/A,TRUE,"Summary";#N/A,#N/A,TRUE,"IS";#N/A,#N/A,TRUE,"Adj";#N/A,#N/A,TRUE,"BS";#N/A,#N/A,TRUE,"CF";#N/A,#N/A,TRUE,"Debt";#N/A,#N/A,TRUE,"IRR"}</definedName>
    <definedName name="수정현금흐름표2" localSheetId="42" hidden="1">{#N/A,#N/A,TRUE,"Summary";#N/A,#N/A,TRUE,"IS";#N/A,#N/A,TRUE,"Adj";#N/A,#N/A,TRUE,"BS";#N/A,#N/A,TRUE,"CF";#N/A,#N/A,TRUE,"Debt";#N/A,#N/A,TRUE,"IRR"}</definedName>
    <definedName name="수정현금흐름표2" hidden="1">{#N/A,#N/A,TRUE,"Summary";#N/A,#N/A,TRUE,"IS";#N/A,#N/A,TRUE,"Adj";#N/A,#N/A,TRUE,"BS";#N/A,#N/A,TRUE,"CF";#N/A,#N/A,TRUE,"Debt";#N/A,#N/A,TRUE,"IRR"}</definedName>
    <definedName name="수주계획" localSheetId="15" hidden="1">{#N/A,#N/A,FALSE,"손익표지";#N/A,#N/A,FALSE,"손익계산";#N/A,#N/A,FALSE,"일반관리비";#N/A,#N/A,FALSE,"영업외수익";#N/A,#N/A,FALSE,"영업외비용";#N/A,#N/A,FALSE,"매출액";#N/A,#N/A,FALSE,"요약손익";#N/A,#N/A,FALSE,"요약대차";#N/A,#N/A,FALSE,"매출채권현황";#N/A,#N/A,FALSE,"매출채권명세"}</definedName>
    <definedName name="수주계획" localSheetId="6" hidden="1">{#N/A,#N/A,FALSE,"손익표지";#N/A,#N/A,FALSE,"손익계산";#N/A,#N/A,FALSE,"일반관리비";#N/A,#N/A,FALSE,"영업외수익";#N/A,#N/A,FALSE,"영업외비용";#N/A,#N/A,FALSE,"매출액";#N/A,#N/A,FALSE,"요약손익";#N/A,#N/A,FALSE,"요약대차";#N/A,#N/A,FALSE,"매출채권현황";#N/A,#N/A,FALSE,"매출채권명세"}</definedName>
    <definedName name="수주계획" localSheetId="45" hidden="1">{#N/A,#N/A,FALSE,"손익표지";#N/A,#N/A,FALSE,"손익계산";#N/A,#N/A,FALSE,"일반관리비";#N/A,#N/A,FALSE,"영업외수익";#N/A,#N/A,FALSE,"영업외비용";#N/A,#N/A,FALSE,"매출액";#N/A,#N/A,FALSE,"요약손익";#N/A,#N/A,FALSE,"요약대차";#N/A,#N/A,FALSE,"매출채권현황";#N/A,#N/A,FALSE,"매출채권명세"}</definedName>
    <definedName name="수주계획" localSheetId="42" hidden="1">{#N/A,#N/A,FALSE,"손익표지";#N/A,#N/A,FALSE,"손익계산";#N/A,#N/A,FALSE,"일반관리비";#N/A,#N/A,FALSE,"영업외수익";#N/A,#N/A,FALSE,"영업외비용";#N/A,#N/A,FALSE,"매출액";#N/A,#N/A,FALSE,"요약손익";#N/A,#N/A,FALSE,"요약대차";#N/A,#N/A,FALSE,"매출채권현황";#N/A,#N/A,FALSE,"매출채권명세"}</definedName>
    <definedName name="수주계획" hidden="1">{#N/A,#N/A,FALSE,"손익표지";#N/A,#N/A,FALSE,"손익계산";#N/A,#N/A,FALSE,"일반관리비";#N/A,#N/A,FALSE,"영업외수익";#N/A,#N/A,FALSE,"영업외비용";#N/A,#N/A,FALSE,"매출액";#N/A,#N/A,FALSE,"요약손익";#N/A,#N/A,FALSE,"요약대차";#N/A,#N/A,FALSE,"매출채권현황";#N/A,#N/A,FALSE,"매출채권명세"}</definedName>
    <definedName name="수출3" localSheetId="12" hidden="1">{#N/A,#N/A,FALSE,"DAOCM 2차 검토"}</definedName>
    <definedName name="수출3" localSheetId="42" hidden="1">{#N/A,#N/A,FALSE,"DAOCM 2차 검토"}</definedName>
    <definedName name="수출3" hidden="1">{#N/A,#N/A,FALSE,"DAOCM 2차 검토"}</definedName>
    <definedName name="시간" localSheetId="42" hidden="1">{#N/A,#N/A,TRUE,"Y생산";#N/A,#N/A,TRUE,"Y판매";#N/A,#N/A,TRUE,"Y총물량";#N/A,#N/A,TRUE,"Y능력";#N/A,#N/A,TRUE,"YKD"}</definedName>
    <definedName name="시간" hidden="1">{#N/A,#N/A,TRUE,"Y생산";#N/A,#N/A,TRUE,"Y판매";#N/A,#N/A,TRUE,"Y총물량";#N/A,#N/A,TRUE,"Y능력";#N/A,#N/A,TRUE,"YKD"}</definedName>
    <definedName name="시설투자" localSheetId="42" hidden="1">{#N/A,#N/A,FALSE,"UNIT";#N/A,#N/A,FALSE,"UNIT";#N/A,#N/A,FALSE,"계정"}</definedName>
    <definedName name="시설투자" hidden="1">{#N/A,#N/A,FALSE,"UNIT";#N/A,#N/A,FALSE,"UNIT";#N/A,#N/A,FALSE,"계정"}</definedName>
    <definedName name="시설투자총괄" localSheetId="42" hidden="1">{#N/A,#N/A,FALSE,"UNIT";#N/A,#N/A,FALSE,"UNIT";#N/A,#N/A,FALSE,"계정"}</definedName>
    <definedName name="시설투자총괄" hidden="1">{#N/A,#N/A,FALSE,"UNIT";#N/A,#N/A,FALSE,"UNIT";#N/A,#N/A,FALSE,"계정"}</definedName>
    <definedName name="시스템" localSheetId="42" hidden="1">{#N/A,#N/A,FALSE,"UNIT";#N/A,#N/A,FALSE,"UNIT";#N/A,#N/A,FALSE,"계정"}</definedName>
    <definedName name="시스템" hidden="1">{#N/A,#N/A,FALSE,"UNIT";#N/A,#N/A,FALSE,"UNIT";#N/A,#N/A,FALSE,"계정"}</definedName>
    <definedName name="신BS" localSheetId="15"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신BS" localSheetId="6"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신BS" localSheetId="45"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신BS" localSheetId="42"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신BS"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실적" localSheetId="15" hidden="1">{#N/A,#N/A,FALSE,"손익표지";#N/A,#N/A,FALSE,"손익계산";#N/A,#N/A,FALSE,"일반관리비";#N/A,#N/A,FALSE,"영업외수익";#N/A,#N/A,FALSE,"영업외비용";#N/A,#N/A,FALSE,"매출액";#N/A,#N/A,FALSE,"요약손익";#N/A,#N/A,FALSE,"요약대차";#N/A,#N/A,FALSE,"매출채권현황";#N/A,#N/A,FALSE,"매출채권명세"}</definedName>
    <definedName name="실적" localSheetId="6" hidden="1">{#N/A,#N/A,FALSE,"손익표지";#N/A,#N/A,FALSE,"손익계산";#N/A,#N/A,FALSE,"일반관리비";#N/A,#N/A,FALSE,"영업외수익";#N/A,#N/A,FALSE,"영업외비용";#N/A,#N/A,FALSE,"매출액";#N/A,#N/A,FALSE,"요약손익";#N/A,#N/A,FALSE,"요약대차";#N/A,#N/A,FALSE,"매출채권현황";#N/A,#N/A,FALSE,"매출채권명세"}</definedName>
    <definedName name="실적" localSheetId="45" hidden="1">{#N/A,#N/A,FALSE,"손익표지";#N/A,#N/A,FALSE,"손익계산";#N/A,#N/A,FALSE,"일반관리비";#N/A,#N/A,FALSE,"영업외수익";#N/A,#N/A,FALSE,"영업외비용";#N/A,#N/A,FALSE,"매출액";#N/A,#N/A,FALSE,"요약손익";#N/A,#N/A,FALSE,"요약대차";#N/A,#N/A,FALSE,"매출채권현황";#N/A,#N/A,FALSE,"매출채권명세"}</definedName>
    <definedName name="실적" localSheetId="42" hidden="1">{#N/A,#N/A,FALSE,"손익표지";#N/A,#N/A,FALSE,"손익계산";#N/A,#N/A,FALSE,"일반관리비";#N/A,#N/A,FALSE,"영업외수익";#N/A,#N/A,FALSE,"영업외비용";#N/A,#N/A,FALSE,"매출액";#N/A,#N/A,FALSE,"요약손익";#N/A,#N/A,FALSE,"요약대차";#N/A,#N/A,FALSE,"매출채권현황";#N/A,#N/A,FALSE,"매출채권명세"}</definedName>
    <definedName name="실적" hidden="1">{#N/A,#N/A,FALSE,"손익표지";#N/A,#N/A,FALSE,"손익계산";#N/A,#N/A,FALSE,"일반관리비";#N/A,#N/A,FALSE,"영업외수익";#N/A,#N/A,FALSE,"영업외비용";#N/A,#N/A,FALSE,"매출액";#N/A,#N/A,FALSE,"요약손익";#N/A,#N/A,FALSE,"요약대차";#N/A,#N/A,FALSE,"매출채권현황";#N/A,#N/A,FALSE,"매출채권명세"}</definedName>
    <definedName name="실적4월" localSheetId="12" hidden="1">{#N/A,#N/A,FALSE,"UNIT";#N/A,#N/A,FALSE,"UNIT";#N/A,#N/A,FALSE,"계정"}</definedName>
    <definedName name="실적4월" localSheetId="42" hidden="1">{#N/A,#N/A,FALSE,"UNIT";#N/A,#N/A,FALSE,"UNIT";#N/A,#N/A,FALSE,"계정"}</definedName>
    <definedName name="실적4월" hidden="1">{#N/A,#N/A,FALSE,"UNIT";#N/A,#N/A,FALSE,"UNIT";#N/A,#N/A,FALSE,"계정"}</definedName>
    <definedName name="실적6월" localSheetId="12" hidden="1">{#N/A,#N/A,FALSE,"UNIT";#N/A,#N/A,FALSE,"UNIT";#N/A,#N/A,FALSE,"계정"}</definedName>
    <definedName name="실적6월" localSheetId="42" hidden="1">{#N/A,#N/A,FALSE,"UNIT";#N/A,#N/A,FALSE,"UNIT";#N/A,#N/A,FALSE,"계정"}</definedName>
    <definedName name="실적6월" hidden="1">{#N/A,#N/A,FALSE,"UNIT";#N/A,#N/A,FALSE,"UNIT";#N/A,#N/A,FALSE,"계정"}</definedName>
    <definedName name="ㅇ" localSheetId="42" hidden="1">{#N/A,#N/A,FALSE,"BS";#N/A,#N/A,FALSE,"PL";#N/A,#N/A,FALSE,"처분";#N/A,#N/A,FALSE,"현금";#N/A,#N/A,FALSE,"매출";#N/A,#N/A,FALSE,"원가";#N/A,#N/A,FALSE,"경영"}</definedName>
    <definedName name="ㅇ" hidden="1">{#N/A,#N/A,FALSE,"BS";#N/A,#N/A,FALSE,"PL";#N/A,#N/A,FALSE,"처분";#N/A,#N/A,FALSE,"현금";#N/A,#N/A,FALSE,"매출";#N/A,#N/A,FALSE,"원가";#N/A,#N/A,FALSE,"경영"}</definedName>
    <definedName name="ㅇ0" localSheetId="42"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ㅇ0"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ㅇㄴㄹ" localSheetId="15" hidden="1">{#N/A,#N/A,FALSE,"손익표지";#N/A,#N/A,FALSE,"손익계산";#N/A,#N/A,FALSE,"일반관리비";#N/A,#N/A,FALSE,"영업외수익";#N/A,#N/A,FALSE,"영업외비용";#N/A,#N/A,FALSE,"매출액";#N/A,#N/A,FALSE,"요약손익";#N/A,#N/A,FALSE,"요약대차";#N/A,#N/A,FALSE,"매출채권현황";#N/A,#N/A,FALSE,"매출채권명세"}</definedName>
    <definedName name="ㅇㄴㄹ"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ㅇㄴㄹ" localSheetId="45" hidden="1">{#N/A,#N/A,FALSE,"손익표지";#N/A,#N/A,FALSE,"손익계산";#N/A,#N/A,FALSE,"일반관리비";#N/A,#N/A,FALSE,"영업외수익";#N/A,#N/A,FALSE,"영업외비용";#N/A,#N/A,FALSE,"매출액";#N/A,#N/A,FALSE,"요약손익";#N/A,#N/A,FALSE,"요약대차";#N/A,#N/A,FALSE,"매출채권현황";#N/A,#N/A,FALSE,"매출채권명세"}</definedName>
    <definedName name="ㅇㄴㄹ" localSheetId="42" hidden="1">{#N/A,#N/A,FALSE,"손익표지";#N/A,#N/A,FALSE,"손익계산";#N/A,#N/A,FALSE,"일반관리비";#N/A,#N/A,FALSE,"영업외수익";#N/A,#N/A,FALSE,"영업외비용";#N/A,#N/A,FALSE,"매출액";#N/A,#N/A,FALSE,"요약손익";#N/A,#N/A,FALSE,"요약대차";#N/A,#N/A,FALSE,"매출채권현황";#N/A,#N/A,FALSE,"매출채권명세"}</definedName>
    <definedName name="ㅇㄴㄹ" hidden="1">{#N/A,#N/A,FALSE,"손익표지";#N/A,#N/A,FALSE,"손익계산";#N/A,#N/A,FALSE,"일반관리비";#N/A,#N/A,FALSE,"영업외수익";#N/A,#N/A,FALSE,"영업외비용";#N/A,#N/A,FALSE,"매출액";#N/A,#N/A,FALSE,"요약손익";#N/A,#N/A,FALSE,"요약대차";#N/A,#N/A,FALSE,"매출채권현황";#N/A,#N/A,FALSE,"매출채권명세"}</definedName>
    <definedName name="ㅇㄴㄹㄴㄹ" localSheetId="15" hidden="1">{#N/A,#N/A,FALSE,"손익표지";#N/A,#N/A,FALSE,"손익계산";#N/A,#N/A,FALSE,"일반관리비";#N/A,#N/A,FALSE,"영업외수익";#N/A,#N/A,FALSE,"영업외비용";#N/A,#N/A,FALSE,"매출액";#N/A,#N/A,FALSE,"요약손익";#N/A,#N/A,FALSE,"요약대차";#N/A,#N/A,FALSE,"매출채권현황";#N/A,#N/A,FALSE,"매출채권명세"}</definedName>
    <definedName name="ㅇㄴㄹㄴㄹ"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ㅇㄴㄹㄴㄹ" localSheetId="45" hidden="1">{#N/A,#N/A,FALSE,"손익표지";#N/A,#N/A,FALSE,"손익계산";#N/A,#N/A,FALSE,"일반관리비";#N/A,#N/A,FALSE,"영업외수익";#N/A,#N/A,FALSE,"영업외비용";#N/A,#N/A,FALSE,"매출액";#N/A,#N/A,FALSE,"요약손익";#N/A,#N/A,FALSE,"요약대차";#N/A,#N/A,FALSE,"매출채권현황";#N/A,#N/A,FALSE,"매출채권명세"}</definedName>
    <definedName name="ㅇㄴㄹㄴㄹ" localSheetId="42" hidden="1">{#N/A,#N/A,FALSE,"손익표지";#N/A,#N/A,FALSE,"손익계산";#N/A,#N/A,FALSE,"일반관리비";#N/A,#N/A,FALSE,"영업외수익";#N/A,#N/A,FALSE,"영업외비용";#N/A,#N/A,FALSE,"매출액";#N/A,#N/A,FALSE,"요약손익";#N/A,#N/A,FALSE,"요약대차";#N/A,#N/A,FALSE,"매출채권현황";#N/A,#N/A,FALSE,"매출채권명세"}</definedName>
    <definedName name="ㅇㄴㄹㄴㄹ" hidden="1">{#N/A,#N/A,FALSE,"손익표지";#N/A,#N/A,FALSE,"손익계산";#N/A,#N/A,FALSE,"일반관리비";#N/A,#N/A,FALSE,"영업외수익";#N/A,#N/A,FALSE,"영업외비용";#N/A,#N/A,FALSE,"매출액";#N/A,#N/A,FALSE,"요약손익";#N/A,#N/A,FALSE,"요약대차";#N/A,#N/A,FALSE,"매출채권현황";#N/A,#N/A,FALSE,"매출채권명세"}</definedName>
    <definedName name="ㅇㄴㄹㅇ" localSheetId="15" hidden="1">{#N/A,#N/A,FALSE,"손익표지";#N/A,#N/A,FALSE,"손익계산";#N/A,#N/A,FALSE,"일반관리비";#N/A,#N/A,FALSE,"영업외수익";#N/A,#N/A,FALSE,"영업외비용";#N/A,#N/A,FALSE,"매출액";#N/A,#N/A,FALSE,"요약손익";#N/A,#N/A,FALSE,"요약대차";#N/A,#N/A,FALSE,"매출채권현황";#N/A,#N/A,FALSE,"매출채권명세"}</definedName>
    <definedName name="ㅇㄴㄹㅇ"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ㅇㄴㄹㅇ" localSheetId="45" hidden="1">{#N/A,#N/A,FALSE,"손익표지";#N/A,#N/A,FALSE,"손익계산";#N/A,#N/A,FALSE,"일반관리비";#N/A,#N/A,FALSE,"영업외수익";#N/A,#N/A,FALSE,"영업외비용";#N/A,#N/A,FALSE,"매출액";#N/A,#N/A,FALSE,"요약손익";#N/A,#N/A,FALSE,"요약대차";#N/A,#N/A,FALSE,"매출채권현황";#N/A,#N/A,FALSE,"매출채권명세"}</definedName>
    <definedName name="ㅇㄴㄹㅇ" localSheetId="42" hidden="1">{#N/A,#N/A,FALSE,"손익표지";#N/A,#N/A,FALSE,"손익계산";#N/A,#N/A,FALSE,"일반관리비";#N/A,#N/A,FALSE,"영업외수익";#N/A,#N/A,FALSE,"영업외비용";#N/A,#N/A,FALSE,"매출액";#N/A,#N/A,FALSE,"요약손익";#N/A,#N/A,FALSE,"요약대차";#N/A,#N/A,FALSE,"매출채권현황";#N/A,#N/A,FALSE,"매출채권명세"}</definedName>
    <definedName name="ㅇㄴㄹㅇ" hidden="1">{#N/A,#N/A,FALSE,"손익표지";#N/A,#N/A,FALSE,"손익계산";#N/A,#N/A,FALSE,"일반관리비";#N/A,#N/A,FALSE,"영업외수익";#N/A,#N/A,FALSE,"영업외비용";#N/A,#N/A,FALSE,"매출액";#N/A,#N/A,FALSE,"요약손익";#N/A,#N/A,FALSE,"요약대차";#N/A,#N/A,FALSE,"매출채권현황";#N/A,#N/A,FALSE,"매출채권명세"}</definedName>
    <definedName name="ㅇㄴㅇㅇ" localSheetId="12" hidden="1">{#N/A,#N/A,FALSE,"UNIT";#N/A,#N/A,FALSE,"UNIT";#N/A,#N/A,FALSE,"계정"}</definedName>
    <definedName name="ㅇㄴㅇㅇ" localSheetId="42" hidden="1">{#N/A,#N/A,FALSE,"UNIT";#N/A,#N/A,FALSE,"UNIT";#N/A,#N/A,FALSE,"계정"}</definedName>
    <definedName name="ㅇㄴㅇㅇ" hidden="1">{#N/A,#N/A,FALSE,"UNIT";#N/A,#N/A,FALSE,"UNIT";#N/A,#N/A,FALSE,"계정"}</definedName>
    <definedName name="ㅇㄷㄱㅎㄷ" localSheetId="15" hidden="1">{#N/A,#N/A,FALSE,"손익표지";#N/A,#N/A,FALSE,"손익계산";#N/A,#N/A,FALSE,"일반관리비";#N/A,#N/A,FALSE,"영업외수익";#N/A,#N/A,FALSE,"영업외비용";#N/A,#N/A,FALSE,"매출액";#N/A,#N/A,FALSE,"요약손익";#N/A,#N/A,FALSE,"요약대차";#N/A,#N/A,FALSE,"매출채권현황";#N/A,#N/A,FALSE,"매출채권명세"}</definedName>
    <definedName name="ㅇㄷㄱㅎㄷ"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ㅇㄷㄱㅎㄷ" localSheetId="45" hidden="1">{#N/A,#N/A,FALSE,"손익표지";#N/A,#N/A,FALSE,"손익계산";#N/A,#N/A,FALSE,"일반관리비";#N/A,#N/A,FALSE,"영업외수익";#N/A,#N/A,FALSE,"영업외비용";#N/A,#N/A,FALSE,"매출액";#N/A,#N/A,FALSE,"요약손익";#N/A,#N/A,FALSE,"요약대차";#N/A,#N/A,FALSE,"매출채권현황";#N/A,#N/A,FALSE,"매출채권명세"}</definedName>
    <definedName name="ㅇㄷㄱㅎㄷ" localSheetId="42" hidden="1">{#N/A,#N/A,FALSE,"손익표지";#N/A,#N/A,FALSE,"손익계산";#N/A,#N/A,FALSE,"일반관리비";#N/A,#N/A,FALSE,"영업외수익";#N/A,#N/A,FALSE,"영업외비용";#N/A,#N/A,FALSE,"매출액";#N/A,#N/A,FALSE,"요약손익";#N/A,#N/A,FALSE,"요약대차";#N/A,#N/A,FALSE,"매출채권현황";#N/A,#N/A,FALSE,"매출채권명세"}</definedName>
    <definedName name="ㅇㄷㄱㅎㄷ" hidden="1">{#N/A,#N/A,FALSE,"손익표지";#N/A,#N/A,FALSE,"손익계산";#N/A,#N/A,FALSE,"일반관리비";#N/A,#N/A,FALSE,"영업외수익";#N/A,#N/A,FALSE,"영업외비용";#N/A,#N/A,FALSE,"매출액";#N/A,#N/A,FALSE,"요약손익";#N/A,#N/A,FALSE,"요약대차";#N/A,#N/A,FALSE,"매출채권현황";#N/A,#N/A,FALSE,"매출채권명세"}</definedName>
    <definedName name="ㅇㄹ" localSheetId="42" hidden="1">{#N/A,#N/A,FALSE,"UNIT";#N/A,#N/A,FALSE,"UNIT";#N/A,#N/A,FALSE,"계정"}</definedName>
    <definedName name="ㅇㄹ" hidden="1">{#N/A,#N/A,FALSE,"UNIT";#N/A,#N/A,FALSE,"UNIT";#N/A,#N/A,FALSE,"계정"}</definedName>
    <definedName name="ㅇㄹㄴ" localSheetId="15" hidden="1">{#N/A,#N/A,FALSE,"98소지이동TOTvs99.1 (2)";#N/A,#N/A,FALSE,"TOTAL";#N/A,#N/A,FALSE,"98소지이동TOTvs99.1(b) (2)"}</definedName>
    <definedName name="ㅇㄹㄴ" localSheetId="6" hidden="1">{#N/A,#N/A,FALSE,"98소지이동TOTvs99.1 (2)";#N/A,#N/A,FALSE,"TOTAL";#N/A,#N/A,FALSE,"98소지이동TOTvs99.1(b) (2)"}</definedName>
    <definedName name="ㅇㄹㄴ" localSheetId="45" hidden="1">{#N/A,#N/A,FALSE,"98소지이동TOTvs99.1 (2)";#N/A,#N/A,FALSE,"TOTAL";#N/A,#N/A,FALSE,"98소지이동TOTvs99.1(b) (2)"}</definedName>
    <definedName name="ㅇㄹㄴ" localSheetId="42" hidden="1">{#N/A,#N/A,FALSE,"98소지이동TOTvs99.1 (2)";#N/A,#N/A,FALSE,"TOTAL";#N/A,#N/A,FALSE,"98소지이동TOTvs99.1(b) (2)"}</definedName>
    <definedName name="ㅇㄹㄴ" hidden="1">{#N/A,#N/A,FALSE,"98소지이동TOTvs99.1 (2)";#N/A,#N/A,FALSE,"TOTAL";#N/A,#N/A,FALSE,"98소지이동TOTvs99.1(b) (2)"}</definedName>
    <definedName name="ㅇㄹㄴㄹㄴ" localSheetId="12" hidden="1">{#N/A,#N/A,FALSE,"지침";#N/A,#N/A,FALSE,"환경분석";#N/A,#N/A,FALSE,"Sheet16"}</definedName>
    <definedName name="ㅇㄹㄴㄹㄴ" localSheetId="42" hidden="1">{#N/A,#N/A,FALSE,"지침";#N/A,#N/A,FALSE,"환경분석";#N/A,#N/A,FALSE,"Sheet16"}</definedName>
    <definedName name="ㅇㄹㄴㄹㄴ" hidden="1">{#N/A,#N/A,FALSE,"지침";#N/A,#N/A,FALSE,"환경분석";#N/A,#N/A,FALSE,"Sheet16"}</definedName>
    <definedName name="ㅇㄹㄹ" localSheetId="15" hidden="1">{#N/A,#N/A,FALSE,"98소지이동TOTvs99.1 (2)";#N/A,#N/A,FALSE,"TOTAL";#N/A,#N/A,FALSE,"98소지이동TOTvs99.1(b) (2)"}</definedName>
    <definedName name="ㅇㄹㄹ" localSheetId="6" hidden="1">{#N/A,#N/A,FALSE,"98소지이동TOTvs99.1 (2)";#N/A,#N/A,FALSE,"TOTAL";#N/A,#N/A,FALSE,"98소지이동TOTvs99.1(b) (2)"}</definedName>
    <definedName name="ㅇㄹㄹ" localSheetId="45" hidden="1">{#N/A,#N/A,FALSE,"98소지이동TOTvs99.1 (2)";#N/A,#N/A,FALSE,"TOTAL";#N/A,#N/A,FALSE,"98소지이동TOTvs99.1(b) (2)"}</definedName>
    <definedName name="ㅇㄹㄹ" localSheetId="42" hidden="1">{#N/A,#N/A,FALSE,"98소지이동TOTvs99.1 (2)";#N/A,#N/A,FALSE,"TOTAL";#N/A,#N/A,FALSE,"98소지이동TOTvs99.1(b) (2)"}</definedName>
    <definedName name="ㅇㄹㄹ" hidden="1">{#N/A,#N/A,FALSE,"98소지이동TOTvs99.1 (2)";#N/A,#N/A,FALSE,"TOTAL";#N/A,#N/A,FALSE,"98소지이동TOTvs99.1(b) (2)"}</definedName>
    <definedName name="ㅇㄹㄹㄹㄹ" localSheetId="15" hidden="1">{#N/A,#N/A,FALSE,"정공"}</definedName>
    <definedName name="ㅇㄹㄹㄹㄹ" localSheetId="6" hidden="1">{#N/A,#N/A,FALSE,"정공"}</definedName>
    <definedName name="ㅇㄹㄹㄹㄹ" localSheetId="45" hidden="1">{#N/A,#N/A,FALSE,"정공"}</definedName>
    <definedName name="ㅇㄹㄹㄹㄹ" localSheetId="42" hidden="1">{#N/A,#N/A,FALSE,"정공"}</definedName>
    <definedName name="ㅇㄹㄹㄹㄹ" hidden="1">{#N/A,#N/A,FALSE,"정공"}</definedName>
    <definedName name="ㅇㄹㅇ" localSheetId="12" hidden="1">{#N/A,#N/A,FALSE,"지침";#N/A,#N/A,FALSE,"환경분석";#N/A,#N/A,FALSE,"Sheet16"}</definedName>
    <definedName name="ㅇㄹㅇ" localSheetId="42" hidden="1">{#N/A,#N/A,FALSE,"지침";#N/A,#N/A,FALSE,"환경분석";#N/A,#N/A,FALSE,"Sheet16"}</definedName>
    <definedName name="ㅇㄹㅇ" hidden="1">{#N/A,#N/A,FALSE,"지침";#N/A,#N/A,FALSE,"환경분석";#N/A,#N/A,FALSE,"Sheet16"}</definedName>
    <definedName name="ㅇㄹㅇㄹㅇ" localSheetId="15" hidden="1">{#N/A,#N/A,FALSE,"정공"}</definedName>
    <definedName name="ㅇㄹㅇㄹㅇ" localSheetId="6" hidden="1">{#N/A,#N/A,FALSE,"정공"}</definedName>
    <definedName name="ㅇㄹㅇㄹㅇ" localSheetId="45" hidden="1">{#N/A,#N/A,FALSE,"정공"}</definedName>
    <definedName name="ㅇㄹㅇㄹㅇ" localSheetId="42" hidden="1">{#N/A,#N/A,FALSE,"정공"}</definedName>
    <definedName name="ㅇㄹㅇㄹㅇ" hidden="1">{#N/A,#N/A,FALSE,"정공"}</definedName>
    <definedName name="ㅇㄹㅇㅁㄻㄴㅇ" localSheetId="12" hidden="1">{#N/A,#N/A,FALSE,"DAOCM 2차 검토"}</definedName>
    <definedName name="ㅇㄹㅇㅁㄻㄴㅇ" localSheetId="42" hidden="1">{#N/A,#N/A,FALSE,"DAOCM 2차 검토"}</definedName>
    <definedName name="ㅇㄹㅇㅁㄻㄴㅇ" hidden="1">{#N/A,#N/A,FALSE,"DAOCM 2차 검토"}</definedName>
    <definedName name="ㅇㄹ홍ㄹ호" localSheetId="15" hidden="1">{#N/A,#N/A,FALSE,"손익표지";#N/A,#N/A,FALSE,"손익계산";#N/A,#N/A,FALSE,"일반관리비";#N/A,#N/A,FALSE,"영업외수익";#N/A,#N/A,FALSE,"영업외비용";#N/A,#N/A,FALSE,"매출액";#N/A,#N/A,FALSE,"요약손익";#N/A,#N/A,FALSE,"요약대차";#N/A,#N/A,FALSE,"매출채권현황";#N/A,#N/A,FALSE,"매출채권명세"}</definedName>
    <definedName name="ㅇㄹ홍ㄹ호"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ㅇㄹ홍ㄹ호" localSheetId="45" hidden="1">{#N/A,#N/A,FALSE,"손익표지";#N/A,#N/A,FALSE,"손익계산";#N/A,#N/A,FALSE,"일반관리비";#N/A,#N/A,FALSE,"영업외수익";#N/A,#N/A,FALSE,"영업외비용";#N/A,#N/A,FALSE,"매출액";#N/A,#N/A,FALSE,"요약손익";#N/A,#N/A,FALSE,"요약대차";#N/A,#N/A,FALSE,"매출채권현황";#N/A,#N/A,FALSE,"매출채권명세"}</definedName>
    <definedName name="ㅇㄹ홍ㄹ호" localSheetId="42" hidden="1">{#N/A,#N/A,FALSE,"손익표지";#N/A,#N/A,FALSE,"손익계산";#N/A,#N/A,FALSE,"일반관리비";#N/A,#N/A,FALSE,"영업외수익";#N/A,#N/A,FALSE,"영업외비용";#N/A,#N/A,FALSE,"매출액";#N/A,#N/A,FALSE,"요약손익";#N/A,#N/A,FALSE,"요약대차";#N/A,#N/A,FALSE,"매출채권현황";#N/A,#N/A,FALSE,"매출채권명세"}</definedName>
    <definedName name="ㅇㄹ홍ㄹ호" hidden="1">{#N/A,#N/A,FALSE,"손익표지";#N/A,#N/A,FALSE,"손익계산";#N/A,#N/A,FALSE,"일반관리비";#N/A,#N/A,FALSE,"영업외수익";#N/A,#N/A,FALSE,"영업외비용";#N/A,#N/A,FALSE,"매출액";#N/A,#N/A,FALSE,"요약손익";#N/A,#N/A,FALSE,"요약대차";#N/A,#N/A,FALSE,"매출채권현황";#N/A,#N/A,FALSE,"매출채권명세"}</definedName>
    <definedName name="ㅇㄹ홍ㅎ" localSheetId="15" hidden="1">{#N/A,#N/A,FALSE,"손익표지";#N/A,#N/A,FALSE,"손익계산";#N/A,#N/A,FALSE,"일반관리비";#N/A,#N/A,FALSE,"영업외수익";#N/A,#N/A,FALSE,"영업외비용";#N/A,#N/A,FALSE,"매출액";#N/A,#N/A,FALSE,"요약손익";#N/A,#N/A,FALSE,"요약대차";#N/A,#N/A,FALSE,"매출채권현황";#N/A,#N/A,FALSE,"매출채권명세"}</definedName>
    <definedName name="ㅇㄹ홍ㅎ"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ㅇㄹ홍ㅎ" localSheetId="45" hidden="1">{#N/A,#N/A,FALSE,"손익표지";#N/A,#N/A,FALSE,"손익계산";#N/A,#N/A,FALSE,"일반관리비";#N/A,#N/A,FALSE,"영업외수익";#N/A,#N/A,FALSE,"영업외비용";#N/A,#N/A,FALSE,"매출액";#N/A,#N/A,FALSE,"요약손익";#N/A,#N/A,FALSE,"요약대차";#N/A,#N/A,FALSE,"매출채권현황";#N/A,#N/A,FALSE,"매출채권명세"}</definedName>
    <definedName name="ㅇㄹ홍ㅎ" localSheetId="42" hidden="1">{#N/A,#N/A,FALSE,"손익표지";#N/A,#N/A,FALSE,"손익계산";#N/A,#N/A,FALSE,"일반관리비";#N/A,#N/A,FALSE,"영업외수익";#N/A,#N/A,FALSE,"영업외비용";#N/A,#N/A,FALSE,"매출액";#N/A,#N/A,FALSE,"요약손익";#N/A,#N/A,FALSE,"요약대차";#N/A,#N/A,FALSE,"매출채권현황";#N/A,#N/A,FALSE,"매출채권명세"}</definedName>
    <definedName name="ㅇㄹ홍ㅎ" hidden="1">{#N/A,#N/A,FALSE,"손익표지";#N/A,#N/A,FALSE,"손익계산";#N/A,#N/A,FALSE,"일반관리비";#N/A,#N/A,FALSE,"영업외수익";#N/A,#N/A,FALSE,"영업외비용";#N/A,#N/A,FALSE,"매출액";#N/A,#N/A,FALSE,"요약손익";#N/A,#N/A,FALSE,"요약대차";#N/A,#N/A,FALSE,"매출채권현황";#N/A,#N/A,FALSE,"매출채권명세"}</definedName>
    <definedName name="ㅇㅀ" localSheetId="15" hidden="1">{#N/A,#N/A,FALSE,"손익표지";#N/A,#N/A,FALSE,"손익계산";#N/A,#N/A,FALSE,"일반관리비";#N/A,#N/A,FALSE,"영업외수익";#N/A,#N/A,FALSE,"영업외비용";#N/A,#N/A,FALSE,"매출액";#N/A,#N/A,FALSE,"요약손익";#N/A,#N/A,FALSE,"요약대차";#N/A,#N/A,FALSE,"매출채권현황";#N/A,#N/A,FALSE,"매출채권명세"}</definedName>
    <definedName name="ㅇㅀ"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ㅇㅀ" localSheetId="45" hidden="1">{#N/A,#N/A,FALSE,"손익표지";#N/A,#N/A,FALSE,"손익계산";#N/A,#N/A,FALSE,"일반관리비";#N/A,#N/A,FALSE,"영업외수익";#N/A,#N/A,FALSE,"영업외비용";#N/A,#N/A,FALSE,"매출액";#N/A,#N/A,FALSE,"요약손익";#N/A,#N/A,FALSE,"요약대차";#N/A,#N/A,FALSE,"매출채권현황";#N/A,#N/A,FALSE,"매출채권명세"}</definedName>
    <definedName name="ㅇㅀ" localSheetId="42" hidden="1">{#N/A,#N/A,FALSE,"손익표지";#N/A,#N/A,FALSE,"손익계산";#N/A,#N/A,FALSE,"일반관리비";#N/A,#N/A,FALSE,"영업외수익";#N/A,#N/A,FALSE,"영업외비용";#N/A,#N/A,FALSE,"매출액";#N/A,#N/A,FALSE,"요약손익";#N/A,#N/A,FALSE,"요약대차";#N/A,#N/A,FALSE,"매출채권현황";#N/A,#N/A,FALSE,"매출채권명세"}</definedName>
    <definedName name="ㅇㅀ" hidden="1">{#N/A,#N/A,FALSE,"손익표지";#N/A,#N/A,FALSE,"손익계산";#N/A,#N/A,FALSE,"일반관리비";#N/A,#N/A,FALSE,"영업외수익";#N/A,#N/A,FALSE,"영업외비용";#N/A,#N/A,FALSE,"매출액";#N/A,#N/A,FALSE,"요약손익";#N/A,#N/A,FALSE,"요약대차";#N/A,#N/A,FALSE,"매출채권현황";#N/A,#N/A,FALSE,"매출채권명세"}</definedName>
    <definedName name="ㅇㅀㅇㅀ" localSheetId="15" hidden="1">{#N/A,#N/A,FALSE,"손익표지";#N/A,#N/A,FALSE,"손익계산";#N/A,#N/A,FALSE,"일반관리비";#N/A,#N/A,FALSE,"영업외수익";#N/A,#N/A,FALSE,"영업외비용";#N/A,#N/A,FALSE,"매출액";#N/A,#N/A,FALSE,"요약손익";#N/A,#N/A,FALSE,"요약대차";#N/A,#N/A,FALSE,"매출채권현황";#N/A,#N/A,FALSE,"매출채권명세"}</definedName>
    <definedName name="ㅇㅀㅇㅀ"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ㅇㅀㅇㅀ" localSheetId="45" hidden="1">{#N/A,#N/A,FALSE,"손익표지";#N/A,#N/A,FALSE,"손익계산";#N/A,#N/A,FALSE,"일반관리비";#N/A,#N/A,FALSE,"영업외수익";#N/A,#N/A,FALSE,"영업외비용";#N/A,#N/A,FALSE,"매출액";#N/A,#N/A,FALSE,"요약손익";#N/A,#N/A,FALSE,"요약대차";#N/A,#N/A,FALSE,"매출채권현황";#N/A,#N/A,FALSE,"매출채권명세"}</definedName>
    <definedName name="ㅇㅀㅇㅀ" localSheetId="42" hidden="1">{#N/A,#N/A,FALSE,"손익표지";#N/A,#N/A,FALSE,"손익계산";#N/A,#N/A,FALSE,"일반관리비";#N/A,#N/A,FALSE,"영업외수익";#N/A,#N/A,FALSE,"영업외비용";#N/A,#N/A,FALSE,"매출액";#N/A,#N/A,FALSE,"요약손익";#N/A,#N/A,FALSE,"요약대차";#N/A,#N/A,FALSE,"매출채권현황";#N/A,#N/A,FALSE,"매출채권명세"}</definedName>
    <definedName name="ㅇㅀㅇㅀ" hidden="1">{#N/A,#N/A,FALSE,"손익표지";#N/A,#N/A,FALSE,"손익계산";#N/A,#N/A,FALSE,"일반관리비";#N/A,#N/A,FALSE,"영업외수익";#N/A,#N/A,FALSE,"영업외비용";#N/A,#N/A,FALSE,"매출액";#N/A,#N/A,FALSE,"요약손익";#N/A,#N/A,FALSE,"요약대차";#N/A,#N/A,FALSE,"매출채권현황";#N/A,#N/A,FALSE,"매출채권명세"}</definedName>
    <definedName name="ㅇㅀㅎ" localSheetId="15" hidden="1">{#N/A,#N/A,FALSE,"정공"}</definedName>
    <definedName name="ㅇㅀㅎ" localSheetId="6" hidden="1">{#N/A,#N/A,FALSE,"정공"}</definedName>
    <definedName name="ㅇㅀㅎ" localSheetId="45" hidden="1">{#N/A,#N/A,FALSE,"정공"}</definedName>
    <definedName name="ㅇㅀㅎ" localSheetId="42" hidden="1">{#N/A,#N/A,FALSE,"정공"}</definedName>
    <definedName name="ㅇㅀㅎ" hidden="1">{#N/A,#N/A,FALSE,"정공"}</definedName>
    <definedName name="ㅇㅁㄴㄻㄴㅇ" localSheetId="15" hidden="1">{#N/A,#N/A,FALSE,"손익표지";#N/A,#N/A,FALSE,"손익계산";#N/A,#N/A,FALSE,"일반관리비";#N/A,#N/A,FALSE,"영업외수익";#N/A,#N/A,FALSE,"영업외비용";#N/A,#N/A,FALSE,"매출액";#N/A,#N/A,FALSE,"요약손익";#N/A,#N/A,FALSE,"요약대차";#N/A,#N/A,FALSE,"매출채권현황";#N/A,#N/A,FALSE,"매출채권명세"}</definedName>
    <definedName name="ㅇㅁㄴㄻㄴㅇ"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ㅇㅁㄴㄻㄴㅇ" localSheetId="45" hidden="1">{#N/A,#N/A,FALSE,"손익표지";#N/A,#N/A,FALSE,"손익계산";#N/A,#N/A,FALSE,"일반관리비";#N/A,#N/A,FALSE,"영업외수익";#N/A,#N/A,FALSE,"영업외비용";#N/A,#N/A,FALSE,"매출액";#N/A,#N/A,FALSE,"요약손익";#N/A,#N/A,FALSE,"요약대차";#N/A,#N/A,FALSE,"매출채권현황";#N/A,#N/A,FALSE,"매출채권명세"}</definedName>
    <definedName name="ㅇㅁㄴㄻㄴㅇ" localSheetId="42" hidden="1">{#N/A,#N/A,FALSE,"손익표지";#N/A,#N/A,FALSE,"손익계산";#N/A,#N/A,FALSE,"일반관리비";#N/A,#N/A,FALSE,"영업외수익";#N/A,#N/A,FALSE,"영업외비용";#N/A,#N/A,FALSE,"매출액";#N/A,#N/A,FALSE,"요약손익";#N/A,#N/A,FALSE,"요약대차";#N/A,#N/A,FALSE,"매출채권현황";#N/A,#N/A,FALSE,"매출채권명세"}</definedName>
    <definedName name="ㅇㅁㄴㄻㄴㅇ" hidden="1">{#N/A,#N/A,FALSE,"손익표지";#N/A,#N/A,FALSE,"손익계산";#N/A,#N/A,FALSE,"일반관리비";#N/A,#N/A,FALSE,"영업외수익";#N/A,#N/A,FALSE,"영업외비용";#N/A,#N/A,FALSE,"매출액";#N/A,#N/A,FALSE,"요약손익";#N/A,#N/A,FALSE,"요약대차";#N/A,#N/A,FALSE,"매출채권현황";#N/A,#N/A,FALSE,"매출채권명세"}</definedName>
    <definedName name="ㅇㅁㄻㄴㄹ" localSheetId="15" hidden="1">{#N/A,#N/A,FALSE,"손익표지";#N/A,#N/A,FALSE,"손익계산";#N/A,#N/A,FALSE,"일반관리비";#N/A,#N/A,FALSE,"영업외수익";#N/A,#N/A,FALSE,"영업외비용";#N/A,#N/A,FALSE,"매출액";#N/A,#N/A,FALSE,"요약손익";#N/A,#N/A,FALSE,"요약대차";#N/A,#N/A,FALSE,"매출채권현황";#N/A,#N/A,FALSE,"매출채권명세"}</definedName>
    <definedName name="ㅇㅁㄻㄴㄹ"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ㅇㅁㄻㄴㄹ" localSheetId="45" hidden="1">{#N/A,#N/A,FALSE,"손익표지";#N/A,#N/A,FALSE,"손익계산";#N/A,#N/A,FALSE,"일반관리비";#N/A,#N/A,FALSE,"영업외수익";#N/A,#N/A,FALSE,"영업외비용";#N/A,#N/A,FALSE,"매출액";#N/A,#N/A,FALSE,"요약손익";#N/A,#N/A,FALSE,"요약대차";#N/A,#N/A,FALSE,"매출채권현황";#N/A,#N/A,FALSE,"매출채권명세"}</definedName>
    <definedName name="ㅇㅁㄻㄴㄹ" localSheetId="42" hidden="1">{#N/A,#N/A,FALSE,"손익표지";#N/A,#N/A,FALSE,"손익계산";#N/A,#N/A,FALSE,"일반관리비";#N/A,#N/A,FALSE,"영업외수익";#N/A,#N/A,FALSE,"영업외비용";#N/A,#N/A,FALSE,"매출액";#N/A,#N/A,FALSE,"요약손익";#N/A,#N/A,FALSE,"요약대차";#N/A,#N/A,FALSE,"매출채권현황";#N/A,#N/A,FALSE,"매출채권명세"}</definedName>
    <definedName name="ㅇㅁㄻㄴㄹ" hidden="1">{#N/A,#N/A,FALSE,"손익표지";#N/A,#N/A,FALSE,"손익계산";#N/A,#N/A,FALSE,"일반관리비";#N/A,#N/A,FALSE,"영업외수익";#N/A,#N/A,FALSE,"영업외비용";#N/A,#N/A,FALSE,"매출액";#N/A,#N/A,FALSE,"요약손익";#N/A,#N/A,FALSE,"요약대차";#N/A,#N/A,FALSE,"매출채권현황";#N/A,#N/A,FALSE,"매출채권명세"}</definedName>
    <definedName name="ㅇㅇ" localSheetId="1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ㅇㅇ" localSheetId="15" hidden="1">{#N/A,#N/A,FALSE,"손익표지";#N/A,#N/A,FALSE,"손익계산";#N/A,#N/A,FALSE,"일반관리비";#N/A,#N/A,FALSE,"영업외수익";#N/A,#N/A,FALSE,"영업외비용";#N/A,#N/A,FALSE,"매출액";#N/A,#N/A,FALSE,"요약손익";#N/A,#N/A,FALSE,"요약대차";#N/A,#N/A,FALSE,"매출채권현황";#N/A,#N/A,FALSE,"매출채권명세"}</definedName>
    <definedName name="ㅇㅇ"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ㅇㅇ" localSheetId="45" hidden="1">{#N/A,#N/A,FALSE,"손익표지";#N/A,#N/A,FALSE,"손익계산";#N/A,#N/A,FALSE,"일반관리비";#N/A,#N/A,FALSE,"영업외수익";#N/A,#N/A,FALSE,"영업외비용";#N/A,#N/A,FALSE,"매출액";#N/A,#N/A,FALSE,"요약손익";#N/A,#N/A,FALSE,"요약대차";#N/A,#N/A,FALSE,"매출채권현황";#N/A,#N/A,FALSE,"매출채권명세"}</definedName>
    <definedName name="ㅇㅇ" localSheetId="42" hidden="1">{#N/A,#N/A,FALSE,"손익표지";#N/A,#N/A,FALSE,"손익계산";#N/A,#N/A,FALSE,"일반관리비";#N/A,#N/A,FALSE,"영업외수익";#N/A,#N/A,FALSE,"영업외비용";#N/A,#N/A,FALSE,"매출액";#N/A,#N/A,FALSE,"요약손익";#N/A,#N/A,FALSE,"요약대차";#N/A,#N/A,FALSE,"매출채권현황";#N/A,#N/A,FALSE,"매출채권명세"}</definedName>
    <definedName name="ㅇㅇ" hidden="1">{#N/A,#N/A,FALSE,"UNIT";#N/A,#N/A,FALSE,"UNIT";#N/A,#N/A,FALSE,"계정"}</definedName>
    <definedName name="ㅇㅇㄴㄴㄴㄴ" localSheetId="15" hidden="1">{#N/A,#N/A,FALSE,"BS";#N/A,#N/A,FALSE,"PL";#N/A,#N/A,FALSE,"A";#N/A,#N/A,FALSE,"B";#N/A,#N/A,FALSE,"B1";#N/A,#N/A,FALSE,"C";#N/A,#N/A,FALSE,"C1";#N/A,#N/A,FALSE,"C2";#N/A,#N/A,FALSE,"D";#N/A,#N/A,FALSE,"E";#N/A,#N/A,FALSE,"F";#N/A,#N/A,FALSE,"AA";#N/A,#N/A,FALSE,"BB";#N/A,#N/A,FALSE,"CC";#N/A,#N/A,FALSE,"DD";#N/A,#N/A,FALSE,"EE";#N/A,#N/A,FALSE,"FF";#N/A,#N/A,FALSE,"PL10";#N/A,#N/A,FALSE,"PL20";#N/A,#N/A,FALSE,"PL30"}</definedName>
    <definedName name="ㅇㅇㄴㄴㄴㄴ" localSheetId="6" hidden="1">{#N/A,#N/A,FALSE,"BS";#N/A,#N/A,FALSE,"PL";#N/A,#N/A,FALSE,"A";#N/A,#N/A,FALSE,"B";#N/A,#N/A,FALSE,"B1";#N/A,#N/A,FALSE,"C";#N/A,#N/A,FALSE,"C1";#N/A,#N/A,FALSE,"C2";#N/A,#N/A,FALSE,"D";#N/A,#N/A,FALSE,"E";#N/A,#N/A,FALSE,"F";#N/A,#N/A,FALSE,"AA";#N/A,#N/A,FALSE,"BB";#N/A,#N/A,FALSE,"CC";#N/A,#N/A,FALSE,"DD";#N/A,#N/A,FALSE,"EE";#N/A,#N/A,FALSE,"FF";#N/A,#N/A,FALSE,"PL10";#N/A,#N/A,FALSE,"PL20";#N/A,#N/A,FALSE,"PL30"}</definedName>
    <definedName name="ㅇㅇㄴㄴㄴㄴ" localSheetId="45" hidden="1">{#N/A,#N/A,FALSE,"BS";#N/A,#N/A,FALSE,"PL";#N/A,#N/A,FALSE,"A";#N/A,#N/A,FALSE,"B";#N/A,#N/A,FALSE,"B1";#N/A,#N/A,FALSE,"C";#N/A,#N/A,FALSE,"C1";#N/A,#N/A,FALSE,"C2";#N/A,#N/A,FALSE,"D";#N/A,#N/A,FALSE,"E";#N/A,#N/A,FALSE,"F";#N/A,#N/A,FALSE,"AA";#N/A,#N/A,FALSE,"BB";#N/A,#N/A,FALSE,"CC";#N/A,#N/A,FALSE,"DD";#N/A,#N/A,FALSE,"EE";#N/A,#N/A,FALSE,"FF";#N/A,#N/A,FALSE,"PL10";#N/A,#N/A,FALSE,"PL20";#N/A,#N/A,FALSE,"PL30"}</definedName>
    <definedName name="ㅇㅇㄴㄴㄴㄴ" localSheetId="42" hidden="1">{#N/A,#N/A,FALSE,"BS";#N/A,#N/A,FALSE,"PL";#N/A,#N/A,FALSE,"A";#N/A,#N/A,FALSE,"B";#N/A,#N/A,FALSE,"B1";#N/A,#N/A,FALSE,"C";#N/A,#N/A,FALSE,"C1";#N/A,#N/A,FALSE,"C2";#N/A,#N/A,FALSE,"D";#N/A,#N/A,FALSE,"E";#N/A,#N/A,FALSE,"F";#N/A,#N/A,FALSE,"AA";#N/A,#N/A,FALSE,"BB";#N/A,#N/A,FALSE,"CC";#N/A,#N/A,FALSE,"DD";#N/A,#N/A,FALSE,"EE";#N/A,#N/A,FALSE,"FF";#N/A,#N/A,FALSE,"PL10";#N/A,#N/A,FALSE,"PL20";#N/A,#N/A,FALSE,"PL30"}</definedName>
    <definedName name="ㅇㅇㄴㄴㄴㄴ" hidden="1">{#N/A,#N/A,FALSE,"BS";#N/A,#N/A,FALSE,"PL";#N/A,#N/A,FALSE,"A";#N/A,#N/A,FALSE,"B";#N/A,#N/A,FALSE,"B1";#N/A,#N/A,FALSE,"C";#N/A,#N/A,FALSE,"C1";#N/A,#N/A,FALSE,"C2";#N/A,#N/A,FALSE,"D";#N/A,#N/A,FALSE,"E";#N/A,#N/A,FALSE,"F";#N/A,#N/A,FALSE,"AA";#N/A,#N/A,FALSE,"BB";#N/A,#N/A,FALSE,"CC";#N/A,#N/A,FALSE,"DD";#N/A,#N/A,FALSE,"EE";#N/A,#N/A,FALSE,"FF";#N/A,#N/A,FALSE,"PL10";#N/A,#N/A,FALSE,"PL20";#N/A,#N/A,FALSE,"PL30"}</definedName>
    <definedName name="ㅇㅇㄴㅇㄴ" localSheetId="15" hidden="1">{#N/A,#N/A,FALSE,"정공"}</definedName>
    <definedName name="ㅇㅇㄴㅇㄴ" localSheetId="6" hidden="1">{#N/A,#N/A,FALSE,"정공"}</definedName>
    <definedName name="ㅇㅇㄴㅇㄴ" localSheetId="45" hidden="1">{#N/A,#N/A,FALSE,"정공"}</definedName>
    <definedName name="ㅇㅇㄴㅇㄴ" localSheetId="42" hidden="1">{#N/A,#N/A,FALSE,"정공"}</definedName>
    <definedName name="ㅇㅇㄴㅇㄴ" hidden="1">{#N/A,#N/A,FALSE,"정공"}</definedName>
    <definedName name="ㅇㅇㅇ" localSheetId="12" hidden="1">{#N/A,#N/A,FALSE,"Aging Summary";#N/A,#N/A,FALSE,"Ratio Analysis";#N/A,#N/A,FALSE,"Test 120 Day Accts";#N/A,#N/A,FALSE,"Tickmarks"}</definedName>
    <definedName name="ㅇㅇㅇ" localSheetId="15" hidden="1">{#N/A,#N/A,FALSE,"손익표지";#N/A,#N/A,FALSE,"손익계산";#N/A,#N/A,FALSE,"일반관리비";#N/A,#N/A,FALSE,"영업외수익";#N/A,#N/A,FALSE,"영업외비용";#N/A,#N/A,FALSE,"매출액";#N/A,#N/A,FALSE,"요약손익";#N/A,#N/A,FALSE,"요약대차";#N/A,#N/A,FALSE,"매출채권현황";#N/A,#N/A,FALSE,"매출채권명세"}</definedName>
    <definedName name="ㅇㅇㅇ"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ㅇㅇㅇ" localSheetId="45" hidden="1">{#N/A,#N/A,FALSE,"손익표지";#N/A,#N/A,FALSE,"손익계산";#N/A,#N/A,FALSE,"일반관리비";#N/A,#N/A,FALSE,"영업외수익";#N/A,#N/A,FALSE,"영업외비용";#N/A,#N/A,FALSE,"매출액";#N/A,#N/A,FALSE,"요약손익";#N/A,#N/A,FALSE,"요약대차";#N/A,#N/A,FALSE,"매출채권현황";#N/A,#N/A,FALSE,"매출채권명세"}</definedName>
    <definedName name="ㅇㅇㅇ" localSheetId="42" hidden="1">{#N/A,#N/A,FALSE,"손익표지";#N/A,#N/A,FALSE,"손익계산";#N/A,#N/A,FALSE,"일반관리비";#N/A,#N/A,FALSE,"영업외수익";#N/A,#N/A,FALSE,"영업외비용";#N/A,#N/A,FALSE,"매출액";#N/A,#N/A,FALSE,"요약손익";#N/A,#N/A,FALSE,"요약대차";#N/A,#N/A,FALSE,"매출채권현황";#N/A,#N/A,FALSE,"매출채권명세"}</definedName>
    <definedName name="ㅇㅇㅇ" hidden="1">{#N/A,#N/A,FALSE,"Aging Summary";#N/A,#N/A,FALSE,"Ratio Analysis";#N/A,#N/A,FALSE,"Test 120 Day Accts";#N/A,#N/A,FALSE,"Tickmarks"}</definedName>
    <definedName name="ㅇㅇㅇㄴㄴ" localSheetId="15" hidden="1">{#N/A,#N/A,FALSE,"정공"}</definedName>
    <definedName name="ㅇㅇㅇㄴㄴ" localSheetId="6" hidden="1">{#N/A,#N/A,FALSE,"정공"}</definedName>
    <definedName name="ㅇㅇㅇㄴㄴ" localSheetId="45" hidden="1">{#N/A,#N/A,FALSE,"정공"}</definedName>
    <definedName name="ㅇㅇㅇㄴㄴ" localSheetId="42" hidden="1">{#N/A,#N/A,FALSE,"정공"}</definedName>
    <definedName name="ㅇㅇㅇㄴㄴ" hidden="1">{#N/A,#N/A,FALSE,"정공"}</definedName>
    <definedName name="ㅇㅇㅇㅇ" localSheetId="15" hidden="1">{#N/A,#N/A,FALSE,"정공"}</definedName>
    <definedName name="ㅇㅇㅇㅇ" localSheetId="6" hidden="1">{#N/A,#N/A,FALSE,"정공"}</definedName>
    <definedName name="ㅇㅇㅇㅇ" localSheetId="45" hidden="1">{#N/A,#N/A,FALSE,"정공"}</definedName>
    <definedName name="ㅇㅇㅇㅇ" localSheetId="42" hidden="1">{#N/A,#N/A,FALSE,"정공"}</definedName>
    <definedName name="ㅇㅇㅇㅇ" hidden="1">{#N/A,#N/A,FALSE,"지침";#N/A,#N/A,FALSE,"환경분석";#N/A,#N/A,FALSE,"Sheet16"}</definedName>
    <definedName name="ㅇㅇㅇㅇㅇ" localSheetId="12" hidden="1">{#N/A,#N/A,FALSE,"UNIT";#N/A,#N/A,FALSE,"UNIT";#N/A,#N/A,FALSE,"계정"}</definedName>
    <definedName name="ㅇㅇㅇㅇㅇ" localSheetId="15"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ㅇㅇㅇㅇㅇ" localSheetId="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ㅇㅇㅇㅇㅇ" localSheetId="45"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ㅇㅇㅇㅇㅇ" localSheetId="4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ㅇㅇㅇㅇㅇ" hidden="1">{#N/A,#N/A,FALSE,"UNIT";#N/A,#N/A,FALSE,"UNIT";#N/A,#N/A,FALSE,"계정"}</definedName>
    <definedName name="ㅇㅇㅇㅇㅇㅇ" localSheetId="12" hidden="1">{#N/A,#N/A,FALSE,"UNIT";#N/A,#N/A,FALSE,"UNIT";#N/A,#N/A,FALSE,"계정"}</definedName>
    <definedName name="ㅇㅇㅇㅇㅇㅇ" localSheetId="15" hidden="1">{#N/A,#N/A,FALSE,"정공"}</definedName>
    <definedName name="ㅇㅇㅇㅇㅇㅇ" localSheetId="6" hidden="1">{#N/A,#N/A,FALSE,"정공"}</definedName>
    <definedName name="ㅇㅇㅇㅇㅇㅇ" localSheetId="45" hidden="1">{#N/A,#N/A,FALSE,"정공"}</definedName>
    <definedName name="ㅇㅇㅇㅇㅇㅇ" localSheetId="42" hidden="1">{#N/A,#N/A,FALSE,"정공"}</definedName>
    <definedName name="ㅇㅇㅇㅇㅇㅇ" hidden="1">{#N/A,#N/A,FALSE,"UNIT";#N/A,#N/A,FALSE,"UNIT";#N/A,#N/A,FALSE,"계정"}</definedName>
    <definedName name="ㅇㅇㅇㅇㅇㅇㅇㅇ" localSheetId="42" hidden="1">{"'2 혼례가구(1)'!$C$10"}</definedName>
    <definedName name="ㅇㅇㅇㅇㅇㅇㅇㅇ" hidden="1">{"'2 혼례가구(1)'!$C$10"}</definedName>
    <definedName name="ㅇ여ㅗ흐ㅓㅇ휸" localSheetId="15" hidden="1">{#N/A,#N/A,FALSE,"98소지이동TOTvs99.1 (2)";#N/A,#N/A,FALSE,"TOTAL";#N/A,#N/A,FALSE,"98소지이동TOTvs99.1(b) (2)"}</definedName>
    <definedName name="ㅇ여ㅗ흐ㅓㅇ휸" localSheetId="6" hidden="1">{#N/A,#N/A,FALSE,"98소지이동TOTvs99.1 (2)";#N/A,#N/A,FALSE,"TOTAL";#N/A,#N/A,FALSE,"98소지이동TOTvs99.1(b) (2)"}</definedName>
    <definedName name="ㅇ여ㅗ흐ㅓㅇ휸" localSheetId="45" hidden="1">{#N/A,#N/A,FALSE,"98소지이동TOTvs99.1 (2)";#N/A,#N/A,FALSE,"TOTAL";#N/A,#N/A,FALSE,"98소지이동TOTvs99.1(b) (2)"}</definedName>
    <definedName name="ㅇ여ㅗ흐ㅓㅇ휸" localSheetId="42" hidden="1">{#N/A,#N/A,FALSE,"98소지이동TOTvs99.1 (2)";#N/A,#N/A,FALSE,"TOTAL";#N/A,#N/A,FALSE,"98소지이동TOTvs99.1(b) (2)"}</definedName>
    <definedName name="ㅇ여ㅗ흐ㅓㅇ휸" hidden="1">{#N/A,#N/A,FALSE,"98소지이동TOTvs99.1 (2)";#N/A,#N/A,FALSE,"TOTAL";#N/A,#N/A,FALSE,"98소지이동TOTvs99.1(b) (2)"}</definedName>
    <definedName name="ㅇㅈ" localSheetId="4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ㅇㅈ"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ㅇㅈㄴㄹㄴㅇ" localSheetId="15" hidden="1">{#N/A,#N/A,FALSE,"손익표지";#N/A,#N/A,FALSE,"손익계산";#N/A,#N/A,FALSE,"일반관리비";#N/A,#N/A,FALSE,"영업외수익";#N/A,#N/A,FALSE,"영업외비용";#N/A,#N/A,FALSE,"매출액";#N/A,#N/A,FALSE,"요약손익";#N/A,#N/A,FALSE,"요약대차";#N/A,#N/A,FALSE,"매출채권현황";#N/A,#N/A,FALSE,"매출채권명세"}</definedName>
    <definedName name="ㅇㅈㄴㄹㄴㅇ"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ㅇㅈㄴㄹㄴㅇ" localSheetId="45" hidden="1">{#N/A,#N/A,FALSE,"손익표지";#N/A,#N/A,FALSE,"손익계산";#N/A,#N/A,FALSE,"일반관리비";#N/A,#N/A,FALSE,"영업외수익";#N/A,#N/A,FALSE,"영업외비용";#N/A,#N/A,FALSE,"매출액";#N/A,#N/A,FALSE,"요약손익";#N/A,#N/A,FALSE,"요약대차";#N/A,#N/A,FALSE,"매출채권현황";#N/A,#N/A,FALSE,"매출채권명세"}</definedName>
    <definedName name="ㅇㅈㄴㄹㄴㅇ" localSheetId="42" hidden="1">{#N/A,#N/A,FALSE,"손익표지";#N/A,#N/A,FALSE,"손익계산";#N/A,#N/A,FALSE,"일반관리비";#N/A,#N/A,FALSE,"영업외수익";#N/A,#N/A,FALSE,"영업외비용";#N/A,#N/A,FALSE,"매출액";#N/A,#N/A,FALSE,"요약손익";#N/A,#N/A,FALSE,"요약대차";#N/A,#N/A,FALSE,"매출채권현황";#N/A,#N/A,FALSE,"매출채권명세"}</definedName>
    <definedName name="ㅇㅈㄴㄹㄴㅇ" hidden="1">{#N/A,#N/A,FALSE,"손익표지";#N/A,#N/A,FALSE,"손익계산";#N/A,#N/A,FALSE,"일반관리비";#N/A,#N/A,FALSE,"영업외수익";#N/A,#N/A,FALSE,"영업외비용";#N/A,#N/A,FALSE,"매출액";#N/A,#N/A,FALSE,"요약손익";#N/A,#N/A,FALSE,"요약대차";#N/A,#N/A,FALSE,"매출채권현황";#N/A,#N/A,FALSE,"매출채권명세"}</definedName>
    <definedName name="ㅇ호ㅓ" localSheetId="15" hidden="1">{#N/A,#N/A,FALSE,"손익표지";#N/A,#N/A,FALSE,"손익계산";#N/A,#N/A,FALSE,"일반관리비";#N/A,#N/A,FALSE,"영업외수익";#N/A,#N/A,FALSE,"영업외비용";#N/A,#N/A,FALSE,"매출액";#N/A,#N/A,FALSE,"요약손익";#N/A,#N/A,FALSE,"요약대차";#N/A,#N/A,FALSE,"매출채권현황";#N/A,#N/A,FALSE,"매출채권명세"}</definedName>
    <definedName name="ㅇ호ㅓ"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ㅇ호ㅓ" localSheetId="45" hidden="1">{#N/A,#N/A,FALSE,"손익표지";#N/A,#N/A,FALSE,"손익계산";#N/A,#N/A,FALSE,"일반관리비";#N/A,#N/A,FALSE,"영업외수익";#N/A,#N/A,FALSE,"영업외비용";#N/A,#N/A,FALSE,"매출액";#N/A,#N/A,FALSE,"요약손익";#N/A,#N/A,FALSE,"요약대차";#N/A,#N/A,FALSE,"매출채권현황";#N/A,#N/A,FALSE,"매출채권명세"}</definedName>
    <definedName name="ㅇ호ㅓ" localSheetId="42" hidden="1">{#N/A,#N/A,FALSE,"손익표지";#N/A,#N/A,FALSE,"손익계산";#N/A,#N/A,FALSE,"일반관리비";#N/A,#N/A,FALSE,"영업외수익";#N/A,#N/A,FALSE,"영업외비용";#N/A,#N/A,FALSE,"매출액";#N/A,#N/A,FALSE,"요약손익";#N/A,#N/A,FALSE,"요약대차";#N/A,#N/A,FALSE,"매출채권현황";#N/A,#N/A,FALSE,"매출채권명세"}</definedName>
    <definedName name="ㅇ호ㅓ" hidden="1">{#N/A,#N/A,FALSE,"손익표지";#N/A,#N/A,FALSE,"손익계산";#N/A,#N/A,FALSE,"일반관리비";#N/A,#N/A,FALSE,"영업외수익";#N/A,#N/A,FALSE,"영업외비용";#N/A,#N/A,FALSE,"매출액";#N/A,#N/A,FALSE,"요약손익";#N/A,#N/A,FALSE,"요약대차";#N/A,#N/A,FALSE,"매출채권현황";#N/A,#N/A,FALSE,"매출채권명세"}</definedName>
    <definedName name="ㅇ호ㅓㅇㅎ" localSheetId="15" hidden="1">{#N/A,#N/A,FALSE,"손익표지";#N/A,#N/A,FALSE,"손익계산";#N/A,#N/A,FALSE,"일반관리비";#N/A,#N/A,FALSE,"영업외수익";#N/A,#N/A,FALSE,"영업외비용";#N/A,#N/A,FALSE,"매출액";#N/A,#N/A,FALSE,"요약손익";#N/A,#N/A,FALSE,"요약대차";#N/A,#N/A,FALSE,"매출채권현황";#N/A,#N/A,FALSE,"매출채권명세"}</definedName>
    <definedName name="ㅇ호ㅓㅇㅎ"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ㅇ호ㅓㅇㅎ" localSheetId="45" hidden="1">{#N/A,#N/A,FALSE,"손익표지";#N/A,#N/A,FALSE,"손익계산";#N/A,#N/A,FALSE,"일반관리비";#N/A,#N/A,FALSE,"영업외수익";#N/A,#N/A,FALSE,"영업외비용";#N/A,#N/A,FALSE,"매출액";#N/A,#N/A,FALSE,"요약손익";#N/A,#N/A,FALSE,"요약대차";#N/A,#N/A,FALSE,"매출채권현황";#N/A,#N/A,FALSE,"매출채권명세"}</definedName>
    <definedName name="ㅇ호ㅓㅇㅎ" localSheetId="42" hidden="1">{#N/A,#N/A,FALSE,"손익표지";#N/A,#N/A,FALSE,"손익계산";#N/A,#N/A,FALSE,"일반관리비";#N/A,#N/A,FALSE,"영업외수익";#N/A,#N/A,FALSE,"영업외비용";#N/A,#N/A,FALSE,"매출액";#N/A,#N/A,FALSE,"요약손익";#N/A,#N/A,FALSE,"요약대차";#N/A,#N/A,FALSE,"매출채권현황";#N/A,#N/A,FALSE,"매출채권명세"}</definedName>
    <definedName name="ㅇ호ㅓㅇㅎ" hidden="1">{#N/A,#N/A,FALSE,"손익표지";#N/A,#N/A,FALSE,"손익계산";#N/A,#N/A,FALSE,"일반관리비";#N/A,#N/A,FALSE,"영업외수익";#N/A,#N/A,FALSE,"영업외비용";#N/A,#N/A,FALSE,"매출액";#N/A,#N/A,FALSE,"요약손익";#N/A,#N/A,FALSE,"요약대차";#N/A,#N/A,FALSE,"매출채권현황";#N/A,#N/A,FALSE,"매출채권명세"}</definedName>
    <definedName name="ㅇㅏㅇㅏㅣ" localSheetId="42" hidden="1">{#N/A,#N/A,FALSE,"BS";#N/A,#N/A,FALSE,"PL";#N/A,#N/A,FALSE,"처분";#N/A,#N/A,FALSE,"현금";#N/A,#N/A,FALSE,"매출";#N/A,#N/A,FALSE,"원가";#N/A,#N/A,FALSE,"경영"}</definedName>
    <definedName name="ㅇㅏㅇㅏㅣ" hidden="1">{#N/A,#N/A,FALSE,"BS";#N/A,#N/A,FALSE,"PL";#N/A,#N/A,FALSE,"처분";#N/A,#N/A,FALSE,"현금";#N/A,#N/A,FALSE,"매출";#N/A,#N/A,FALSE,"원가";#N/A,#N/A,FALSE,"경영"}</definedName>
    <definedName name="아" localSheetId="15" hidden="1">{#N/A,#N/A,FALSE,"1.CRITERIA";#N/A,#N/A,FALSE,"2.IS";#N/A,#N/A,FALSE,"3.BS";#N/A,#N/A,FALSE,"4.PER PL";#N/A,#N/A,FALSE,"5.INVESTMENT";#N/A,#N/A,FALSE,"6.공문";#N/A,#N/A,FALSE,"7.netinvest"}</definedName>
    <definedName name="아" localSheetId="6" hidden="1">{#N/A,#N/A,FALSE,"1.CRITERIA";#N/A,#N/A,FALSE,"2.IS";#N/A,#N/A,FALSE,"3.BS";#N/A,#N/A,FALSE,"4.PER PL";#N/A,#N/A,FALSE,"5.INVESTMENT";#N/A,#N/A,FALSE,"6.공문";#N/A,#N/A,FALSE,"7.netinvest"}</definedName>
    <definedName name="아" localSheetId="45" hidden="1">{#N/A,#N/A,FALSE,"1.CRITERIA";#N/A,#N/A,FALSE,"2.IS";#N/A,#N/A,FALSE,"3.BS";#N/A,#N/A,FALSE,"4.PER PL";#N/A,#N/A,FALSE,"5.INVESTMENT";#N/A,#N/A,FALSE,"6.공문";#N/A,#N/A,FALSE,"7.netinvest"}</definedName>
    <definedName name="아" localSheetId="42" hidden="1">{#N/A,#N/A,FALSE,"1.CRITERIA";#N/A,#N/A,FALSE,"2.IS";#N/A,#N/A,FALSE,"3.BS";#N/A,#N/A,FALSE,"4.PER PL";#N/A,#N/A,FALSE,"5.INVESTMENT";#N/A,#N/A,FALSE,"6.공문";#N/A,#N/A,FALSE,"7.netinvest"}</definedName>
    <definedName name="아" hidden="1">{#N/A,#N/A,FALSE,"Aging Summary";#N/A,#N/A,FALSE,"Ratio Analysis";#N/A,#N/A,FALSE,"Test 120 Day Accts";#N/A,#N/A,FALSE,"Tickmarks"}</definedName>
    <definedName name="아니래요" localSheetId="15" hidden="1">{#N/A,#N/A,FALSE,"정공"}</definedName>
    <definedName name="아니래요" localSheetId="6" hidden="1">{#N/A,#N/A,FALSE,"정공"}</definedName>
    <definedName name="아니래요" localSheetId="45" hidden="1">{#N/A,#N/A,FALSE,"정공"}</definedName>
    <definedName name="아니래요" localSheetId="42" hidden="1">{#N/A,#N/A,FALSE,"정공"}</definedName>
    <definedName name="아니래요" hidden="1">{#N/A,#N/A,FALSE,"정공"}</definedName>
    <definedName name="아니면말고" localSheetId="15" hidden="1">{#N/A,#N/A,FALSE,"정공"}</definedName>
    <definedName name="아니면말고" localSheetId="6" hidden="1">{#N/A,#N/A,FALSE,"정공"}</definedName>
    <definedName name="아니면말고" localSheetId="45" hidden="1">{#N/A,#N/A,FALSE,"정공"}</definedName>
    <definedName name="아니면말고" localSheetId="42" hidden="1">{#N/A,#N/A,FALSE,"정공"}</definedName>
    <definedName name="아니면말고" hidden="1">{#N/A,#N/A,FALSE,"정공"}</definedName>
    <definedName name="아니오" localSheetId="15" hidden="1">{#N/A,#N/A,FALSE,"정공"}</definedName>
    <definedName name="아니오" localSheetId="6" hidden="1">{#N/A,#N/A,FALSE,"정공"}</definedName>
    <definedName name="아니오" localSheetId="45" hidden="1">{#N/A,#N/A,FALSE,"정공"}</definedName>
    <definedName name="아니오" localSheetId="42" hidden="1">{#N/A,#N/A,FALSE,"정공"}</definedName>
    <definedName name="아니오" hidden="1">{#N/A,#N/A,FALSE,"정공"}</definedName>
    <definedName name="아리랑" localSheetId="15" hidden="1">{#N/A,#N/A,FALSE,"정공"}</definedName>
    <definedName name="아리랑" localSheetId="6" hidden="1">{#N/A,#N/A,FALSE,"정공"}</definedName>
    <definedName name="아리랑" localSheetId="45" hidden="1">{#N/A,#N/A,FALSE,"정공"}</definedName>
    <definedName name="아리랑" localSheetId="42" hidden="1">{#N/A,#N/A,FALSE,"정공"}</definedName>
    <definedName name="아리랑" hidden="1">{#N/A,#N/A,FALSE,"정공"}</definedName>
    <definedName name="아리랑동동" localSheetId="15" hidden="1">{#N/A,#N/A,FALSE,"정공"}</definedName>
    <definedName name="아리랑동동" localSheetId="6" hidden="1">{#N/A,#N/A,FALSE,"정공"}</definedName>
    <definedName name="아리랑동동" localSheetId="45" hidden="1">{#N/A,#N/A,FALSE,"정공"}</definedName>
    <definedName name="아리랑동동" localSheetId="42" hidden="1">{#N/A,#N/A,FALSE,"정공"}</definedName>
    <definedName name="아리랑동동" hidden="1">{#N/A,#N/A,FALSE,"정공"}</definedName>
    <definedName name="아아" localSheetId="42" hidden="1">{#N/A,#N/A,FALSE,"1.CRITERIA";#N/A,#N/A,FALSE,"2.IS";#N/A,#N/A,FALSE,"3.BS";#N/A,#N/A,FALSE,"4.PER PL";#N/A,#N/A,FALSE,"5.INVESTMENT";#N/A,#N/A,FALSE,"6.공문";#N/A,#N/A,FALSE,"7.netinvest"}</definedName>
    <definedName name="아아" hidden="1">{#N/A,#N/A,FALSE,"1.CRITERIA";#N/A,#N/A,FALSE,"2.IS";#N/A,#N/A,FALSE,"3.BS";#N/A,#N/A,FALSE,"4.PER PL";#N/A,#N/A,FALSE,"5.INVESTMENT";#N/A,#N/A,FALSE,"6.공문";#N/A,#N/A,FALSE,"7.netinvest"}</definedName>
    <definedName name="아아아" localSheetId="15" hidden="1">{#N/A,#N/A,FALSE,"1.CRITERIA";#N/A,#N/A,FALSE,"2.IS";#N/A,#N/A,FALSE,"3.BS";#N/A,#N/A,FALSE,"4.PER PL";#N/A,#N/A,FALSE,"5.INVESTMENT";#N/A,#N/A,FALSE,"6.공문";#N/A,#N/A,FALSE,"7.netinvest"}</definedName>
    <definedName name="아아아" localSheetId="6" hidden="1">{#N/A,#N/A,FALSE,"1.CRITERIA";#N/A,#N/A,FALSE,"2.IS";#N/A,#N/A,FALSE,"3.BS";#N/A,#N/A,FALSE,"4.PER PL";#N/A,#N/A,FALSE,"5.INVESTMENT";#N/A,#N/A,FALSE,"6.공문";#N/A,#N/A,FALSE,"7.netinvest"}</definedName>
    <definedName name="아아아" localSheetId="45" hidden="1">{#N/A,#N/A,FALSE,"1.CRITERIA";#N/A,#N/A,FALSE,"2.IS";#N/A,#N/A,FALSE,"3.BS";#N/A,#N/A,FALSE,"4.PER PL";#N/A,#N/A,FALSE,"5.INVESTMENT";#N/A,#N/A,FALSE,"6.공문";#N/A,#N/A,FALSE,"7.netinvest"}</definedName>
    <definedName name="아아아" localSheetId="42" hidden="1">{#N/A,#N/A,FALSE,"1.CRITERIA";#N/A,#N/A,FALSE,"2.IS";#N/A,#N/A,FALSE,"3.BS";#N/A,#N/A,FALSE,"4.PER PL";#N/A,#N/A,FALSE,"5.INVESTMENT";#N/A,#N/A,FALSE,"6.공문";#N/A,#N/A,FALSE,"7.netinvest"}</definedName>
    <definedName name="아아아" hidden="1">{#N/A,#N/A,FALSE,"1.CRITERIA";#N/A,#N/A,FALSE,"2.IS";#N/A,#N/A,FALSE,"3.BS";#N/A,#N/A,FALSE,"4.PER PL";#N/A,#N/A,FALSE,"5.INVESTMENT";#N/A,#N/A,FALSE,"6.공문";#N/A,#N/A,FALSE,"7.netinvest"}</definedName>
    <definedName name="아아아2" localSheetId="15" hidden="1">{"'미착금액'!$A$4:$G$14"}</definedName>
    <definedName name="아아아2" localSheetId="6" hidden="1">{"'미착금액'!$A$4:$G$14"}</definedName>
    <definedName name="아아아2" localSheetId="45" hidden="1">{"'미착금액'!$A$4:$G$14"}</definedName>
    <definedName name="아아아2" localSheetId="42" hidden="1">{"'미착금액'!$A$4:$G$14"}</definedName>
    <definedName name="아아아2" hidden="1">{"'미착금액'!$A$4:$G$14"}</definedName>
    <definedName name="아이" localSheetId="15" hidden="1">{#N/A,#N/A,FALSE,"1.CRITERIA";#N/A,#N/A,FALSE,"2.IS";#N/A,#N/A,FALSE,"3.BS";#N/A,#N/A,FALSE,"4.PER PL";#N/A,#N/A,FALSE,"5.INVESTMENT";#N/A,#N/A,FALSE,"6.공문";#N/A,#N/A,FALSE,"7.netinvest"}</definedName>
    <definedName name="아이" localSheetId="6" hidden="1">{#N/A,#N/A,FALSE,"1.CRITERIA";#N/A,#N/A,FALSE,"2.IS";#N/A,#N/A,FALSE,"3.BS";#N/A,#N/A,FALSE,"4.PER PL";#N/A,#N/A,FALSE,"5.INVESTMENT";#N/A,#N/A,FALSE,"6.공문";#N/A,#N/A,FALSE,"7.netinvest"}</definedName>
    <definedName name="아이" localSheetId="45" hidden="1">{#N/A,#N/A,FALSE,"1.CRITERIA";#N/A,#N/A,FALSE,"2.IS";#N/A,#N/A,FALSE,"3.BS";#N/A,#N/A,FALSE,"4.PER PL";#N/A,#N/A,FALSE,"5.INVESTMENT";#N/A,#N/A,FALSE,"6.공문";#N/A,#N/A,FALSE,"7.netinvest"}</definedName>
    <definedName name="아이" localSheetId="42" hidden="1">{#N/A,#N/A,FALSE,"1.CRITERIA";#N/A,#N/A,FALSE,"2.IS";#N/A,#N/A,FALSE,"3.BS";#N/A,#N/A,FALSE,"4.PER PL";#N/A,#N/A,FALSE,"5.INVESTMENT";#N/A,#N/A,FALSE,"6.공문";#N/A,#N/A,FALSE,"7.netinvest"}</definedName>
    <definedName name="아이" hidden="1">{#N/A,#N/A,FALSE,"1.CRITERIA";#N/A,#N/A,FALSE,"2.IS";#N/A,#N/A,FALSE,"3.BS";#N/A,#N/A,FALSE,"4.PER PL";#N/A,#N/A,FALSE,"5.INVESTMENT";#N/A,#N/A,FALSE,"6.공문";#N/A,#N/A,FALSE,"7.netinvest"}</definedName>
    <definedName name="아조하아" localSheetId="12" hidden="1">{#N/A,#N/A,FALSE,"UNIT";#N/A,#N/A,FALSE,"UNIT";#N/A,#N/A,FALSE,"계정"}</definedName>
    <definedName name="아조하아" localSheetId="42" hidden="1">{#N/A,#N/A,FALSE,"UNIT";#N/A,#N/A,FALSE,"UNIT";#N/A,#N/A,FALSE,"계정"}</definedName>
    <definedName name="아조하아" hidden="1">{#N/A,#N/A,FALSE,"UNIT";#N/A,#N/A,FALSE,"UNIT";#N/A,#N/A,FALSE,"계정"}</definedName>
    <definedName name="아ㅏ아아아아아" localSheetId="12" hidden="1">{#N/A,#N/A,FALSE,"UNIT";#N/A,#N/A,FALSE,"UNIT";#N/A,#N/A,FALSE,"계정"}</definedName>
    <definedName name="아ㅏ아아아아아" localSheetId="42" hidden="1">{#N/A,#N/A,FALSE,"UNIT";#N/A,#N/A,FALSE,"UNIT";#N/A,#N/A,FALSE,"계정"}</definedName>
    <definedName name="아ㅏ아아아아아" hidden="1">{#N/A,#N/A,FALSE,"UNIT";#N/A,#N/A,FALSE,"UNIT";#N/A,#N/A,FALSE,"계정"}</definedName>
    <definedName name="안" localSheetId="12" hidden="1">{#N/A,#N/A,FALSE,"UNIT";#N/A,#N/A,FALSE,"UNIT";#N/A,#N/A,FALSE,"계정"}</definedName>
    <definedName name="안" localSheetId="15" hidden="1">#REF!</definedName>
    <definedName name="안" localSheetId="6" hidden="1">#REF!</definedName>
    <definedName name="안" localSheetId="45" hidden="1">#REF!</definedName>
    <definedName name="안" localSheetId="42" hidden="1">#REF!</definedName>
    <definedName name="안" hidden="1">{#N/A,#N/A,FALSE,"UNIT";#N/A,#N/A,FALSE,"UNIT";#N/A,#N/A,FALSE,"계정"}</definedName>
    <definedName name="안건" localSheetId="42" hidden="1">{#N/A,#N/A,FALSE,"BS";#N/A,#N/A,FALSE,"PL";#N/A,#N/A,FALSE,"처분";#N/A,#N/A,FALSE,"현금";#N/A,#N/A,FALSE,"매출";#N/A,#N/A,FALSE,"원가";#N/A,#N/A,FALSE,"경영"}</definedName>
    <definedName name="안건" hidden="1">{#N/A,#N/A,FALSE,"BS";#N/A,#N/A,FALSE,"PL";#N/A,#N/A,FALSE,"처분";#N/A,#N/A,FALSE,"현금";#N/A,#N/A,FALSE,"매출";#N/A,#N/A,FALSE,"원가";#N/A,#N/A,FALSE,"경영"}</definedName>
    <definedName name="안녕하" localSheetId="12" hidden="1">#REF!</definedName>
    <definedName name="안녕하" localSheetId="30" hidden="1">#REF!</definedName>
    <definedName name="안녕하" localSheetId="29" hidden="1">#REF!</definedName>
    <definedName name="안녕하" localSheetId="33" hidden="1">#REF!</definedName>
    <definedName name="안녕하" localSheetId="31" hidden="1">#REF!</definedName>
    <definedName name="안녕하" hidden="1">#REF!</definedName>
    <definedName name="안녕하1" localSheetId="12" hidden="1">#REF!</definedName>
    <definedName name="안녕하1" localSheetId="30" hidden="1">#REF!</definedName>
    <definedName name="안녕하1" localSheetId="29" hidden="1">#REF!</definedName>
    <definedName name="안녕하1" localSheetId="33" hidden="1">#REF!</definedName>
    <definedName name="안녕하1" localSheetId="31" hidden="1">#REF!</definedName>
    <definedName name="안녕하1" hidden="1">#REF!</definedName>
    <definedName name="안전" localSheetId="15" hidden="1">{#N/A,#N/A,FALSE,"98소지이동TOTvs99.1 (2)";#N/A,#N/A,FALSE,"TOTAL";#N/A,#N/A,FALSE,"98소지이동TOTvs99.1(b) (2)"}</definedName>
    <definedName name="안전" localSheetId="6" hidden="1">{#N/A,#N/A,FALSE,"98소지이동TOTvs99.1 (2)";#N/A,#N/A,FALSE,"TOTAL";#N/A,#N/A,FALSE,"98소지이동TOTvs99.1(b) (2)"}</definedName>
    <definedName name="안전" localSheetId="45" hidden="1">{#N/A,#N/A,FALSE,"98소지이동TOTvs99.1 (2)";#N/A,#N/A,FALSE,"TOTAL";#N/A,#N/A,FALSE,"98소지이동TOTvs99.1(b) (2)"}</definedName>
    <definedName name="안전" localSheetId="42" hidden="1">{#N/A,#N/A,FALSE,"98소지이동TOTvs99.1 (2)";#N/A,#N/A,FALSE,"TOTAL";#N/A,#N/A,FALSE,"98소지이동TOTvs99.1(b) (2)"}</definedName>
    <definedName name="안전" hidden="1">{#N/A,#N/A,FALSE,"98소지이동TOTvs99.1 (2)";#N/A,#N/A,FALSE,"TOTAL";#N/A,#N/A,FALSE,"98소지이동TOTvs99.1(b) (2)"}</definedName>
    <definedName name="안진" localSheetId="15"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안진" localSheetId="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안진" localSheetId="45"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안진" localSheetId="4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안진"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앗서" localSheetId="15" hidden="1">{#N/A,#N/A,FALSE,"정공"}</definedName>
    <definedName name="앗서" localSheetId="6" hidden="1">{#N/A,#N/A,FALSE,"정공"}</definedName>
    <definedName name="앗서" localSheetId="45" hidden="1">{#N/A,#N/A,FALSE,"정공"}</definedName>
    <definedName name="앗서" localSheetId="42" hidden="1">{#N/A,#N/A,FALSE,"정공"}</definedName>
    <definedName name="앗서" hidden="1">{#N/A,#N/A,FALSE,"정공"}</definedName>
    <definedName name="야" localSheetId="42" hidden="1">{#N/A,#N/A,FALSE,"BS";#N/A,#N/A,FALSE,"PL";#N/A,#N/A,FALSE,"처분";#N/A,#N/A,FALSE,"현금";#N/A,#N/A,FALSE,"매출";#N/A,#N/A,FALSE,"원가";#N/A,#N/A,FALSE,"경영"}</definedName>
    <definedName name="야" hidden="1">{#N/A,#N/A,FALSE,"BS";#N/A,#N/A,FALSE,"PL";#N/A,#N/A,FALSE,"처분";#N/A,#N/A,FALSE,"현금";#N/A,#N/A,FALSE,"매출";#N/A,#N/A,FALSE,"원가";#N/A,#N/A,FALSE,"경영"}</definedName>
    <definedName name="약식손익" localSheetId="15" hidden="1">{#N/A,#N/A,FALSE,"정공"}</definedName>
    <definedName name="약식손익" localSheetId="6" hidden="1">{#N/A,#N/A,FALSE,"정공"}</definedName>
    <definedName name="약식손익" localSheetId="45" hidden="1">{#N/A,#N/A,FALSE,"정공"}</definedName>
    <definedName name="약식손익" localSheetId="42" hidden="1">{#N/A,#N/A,FALSE,"정공"}</definedName>
    <definedName name="약식손익" hidden="1">{#N/A,#N/A,FALSE,"정공"}</definedName>
    <definedName name="약정잉자" localSheetId="15" hidden="1">{#N/A,#N/A,FALSE,"정공"}</definedName>
    <definedName name="약정잉자" localSheetId="6" hidden="1">{#N/A,#N/A,FALSE,"정공"}</definedName>
    <definedName name="약정잉자" localSheetId="45" hidden="1">{#N/A,#N/A,FALSE,"정공"}</definedName>
    <definedName name="약정잉자" localSheetId="42" hidden="1">{#N/A,#N/A,FALSE,"정공"}</definedName>
    <definedName name="약정잉자" hidden="1">{#N/A,#N/A,FALSE,"정공"}</definedName>
    <definedName name="양" localSheetId="42" hidden="1">{#N/A,#N/A,FALSE,"UNIT";#N/A,#N/A,FALSE,"UNIT";#N/A,#N/A,FALSE,"계정"}</definedName>
    <definedName name="양" hidden="1">{#N/A,#N/A,FALSE,"UNIT";#N/A,#N/A,FALSE,"UNIT";#N/A,#N/A,FALSE,"계정"}</definedName>
    <definedName name="양식" localSheetId="15" hidden="1">{#N/A,#N/A,FALSE,"손익표지";#N/A,#N/A,FALSE,"손익계산";#N/A,#N/A,FALSE,"일반관리비";#N/A,#N/A,FALSE,"영업외수익";#N/A,#N/A,FALSE,"영업외비용";#N/A,#N/A,FALSE,"매출액";#N/A,#N/A,FALSE,"요약손익";#N/A,#N/A,FALSE,"요약대차";#N/A,#N/A,FALSE,"매출채권현황";#N/A,#N/A,FALSE,"매출채권명세"}</definedName>
    <definedName name="양식" localSheetId="6" hidden="1">{#N/A,#N/A,FALSE,"손익표지";#N/A,#N/A,FALSE,"손익계산";#N/A,#N/A,FALSE,"일반관리비";#N/A,#N/A,FALSE,"영업외수익";#N/A,#N/A,FALSE,"영업외비용";#N/A,#N/A,FALSE,"매출액";#N/A,#N/A,FALSE,"요약손익";#N/A,#N/A,FALSE,"요약대차";#N/A,#N/A,FALSE,"매출채권현황";#N/A,#N/A,FALSE,"매출채권명세"}</definedName>
    <definedName name="양식" localSheetId="45" hidden="1">{#N/A,#N/A,FALSE,"손익표지";#N/A,#N/A,FALSE,"손익계산";#N/A,#N/A,FALSE,"일반관리비";#N/A,#N/A,FALSE,"영업외수익";#N/A,#N/A,FALSE,"영업외비용";#N/A,#N/A,FALSE,"매출액";#N/A,#N/A,FALSE,"요약손익";#N/A,#N/A,FALSE,"요약대차";#N/A,#N/A,FALSE,"매출채권현황";#N/A,#N/A,FALSE,"매출채권명세"}</definedName>
    <definedName name="양식" localSheetId="42" hidden="1">{#N/A,#N/A,FALSE,"손익표지";#N/A,#N/A,FALSE,"손익계산";#N/A,#N/A,FALSE,"일반관리비";#N/A,#N/A,FALSE,"영업외수익";#N/A,#N/A,FALSE,"영업외비용";#N/A,#N/A,FALSE,"매출액";#N/A,#N/A,FALSE,"요약손익";#N/A,#N/A,FALSE,"요약대차";#N/A,#N/A,FALSE,"매출채권현황";#N/A,#N/A,FALSE,"매출채권명세"}</definedName>
    <definedName name="양식" hidden="1">{#N/A,#N/A,FALSE,"손익표지";#N/A,#N/A,FALSE,"손익계산";#N/A,#N/A,FALSE,"일반관리비";#N/A,#N/A,FALSE,"영업외수익";#N/A,#N/A,FALSE,"영업외비용";#N/A,#N/A,FALSE,"매출액";#N/A,#N/A,FALSE,"요약손익";#N/A,#N/A,FALSE,"요약대차";#N/A,#N/A,FALSE,"매출채권현황";#N/A,#N/A,FALSE,"매출채권명세"}</definedName>
    <definedName name="어어" localSheetId="15" hidden="1">{#N/A,#N/A,FALSE,"1.CRITERIA";#N/A,#N/A,FALSE,"2.IS";#N/A,#N/A,FALSE,"3.BS";#N/A,#N/A,FALSE,"4.PER PL";#N/A,#N/A,FALSE,"5.INVESTMENT";#N/A,#N/A,FALSE,"6.공문";#N/A,#N/A,FALSE,"7.netinvest"}</definedName>
    <definedName name="어어" localSheetId="6" hidden="1">{#N/A,#N/A,FALSE,"1.CRITERIA";#N/A,#N/A,FALSE,"2.IS";#N/A,#N/A,FALSE,"3.BS";#N/A,#N/A,FALSE,"4.PER PL";#N/A,#N/A,FALSE,"5.INVESTMENT";#N/A,#N/A,FALSE,"6.공문";#N/A,#N/A,FALSE,"7.netinvest"}</definedName>
    <definedName name="어어" localSheetId="45" hidden="1">{#N/A,#N/A,FALSE,"1.CRITERIA";#N/A,#N/A,FALSE,"2.IS";#N/A,#N/A,FALSE,"3.BS";#N/A,#N/A,FALSE,"4.PER PL";#N/A,#N/A,FALSE,"5.INVESTMENT";#N/A,#N/A,FALSE,"6.공문";#N/A,#N/A,FALSE,"7.netinvest"}</definedName>
    <definedName name="어어" localSheetId="42" hidden="1">{#N/A,#N/A,FALSE,"1.CRITERIA";#N/A,#N/A,FALSE,"2.IS";#N/A,#N/A,FALSE,"3.BS";#N/A,#N/A,FALSE,"4.PER PL";#N/A,#N/A,FALSE,"5.INVESTMENT";#N/A,#N/A,FALSE,"6.공문";#N/A,#N/A,FALSE,"7.netinvest"}</definedName>
    <definedName name="어어" hidden="1">{#N/A,#N/A,FALSE,"1.CRITERIA";#N/A,#N/A,FALSE,"2.IS";#N/A,#N/A,FALSE,"3.BS";#N/A,#N/A,FALSE,"4.PER PL";#N/A,#N/A,FALSE,"5.INVESTMENT";#N/A,#N/A,FALSE,"6.공문";#N/A,#N/A,FALSE,"7.netinvest"}</definedName>
    <definedName name="엄" localSheetId="12" hidden="1">{#N/A,#N/A,FALSE,"Aging Summary";#N/A,#N/A,FALSE,"Ratio Analysis";#N/A,#N/A,FALSE,"Test 120 Day Accts";#N/A,#N/A,FALSE,"Tickmarks"}</definedName>
    <definedName name="엄" localSheetId="42" hidden="1">{#N/A,#N/A,FALSE,"Aging Summary";#N/A,#N/A,FALSE,"Ratio Analysis";#N/A,#N/A,FALSE,"Test 120 Day Accts";#N/A,#N/A,FALSE,"Tickmarks"}</definedName>
    <definedName name="엄" hidden="1">{#N/A,#N/A,FALSE,"Aging Summary";#N/A,#N/A,FALSE,"Ratio Analysis";#N/A,#N/A,FALSE,"Test 120 Day Accts";#N/A,#N/A,FALSE,"Tickmarks"}</definedName>
    <definedName name="엄은숙" localSheetId="12" hidden="1">{#N/A,#N/A,FALSE,"Aging Summary";#N/A,#N/A,FALSE,"Ratio Analysis";#N/A,#N/A,FALSE,"Test 120 Day Accts";#N/A,#N/A,FALSE,"Tickmarks"}</definedName>
    <definedName name="엄은숙" localSheetId="42" hidden="1">{#N/A,#N/A,FALSE,"Aging Summary";#N/A,#N/A,FALSE,"Ratio Analysis";#N/A,#N/A,FALSE,"Test 120 Day Accts";#N/A,#N/A,FALSE,"Tickmarks"}</definedName>
    <definedName name="엄은숙" hidden="1">{#N/A,#N/A,FALSE,"Aging Summary";#N/A,#N/A,FALSE,"Ratio Analysis";#N/A,#N/A,FALSE,"Test 120 Day Accts";#N/A,#N/A,FALSE,"Tickmarks"}</definedName>
    <definedName name="엄은숙꺼" hidden="1">#N/A</definedName>
    <definedName name="업무보고용" localSheetId="15" hidden="1">{#N/A,#N/A,FALSE,"정공"}</definedName>
    <definedName name="업무보고용" localSheetId="6" hidden="1">{#N/A,#N/A,FALSE,"정공"}</definedName>
    <definedName name="업무보고용" localSheetId="45" hidden="1">{#N/A,#N/A,FALSE,"정공"}</definedName>
    <definedName name="업무보고용" localSheetId="42" hidden="1">{#N/A,#N/A,FALSE,"정공"}</definedName>
    <definedName name="업무보고용" hidden="1">{#N/A,#N/A,FALSE,"정공"}</definedName>
    <definedName name="없애버림" localSheetId="15" hidden="1">{#N/A,#N/A,FALSE,"손익표지";#N/A,#N/A,FALSE,"손익계산";#N/A,#N/A,FALSE,"일반관리비";#N/A,#N/A,FALSE,"영업외수익";#N/A,#N/A,FALSE,"영업외비용";#N/A,#N/A,FALSE,"매출액";#N/A,#N/A,FALSE,"요약손익";#N/A,#N/A,FALSE,"요약대차";#N/A,#N/A,FALSE,"매출채권현황";#N/A,#N/A,FALSE,"매출채권명세"}</definedName>
    <definedName name="없애버림" localSheetId="6" hidden="1">{#N/A,#N/A,FALSE,"손익표지";#N/A,#N/A,FALSE,"손익계산";#N/A,#N/A,FALSE,"일반관리비";#N/A,#N/A,FALSE,"영업외수익";#N/A,#N/A,FALSE,"영업외비용";#N/A,#N/A,FALSE,"매출액";#N/A,#N/A,FALSE,"요약손익";#N/A,#N/A,FALSE,"요약대차";#N/A,#N/A,FALSE,"매출채권현황";#N/A,#N/A,FALSE,"매출채권명세"}</definedName>
    <definedName name="없애버림" localSheetId="45" hidden="1">{#N/A,#N/A,FALSE,"손익표지";#N/A,#N/A,FALSE,"손익계산";#N/A,#N/A,FALSE,"일반관리비";#N/A,#N/A,FALSE,"영업외수익";#N/A,#N/A,FALSE,"영업외비용";#N/A,#N/A,FALSE,"매출액";#N/A,#N/A,FALSE,"요약손익";#N/A,#N/A,FALSE,"요약대차";#N/A,#N/A,FALSE,"매출채권현황";#N/A,#N/A,FALSE,"매출채권명세"}</definedName>
    <definedName name="없애버림" localSheetId="42" hidden="1">{#N/A,#N/A,FALSE,"손익표지";#N/A,#N/A,FALSE,"손익계산";#N/A,#N/A,FALSE,"일반관리비";#N/A,#N/A,FALSE,"영업외수익";#N/A,#N/A,FALSE,"영업외비용";#N/A,#N/A,FALSE,"매출액";#N/A,#N/A,FALSE,"요약손익";#N/A,#N/A,FALSE,"요약대차";#N/A,#N/A,FALSE,"매출채권현황";#N/A,#N/A,FALSE,"매출채권명세"}</definedName>
    <definedName name="없애버림" hidden="1">{#N/A,#N/A,FALSE,"손익표지";#N/A,#N/A,FALSE,"손익계산";#N/A,#N/A,FALSE,"일반관리비";#N/A,#N/A,FALSE,"영업외수익";#N/A,#N/A,FALSE,"영업외비용";#N/A,#N/A,FALSE,"매출액";#N/A,#N/A,FALSE,"요약손익";#N/A,#N/A,FALSE,"요약대차";#N/A,#N/A,FALSE,"매출채권현황";#N/A,#N/A,FALSE,"매출채권명세"}</definedName>
    <definedName name="에이" localSheetId="42" hidden="1">{#N/A,#N/A,TRUE,"Y생산";#N/A,#N/A,TRUE,"Y판매";#N/A,#N/A,TRUE,"Y총물량";#N/A,#N/A,TRUE,"Y능력";#N/A,#N/A,TRUE,"YKD"}</definedName>
    <definedName name="에이" hidden="1">{#N/A,#N/A,TRUE,"Y생산";#N/A,#N/A,TRUE,"Y판매";#N/A,#N/A,TRUE,"Y총물량";#N/A,#N/A,TRUE,"Y능력";#N/A,#N/A,TRUE,"YKD"}</definedName>
    <definedName name="에천트BEP" localSheetId="42" hidden="1">{#N/A,#N/A,FALSE,"UNIT";#N/A,#N/A,FALSE,"UNIT";#N/A,#N/A,FALSE,"계정"}</definedName>
    <definedName name="에천트BEP" hidden="1">{#N/A,#N/A,FALSE,"UNIT";#N/A,#N/A,FALSE,"UNIT";#N/A,#N/A,FALSE,"계정"}</definedName>
    <definedName name="여" localSheetId="42" hidden="1">{#N/A,#N/A,FALSE,"BS";#N/A,#N/A,FALSE,"PL";#N/A,#N/A,FALSE,"처분";#N/A,#N/A,FALSE,"현금";#N/A,#N/A,FALSE,"매출";#N/A,#N/A,FALSE,"원가";#N/A,#N/A,FALSE,"경영"}</definedName>
    <definedName name="여" hidden="1">{#N/A,#N/A,FALSE,"BS";#N/A,#N/A,FALSE,"PL";#N/A,#N/A,FALSE,"처분";#N/A,#N/A,FALSE,"현금";#N/A,#N/A,FALSE,"매출";#N/A,#N/A,FALSE,"원가";#N/A,#N/A,FALSE,"경영"}</definedName>
    <definedName name="여의도" localSheetId="15" hidden="1">{#N/A,#N/A,FALSE,"손익표지";#N/A,#N/A,FALSE,"손익계산";#N/A,#N/A,FALSE,"일반관리비";#N/A,#N/A,FALSE,"영업외수익";#N/A,#N/A,FALSE,"영업외비용";#N/A,#N/A,FALSE,"매출액";#N/A,#N/A,FALSE,"요약손익";#N/A,#N/A,FALSE,"요약대차";#N/A,#N/A,FALSE,"매출채권현황";#N/A,#N/A,FALSE,"매출채권명세"}</definedName>
    <definedName name="여의도" localSheetId="6" hidden="1">{#N/A,#N/A,FALSE,"손익표지";#N/A,#N/A,FALSE,"손익계산";#N/A,#N/A,FALSE,"일반관리비";#N/A,#N/A,FALSE,"영업외수익";#N/A,#N/A,FALSE,"영업외비용";#N/A,#N/A,FALSE,"매출액";#N/A,#N/A,FALSE,"요약손익";#N/A,#N/A,FALSE,"요약대차";#N/A,#N/A,FALSE,"매출채권현황";#N/A,#N/A,FALSE,"매출채권명세"}</definedName>
    <definedName name="여의도" localSheetId="45" hidden="1">{#N/A,#N/A,FALSE,"손익표지";#N/A,#N/A,FALSE,"손익계산";#N/A,#N/A,FALSE,"일반관리비";#N/A,#N/A,FALSE,"영업외수익";#N/A,#N/A,FALSE,"영업외비용";#N/A,#N/A,FALSE,"매출액";#N/A,#N/A,FALSE,"요약손익";#N/A,#N/A,FALSE,"요약대차";#N/A,#N/A,FALSE,"매출채권현황";#N/A,#N/A,FALSE,"매출채권명세"}</definedName>
    <definedName name="여의도" localSheetId="42" hidden="1">{#N/A,#N/A,FALSE,"손익표지";#N/A,#N/A,FALSE,"손익계산";#N/A,#N/A,FALSE,"일반관리비";#N/A,#N/A,FALSE,"영업외수익";#N/A,#N/A,FALSE,"영업외비용";#N/A,#N/A,FALSE,"매출액";#N/A,#N/A,FALSE,"요약손익";#N/A,#N/A,FALSE,"요약대차";#N/A,#N/A,FALSE,"매출채권현황";#N/A,#N/A,FALSE,"매출채권명세"}</definedName>
    <definedName name="여의도" hidden="1">{#N/A,#N/A,FALSE,"손익표지";#N/A,#N/A,FALSE,"손익계산";#N/A,#N/A,FALSE,"일반관리비";#N/A,#N/A,FALSE,"영업외수익";#N/A,#N/A,FALSE,"영업외비용";#N/A,#N/A,FALSE,"매출액";#N/A,#N/A,FALSE,"요약손익";#N/A,#N/A,FALSE,"요약대차";#N/A,#N/A,FALSE,"매출채권현황";#N/A,#N/A,FALSE,"매출채권명세"}</definedName>
    <definedName name="여이" localSheetId="15" hidden="1">{#N/A,#N/A,FALSE,"1.CRITERIA";#N/A,#N/A,FALSE,"2.IS";#N/A,#N/A,FALSE,"3.BS";#N/A,#N/A,FALSE,"4.PER PL";#N/A,#N/A,FALSE,"5.INVESTMENT";#N/A,#N/A,FALSE,"6.공문";#N/A,#N/A,FALSE,"7.netinvest"}</definedName>
    <definedName name="여이" localSheetId="6" hidden="1">{#N/A,#N/A,FALSE,"1.CRITERIA";#N/A,#N/A,FALSE,"2.IS";#N/A,#N/A,FALSE,"3.BS";#N/A,#N/A,FALSE,"4.PER PL";#N/A,#N/A,FALSE,"5.INVESTMENT";#N/A,#N/A,FALSE,"6.공문";#N/A,#N/A,FALSE,"7.netinvest"}</definedName>
    <definedName name="여이" localSheetId="45" hidden="1">{#N/A,#N/A,FALSE,"1.CRITERIA";#N/A,#N/A,FALSE,"2.IS";#N/A,#N/A,FALSE,"3.BS";#N/A,#N/A,FALSE,"4.PER PL";#N/A,#N/A,FALSE,"5.INVESTMENT";#N/A,#N/A,FALSE,"6.공문";#N/A,#N/A,FALSE,"7.netinvest"}</definedName>
    <definedName name="여이" localSheetId="42" hidden="1">{#N/A,#N/A,FALSE,"1.CRITERIA";#N/A,#N/A,FALSE,"2.IS";#N/A,#N/A,FALSE,"3.BS";#N/A,#N/A,FALSE,"4.PER PL";#N/A,#N/A,FALSE,"5.INVESTMENT";#N/A,#N/A,FALSE,"6.공문";#N/A,#N/A,FALSE,"7.netinvest"}</definedName>
    <definedName name="여이" hidden="1">{#N/A,#N/A,FALSE,"1.CRITERIA";#N/A,#N/A,FALSE,"2.IS";#N/A,#N/A,FALSE,"3.BS";#N/A,#N/A,FALSE,"4.PER PL";#N/A,#N/A,FALSE,"5.INVESTMENT";#N/A,#N/A,FALSE,"6.공문";#N/A,#N/A,FALSE,"7.netinvest"}</definedName>
    <definedName name="연간예상" localSheetId="12" hidden="1">{#N/A,#N/A,FALSE,"UNIT";#N/A,#N/A,FALSE,"UNIT";#N/A,#N/A,FALSE,"계정"}</definedName>
    <definedName name="연간예상" localSheetId="42" hidden="1">{#N/A,#N/A,FALSE,"UNIT";#N/A,#N/A,FALSE,"UNIT";#N/A,#N/A,FALSE,"계정"}</definedName>
    <definedName name="연간예상" hidden="1">{#N/A,#N/A,FALSE,"UNIT";#N/A,#N/A,FALSE,"UNIT";#N/A,#N/A,FALSE,"계정"}</definedName>
    <definedName name="연구소" localSheetId="30" hidden="1">#REF!</definedName>
    <definedName name="연구소" localSheetId="29" hidden="1">#REF!</definedName>
    <definedName name="연구소" localSheetId="33" hidden="1">#REF!</definedName>
    <definedName name="연구소" localSheetId="31" hidden="1">#REF!</definedName>
    <definedName name="연구소" hidden="1">#REF!</definedName>
    <definedName name="연구소계" localSheetId="12" hidden="1">{"'5국공정'!$A$1:$E$128"}</definedName>
    <definedName name="연구소계" localSheetId="42" hidden="1">{"'5국공정'!$A$1:$E$128"}</definedName>
    <definedName name="연구소계" hidden="1">{"'5국공정'!$A$1:$E$128"}</definedName>
    <definedName name="연말손익" localSheetId="12" hidden="1">{#N/A,#N/A,FALSE,"UNIT";#N/A,#N/A,FALSE,"UNIT";#N/A,#N/A,FALSE,"계정"}</definedName>
    <definedName name="연말손익" localSheetId="42" hidden="1">{#N/A,#N/A,FALSE,"UNIT";#N/A,#N/A,FALSE,"UNIT";#N/A,#N/A,FALSE,"계정"}</definedName>
    <definedName name="연말손익" hidden="1">{#N/A,#N/A,FALSE,"UNIT";#N/A,#N/A,FALSE,"UNIT";#N/A,#N/A,FALSE,"계정"}</definedName>
    <definedName name="연습1" localSheetId="15" hidden="1">{#N/A,#N/A,FALSE,"손익표지";#N/A,#N/A,FALSE,"손익계산";#N/A,#N/A,FALSE,"일반관리비";#N/A,#N/A,FALSE,"영업외수익";#N/A,#N/A,FALSE,"영업외비용";#N/A,#N/A,FALSE,"매출액";#N/A,#N/A,FALSE,"요약손익";#N/A,#N/A,FALSE,"요약대차";#N/A,#N/A,FALSE,"매출채권현황";#N/A,#N/A,FALSE,"매출채권명세"}</definedName>
    <definedName name="연습1" localSheetId="6" hidden="1">{#N/A,#N/A,FALSE,"손익표지";#N/A,#N/A,FALSE,"손익계산";#N/A,#N/A,FALSE,"일반관리비";#N/A,#N/A,FALSE,"영업외수익";#N/A,#N/A,FALSE,"영업외비용";#N/A,#N/A,FALSE,"매출액";#N/A,#N/A,FALSE,"요약손익";#N/A,#N/A,FALSE,"요약대차";#N/A,#N/A,FALSE,"매출채권현황";#N/A,#N/A,FALSE,"매출채권명세"}</definedName>
    <definedName name="연습1" localSheetId="45" hidden="1">{#N/A,#N/A,FALSE,"손익표지";#N/A,#N/A,FALSE,"손익계산";#N/A,#N/A,FALSE,"일반관리비";#N/A,#N/A,FALSE,"영업외수익";#N/A,#N/A,FALSE,"영업외비용";#N/A,#N/A,FALSE,"매출액";#N/A,#N/A,FALSE,"요약손익";#N/A,#N/A,FALSE,"요약대차";#N/A,#N/A,FALSE,"매출채권현황";#N/A,#N/A,FALSE,"매출채권명세"}</definedName>
    <definedName name="연습1" localSheetId="42" hidden="1">{#N/A,#N/A,FALSE,"손익표지";#N/A,#N/A,FALSE,"손익계산";#N/A,#N/A,FALSE,"일반관리비";#N/A,#N/A,FALSE,"영업외수익";#N/A,#N/A,FALSE,"영업외비용";#N/A,#N/A,FALSE,"매출액";#N/A,#N/A,FALSE,"요약손익";#N/A,#N/A,FALSE,"요약대차";#N/A,#N/A,FALSE,"매출채권현황";#N/A,#N/A,FALSE,"매출채권명세"}</definedName>
    <definedName name="연습1" hidden="1">{#N/A,#N/A,FALSE,"손익표지";#N/A,#N/A,FALSE,"손익계산";#N/A,#N/A,FALSE,"일반관리비";#N/A,#N/A,FALSE,"영업외수익";#N/A,#N/A,FALSE,"영업외비용";#N/A,#N/A,FALSE,"매출액";#N/A,#N/A,FALSE,"요약손익";#N/A,#N/A,FALSE,"요약대차";#N/A,#N/A,FALSE,"매출채권현황";#N/A,#N/A,FALSE,"매출채권명세"}</definedName>
    <definedName name="연습3" localSheetId="15" hidden="1">{#N/A,#N/A,FALSE,"손익표지";#N/A,#N/A,FALSE,"손익계산";#N/A,#N/A,FALSE,"일반관리비";#N/A,#N/A,FALSE,"영업외수익";#N/A,#N/A,FALSE,"영업외비용";#N/A,#N/A,FALSE,"매출액";#N/A,#N/A,FALSE,"요약손익";#N/A,#N/A,FALSE,"요약대차";#N/A,#N/A,FALSE,"매출채권현황";#N/A,#N/A,FALSE,"매출채권명세"}</definedName>
    <definedName name="연습3" localSheetId="6" hidden="1">{#N/A,#N/A,FALSE,"손익표지";#N/A,#N/A,FALSE,"손익계산";#N/A,#N/A,FALSE,"일반관리비";#N/A,#N/A,FALSE,"영업외수익";#N/A,#N/A,FALSE,"영업외비용";#N/A,#N/A,FALSE,"매출액";#N/A,#N/A,FALSE,"요약손익";#N/A,#N/A,FALSE,"요약대차";#N/A,#N/A,FALSE,"매출채권현황";#N/A,#N/A,FALSE,"매출채권명세"}</definedName>
    <definedName name="연습3" localSheetId="45" hidden="1">{#N/A,#N/A,FALSE,"손익표지";#N/A,#N/A,FALSE,"손익계산";#N/A,#N/A,FALSE,"일반관리비";#N/A,#N/A,FALSE,"영업외수익";#N/A,#N/A,FALSE,"영업외비용";#N/A,#N/A,FALSE,"매출액";#N/A,#N/A,FALSE,"요약손익";#N/A,#N/A,FALSE,"요약대차";#N/A,#N/A,FALSE,"매출채권현황";#N/A,#N/A,FALSE,"매출채권명세"}</definedName>
    <definedName name="연습3" localSheetId="42" hidden="1">{#N/A,#N/A,FALSE,"손익표지";#N/A,#N/A,FALSE,"손익계산";#N/A,#N/A,FALSE,"일반관리비";#N/A,#N/A,FALSE,"영업외수익";#N/A,#N/A,FALSE,"영업외비용";#N/A,#N/A,FALSE,"매출액";#N/A,#N/A,FALSE,"요약손익";#N/A,#N/A,FALSE,"요약대차";#N/A,#N/A,FALSE,"매출채권현황";#N/A,#N/A,FALSE,"매출채권명세"}</definedName>
    <definedName name="연습3" hidden="1">{#N/A,#N/A,FALSE,"손익표지";#N/A,#N/A,FALSE,"손익계산";#N/A,#N/A,FALSE,"일반관리비";#N/A,#N/A,FALSE,"영업외수익";#N/A,#N/A,FALSE,"영업외비용";#N/A,#N/A,FALSE,"매출액";#N/A,#N/A,FALSE,"요약손익";#N/A,#N/A,FALSE,"요약대차";#N/A,#N/A,FALSE,"매출채권현황";#N/A,#N/A,FALSE,"매출채권명세"}</definedName>
    <definedName name="연주얀" localSheetId="15" hidden="1">{#N/A,#N/A,FALSE,"정공"}</definedName>
    <definedName name="연주얀" localSheetId="6" hidden="1">{#N/A,#N/A,FALSE,"정공"}</definedName>
    <definedName name="연주얀" localSheetId="45" hidden="1">{#N/A,#N/A,FALSE,"정공"}</definedName>
    <definedName name="연주얀" localSheetId="42" hidden="1">{#N/A,#N/A,FALSE,"정공"}</definedName>
    <definedName name="연주얀" hidden="1">{#N/A,#N/A,FALSE,"정공"}</definedName>
    <definedName name="영" localSheetId="15" hidden="1">{#N/A,#N/A,FALSE,"1.CRITERIA";#N/A,#N/A,FALSE,"2.IS";#N/A,#N/A,FALSE,"3.BS";#N/A,#N/A,FALSE,"4.PER PL";#N/A,#N/A,FALSE,"5.INVESTMENT";#N/A,#N/A,FALSE,"6.공문";#N/A,#N/A,FALSE,"7.netinvest"}</definedName>
    <definedName name="영" localSheetId="6" hidden="1">{#N/A,#N/A,FALSE,"1.CRITERIA";#N/A,#N/A,FALSE,"2.IS";#N/A,#N/A,FALSE,"3.BS";#N/A,#N/A,FALSE,"4.PER PL";#N/A,#N/A,FALSE,"5.INVESTMENT";#N/A,#N/A,FALSE,"6.공문";#N/A,#N/A,FALSE,"7.netinvest"}</definedName>
    <definedName name="영" localSheetId="45" hidden="1">{#N/A,#N/A,FALSE,"1.CRITERIA";#N/A,#N/A,FALSE,"2.IS";#N/A,#N/A,FALSE,"3.BS";#N/A,#N/A,FALSE,"4.PER PL";#N/A,#N/A,FALSE,"5.INVESTMENT";#N/A,#N/A,FALSE,"6.공문";#N/A,#N/A,FALSE,"7.netinvest"}</definedName>
    <definedName name="영" localSheetId="42" hidden="1">{#N/A,#N/A,FALSE,"1.CRITERIA";#N/A,#N/A,FALSE,"2.IS";#N/A,#N/A,FALSE,"3.BS";#N/A,#N/A,FALSE,"4.PER PL";#N/A,#N/A,FALSE,"5.INVESTMENT";#N/A,#N/A,FALSE,"6.공문";#N/A,#N/A,FALSE,"7.netinvest"}</definedName>
    <definedName name="영" hidden="1">{#N/A,#N/A,FALSE,"1.CRITERIA";#N/A,#N/A,FALSE,"2.IS";#N/A,#N/A,FALSE,"3.BS";#N/A,#N/A,FALSE,"4.PER PL";#N/A,#N/A,FALSE,"5.INVESTMENT";#N/A,#N/A,FALSE,"6.공문";#N/A,#N/A,FALSE,"7.netinvest"}</definedName>
    <definedName name="영성기업" localSheetId="15" hidden="1">{#N/A,#N/A,FALSE,"범우구미";#N/A,#N/A,FALSE,"세한케미칼";#N/A,#N/A,FALSE,"세명화학";#N/A,#N/A,FALSE,"신영케미칼";#N/A,#N/A,FALSE,"일석상사"}</definedName>
    <definedName name="영성기업" localSheetId="6" hidden="1">{#N/A,#N/A,FALSE,"범우구미";#N/A,#N/A,FALSE,"세한케미칼";#N/A,#N/A,FALSE,"세명화학";#N/A,#N/A,FALSE,"신영케미칼";#N/A,#N/A,FALSE,"일석상사"}</definedName>
    <definedName name="영성기업" localSheetId="45" hidden="1">{#N/A,#N/A,FALSE,"범우구미";#N/A,#N/A,FALSE,"세한케미칼";#N/A,#N/A,FALSE,"세명화학";#N/A,#N/A,FALSE,"신영케미칼";#N/A,#N/A,FALSE,"일석상사"}</definedName>
    <definedName name="영성기업" localSheetId="42" hidden="1">{#N/A,#N/A,FALSE,"범우구미";#N/A,#N/A,FALSE,"세한케미칼";#N/A,#N/A,FALSE,"세명화학";#N/A,#N/A,FALSE,"신영케미칼";#N/A,#N/A,FALSE,"일석상사"}</definedName>
    <definedName name="영성기업" hidden="1">{#N/A,#N/A,FALSE,"범우구미";#N/A,#N/A,FALSE,"세한케미칼";#N/A,#N/A,FALSE,"세명화학";#N/A,#N/A,FALSE,"신영케미칼";#N/A,#N/A,FALSE,"일석상사"}</definedName>
    <definedName name="영업" localSheetId="42" hidden="1">{#N/A,#N/A,FALSE,"1.CRITERIA";#N/A,#N/A,FALSE,"2.IS";#N/A,#N/A,FALSE,"3.BS";#N/A,#N/A,FALSE,"4.PER PL";#N/A,#N/A,FALSE,"5.INVESTMENT";#N/A,#N/A,FALSE,"6.공문";#N/A,#N/A,FALSE,"7.netinvest"}</definedName>
    <definedName name="영업" hidden="1">{#N/A,#N/A,FALSE,"1.CRITERIA";#N/A,#N/A,FALSE,"2.IS";#N/A,#N/A,FALSE,"3.BS";#N/A,#N/A,FALSE,"4.PER PL";#N/A,#N/A,FALSE,"5.INVESTMENT";#N/A,#N/A,FALSE,"6.공문";#N/A,#N/A,FALSE,"7.netinvest"}</definedName>
    <definedName name="영업5" localSheetId="42" hidden="1">{"'경비내역'!$E$11"}</definedName>
    <definedName name="영업5" hidden="1">{"'경비내역'!$E$11"}</definedName>
    <definedName name="영업수" localSheetId="15" hidden="1">{#N/A,#N/A,FALSE,"1.CRITERIA";#N/A,#N/A,FALSE,"2.IS";#N/A,#N/A,FALSE,"3.BS";#N/A,#N/A,FALSE,"4.PER PL";#N/A,#N/A,FALSE,"5.INVESTMENT";#N/A,#N/A,FALSE,"6.공문";#N/A,#N/A,FALSE,"7.netinvest"}</definedName>
    <definedName name="영업수" localSheetId="6" hidden="1">{#N/A,#N/A,FALSE,"1.CRITERIA";#N/A,#N/A,FALSE,"2.IS";#N/A,#N/A,FALSE,"3.BS";#N/A,#N/A,FALSE,"4.PER PL";#N/A,#N/A,FALSE,"5.INVESTMENT";#N/A,#N/A,FALSE,"6.공문";#N/A,#N/A,FALSE,"7.netinvest"}</definedName>
    <definedName name="영업수" localSheetId="45" hidden="1">{#N/A,#N/A,FALSE,"1.CRITERIA";#N/A,#N/A,FALSE,"2.IS";#N/A,#N/A,FALSE,"3.BS";#N/A,#N/A,FALSE,"4.PER PL";#N/A,#N/A,FALSE,"5.INVESTMENT";#N/A,#N/A,FALSE,"6.공문";#N/A,#N/A,FALSE,"7.netinvest"}</definedName>
    <definedName name="영업수" localSheetId="42" hidden="1">{#N/A,#N/A,FALSE,"1.CRITERIA";#N/A,#N/A,FALSE,"2.IS";#N/A,#N/A,FALSE,"3.BS";#N/A,#N/A,FALSE,"4.PER PL";#N/A,#N/A,FALSE,"5.INVESTMENT";#N/A,#N/A,FALSE,"6.공문";#N/A,#N/A,FALSE,"7.netinvest"}</definedName>
    <definedName name="영업수" hidden="1">{#N/A,#N/A,FALSE,"1.CRITERIA";#N/A,#N/A,FALSE,"2.IS";#N/A,#N/A,FALSE,"3.BS";#N/A,#N/A,FALSE,"4.PER PL";#N/A,#N/A,FALSE,"5.INVESTMENT";#N/A,#N/A,FALSE,"6.공문";#N/A,#N/A,FALSE,"7.netinvest"}</definedName>
    <definedName name="영업수익" localSheetId="15" hidden="1">{#N/A,#N/A,FALSE,"1.CRITERIA";#N/A,#N/A,FALSE,"2.IS";#N/A,#N/A,FALSE,"3.BS";#N/A,#N/A,FALSE,"4.PER PL";#N/A,#N/A,FALSE,"5.INVESTMENT";#N/A,#N/A,FALSE,"6.공문";#N/A,#N/A,FALSE,"7.netinvest"}</definedName>
    <definedName name="영업수익" localSheetId="6" hidden="1">{#N/A,#N/A,FALSE,"1.CRITERIA";#N/A,#N/A,FALSE,"2.IS";#N/A,#N/A,FALSE,"3.BS";#N/A,#N/A,FALSE,"4.PER PL";#N/A,#N/A,FALSE,"5.INVESTMENT";#N/A,#N/A,FALSE,"6.공문";#N/A,#N/A,FALSE,"7.netinvest"}</definedName>
    <definedName name="영업수익" localSheetId="45" hidden="1">{#N/A,#N/A,FALSE,"1.CRITERIA";#N/A,#N/A,FALSE,"2.IS";#N/A,#N/A,FALSE,"3.BS";#N/A,#N/A,FALSE,"4.PER PL";#N/A,#N/A,FALSE,"5.INVESTMENT";#N/A,#N/A,FALSE,"6.공문";#N/A,#N/A,FALSE,"7.netinvest"}</definedName>
    <definedName name="영업수익" localSheetId="42" hidden="1">{#N/A,#N/A,FALSE,"1.CRITERIA";#N/A,#N/A,FALSE,"2.IS";#N/A,#N/A,FALSE,"3.BS";#N/A,#N/A,FALSE,"4.PER PL";#N/A,#N/A,FALSE,"5.INVESTMENT";#N/A,#N/A,FALSE,"6.공문";#N/A,#N/A,FALSE,"7.netinvest"}</definedName>
    <definedName name="영업수익" hidden="1">{#N/A,#N/A,FALSE,"1.CRITERIA";#N/A,#N/A,FALSE,"2.IS";#N/A,#N/A,FALSE,"3.BS";#N/A,#N/A,FALSE,"4.PER PL";#N/A,#N/A,FALSE,"5.INVESTMENT";#N/A,#N/A,FALSE,"6.공문";#N/A,#N/A,FALSE,"7.netinvest"}</definedName>
    <definedName name="영업외비용" localSheetId="12" hidden="1">{#N/A,#N/A,FALSE,"Aging Summary";#N/A,#N/A,FALSE,"Ratio Analysis";#N/A,#N/A,FALSE,"Test 120 Day Accts";#N/A,#N/A,FALSE,"Tickmarks"}</definedName>
    <definedName name="영업외비용" localSheetId="42" hidden="1">{#N/A,#N/A,FALSE,"BS";#N/A,#N/A,FALSE,"PL";#N/A,#N/A,FALSE,"처분";#N/A,#N/A,FALSE,"현금";#N/A,#N/A,FALSE,"매출";#N/A,#N/A,FALSE,"원가";#N/A,#N/A,FALSE,"경영"}</definedName>
    <definedName name="영업외비용" hidden="1">{#N/A,#N/A,FALSE,"BS";#N/A,#N/A,FALSE,"PL";#N/A,#N/A,FALSE,"처분";#N/A,#N/A,FALSE,"현금";#N/A,#N/A,FALSE,"매출";#N/A,#N/A,FALSE,"원가";#N/A,#N/A,FALSE,"경영"}</definedName>
    <definedName name="영업외수" localSheetId="30" hidden="1">#REF!</definedName>
    <definedName name="영업외수" localSheetId="29" hidden="1">#REF!</definedName>
    <definedName name="영업외수" localSheetId="33" hidden="1">#REF!</definedName>
    <definedName name="영업외수" localSheetId="31" hidden="1">#REF!</definedName>
    <definedName name="영업외수" localSheetId="32" hidden="1">#REF!</definedName>
    <definedName name="영업외수" hidden="1">#REF!</definedName>
    <definedName name="영업외수익" localSheetId="15" hidden="1">{#N/A,#N/A,FALSE,"1.CRITERIA";#N/A,#N/A,FALSE,"2.IS";#N/A,#N/A,FALSE,"3.BS";#N/A,#N/A,FALSE,"4.PER PL";#N/A,#N/A,FALSE,"5.INVESTMENT";#N/A,#N/A,FALSE,"6.공문";#N/A,#N/A,FALSE,"7.netinvest"}</definedName>
    <definedName name="영업외수익" localSheetId="6" hidden="1">{#N/A,#N/A,FALSE,"1.CRITERIA";#N/A,#N/A,FALSE,"2.IS";#N/A,#N/A,FALSE,"3.BS";#N/A,#N/A,FALSE,"4.PER PL";#N/A,#N/A,FALSE,"5.INVESTMENT";#N/A,#N/A,FALSE,"6.공문";#N/A,#N/A,FALSE,"7.netinvest"}</definedName>
    <definedName name="영업외수익" localSheetId="45" hidden="1">{#N/A,#N/A,FALSE,"1.CRITERIA";#N/A,#N/A,FALSE,"2.IS";#N/A,#N/A,FALSE,"3.BS";#N/A,#N/A,FALSE,"4.PER PL";#N/A,#N/A,FALSE,"5.INVESTMENT";#N/A,#N/A,FALSE,"6.공문";#N/A,#N/A,FALSE,"7.netinvest"}</definedName>
    <definedName name="영업외수익" localSheetId="42" hidden="1">{#N/A,#N/A,FALSE,"1.CRITERIA";#N/A,#N/A,FALSE,"2.IS";#N/A,#N/A,FALSE,"3.BS";#N/A,#N/A,FALSE,"4.PER PL";#N/A,#N/A,FALSE,"5.INVESTMENT";#N/A,#N/A,FALSE,"6.공문";#N/A,#N/A,FALSE,"7.netinvest"}</definedName>
    <definedName name="영업외수익" hidden="1">{#N/A,#N/A,FALSE,"1.CRITERIA";#N/A,#N/A,FALSE,"2.IS";#N/A,#N/A,FALSE,"3.BS";#N/A,#N/A,FALSE,"4.PER PL";#N/A,#N/A,FALSE,"5.INVESTMENT";#N/A,#N/A,FALSE,"6.공문";#N/A,#N/A,FALSE,"7.netinvest"}</definedName>
    <definedName name="영업현금" localSheetId="42" hidden="1">{#N/A,#N/A,FALSE,"지침";#N/A,#N/A,FALSE,"환경분석";#N/A,#N/A,FALSE,"Sheet16"}</definedName>
    <definedName name="영업현금" hidden="1">{#N/A,#N/A,FALSE,"지침";#N/A,#N/A,FALSE,"환경분석";#N/A,#N/A,FALSE,"Sheet16"}</definedName>
    <definedName name="예금" localSheetId="15" hidden="1">{#N/A,#N/A,FALSE,"1.CRITERIA";#N/A,#N/A,FALSE,"2.IS";#N/A,#N/A,FALSE,"3.BS";#N/A,#N/A,FALSE,"4.PER PL";#N/A,#N/A,FALSE,"5.INVESTMENT";#N/A,#N/A,FALSE,"6.공문";#N/A,#N/A,FALSE,"7.netinvest"}</definedName>
    <definedName name="예금" localSheetId="6" hidden="1">{#N/A,#N/A,FALSE,"1.CRITERIA";#N/A,#N/A,FALSE,"2.IS";#N/A,#N/A,FALSE,"3.BS";#N/A,#N/A,FALSE,"4.PER PL";#N/A,#N/A,FALSE,"5.INVESTMENT";#N/A,#N/A,FALSE,"6.공문";#N/A,#N/A,FALSE,"7.netinvest"}</definedName>
    <definedName name="예금" localSheetId="45" hidden="1">{#N/A,#N/A,FALSE,"1.CRITERIA";#N/A,#N/A,FALSE,"2.IS";#N/A,#N/A,FALSE,"3.BS";#N/A,#N/A,FALSE,"4.PER PL";#N/A,#N/A,FALSE,"5.INVESTMENT";#N/A,#N/A,FALSE,"6.공문";#N/A,#N/A,FALSE,"7.netinvest"}</definedName>
    <definedName name="예금" localSheetId="42" hidden="1">{#N/A,#N/A,FALSE,"1.CRITERIA";#N/A,#N/A,FALSE,"2.IS";#N/A,#N/A,FALSE,"3.BS";#N/A,#N/A,FALSE,"4.PER PL";#N/A,#N/A,FALSE,"5.INVESTMENT";#N/A,#N/A,FALSE,"6.공문";#N/A,#N/A,FALSE,"7.netinvest"}</definedName>
    <definedName name="예금" hidden="1">{#N/A,#N/A,FALSE,"1.CRITERIA";#N/A,#N/A,FALSE,"2.IS";#N/A,#N/A,FALSE,"3.BS";#N/A,#N/A,FALSE,"4.PER PL";#N/A,#N/A,FALSE,"5.INVESTMENT";#N/A,#N/A,FALSE,"6.공문";#N/A,#N/A,FALSE,"7.netinvest"}</definedName>
    <definedName name="예금2" localSheetId="1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예금2" localSheetId="4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예금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예상마감" localSheetId="42" hidden="1">{"'9월'!$F$38"}</definedName>
    <definedName name="예상마감" hidden="1">{"'9월'!$F$38"}</definedName>
    <definedName name="예수" localSheetId="12" hidden="1">#REF!</definedName>
    <definedName name="예수" localSheetId="30" hidden="1">#REF!</definedName>
    <definedName name="예수" localSheetId="29" hidden="1">#REF!</definedName>
    <definedName name="예수" localSheetId="33" hidden="1">#REF!</definedName>
    <definedName name="예수" localSheetId="31" hidden="1">#REF!</definedName>
    <definedName name="예수" hidden="1">#REF!</definedName>
    <definedName name="예수금" hidden="1">#REF!</definedName>
    <definedName name="예수금대장" localSheetId="12" hidden="1">#REF!</definedName>
    <definedName name="예수금대장" localSheetId="30" hidden="1">#REF!</definedName>
    <definedName name="예수금대장" localSheetId="29" hidden="1">#REF!</definedName>
    <definedName name="예수금대장" localSheetId="33" hidden="1">#REF!</definedName>
    <definedName name="예수금대장" localSheetId="31" hidden="1">#REF!</definedName>
    <definedName name="예수금대장" hidden="1">#REF!</definedName>
    <definedName name="예치보증" localSheetId="15" hidden="1">{"'분양원가'!$B$1:$F$113"}</definedName>
    <definedName name="예치보증" localSheetId="6" hidden="1">{"'분양원가'!$B$1:$F$113"}</definedName>
    <definedName name="예치보증" localSheetId="45" hidden="1">{"'분양원가'!$B$1:$F$113"}</definedName>
    <definedName name="예치보증" localSheetId="42" hidden="1">{"'분양원가'!$B$1:$F$113"}</definedName>
    <definedName name="예치보증" hidden="1">{"'분양원가'!$B$1:$F$113"}</definedName>
    <definedName name="예치보증금" localSheetId="15" hidden="1">{"'분양원가'!$B$1:$F$113"}</definedName>
    <definedName name="예치보증금" localSheetId="6" hidden="1">{"'분양원가'!$B$1:$F$113"}</definedName>
    <definedName name="예치보증금" localSheetId="45" hidden="1">{"'분양원가'!$B$1:$F$113"}</definedName>
    <definedName name="예치보증금" localSheetId="42" hidden="1">{"'분양원가'!$B$1:$F$113"}</definedName>
    <definedName name="예치보증금" hidden="1">{"'분양원가'!$B$1:$F$113"}</definedName>
    <definedName name="오" localSheetId="15" hidden="1">{#N/A,#N/A,FALSE,"1.CRITERIA";#N/A,#N/A,FALSE,"2.IS";#N/A,#N/A,FALSE,"3.BS";#N/A,#N/A,FALSE,"4.PER PL";#N/A,#N/A,FALSE,"5.INVESTMENT";#N/A,#N/A,FALSE,"6.공문";#N/A,#N/A,FALSE,"7.netinvest"}</definedName>
    <definedName name="오" localSheetId="6" hidden="1">{#N/A,#N/A,FALSE,"1.CRITERIA";#N/A,#N/A,FALSE,"2.IS";#N/A,#N/A,FALSE,"3.BS";#N/A,#N/A,FALSE,"4.PER PL";#N/A,#N/A,FALSE,"5.INVESTMENT";#N/A,#N/A,FALSE,"6.공문";#N/A,#N/A,FALSE,"7.netinvest"}</definedName>
    <definedName name="오" localSheetId="45" hidden="1">{#N/A,#N/A,FALSE,"1.CRITERIA";#N/A,#N/A,FALSE,"2.IS";#N/A,#N/A,FALSE,"3.BS";#N/A,#N/A,FALSE,"4.PER PL";#N/A,#N/A,FALSE,"5.INVESTMENT";#N/A,#N/A,FALSE,"6.공문";#N/A,#N/A,FALSE,"7.netinvest"}</definedName>
    <definedName name="오" localSheetId="42" hidden="1">{#N/A,#N/A,FALSE,"1.CRITERIA";#N/A,#N/A,FALSE,"2.IS";#N/A,#N/A,FALSE,"3.BS";#N/A,#N/A,FALSE,"4.PER PL";#N/A,#N/A,FALSE,"5.INVESTMENT";#N/A,#N/A,FALSE,"6.공문";#N/A,#N/A,FALSE,"7.netinvest"}</definedName>
    <definedName name="오" hidden="1">{#N/A,#N/A,FALSE,"UNIT";#N/A,#N/A,FALSE,"UNIT";#N/A,#N/A,FALSE,"계정"}</definedName>
    <definedName name="오." localSheetId="12" hidden="1">{#N/A,#N/A,FALSE,"UNIT";#N/A,#N/A,FALSE,"UNIT";#N/A,#N/A,FALSE,"계정"}</definedName>
    <definedName name="오." localSheetId="42" hidden="1">{#N/A,#N/A,FALSE,"UNIT";#N/A,#N/A,FALSE,"UNIT";#N/A,#N/A,FALSE,"계정"}</definedName>
    <definedName name="오." hidden="1">{#N/A,#N/A,FALSE,"UNIT";#N/A,#N/A,FALSE,"UNIT";#N/A,#N/A,FALSE,"계정"}</definedName>
    <definedName name="오.." localSheetId="12" hidden="1">{#N/A,#N/A,FALSE,"UNIT";#N/A,#N/A,FALSE,"UNIT";#N/A,#N/A,FALSE,"계정"}</definedName>
    <definedName name="오.." localSheetId="42" hidden="1">{#N/A,#N/A,FALSE,"UNIT";#N/A,#N/A,FALSE,"UNIT";#N/A,#N/A,FALSE,"계정"}</definedName>
    <definedName name="오.." hidden="1">{#N/A,#N/A,FALSE,"UNIT";#N/A,#N/A,FALSE,"UNIT";#N/A,#N/A,FALSE,"계정"}</definedName>
    <definedName name="오늘" localSheetId="42" hidden="1">{#N/A,#N/A,TRUE,"Y생산";#N/A,#N/A,TRUE,"Y판매";#N/A,#N/A,TRUE,"Y총물량";#N/A,#N/A,TRUE,"Y능력";#N/A,#N/A,TRUE,"YKD"}</definedName>
    <definedName name="오늘" hidden="1">{#N/A,#N/A,TRUE,"Y생산";#N/A,#N/A,TRUE,"Y판매";#N/A,#N/A,TRUE,"Y총물량";#N/A,#N/A,TRUE,"Y능력";#N/A,#N/A,TRUE,"YKD"}</definedName>
    <definedName name="오리" localSheetId="12" hidden="1">#REF!</definedName>
    <definedName name="오리" localSheetId="30" hidden="1">#REF!</definedName>
    <definedName name="오리" localSheetId="29" hidden="1">#REF!</definedName>
    <definedName name="오리" localSheetId="33" hidden="1">#REF!</definedName>
    <definedName name="오리" localSheetId="31" hidden="1">#REF!</definedName>
    <definedName name="오리" hidden="1">#REF!</definedName>
    <definedName name="오성협" localSheetId="15" hidden="1">{#N/A,#N/A,TRUE,"Y생산";#N/A,#N/A,TRUE,"Y판매";#N/A,#N/A,TRUE,"Y총물량";#N/A,#N/A,TRUE,"Y능력";#N/A,#N/A,TRUE,"YKD"}</definedName>
    <definedName name="오성협" localSheetId="6" hidden="1">{#N/A,#N/A,TRUE,"Y생산";#N/A,#N/A,TRUE,"Y판매";#N/A,#N/A,TRUE,"Y총물량";#N/A,#N/A,TRUE,"Y능력";#N/A,#N/A,TRUE,"YKD"}</definedName>
    <definedName name="오성협" localSheetId="45" hidden="1">{#N/A,#N/A,TRUE,"Y생산";#N/A,#N/A,TRUE,"Y판매";#N/A,#N/A,TRUE,"Y총물량";#N/A,#N/A,TRUE,"Y능력";#N/A,#N/A,TRUE,"YKD"}</definedName>
    <definedName name="오성협" localSheetId="42" hidden="1">{#N/A,#N/A,TRUE,"Y생산";#N/A,#N/A,TRUE,"Y판매";#N/A,#N/A,TRUE,"Y총물량";#N/A,#N/A,TRUE,"Y능력";#N/A,#N/A,TRUE,"YKD"}</definedName>
    <definedName name="오성협" hidden="1">{#N/A,#N/A,TRUE,"Y생산";#N/A,#N/A,TRUE,"Y판매";#N/A,#N/A,TRUE,"Y총물량";#N/A,#N/A,TRUE,"Y능력";#N/A,#N/A,TRUE,"YKD"}</definedName>
    <definedName name="옳ㅇ로" localSheetId="15" hidden="1">{#N/A,#N/A,FALSE,"손익표지";#N/A,#N/A,FALSE,"손익계산";#N/A,#N/A,FALSE,"일반관리비";#N/A,#N/A,FALSE,"영업외수익";#N/A,#N/A,FALSE,"영업외비용";#N/A,#N/A,FALSE,"매출액";#N/A,#N/A,FALSE,"요약손익";#N/A,#N/A,FALSE,"요약대차";#N/A,#N/A,FALSE,"매출채권현황";#N/A,#N/A,FALSE,"매출채권명세"}</definedName>
    <definedName name="옳ㅇ로" localSheetId="6" hidden="1">{#N/A,#N/A,FALSE,"손익표지";#N/A,#N/A,FALSE,"손익계산";#N/A,#N/A,FALSE,"일반관리비";#N/A,#N/A,FALSE,"영업외수익";#N/A,#N/A,FALSE,"영업외비용";#N/A,#N/A,FALSE,"매출액";#N/A,#N/A,FALSE,"요약손익";#N/A,#N/A,FALSE,"요약대차";#N/A,#N/A,FALSE,"매출채권현황";#N/A,#N/A,FALSE,"매출채권명세"}</definedName>
    <definedName name="옳ㅇ로" localSheetId="45" hidden="1">{#N/A,#N/A,FALSE,"손익표지";#N/A,#N/A,FALSE,"손익계산";#N/A,#N/A,FALSE,"일반관리비";#N/A,#N/A,FALSE,"영업외수익";#N/A,#N/A,FALSE,"영업외비용";#N/A,#N/A,FALSE,"매출액";#N/A,#N/A,FALSE,"요약손익";#N/A,#N/A,FALSE,"요약대차";#N/A,#N/A,FALSE,"매출채권현황";#N/A,#N/A,FALSE,"매출채권명세"}</definedName>
    <definedName name="옳ㅇ로" localSheetId="42" hidden="1">{#N/A,#N/A,FALSE,"손익표지";#N/A,#N/A,FALSE,"손익계산";#N/A,#N/A,FALSE,"일반관리비";#N/A,#N/A,FALSE,"영업외수익";#N/A,#N/A,FALSE,"영업외비용";#N/A,#N/A,FALSE,"매출액";#N/A,#N/A,FALSE,"요약손익";#N/A,#N/A,FALSE,"요약대차";#N/A,#N/A,FALSE,"매출채권현황";#N/A,#N/A,FALSE,"매출채권명세"}</definedName>
    <definedName name="옳ㅇ로" hidden="1">{#N/A,#N/A,FALSE,"손익표지";#N/A,#N/A,FALSE,"손익계산";#N/A,#N/A,FALSE,"일반관리비";#N/A,#N/A,FALSE,"영업외수익";#N/A,#N/A,FALSE,"영업외비용";#N/A,#N/A,FALSE,"매출액";#N/A,#N/A,FALSE,"요약손익";#N/A,#N/A,FALSE,"요약대차";#N/A,#N/A,FALSE,"매출채권현황";#N/A,#N/A,FALSE,"매출채권명세"}</definedName>
    <definedName name="왜이래" localSheetId="15" hidden="1">{#N/A,#N/A,FALSE,"손익표지";#N/A,#N/A,FALSE,"손익계산";#N/A,#N/A,FALSE,"일반관리비";#N/A,#N/A,FALSE,"영업외수익";#N/A,#N/A,FALSE,"영업외비용";#N/A,#N/A,FALSE,"매출액";#N/A,#N/A,FALSE,"요약손익";#N/A,#N/A,FALSE,"요약대차";#N/A,#N/A,FALSE,"매출채권현황";#N/A,#N/A,FALSE,"매출채권명세"}</definedName>
    <definedName name="왜이래" localSheetId="6" hidden="1">{#N/A,#N/A,FALSE,"손익표지";#N/A,#N/A,FALSE,"손익계산";#N/A,#N/A,FALSE,"일반관리비";#N/A,#N/A,FALSE,"영업외수익";#N/A,#N/A,FALSE,"영업외비용";#N/A,#N/A,FALSE,"매출액";#N/A,#N/A,FALSE,"요약손익";#N/A,#N/A,FALSE,"요약대차";#N/A,#N/A,FALSE,"매출채권현황";#N/A,#N/A,FALSE,"매출채권명세"}</definedName>
    <definedName name="왜이래" localSheetId="45" hidden="1">{#N/A,#N/A,FALSE,"손익표지";#N/A,#N/A,FALSE,"손익계산";#N/A,#N/A,FALSE,"일반관리비";#N/A,#N/A,FALSE,"영업외수익";#N/A,#N/A,FALSE,"영업외비용";#N/A,#N/A,FALSE,"매출액";#N/A,#N/A,FALSE,"요약손익";#N/A,#N/A,FALSE,"요약대차";#N/A,#N/A,FALSE,"매출채권현황";#N/A,#N/A,FALSE,"매출채권명세"}</definedName>
    <definedName name="왜이래" localSheetId="42" hidden="1">{#N/A,#N/A,FALSE,"손익표지";#N/A,#N/A,FALSE,"손익계산";#N/A,#N/A,FALSE,"일반관리비";#N/A,#N/A,FALSE,"영업외수익";#N/A,#N/A,FALSE,"영업외비용";#N/A,#N/A,FALSE,"매출액";#N/A,#N/A,FALSE,"요약손익";#N/A,#N/A,FALSE,"요약대차";#N/A,#N/A,FALSE,"매출채권현황";#N/A,#N/A,FALSE,"매출채권명세"}</definedName>
    <definedName name="왜이래" hidden="1">{#N/A,#N/A,FALSE,"손익표지";#N/A,#N/A,FALSE,"손익계산";#N/A,#N/A,FALSE,"일반관리비";#N/A,#N/A,FALSE,"영업외수익";#N/A,#N/A,FALSE,"영업외비용";#N/A,#N/A,FALSE,"매출액";#N/A,#N/A,FALSE,"요약손익";#N/A,#N/A,FALSE,"요약대차";#N/A,#N/A,FALSE,"매출채권현황";#N/A,#N/A,FALSE,"매출채권명세"}</definedName>
    <definedName name="외예금" localSheetId="15" hidden="1">{#N/A,#N/A,FALSE,"1.CRITERIA";#N/A,#N/A,FALSE,"2.IS";#N/A,#N/A,FALSE,"3.BS";#N/A,#N/A,FALSE,"4.PER PL";#N/A,#N/A,FALSE,"5.INVESTMENT";#N/A,#N/A,FALSE,"6.공문";#N/A,#N/A,FALSE,"7.netinvest"}</definedName>
    <definedName name="외예금" localSheetId="6" hidden="1">{#N/A,#N/A,FALSE,"1.CRITERIA";#N/A,#N/A,FALSE,"2.IS";#N/A,#N/A,FALSE,"3.BS";#N/A,#N/A,FALSE,"4.PER PL";#N/A,#N/A,FALSE,"5.INVESTMENT";#N/A,#N/A,FALSE,"6.공문";#N/A,#N/A,FALSE,"7.netinvest"}</definedName>
    <definedName name="외예금" localSheetId="45" hidden="1">{#N/A,#N/A,FALSE,"1.CRITERIA";#N/A,#N/A,FALSE,"2.IS";#N/A,#N/A,FALSE,"3.BS";#N/A,#N/A,FALSE,"4.PER PL";#N/A,#N/A,FALSE,"5.INVESTMENT";#N/A,#N/A,FALSE,"6.공문";#N/A,#N/A,FALSE,"7.netinvest"}</definedName>
    <definedName name="외예금" localSheetId="42" hidden="1">{#N/A,#N/A,FALSE,"1.CRITERIA";#N/A,#N/A,FALSE,"2.IS";#N/A,#N/A,FALSE,"3.BS";#N/A,#N/A,FALSE,"4.PER PL";#N/A,#N/A,FALSE,"5.INVESTMENT";#N/A,#N/A,FALSE,"6.공문";#N/A,#N/A,FALSE,"7.netinvest"}</definedName>
    <definedName name="외예금" hidden="1">{#N/A,#N/A,FALSE,"1.CRITERIA";#N/A,#N/A,FALSE,"2.IS";#N/A,#N/A,FALSE,"3.BS";#N/A,#N/A,FALSE,"4.PER PL";#N/A,#N/A,FALSE,"5.INVESTMENT";#N/A,#N/A,FALSE,"6.공문";#N/A,#N/A,FALSE,"7.netinvest"}</definedName>
    <definedName name="외주계획" localSheetId="42" hidden="1">{#N/A,#N/A,TRUE,"Y생산";#N/A,#N/A,TRUE,"Y판매";#N/A,#N/A,TRUE,"Y총물량";#N/A,#N/A,TRUE,"Y능력";#N/A,#N/A,TRUE,"YKD"}</definedName>
    <definedName name="외주계획" hidden="1">{#N/A,#N/A,TRUE,"Y생산";#N/A,#N/A,TRUE,"Y판매";#N/A,#N/A,TRUE,"Y총물량";#N/A,#N/A,TRUE,"Y능력";#N/A,#N/A,TRUE,"YKD"}</definedName>
    <definedName name="외환차손" localSheetId="30" hidden="1">#REF!</definedName>
    <definedName name="외환차손" localSheetId="29" hidden="1">#REF!</definedName>
    <definedName name="외환차손" localSheetId="33" hidden="1">#REF!</definedName>
    <definedName name="외환차손" localSheetId="31" hidden="1">#REF!</definedName>
    <definedName name="외환차손" localSheetId="32" hidden="1">#REF!</definedName>
    <definedName name="외환차손" hidden="1">#REF!</definedName>
    <definedName name="요" localSheetId="15" hidden="1">{#N/A,#N/A,FALSE,"1.CRITERIA";#N/A,#N/A,FALSE,"2.IS";#N/A,#N/A,FALSE,"3.BS";#N/A,#N/A,FALSE,"4.PER PL";#N/A,#N/A,FALSE,"5.INVESTMENT";#N/A,#N/A,FALSE,"6.공문";#N/A,#N/A,FALSE,"7.netinvest"}</definedName>
    <definedName name="요" localSheetId="6" hidden="1">{#N/A,#N/A,FALSE,"1.CRITERIA";#N/A,#N/A,FALSE,"2.IS";#N/A,#N/A,FALSE,"3.BS";#N/A,#N/A,FALSE,"4.PER PL";#N/A,#N/A,FALSE,"5.INVESTMENT";#N/A,#N/A,FALSE,"6.공문";#N/A,#N/A,FALSE,"7.netinvest"}</definedName>
    <definedName name="요" localSheetId="45" hidden="1">{#N/A,#N/A,FALSE,"1.CRITERIA";#N/A,#N/A,FALSE,"2.IS";#N/A,#N/A,FALSE,"3.BS";#N/A,#N/A,FALSE,"4.PER PL";#N/A,#N/A,FALSE,"5.INVESTMENT";#N/A,#N/A,FALSE,"6.공문";#N/A,#N/A,FALSE,"7.netinvest"}</definedName>
    <definedName name="요" localSheetId="42" hidden="1">{#N/A,#N/A,FALSE,"1.CRITERIA";#N/A,#N/A,FALSE,"2.IS";#N/A,#N/A,FALSE,"3.BS";#N/A,#N/A,FALSE,"4.PER PL";#N/A,#N/A,FALSE,"5.INVESTMENT";#N/A,#N/A,FALSE,"6.공문";#N/A,#N/A,FALSE,"7.netinvest"}</definedName>
    <definedName name="요" hidden="1">{#N/A,#N/A,FALSE,"1.CRITERIA";#N/A,#N/A,FALSE,"2.IS";#N/A,#N/A,FALSE,"3.BS";#N/A,#N/A,FALSE,"4.PER PL";#N/A,#N/A,FALSE,"5.INVESTMENT";#N/A,#N/A,FALSE,"6.공문";#N/A,#N/A,FALSE,"7.netinvest"}</definedName>
    <definedName name="요약" localSheetId="15" hidden="1">{#N/A,#N/A,FALSE,"정공"}</definedName>
    <definedName name="요약" localSheetId="6" hidden="1">{#N/A,#N/A,FALSE,"정공"}</definedName>
    <definedName name="요약" localSheetId="45" hidden="1">{#N/A,#N/A,FALSE,"정공"}</definedName>
    <definedName name="요약" localSheetId="42" hidden="1">{#N/A,#N/A,FALSE,"정공"}</definedName>
    <definedName name="요약" hidden="1">{#N/A,#N/A,FALSE,"정공"}</definedName>
    <definedName name="요약3" localSheetId="15" hidden="1">{#N/A,#N/A,FALSE,"정공"}</definedName>
    <definedName name="요약3" localSheetId="6" hidden="1">{#N/A,#N/A,FALSE,"정공"}</definedName>
    <definedName name="요약3" localSheetId="45" hidden="1">{#N/A,#N/A,FALSE,"정공"}</definedName>
    <definedName name="요약3" localSheetId="42" hidden="1">{#N/A,#N/A,FALSE,"정공"}</definedName>
    <definedName name="요약3" hidden="1">{#N/A,#N/A,FALSE,"정공"}</definedName>
    <definedName name="요약5" localSheetId="15" hidden="1">{#N/A,#N/A,FALSE,"정공"}</definedName>
    <definedName name="요약5" localSheetId="6" hidden="1">{#N/A,#N/A,FALSE,"정공"}</definedName>
    <definedName name="요약5" localSheetId="45" hidden="1">{#N/A,#N/A,FALSE,"정공"}</definedName>
    <definedName name="요약5" localSheetId="42" hidden="1">{#N/A,#N/A,FALSE,"정공"}</definedName>
    <definedName name="요약5" hidden="1">{#N/A,#N/A,FALSE,"정공"}</definedName>
    <definedName name="요약fs" localSheetId="1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요약fs" localSheetId="4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요약fs"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요약총괄" localSheetId="15" hidden="1">{#N/A,#N/A,FALSE,"정공"}</definedName>
    <definedName name="요약총괄" localSheetId="6" hidden="1">{#N/A,#N/A,FALSE,"정공"}</definedName>
    <definedName name="요약총괄" localSheetId="45" hidden="1">{#N/A,#N/A,FALSE,"정공"}</definedName>
    <definedName name="요약총괄" localSheetId="42" hidden="1">{#N/A,#N/A,FALSE,"정공"}</definedName>
    <definedName name="요약총괄" hidden="1">{#N/A,#N/A,FALSE,"정공"}</definedName>
    <definedName name="우리나라" localSheetId="42" hidden="1">{#N/A,#N/A,TRUE,"Y생산";#N/A,#N/A,TRUE,"Y판매";#N/A,#N/A,TRUE,"Y총물량";#N/A,#N/A,TRUE,"Y능력";#N/A,#N/A,TRUE,"YKD"}</definedName>
    <definedName name="우리나라" hidden="1">{#N/A,#N/A,TRUE,"Y생산";#N/A,#N/A,TRUE,"Y판매";#N/A,#N/A,TRUE,"Y총물량";#N/A,#N/A,TRUE,"Y능력";#N/A,#N/A,TRUE,"YKD"}</definedName>
    <definedName name="울산" localSheetId="15" hidden="1">{#N/A,#N/A,FALSE,"손익표지";#N/A,#N/A,FALSE,"손익계산";#N/A,#N/A,FALSE,"일반관리비";#N/A,#N/A,FALSE,"영업외수익";#N/A,#N/A,FALSE,"영업외비용";#N/A,#N/A,FALSE,"매출액";#N/A,#N/A,FALSE,"요약손익";#N/A,#N/A,FALSE,"요약대차";#N/A,#N/A,FALSE,"매출채권현황";#N/A,#N/A,FALSE,"매출채권명세"}</definedName>
    <definedName name="울산" localSheetId="6" hidden="1">{#N/A,#N/A,FALSE,"손익표지";#N/A,#N/A,FALSE,"손익계산";#N/A,#N/A,FALSE,"일반관리비";#N/A,#N/A,FALSE,"영업외수익";#N/A,#N/A,FALSE,"영업외비용";#N/A,#N/A,FALSE,"매출액";#N/A,#N/A,FALSE,"요약손익";#N/A,#N/A,FALSE,"요약대차";#N/A,#N/A,FALSE,"매출채권현황";#N/A,#N/A,FALSE,"매출채권명세"}</definedName>
    <definedName name="울산" localSheetId="45" hidden="1">{#N/A,#N/A,FALSE,"손익표지";#N/A,#N/A,FALSE,"손익계산";#N/A,#N/A,FALSE,"일반관리비";#N/A,#N/A,FALSE,"영업외수익";#N/A,#N/A,FALSE,"영업외비용";#N/A,#N/A,FALSE,"매출액";#N/A,#N/A,FALSE,"요약손익";#N/A,#N/A,FALSE,"요약대차";#N/A,#N/A,FALSE,"매출채권현황";#N/A,#N/A,FALSE,"매출채권명세"}</definedName>
    <definedName name="울산" localSheetId="42" hidden="1">{#N/A,#N/A,FALSE,"손익표지";#N/A,#N/A,FALSE,"손익계산";#N/A,#N/A,FALSE,"일반관리비";#N/A,#N/A,FALSE,"영업외수익";#N/A,#N/A,FALSE,"영업외비용";#N/A,#N/A,FALSE,"매출액";#N/A,#N/A,FALSE,"요약손익";#N/A,#N/A,FALSE,"요약대차";#N/A,#N/A,FALSE,"매출채권현황";#N/A,#N/A,FALSE,"매출채권명세"}</definedName>
    <definedName name="울산" hidden="1">{#N/A,#N/A,FALSE,"손익표지";#N/A,#N/A,FALSE,"손익계산";#N/A,#N/A,FALSE,"일반관리비";#N/A,#N/A,FALSE,"영업외수익";#N/A,#N/A,FALSE,"영업외비용";#N/A,#N/A,FALSE,"매출액";#N/A,#N/A,FALSE,"요약손익";#N/A,#N/A,FALSE,"요약대차";#N/A,#N/A,FALSE,"매출채권현황";#N/A,#N/A,FALSE,"매출채권명세"}</definedName>
    <definedName name="원" localSheetId="42" hidden="1">{#N/A,#N/A,TRUE,"Y생산";#N/A,#N/A,TRUE,"Y판매";#N/A,#N/A,TRUE,"Y총물량";#N/A,#N/A,TRUE,"Y능력";#N/A,#N/A,TRUE,"YKD"}</definedName>
    <definedName name="원" hidden="1">{#N/A,#N/A,TRUE,"Y생산";#N/A,#N/A,TRUE,"Y판매";#N/A,#N/A,TRUE,"Y총물량";#N/A,#N/A,TRUE,"Y능력";#N/A,#N/A,TRUE,"YKD"}</definedName>
    <definedName name="원가" localSheetId="42" hidden="1">{#N/A,#N/A,FALSE,"1.CRITERIA";#N/A,#N/A,FALSE,"2.IS";#N/A,#N/A,FALSE,"3.BS";#N/A,#N/A,FALSE,"4.PER PL";#N/A,#N/A,FALSE,"5.INVESTMENT";#N/A,#N/A,FALSE,"6.공문";#N/A,#N/A,FALSE,"7.netinvest"}</definedName>
    <definedName name="원가" hidden="1">{#N/A,#N/A,FALSE,"1.CRITERIA";#N/A,#N/A,FALSE,"2.IS";#N/A,#N/A,FALSE,"3.BS";#N/A,#N/A,FALSE,"4.PER PL";#N/A,#N/A,FALSE,"5.INVESTMENT";#N/A,#N/A,FALSE,"6.공문";#N/A,#N/A,FALSE,"7.netinvest"}</definedName>
    <definedName name="원가관리라" localSheetId="15" hidden="1">{#N/A,#N/A,FALSE,"정공"}</definedName>
    <definedName name="원가관리라" localSheetId="6" hidden="1">{#N/A,#N/A,FALSE,"정공"}</definedName>
    <definedName name="원가관리라" localSheetId="45" hidden="1">{#N/A,#N/A,FALSE,"정공"}</definedName>
    <definedName name="원가관리라" localSheetId="42" hidden="1">{#N/A,#N/A,FALSE,"정공"}</definedName>
    <definedName name="원가관리라" hidden="1">{#N/A,#N/A,FALSE,"정공"}</definedName>
    <definedName name="원가분석" localSheetId="15" hidden="1">{#N/A,#N/A,FALSE,"1.CRITERIA";#N/A,#N/A,FALSE,"2.IS";#N/A,#N/A,FALSE,"3.BS";#N/A,#N/A,FALSE,"4.PER PL";#N/A,#N/A,FALSE,"5.INVESTMENT";#N/A,#N/A,FALSE,"6.공문";#N/A,#N/A,FALSE,"7.netinvest"}</definedName>
    <definedName name="원가분석" localSheetId="6" hidden="1">{#N/A,#N/A,FALSE,"1.CRITERIA";#N/A,#N/A,FALSE,"2.IS";#N/A,#N/A,FALSE,"3.BS";#N/A,#N/A,FALSE,"4.PER PL";#N/A,#N/A,FALSE,"5.INVESTMENT";#N/A,#N/A,FALSE,"6.공문";#N/A,#N/A,FALSE,"7.netinvest"}</definedName>
    <definedName name="원가분석" localSheetId="45" hidden="1">{#N/A,#N/A,FALSE,"1.CRITERIA";#N/A,#N/A,FALSE,"2.IS";#N/A,#N/A,FALSE,"3.BS";#N/A,#N/A,FALSE,"4.PER PL";#N/A,#N/A,FALSE,"5.INVESTMENT";#N/A,#N/A,FALSE,"6.공문";#N/A,#N/A,FALSE,"7.netinvest"}</definedName>
    <definedName name="원가분석" localSheetId="42" hidden="1">{#N/A,#N/A,FALSE,"1.CRITERIA";#N/A,#N/A,FALSE,"2.IS";#N/A,#N/A,FALSE,"3.BS";#N/A,#N/A,FALSE,"4.PER PL";#N/A,#N/A,FALSE,"5.INVESTMENT";#N/A,#N/A,FALSE,"6.공문";#N/A,#N/A,FALSE,"7.netinvest"}</definedName>
    <definedName name="원가분석" hidden="1">{#N/A,#N/A,FALSE,"1.CRITERIA";#N/A,#N/A,FALSE,"2.IS";#N/A,#N/A,FALSE,"3.BS";#N/A,#N/A,FALSE,"4.PER PL";#N/A,#N/A,FALSE,"5.INVESTMENT";#N/A,#N/A,FALSE,"6.공문";#N/A,#N/A,FALSE,"7.netinvest"}</definedName>
    <definedName name="원가적용" localSheetId="15" hidden="1">{#N/A,#N/A,FALSE,"정공"}</definedName>
    <definedName name="원가적용" localSheetId="6" hidden="1">{#N/A,#N/A,FALSE,"정공"}</definedName>
    <definedName name="원가적용" localSheetId="45" hidden="1">{#N/A,#N/A,FALSE,"정공"}</definedName>
    <definedName name="원가적용" localSheetId="42" hidden="1">{#N/A,#N/A,FALSE,"정공"}</definedName>
    <definedName name="원가적용" hidden="1">{#N/A,#N/A,FALSE,"정공"}</definedName>
    <definedName name="원단" localSheetId="42" hidden="1">{#N/A,#N/A,TRUE,"Y생산";#N/A,#N/A,TRUE,"Y판매";#N/A,#N/A,TRUE,"Y총물량";#N/A,#N/A,TRUE,"Y능력";#N/A,#N/A,TRUE,"YKD"}</definedName>
    <definedName name="원단" hidden="1">{#N/A,#N/A,TRUE,"Y생산";#N/A,#N/A,TRUE,"Y판매";#N/A,#N/A,TRUE,"Y총물량";#N/A,#N/A,TRUE,"Y능력";#N/A,#N/A,TRUE,"YKD"}</definedName>
    <definedName name="원단2" localSheetId="42" hidden="1">{#N/A,#N/A,TRUE,"Y생산";#N/A,#N/A,TRUE,"Y판매";#N/A,#N/A,TRUE,"Y총물량";#N/A,#N/A,TRUE,"Y능력";#N/A,#N/A,TRUE,"YKD"}</definedName>
    <definedName name="원단2" hidden="1">{#N/A,#N/A,TRUE,"Y생산";#N/A,#N/A,TRUE,"Y판매";#N/A,#N/A,TRUE,"Y총물량";#N/A,#N/A,TRUE,"Y능력";#N/A,#N/A,TRUE,"YKD"}</definedName>
    <definedName name="원본2" localSheetId="12" hidden="1">#REF!</definedName>
    <definedName name="원본2" localSheetId="30" hidden="1">#REF!</definedName>
    <definedName name="원본2" localSheetId="29" hidden="1">#REF!</definedName>
    <definedName name="원본2" localSheetId="33" hidden="1">#REF!</definedName>
    <definedName name="원본2" localSheetId="31" hidden="1">#REF!</definedName>
    <definedName name="원본2" hidden="1">#REF!</definedName>
    <definedName name="원재료생산현황" localSheetId="15" hidden="1">{#N/A,#N/A,FALSE,"손익표지";#N/A,#N/A,FALSE,"손익계산";#N/A,#N/A,FALSE,"일반관리비";#N/A,#N/A,FALSE,"영업외수익";#N/A,#N/A,FALSE,"영업외비용";#N/A,#N/A,FALSE,"매출액";#N/A,#N/A,FALSE,"요약손익";#N/A,#N/A,FALSE,"요약대차";#N/A,#N/A,FALSE,"매출채권현황";#N/A,#N/A,FALSE,"매출채권명세"}</definedName>
    <definedName name="원재료생산현황" localSheetId="6" hidden="1">{#N/A,#N/A,FALSE,"손익표지";#N/A,#N/A,FALSE,"손익계산";#N/A,#N/A,FALSE,"일반관리비";#N/A,#N/A,FALSE,"영업외수익";#N/A,#N/A,FALSE,"영업외비용";#N/A,#N/A,FALSE,"매출액";#N/A,#N/A,FALSE,"요약손익";#N/A,#N/A,FALSE,"요약대차";#N/A,#N/A,FALSE,"매출채권현황";#N/A,#N/A,FALSE,"매출채권명세"}</definedName>
    <definedName name="원재료생산현황" localSheetId="45" hidden="1">{#N/A,#N/A,FALSE,"손익표지";#N/A,#N/A,FALSE,"손익계산";#N/A,#N/A,FALSE,"일반관리비";#N/A,#N/A,FALSE,"영업외수익";#N/A,#N/A,FALSE,"영업외비용";#N/A,#N/A,FALSE,"매출액";#N/A,#N/A,FALSE,"요약손익";#N/A,#N/A,FALSE,"요약대차";#N/A,#N/A,FALSE,"매출채권현황";#N/A,#N/A,FALSE,"매출채권명세"}</definedName>
    <definedName name="원재료생산현황" localSheetId="42" hidden="1">{#N/A,#N/A,FALSE,"손익표지";#N/A,#N/A,FALSE,"손익계산";#N/A,#N/A,FALSE,"일반관리비";#N/A,#N/A,FALSE,"영업외수익";#N/A,#N/A,FALSE,"영업외비용";#N/A,#N/A,FALSE,"매출액";#N/A,#N/A,FALSE,"요약손익";#N/A,#N/A,FALSE,"요약대차";#N/A,#N/A,FALSE,"매출채권현황";#N/A,#N/A,FALSE,"매출채권명세"}</definedName>
    <definedName name="원재료생산현황" hidden="1">{#N/A,#N/A,FALSE,"손익표지";#N/A,#N/A,FALSE,"손익계산";#N/A,#N/A,FALSE,"일반관리비";#N/A,#N/A,FALSE,"영업외수익";#N/A,#N/A,FALSE,"영업외비용";#N/A,#N/A,FALSE,"매출액";#N/A,#N/A,FALSE,"요약손익";#N/A,#N/A,FALSE,"요약대차";#N/A,#N/A,FALSE,"매출채권현황";#N/A,#N/A,FALSE,"매출채권명세"}</definedName>
    <definedName name="원천납부8" localSheetId="12"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원천납부8" localSheetId="42"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원천납부8"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월" localSheetId="15" hidden="1">{#N/A,#N/A,FALSE,"1.CRITERIA";#N/A,#N/A,FALSE,"2.IS";#N/A,#N/A,FALSE,"3.BS";#N/A,#N/A,FALSE,"4.PER PL";#N/A,#N/A,FALSE,"5.INVESTMENT";#N/A,#N/A,FALSE,"6.공문";#N/A,#N/A,FALSE,"7.netinvest"}</definedName>
    <definedName name="월" localSheetId="6" hidden="1">{#N/A,#N/A,FALSE,"1.CRITERIA";#N/A,#N/A,FALSE,"2.IS";#N/A,#N/A,FALSE,"3.BS";#N/A,#N/A,FALSE,"4.PER PL";#N/A,#N/A,FALSE,"5.INVESTMENT";#N/A,#N/A,FALSE,"6.공문";#N/A,#N/A,FALSE,"7.netinvest"}</definedName>
    <definedName name="월" localSheetId="45" hidden="1">{#N/A,#N/A,FALSE,"1.CRITERIA";#N/A,#N/A,FALSE,"2.IS";#N/A,#N/A,FALSE,"3.BS";#N/A,#N/A,FALSE,"4.PER PL";#N/A,#N/A,FALSE,"5.INVESTMENT";#N/A,#N/A,FALSE,"6.공문";#N/A,#N/A,FALSE,"7.netinvest"}</definedName>
    <definedName name="월" localSheetId="42" hidden="1">{#N/A,#N/A,FALSE,"1.CRITERIA";#N/A,#N/A,FALSE,"2.IS";#N/A,#N/A,FALSE,"3.BS";#N/A,#N/A,FALSE,"4.PER PL";#N/A,#N/A,FALSE,"5.INVESTMENT";#N/A,#N/A,FALSE,"6.공문";#N/A,#N/A,FALSE,"7.netinvest"}</definedName>
    <definedName name="월" hidden="1">{#N/A,#N/A,FALSE,"1.CRITERIA";#N/A,#N/A,FALSE,"2.IS";#N/A,#N/A,FALSE,"3.BS";#N/A,#N/A,FALSE,"4.PER PL";#N/A,#N/A,FALSE,"5.INVESTMENT";#N/A,#N/A,FALSE,"6.공문";#N/A,#N/A,FALSE,"7.netinvest"}</definedName>
    <definedName name="월말" localSheetId="15" hidden="1">{#N/A,#N/A,FALSE,"1.CRITERIA";#N/A,#N/A,FALSE,"2.IS";#N/A,#N/A,FALSE,"3.BS";#N/A,#N/A,FALSE,"4.PER PL";#N/A,#N/A,FALSE,"5.INVESTMENT";#N/A,#N/A,FALSE,"6.공문";#N/A,#N/A,FALSE,"7.netinvest"}</definedName>
    <definedName name="월말" localSheetId="6" hidden="1">{#N/A,#N/A,FALSE,"1.CRITERIA";#N/A,#N/A,FALSE,"2.IS";#N/A,#N/A,FALSE,"3.BS";#N/A,#N/A,FALSE,"4.PER PL";#N/A,#N/A,FALSE,"5.INVESTMENT";#N/A,#N/A,FALSE,"6.공문";#N/A,#N/A,FALSE,"7.netinvest"}</definedName>
    <definedName name="월말" localSheetId="45" hidden="1">{#N/A,#N/A,FALSE,"1.CRITERIA";#N/A,#N/A,FALSE,"2.IS";#N/A,#N/A,FALSE,"3.BS";#N/A,#N/A,FALSE,"4.PER PL";#N/A,#N/A,FALSE,"5.INVESTMENT";#N/A,#N/A,FALSE,"6.공문";#N/A,#N/A,FALSE,"7.netinvest"}</definedName>
    <definedName name="월말" localSheetId="42" hidden="1">{#N/A,#N/A,FALSE,"1.CRITERIA";#N/A,#N/A,FALSE,"2.IS";#N/A,#N/A,FALSE,"3.BS";#N/A,#N/A,FALSE,"4.PER PL";#N/A,#N/A,FALSE,"5.INVESTMENT";#N/A,#N/A,FALSE,"6.공문";#N/A,#N/A,FALSE,"7.netinvest"}</definedName>
    <definedName name="월말" hidden="1">{#N/A,#N/A,FALSE,"1.CRITERIA";#N/A,#N/A,FALSE,"2.IS";#N/A,#N/A,FALSE,"3.BS";#N/A,#N/A,FALSE,"4.PER PL";#N/A,#N/A,FALSE,"5.INVESTMENT";#N/A,#N/A,FALSE,"6.공문";#N/A,#N/A,FALSE,"7.netinvest"}</definedName>
    <definedName name="월별" localSheetId="15" hidden="1">{#N/A,#N/A,FALSE,"1.CRITERIA";#N/A,#N/A,FALSE,"2.IS";#N/A,#N/A,FALSE,"3.BS";#N/A,#N/A,FALSE,"4.PER PL";#N/A,#N/A,FALSE,"5.INVESTMENT";#N/A,#N/A,FALSE,"6.공문";#N/A,#N/A,FALSE,"7.netinvest"}</definedName>
    <definedName name="월별" localSheetId="6" hidden="1">{#N/A,#N/A,FALSE,"1.CRITERIA";#N/A,#N/A,FALSE,"2.IS";#N/A,#N/A,FALSE,"3.BS";#N/A,#N/A,FALSE,"4.PER PL";#N/A,#N/A,FALSE,"5.INVESTMENT";#N/A,#N/A,FALSE,"6.공문";#N/A,#N/A,FALSE,"7.netinvest"}</definedName>
    <definedName name="월별" localSheetId="45" hidden="1">{#N/A,#N/A,FALSE,"1.CRITERIA";#N/A,#N/A,FALSE,"2.IS";#N/A,#N/A,FALSE,"3.BS";#N/A,#N/A,FALSE,"4.PER PL";#N/A,#N/A,FALSE,"5.INVESTMENT";#N/A,#N/A,FALSE,"6.공문";#N/A,#N/A,FALSE,"7.netinvest"}</definedName>
    <definedName name="월별" localSheetId="42" hidden="1">{#N/A,#N/A,FALSE,"1.CRITERIA";#N/A,#N/A,FALSE,"2.IS";#N/A,#N/A,FALSE,"3.BS";#N/A,#N/A,FALSE,"4.PER PL";#N/A,#N/A,FALSE,"5.INVESTMENT";#N/A,#N/A,FALSE,"6.공문";#N/A,#N/A,FALSE,"7.netinvest"}</definedName>
    <definedName name="월별" hidden="1">{#N/A,#N/A,FALSE,"1.CRITERIA";#N/A,#N/A,FALSE,"2.IS";#N/A,#N/A,FALSE,"3.BS";#N/A,#N/A,FALSE,"4.PER PL";#N/A,#N/A,FALSE,"5.INVESTMENT";#N/A,#N/A,FALSE,"6.공문";#N/A,#N/A,FALSE,"7.netinvest"}</definedName>
    <definedName name="월별영업비용" localSheetId="15" hidden="1">{#N/A,#N/A,FALSE,"1.CRITERIA";#N/A,#N/A,FALSE,"2.IS";#N/A,#N/A,FALSE,"3.BS";#N/A,#N/A,FALSE,"4.PER PL";#N/A,#N/A,FALSE,"5.INVESTMENT";#N/A,#N/A,FALSE,"6.공문";#N/A,#N/A,FALSE,"7.netinvest"}</definedName>
    <definedName name="월별영업비용" localSheetId="6" hidden="1">{#N/A,#N/A,FALSE,"1.CRITERIA";#N/A,#N/A,FALSE,"2.IS";#N/A,#N/A,FALSE,"3.BS";#N/A,#N/A,FALSE,"4.PER PL";#N/A,#N/A,FALSE,"5.INVESTMENT";#N/A,#N/A,FALSE,"6.공문";#N/A,#N/A,FALSE,"7.netinvest"}</definedName>
    <definedName name="월별영업비용" localSheetId="45" hidden="1">{#N/A,#N/A,FALSE,"1.CRITERIA";#N/A,#N/A,FALSE,"2.IS";#N/A,#N/A,FALSE,"3.BS";#N/A,#N/A,FALSE,"4.PER PL";#N/A,#N/A,FALSE,"5.INVESTMENT";#N/A,#N/A,FALSE,"6.공문";#N/A,#N/A,FALSE,"7.netinvest"}</definedName>
    <definedName name="월별영업비용" localSheetId="42" hidden="1">{#N/A,#N/A,FALSE,"1.CRITERIA";#N/A,#N/A,FALSE,"2.IS";#N/A,#N/A,FALSE,"3.BS";#N/A,#N/A,FALSE,"4.PER PL";#N/A,#N/A,FALSE,"5.INVESTMENT";#N/A,#N/A,FALSE,"6.공문";#N/A,#N/A,FALSE,"7.netinvest"}</definedName>
    <definedName name="월별영업비용" hidden="1">{#N/A,#N/A,FALSE,"1.CRITERIA";#N/A,#N/A,FALSE,"2.IS";#N/A,#N/A,FALSE,"3.BS";#N/A,#N/A,FALSE,"4.PER PL";#N/A,#N/A,FALSE,"5.INVESTMENT";#N/A,#N/A,FALSE,"6.공문";#N/A,#N/A,FALSE,"7.netinvest"}</definedName>
    <definedName name="월별원가절감상세" localSheetId="15" hidden="1">{#N/A,#N/A,FALSE,"정공"}</definedName>
    <definedName name="월별원가절감상세" localSheetId="6" hidden="1">{#N/A,#N/A,FALSE,"정공"}</definedName>
    <definedName name="월별원가절감상세" localSheetId="45" hidden="1">{#N/A,#N/A,FALSE,"정공"}</definedName>
    <definedName name="월별원가절감상세" localSheetId="42" hidden="1">{#N/A,#N/A,FALSE,"정공"}</definedName>
    <definedName name="월별원가절감상세" hidden="1">{#N/A,#N/A,FALSE,"정공"}</definedName>
    <definedName name="유" hidden="1">#REF!</definedName>
    <definedName name="유가" localSheetId="42" hidden="1">{#N/A,#N/A,FALSE,"BS";#N/A,#N/A,FALSE,"PL";#N/A,#N/A,FALSE,"처분";#N/A,#N/A,FALSE,"현금";#N/A,#N/A,FALSE,"매출";#N/A,#N/A,FALSE,"원가";#N/A,#N/A,FALSE,"경영"}</definedName>
    <definedName name="유가" hidden="1">{#N/A,#N/A,FALSE,"BS";#N/A,#N/A,FALSE,"PL";#N/A,#N/A,FALSE,"처분";#N/A,#N/A,FALSE,"현금";#N/A,#N/A,FALSE,"매출";#N/A,#N/A,FALSE,"원가";#N/A,#N/A,FALSE,"경영"}</definedName>
    <definedName name="유가증권평가test" localSheetId="12" hidden="1">{#N/A,#N/A,FALSE,"Aging Summary";#N/A,#N/A,FALSE,"Ratio Analysis";#N/A,#N/A,FALSE,"Test 120 Day Accts";#N/A,#N/A,FALSE,"Tickmarks"}</definedName>
    <definedName name="유가증권평가test" localSheetId="42" hidden="1">{#N/A,#N/A,FALSE,"Aging Summary";#N/A,#N/A,FALSE,"Ratio Analysis";#N/A,#N/A,FALSE,"Test 120 Day Accts";#N/A,#N/A,FALSE,"Tickmarks"}</definedName>
    <definedName name="유가증권평가test" hidden="1">{#N/A,#N/A,FALSE,"Aging Summary";#N/A,#N/A,FALSE,"Ratio Analysis";#N/A,#N/A,FALSE,"Test 120 Day Accts";#N/A,#N/A,FALSE,"Tickmarks"}</definedName>
    <definedName name="유동부채" localSheetId="42" hidden="1">{#N/A,#N/A,FALSE,"BS";#N/A,#N/A,FALSE,"PL";#N/A,#N/A,FALSE,"처분";#N/A,#N/A,FALSE,"현금";#N/A,#N/A,FALSE,"매출";#N/A,#N/A,FALSE,"원가";#N/A,#N/A,FALSE,"경영"}</definedName>
    <definedName name="유동부채" hidden="1">{#N/A,#N/A,FALSE,"BS";#N/A,#N/A,FALSE,"PL";#N/A,#N/A,FALSE,"처분";#N/A,#N/A,FALSE,"현금";#N/A,#N/A,FALSE,"매출";#N/A,#N/A,FALSE,"원가";#N/A,#N/A,FALSE,"경영"}</definedName>
    <definedName name="유승" localSheetId="15" hidden="1">{#N/A,#N/A,FALSE,"손익표지";#N/A,#N/A,FALSE,"손익계산";#N/A,#N/A,FALSE,"일반관리비";#N/A,#N/A,FALSE,"영업외수익";#N/A,#N/A,FALSE,"영업외비용";#N/A,#N/A,FALSE,"매출액";#N/A,#N/A,FALSE,"요약손익";#N/A,#N/A,FALSE,"요약대차";#N/A,#N/A,FALSE,"매출채권현황";#N/A,#N/A,FALSE,"매출채권명세"}</definedName>
    <definedName name="유승" localSheetId="6" hidden="1">{#N/A,#N/A,FALSE,"손익표지";#N/A,#N/A,FALSE,"손익계산";#N/A,#N/A,FALSE,"일반관리비";#N/A,#N/A,FALSE,"영업외수익";#N/A,#N/A,FALSE,"영업외비용";#N/A,#N/A,FALSE,"매출액";#N/A,#N/A,FALSE,"요약손익";#N/A,#N/A,FALSE,"요약대차";#N/A,#N/A,FALSE,"매출채권현황";#N/A,#N/A,FALSE,"매출채권명세"}</definedName>
    <definedName name="유승" localSheetId="45" hidden="1">{#N/A,#N/A,FALSE,"손익표지";#N/A,#N/A,FALSE,"손익계산";#N/A,#N/A,FALSE,"일반관리비";#N/A,#N/A,FALSE,"영업외수익";#N/A,#N/A,FALSE,"영업외비용";#N/A,#N/A,FALSE,"매출액";#N/A,#N/A,FALSE,"요약손익";#N/A,#N/A,FALSE,"요약대차";#N/A,#N/A,FALSE,"매출채권현황";#N/A,#N/A,FALSE,"매출채권명세"}</definedName>
    <definedName name="유승" localSheetId="42" hidden="1">{#N/A,#N/A,FALSE,"손익표지";#N/A,#N/A,FALSE,"손익계산";#N/A,#N/A,FALSE,"일반관리비";#N/A,#N/A,FALSE,"영업외수익";#N/A,#N/A,FALSE,"영업외비용";#N/A,#N/A,FALSE,"매출액";#N/A,#N/A,FALSE,"요약손익";#N/A,#N/A,FALSE,"요약대차";#N/A,#N/A,FALSE,"매출채권현황";#N/A,#N/A,FALSE,"매출채권명세"}</definedName>
    <definedName name="유승" hidden="1">{#N/A,#N/A,FALSE,"손익표지";#N/A,#N/A,FALSE,"손익계산";#N/A,#N/A,FALSE,"일반관리비";#N/A,#N/A,FALSE,"영업외수익";#N/A,#N/A,FALSE,"영업외비용";#N/A,#N/A,FALSE,"매출액";#N/A,#N/A,FALSE,"요약손익";#N/A,#N/A,FALSE,"요약대차";#N/A,#N/A,FALSE,"매출채권현황";#N/A,#N/A,FALSE,"매출채권명세"}</definedName>
    <definedName name="유승주" localSheetId="15" hidden="1">{#N/A,#N/A,FALSE,"손익표지";#N/A,#N/A,FALSE,"손익계산";#N/A,#N/A,FALSE,"일반관리비";#N/A,#N/A,FALSE,"영업외수익";#N/A,#N/A,FALSE,"영업외비용";#N/A,#N/A,FALSE,"매출액";#N/A,#N/A,FALSE,"요약손익";#N/A,#N/A,FALSE,"요약대차";#N/A,#N/A,FALSE,"매출채권현황";#N/A,#N/A,FALSE,"매출채권명세"}</definedName>
    <definedName name="유승주" localSheetId="6" hidden="1">{#N/A,#N/A,FALSE,"손익표지";#N/A,#N/A,FALSE,"손익계산";#N/A,#N/A,FALSE,"일반관리비";#N/A,#N/A,FALSE,"영업외수익";#N/A,#N/A,FALSE,"영업외비용";#N/A,#N/A,FALSE,"매출액";#N/A,#N/A,FALSE,"요약손익";#N/A,#N/A,FALSE,"요약대차";#N/A,#N/A,FALSE,"매출채권현황";#N/A,#N/A,FALSE,"매출채권명세"}</definedName>
    <definedName name="유승주" localSheetId="45" hidden="1">{#N/A,#N/A,FALSE,"손익표지";#N/A,#N/A,FALSE,"손익계산";#N/A,#N/A,FALSE,"일반관리비";#N/A,#N/A,FALSE,"영업외수익";#N/A,#N/A,FALSE,"영업외비용";#N/A,#N/A,FALSE,"매출액";#N/A,#N/A,FALSE,"요약손익";#N/A,#N/A,FALSE,"요약대차";#N/A,#N/A,FALSE,"매출채권현황";#N/A,#N/A,FALSE,"매출채권명세"}</definedName>
    <definedName name="유승주" localSheetId="42" hidden="1">{#N/A,#N/A,FALSE,"손익표지";#N/A,#N/A,FALSE,"손익계산";#N/A,#N/A,FALSE,"일반관리비";#N/A,#N/A,FALSE,"영업외수익";#N/A,#N/A,FALSE,"영업외비용";#N/A,#N/A,FALSE,"매출액";#N/A,#N/A,FALSE,"요약손익";#N/A,#N/A,FALSE,"요약대차";#N/A,#N/A,FALSE,"매출채권현황";#N/A,#N/A,FALSE,"매출채권명세"}</definedName>
    <definedName name="유승주" hidden="1">{#N/A,#N/A,FALSE,"손익표지";#N/A,#N/A,FALSE,"손익계산";#N/A,#N/A,FALSE,"일반관리비";#N/A,#N/A,FALSE,"영업외수익";#N/A,#N/A,FALSE,"영업외비용";#N/A,#N/A,FALSE,"매출액";#N/A,#N/A,FALSE,"요약손익";#N/A,#N/A,FALSE,"요약대차";#N/A,#N/A,FALSE,"매출채권현황";#N/A,#N/A,FALSE,"매출채권명세"}</definedName>
    <definedName name="유이" localSheetId="15" hidden="1">{#N/A,#N/A,FALSE,"1.CRITERIA";#N/A,#N/A,FALSE,"2.IS";#N/A,#N/A,FALSE,"3.BS";#N/A,#N/A,FALSE,"4.PER PL";#N/A,#N/A,FALSE,"5.INVESTMENT";#N/A,#N/A,FALSE,"6.공문";#N/A,#N/A,FALSE,"7.netinvest"}</definedName>
    <definedName name="유이" localSheetId="6" hidden="1">{#N/A,#N/A,FALSE,"1.CRITERIA";#N/A,#N/A,FALSE,"2.IS";#N/A,#N/A,FALSE,"3.BS";#N/A,#N/A,FALSE,"4.PER PL";#N/A,#N/A,FALSE,"5.INVESTMENT";#N/A,#N/A,FALSE,"6.공문";#N/A,#N/A,FALSE,"7.netinvest"}</definedName>
    <definedName name="유이" localSheetId="45" hidden="1">{#N/A,#N/A,FALSE,"1.CRITERIA";#N/A,#N/A,FALSE,"2.IS";#N/A,#N/A,FALSE,"3.BS";#N/A,#N/A,FALSE,"4.PER PL";#N/A,#N/A,FALSE,"5.INVESTMENT";#N/A,#N/A,FALSE,"6.공문";#N/A,#N/A,FALSE,"7.netinvest"}</definedName>
    <definedName name="유이" localSheetId="42" hidden="1">{#N/A,#N/A,FALSE,"1.CRITERIA";#N/A,#N/A,FALSE,"2.IS";#N/A,#N/A,FALSE,"3.BS";#N/A,#N/A,FALSE,"4.PER PL";#N/A,#N/A,FALSE,"5.INVESTMENT";#N/A,#N/A,FALSE,"6.공문";#N/A,#N/A,FALSE,"7.netinvest"}</definedName>
    <definedName name="유이" hidden="1">{#N/A,#N/A,FALSE,"1.CRITERIA";#N/A,#N/A,FALSE,"2.IS";#N/A,#N/A,FALSE,"3.BS";#N/A,#N/A,FALSE,"4.PER PL";#N/A,#N/A,FALSE,"5.INVESTMENT";#N/A,#N/A,FALSE,"6.공문";#N/A,#N/A,FALSE,"7.netinvest"}</definedName>
    <definedName name="유형근" hidden="1">"AS2DocumentEdit"</definedName>
    <definedName name="유형테스트" localSheetId="15" hidden="1">{"FORM17",#N/A,FALSE,"Commission1";"FORM17.1",#N/A,FALSE,"Commission2"}</definedName>
    <definedName name="유형테스트" localSheetId="6" hidden="1">{"FORM17",#N/A,FALSE,"Commission1";"FORM17.1",#N/A,FALSE,"Commission2"}</definedName>
    <definedName name="유형테스트" localSheetId="45" hidden="1">{"FORM17",#N/A,FALSE,"Commission1";"FORM17.1",#N/A,FALSE,"Commission2"}</definedName>
    <definedName name="유형테스트" localSheetId="42" hidden="1">{"FORM17",#N/A,FALSE,"Commission1";"FORM17.1",#N/A,FALSE,"Commission2"}</definedName>
    <definedName name="유형테스트" hidden="1">{"FORM17",#N/A,FALSE,"Commission1";"FORM17.1",#N/A,FALSE,"Commission2"}</definedName>
    <definedName name="유화처분" localSheetId="12" hidden="1">{#N/A,#N/A,FALSE,"매출이익"}</definedName>
    <definedName name="유화처분" localSheetId="42" hidden="1">{#N/A,#N/A,FALSE,"매출이익"}</definedName>
    <definedName name="유화처분" hidden="1">{#N/A,#N/A,FALSE,"매출이익"}</definedName>
    <definedName name="이" localSheetId="15" hidden="1">{#N/A,#N/A,FALSE,"98소지이동TOTvs99.1 (2)";#N/A,#N/A,FALSE,"TOTAL";#N/A,#N/A,FALSE,"98소지이동TOTvs99.1(b) (2)"}</definedName>
    <definedName name="이" localSheetId="6" hidden="1">{#N/A,#N/A,FALSE,"98소지이동TOTvs99.1 (2)";#N/A,#N/A,FALSE,"TOTAL";#N/A,#N/A,FALSE,"98소지이동TOTvs99.1(b) (2)"}</definedName>
    <definedName name="이" localSheetId="45" hidden="1">{#N/A,#N/A,FALSE,"98소지이동TOTvs99.1 (2)";#N/A,#N/A,FALSE,"TOTAL";#N/A,#N/A,FALSE,"98소지이동TOTvs99.1(b) (2)"}</definedName>
    <definedName name="이" localSheetId="42" hidden="1">{#N/A,#N/A,FALSE,"98소지이동TOTvs99.1 (2)";#N/A,#N/A,FALSE,"TOTAL";#N/A,#N/A,FALSE,"98소지이동TOTvs99.1(b) (2)"}</definedName>
    <definedName name="이" hidden="1">{#N/A,#N/A,FALSE,"Sheet1"}</definedName>
    <definedName name="이광흐ㅣ2" localSheetId="15" hidden="1">{#N/A,#N/A,FALSE,"98소지이동TOTvs99.1 (2)";#N/A,#N/A,FALSE,"TOTAL";#N/A,#N/A,FALSE,"98소지이동TOTvs99.1(b) (2)"}</definedName>
    <definedName name="이광흐ㅣ2" localSheetId="6" hidden="1">{#N/A,#N/A,FALSE,"98소지이동TOTvs99.1 (2)";#N/A,#N/A,FALSE,"TOTAL";#N/A,#N/A,FALSE,"98소지이동TOTvs99.1(b) (2)"}</definedName>
    <definedName name="이광흐ㅣ2" localSheetId="45" hidden="1">{#N/A,#N/A,FALSE,"98소지이동TOTvs99.1 (2)";#N/A,#N/A,FALSE,"TOTAL";#N/A,#N/A,FALSE,"98소지이동TOTvs99.1(b) (2)"}</definedName>
    <definedName name="이광흐ㅣ2" localSheetId="42" hidden="1">{#N/A,#N/A,FALSE,"98소지이동TOTvs99.1 (2)";#N/A,#N/A,FALSE,"TOTAL";#N/A,#N/A,FALSE,"98소지이동TOTvs99.1(b) (2)"}</definedName>
    <definedName name="이광흐ㅣ2" hidden="1">{#N/A,#N/A,FALSE,"98소지이동TOTvs99.1 (2)";#N/A,#N/A,FALSE,"TOTAL";#N/A,#N/A,FALSE,"98소지이동TOTvs99.1(b) (2)"}</definedName>
    <definedName name="이광희" localSheetId="15" hidden="1">{#N/A,#N/A,FALSE,"Yield";#N/A,#N/A,FALSE,"Loss1";#N/A,#N/A,FALSE,"Loss2";#N/A,#N/A,FALSE,"Hour-Labor(배분)";#N/A,#N/A,FALSE,"Capital Expenditure";#N/A,#N/A,FALSE,"Productivity"}</definedName>
    <definedName name="이광희" localSheetId="6" hidden="1">{#N/A,#N/A,FALSE,"Yield";#N/A,#N/A,FALSE,"Loss1";#N/A,#N/A,FALSE,"Loss2";#N/A,#N/A,FALSE,"Hour-Labor(배분)";#N/A,#N/A,FALSE,"Capital Expenditure";#N/A,#N/A,FALSE,"Productivity"}</definedName>
    <definedName name="이광희" localSheetId="45" hidden="1">{#N/A,#N/A,FALSE,"Yield";#N/A,#N/A,FALSE,"Loss1";#N/A,#N/A,FALSE,"Loss2";#N/A,#N/A,FALSE,"Hour-Labor(배분)";#N/A,#N/A,FALSE,"Capital Expenditure";#N/A,#N/A,FALSE,"Productivity"}</definedName>
    <definedName name="이광희" localSheetId="42" hidden="1">{#N/A,#N/A,FALSE,"Yield";#N/A,#N/A,FALSE,"Loss1";#N/A,#N/A,FALSE,"Loss2";#N/A,#N/A,FALSE,"Hour-Labor(배분)";#N/A,#N/A,FALSE,"Capital Expenditure";#N/A,#N/A,FALSE,"Productivity"}</definedName>
    <definedName name="이광희" hidden="1">{#N/A,#N/A,FALSE,"Yield";#N/A,#N/A,FALSE,"Loss1";#N/A,#N/A,FALSE,"Loss2";#N/A,#N/A,FALSE,"Hour-Labor(배분)";#N/A,#N/A,FALSE,"Capital Expenditure";#N/A,#N/A,FALSE,"Productivity"}</definedName>
    <definedName name="이근우" localSheetId="42" hidden="1">{#N/A,#N/A,FALSE,"BS";#N/A,#N/A,FALSE,"PL";#N/A,#N/A,FALSE,"처분";#N/A,#N/A,FALSE,"현금";#N/A,#N/A,FALSE,"매출";#N/A,#N/A,FALSE,"원가";#N/A,#N/A,FALSE,"경영"}</definedName>
    <definedName name="이근우" hidden="1">{#N/A,#N/A,FALSE,"BS";#N/A,#N/A,FALSE,"PL";#N/A,#N/A,FALSE,"처분";#N/A,#N/A,FALSE,"현금";#N/A,#N/A,FALSE,"매출";#N/A,#N/A,FALSE,"원가";#N/A,#N/A,FALSE,"경영"}</definedName>
    <definedName name="이름" localSheetId="42" hidden="1">{#N/A,#N/A,TRUE,"Y생산";#N/A,#N/A,TRUE,"Y판매";#N/A,#N/A,TRUE,"Y총물량";#N/A,#N/A,TRUE,"Y능력";#N/A,#N/A,TRUE,"YKD"}</definedName>
    <definedName name="이름" hidden="1">{#N/A,#N/A,TRUE,"Y생산";#N/A,#N/A,TRUE,"Y판매";#N/A,#N/A,TRUE,"Y총물량";#N/A,#N/A,TRUE,"Y능력";#N/A,#N/A,TRUE,"YKD"}</definedName>
    <definedName name="이름_1" localSheetId="15" hidden="1">{#N/A,#N/A,FALSE,"DAOCM 2차 검토"}</definedName>
    <definedName name="이름_1" localSheetId="6" hidden="1">{#N/A,#N/A,FALSE,"DAOCM 2차 검토"}</definedName>
    <definedName name="이름_1" localSheetId="45" hidden="1">{#N/A,#N/A,FALSE,"DAOCM 2차 검토"}</definedName>
    <definedName name="이름_1" localSheetId="42" hidden="1">{#N/A,#N/A,FALSE,"DAOCM 2차 검토"}</definedName>
    <definedName name="이름_1" hidden="1">{#N/A,#N/A,FALSE,"DAOCM 2차 검토"}</definedName>
    <definedName name="이름충돌" localSheetId="12" hidden="1">{#N/A,#N/A,FALSE,"UNIT";#N/A,#N/A,FALSE,"UNIT";#N/A,#N/A,FALSE,"계정"}</definedName>
    <definedName name="이름충돌" localSheetId="42" hidden="1">{#N/A,#N/A,FALSE,"UNIT";#N/A,#N/A,FALSE,"UNIT";#N/A,#N/A,FALSE,"계정"}</definedName>
    <definedName name="이름충돌" hidden="1">{#N/A,#N/A,FALSE,"UNIT";#N/A,#N/A,FALSE,"UNIT";#N/A,#N/A,FALSE,"계정"}</definedName>
    <definedName name="이름충돌\" localSheetId="42" hidden="1">{#N/A,#N/A,TRUE,"Y생산";#N/A,#N/A,TRUE,"Y판매";#N/A,#N/A,TRUE,"Y총물량";#N/A,#N/A,TRUE,"Y능력";#N/A,#N/A,TRUE,"YKD"}</definedName>
    <definedName name="이름충돌\" hidden="1">{#N/A,#N/A,TRUE,"Y생산";#N/A,#N/A,TRUE,"Y판매";#N/A,#N/A,TRUE,"Y총물량";#N/A,#N/A,TRUE,"Y능력";#N/A,#N/A,TRUE,"YKD"}</definedName>
    <definedName name="이미" localSheetId="15" hidden="1">{#N/A,#N/A,FALSE,"98소지이동TOTvs99.1 (2)";#N/A,#N/A,FALSE,"TOTAL";#N/A,#N/A,FALSE,"98소지이동TOTvs99.1(b) (2)"}</definedName>
    <definedName name="이미" localSheetId="6" hidden="1">{#N/A,#N/A,FALSE,"98소지이동TOTvs99.1 (2)";#N/A,#N/A,FALSE,"TOTAL";#N/A,#N/A,FALSE,"98소지이동TOTvs99.1(b) (2)"}</definedName>
    <definedName name="이미" localSheetId="45" hidden="1">{#N/A,#N/A,FALSE,"98소지이동TOTvs99.1 (2)";#N/A,#N/A,FALSE,"TOTAL";#N/A,#N/A,FALSE,"98소지이동TOTvs99.1(b) (2)"}</definedName>
    <definedName name="이미" localSheetId="42" hidden="1">{#N/A,#N/A,FALSE,"98소지이동TOTvs99.1 (2)";#N/A,#N/A,FALSE,"TOTAL";#N/A,#N/A,FALSE,"98소지이동TOTvs99.1(b) (2)"}</definedName>
    <definedName name="이미" hidden="1">{#N/A,#N/A,FALSE,"98소지이동TOTvs99.1 (2)";#N/A,#N/A,FALSE,"TOTAL";#N/A,#N/A,FALSE,"98소지이동TOTvs99.1(b) (2)"}</definedName>
    <definedName name="이미리" localSheetId="15" hidden="1">{#N/A,#N/A,FALSE,"98소지이동TOTvs99.1 (2)";#N/A,#N/A,FALSE,"TOTAL";#N/A,#N/A,FALSE,"98소지이동TOTvs99.1(b) (2)"}</definedName>
    <definedName name="이미리" localSheetId="6" hidden="1">{#N/A,#N/A,FALSE,"98소지이동TOTvs99.1 (2)";#N/A,#N/A,FALSE,"TOTAL";#N/A,#N/A,FALSE,"98소지이동TOTvs99.1(b) (2)"}</definedName>
    <definedName name="이미리" localSheetId="45" hidden="1">{#N/A,#N/A,FALSE,"98소지이동TOTvs99.1 (2)";#N/A,#N/A,FALSE,"TOTAL";#N/A,#N/A,FALSE,"98소지이동TOTvs99.1(b) (2)"}</definedName>
    <definedName name="이미리" localSheetId="42" hidden="1">{#N/A,#N/A,FALSE,"98소지이동TOTvs99.1 (2)";#N/A,#N/A,FALSE,"TOTAL";#N/A,#N/A,FALSE,"98소지이동TOTvs99.1(b) (2)"}</definedName>
    <definedName name="이미리" hidden="1">{#N/A,#N/A,FALSE,"98소지이동TOTvs99.1 (2)";#N/A,#N/A,FALSE,"TOTAL";#N/A,#N/A,FALSE,"98소지이동TOTvs99.1(b) (2)"}</definedName>
    <definedName name="이사회" localSheetId="15" hidden="1">{"adj95mult",#N/A,FALSE,"COMPCO";"adj95est",#N/A,FALSE,"COMPCO"}</definedName>
    <definedName name="이사회" localSheetId="6" hidden="1">{"adj95mult",#N/A,FALSE,"COMPCO";"adj95est",#N/A,FALSE,"COMPCO"}</definedName>
    <definedName name="이사회" localSheetId="45" hidden="1">{"adj95mult",#N/A,FALSE,"COMPCO";"adj95est",#N/A,FALSE,"COMPCO"}</definedName>
    <definedName name="이사회" localSheetId="42" hidden="1">{"adj95mult",#N/A,FALSE,"COMPCO";"adj95est",#N/A,FALSE,"COMPCO"}</definedName>
    <definedName name="이사회" hidden="1">{"adj95mult",#N/A,FALSE,"COMPCO";"adj95est",#N/A,FALSE,"COMPCO"}</definedName>
    <definedName name="이성일" localSheetId="12" hidden="1">{"'5국공정'!$A$1:$E$128"}</definedName>
    <definedName name="이성일" localSheetId="42" hidden="1">{"'5국공정'!$A$1:$E$128"}</definedName>
    <definedName name="이성일" hidden="1">{"'5국공정'!$A$1:$E$128"}</definedName>
    <definedName name="이슈" localSheetId="42" hidden="1">{#N/A,#N/A,FALSE,"지침";#N/A,#N/A,FALSE,"환경분석";#N/A,#N/A,FALSE,"Sheet16"}</definedName>
    <definedName name="이슈" hidden="1">{#N/A,#N/A,FALSE,"지침";#N/A,#N/A,FALSE,"환경분석";#N/A,#N/A,FALSE,"Sheet16"}</definedName>
    <definedName name="이여도" localSheetId="15" hidden="1">{#N/A,#N/A,FALSE,"98소지이동TOTvs99.1 (2)";#N/A,#N/A,FALSE,"TOTAL";#N/A,#N/A,FALSE,"98소지이동TOTvs99.1(b) (2)"}</definedName>
    <definedName name="이여도" localSheetId="6" hidden="1">{#N/A,#N/A,FALSE,"98소지이동TOTvs99.1 (2)";#N/A,#N/A,FALSE,"TOTAL";#N/A,#N/A,FALSE,"98소지이동TOTvs99.1(b) (2)"}</definedName>
    <definedName name="이여도" localSheetId="45" hidden="1">{#N/A,#N/A,FALSE,"98소지이동TOTvs99.1 (2)";#N/A,#N/A,FALSE,"TOTAL";#N/A,#N/A,FALSE,"98소지이동TOTvs99.1(b) (2)"}</definedName>
    <definedName name="이여도" localSheetId="42" hidden="1">{#N/A,#N/A,FALSE,"98소지이동TOTvs99.1 (2)";#N/A,#N/A,FALSE,"TOTAL";#N/A,#N/A,FALSE,"98소지이동TOTvs99.1(b) (2)"}</definedName>
    <definedName name="이여도" hidden="1">{#N/A,#N/A,FALSE,"98소지이동TOTvs99.1 (2)";#N/A,#N/A,FALSE,"TOTAL";#N/A,#N/A,FALSE,"98소지이동TOTvs99.1(b) (2)"}</definedName>
    <definedName name="이연" localSheetId="15" hidden="1">{"FORM17",#N/A,FALSE,"Commission1";"FORM17.1",#N/A,FALSE,"Commission2"}</definedName>
    <definedName name="이연" localSheetId="6" hidden="1">{"FORM17",#N/A,FALSE,"Commission1";"FORM17.1",#N/A,FALSE,"Commission2"}</definedName>
    <definedName name="이연" localSheetId="45" hidden="1">{"FORM17",#N/A,FALSE,"Commission1";"FORM17.1",#N/A,FALSE,"Commission2"}</definedName>
    <definedName name="이연" localSheetId="42" hidden="1">{"FORM17",#N/A,FALSE,"Commission1";"FORM17.1",#N/A,FALSE,"Commission2"}</definedName>
    <definedName name="이연" hidden="1">{#N/A,#N/A,FALSE,"BS";#N/A,#N/A,FALSE,"PL";#N/A,#N/A,FALSE,"처분";#N/A,#N/A,FALSE,"현금";#N/A,#N/A,FALSE,"매출";#N/A,#N/A,FALSE,"원가";#N/A,#N/A,FALSE,"경영"}</definedName>
    <definedName name="이영봉" localSheetId="42" hidden="1">{#N/A,#N/A,FALSE,"BS";#N/A,#N/A,FALSE,"PL";#N/A,#N/A,FALSE,"처분";#N/A,#N/A,FALSE,"현금";#N/A,#N/A,FALSE,"매출";#N/A,#N/A,FALSE,"원가";#N/A,#N/A,FALSE,"경영"}</definedName>
    <definedName name="이영봉" hidden="1">{#N/A,#N/A,FALSE,"BS";#N/A,#N/A,FALSE,"PL";#N/A,#N/A,FALSE,"처분";#N/A,#N/A,FALSE,"현금";#N/A,#N/A,FALSE,"매출";#N/A,#N/A,FALSE,"원가";#N/A,#N/A,FALSE,"경영"}</definedName>
    <definedName name="이익잉여금처분계산서" localSheetId="12" hidden="1">{#N/A,#N/A,FALSE,"현장 NCR 분석";#N/A,#N/A,FALSE,"현장품질감사";#N/A,#N/A,FALSE,"현장품질감사"}</definedName>
    <definedName name="이익잉여금처분계산서" localSheetId="42" hidden="1">{#N/A,#N/A,FALSE,"현장 NCR 분석";#N/A,#N/A,FALSE,"현장품질감사";#N/A,#N/A,FALSE,"현장품질감사"}</definedName>
    <definedName name="이익잉여금처분계산서" hidden="1">{#N/A,#N/A,FALSE,"현장 NCR 분석";#N/A,#N/A,FALSE,"현장품질감사";#N/A,#N/A,FALSE,"현장품질감사"}</definedName>
    <definedName name="이자비용OVREALL" localSheetId="42" hidden="1">{#N/A,#N/A,FALSE,"BS";#N/A,#N/A,FALSE,"PL";#N/A,#N/A,FALSE,"처분";#N/A,#N/A,FALSE,"현금";#N/A,#N/A,FALSE,"매출";#N/A,#N/A,FALSE,"원가";#N/A,#N/A,FALSE,"경영"}</definedName>
    <definedName name="이자비용OVREALL" hidden="1">{#N/A,#N/A,FALSE,"BS";#N/A,#N/A,FALSE,"PL";#N/A,#N/A,FALSE,"처분";#N/A,#N/A,FALSE,"현금";#N/A,#N/A,FALSE,"매출";#N/A,#N/A,FALSE,"원가";#N/A,#N/A,FALSE,"경영"}</definedName>
    <definedName name="이자수익" localSheetId="1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이자수익" localSheetId="4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이자수익"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이중" localSheetId="42" hidden="1">{"'2 혼례가구(1)'!$C$10"}</definedName>
    <definedName name="이중" hidden="1">{"'2 혼례가구(1)'!$C$10"}</definedName>
    <definedName name="이통" localSheetId="12" hidden="1">{#N/A,#N/A,FALSE,"DAOCM 2차 검토"}</definedName>
    <definedName name="이통" localSheetId="42" hidden="1">{#N/A,#N/A,FALSE,"DAOCM 2차 검토"}</definedName>
    <definedName name="이통" hidden="1">{#N/A,#N/A,FALSE,"DAOCM 2차 검토"}</definedName>
    <definedName name="이ㅏㅓ" localSheetId="42" hidden="1">{#N/A,#N/A,FALSE,"1.CRITERIA";#N/A,#N/A,FALSE,"2.IS";#N/A,#N/A,FALSE,"3.BS";#N/A,#N/A,FALSE,"4.PER PL";#N/A,#N/A,FALSE,"5.INVESTMENT";#N/A,#N/A,FALSE,"6.공문";#N/A,#N/A,FALSE,"7.netinvest"}</definedName>
    <definedName name="이ㅏㅓ" hidden="1">{#N/A,#N/A,FALSE,"1.CRITERIA";#N/A,#N/A,FALSE,"2.IS";#N/A,#N/A,FALSE,"3.BS";#N/A,#N/A,FALSE,"4.PER PL";#N/A,#N/A,FALSE,"5.INVESTMENT";#N/A,#N/A,FALSE,"6.공문";#N/A,#N/A,FALSE,"7.netinvest"}</definedName>
    <definedName name="인" localSheetId="12" hidden="1">{#N/A,#N/A,FALSE,"Sheet1"}</definedName>
    <definedName name="인" localSheetId="42" hidden="1">{#N/A,#N/A,FALSE,"Sheet1"}</definedName>
    <definedName name="인" hidden="1">{#N/A,#N/A,FALSE,"Sheet1"}</definedName>
    <definedName name="인건비" localSheetId="15" hidden="1">{#N/A,#N/A,FALSE,"손익표지";#N/A,#N/A,FALSE,"손익계산";#N/A,#N/A,FALSE,"일반관리비";#N/A,#N/A,FALSE,"영업외수익";#N/A,#N/A,FALSE,"영업외비용";#N/A,#N/A,FALSE,"매출액";#N/A,#N/A,FALSE,"요약손익";#N/A,#N/A,FALSE,"요약대차";#N/A,#N/A,FALSE,"매출채권현황";#N/A,#N/A,FALSE,"매출채권명세"}</definedName>
    <definedName name="인건비" localSheetId="6" hidden="1">{#N/A,#N/A,FALSE,"손익표지";#N/A,#N/A,FALSE,"손익계산";#N/A,#N/A,FALSE,"일반관리비";#N/A,#N/A,FALSE,"영업외수익";#N/A,#N/A,FALSE,"영업외비용";#N/A,#N/A,FALSE,"매출액";#N/A,#N/A,FALSE,"요약손익";#N/A,#N/A,FALSE,"요약대차";#N/A,#N/A,FALSE,"매출채권현황";#N/A,#N/A,FALSE,"매출채권명세"}</definedName>
    <definedName name="인건비" localSheetId="45" hidden="1">{#N/A,#N/A,FALSE,"손익표지";#N/A,#N/A,FALSE,"손익계산";#N/A,#N/A,FALSE,"일반관리비";#N/A,#N/A,FALSE,"영업외수익";#N/A,#N/A,FALSE,"영업외비용";#N/A,#N/A,FALSE,"매출액";#N/A,#N/A,FALSE,"요약손익";#N/A,#N/A,FALSE,"요약대차";#N/A,#N/A,FALSE,"매출채권현황";#N/A,#N/A,FALSE,"매출채권명세"}</definedName>
    <definedName name="인건비" localSheetId="42" hidden="1">{#N/A,#N/A,FALSE,"손익표지";#N/A,#N/A,FALSE,"손익계산";#N/A,#N/A,FALSE,"일반관리비";#N/A,#N/A,FALSE,"영업외수익";#N/A,#N/A,FALSE,"영업외비용";#N/A,#N/A,FALSE,"매출액";#N/A,#N/A,FALSE,"요약손익";#N/A,#N/A,FALSE,"요약대차";#N/A,#N/A,FALSE,"매출채권현황";#N/A,#N/A,FALSE,"매출채권명세"}</definedName>
    <definedName name="인건비" hidden="1">{#N/A,#N/A,FALSE,"손익표지";#N/A,#N/A,FALSE,"손익계산";#N/A,#N/A,FALSE,"일반관리비";#N/A,#N/A,FALSE,"영업외수익";#N/A,#N/A,FALSE,"영업외비용";#N/A,#N/A,FALSE,"매출액";#N/A,#N/A,FALSE,"요약손익";#N/A,#N/A,FALSE,"요약대차";#N/A,#N/A,FALSE,"매출채권현황";#N/A,#N/A,FALSE,"매출채권명세"}</definedName>
    <definedName name="인력2" localSheetId="15" hidden="1">{#N/A,#N/A,FALSE,"계약직(여)"}</definedName>
    <definedName name="인력2" localSheetId="6" hidden="1">{#N/A,#N/A,FALSE,"계약직(여)"}</definedName>
    <definedName name="인력2" localSheetId="45" hidden="1">{#N/A,#N/A,FALSE,"계약직(여)"}</definedName>
    <definedName name="인력2" localSheetId="42" hidden="1">{#N/A,#N/A,FALSE,"계약직(여)"}</definedName>
    <definedName name="인력2" hidden="1">{#N/A,#N/A,FALSE,"계약직(여)"}</definedName>
    <definedName name="인쇄" localSheetId="12" hidden="1">{#N/A,#N/A,FALSE,"지침";#N/A,#N/A,FALSE,"환경분석";#N/A,#N/A,FALSE,"Sheet16"}</definedName>
    <definedName name="인쇄" localSheetId="42" hidden="1">{#N/A,#N/A,FALSE,"지침";#N/A,#N/A,FALSE,"환경분석";#N/A,#N/A,FALSE,"Sheet16"}</definedName>
    <definedName name="인쇄" hidden="1">{#N/A,#N/A,FALSE,"지침";#N/A,#N/A,FALSE,"환경분석";#N/A,#N/A,FALSE,"Sheet16"}</definedName>
    <definedName name="인쇄BU" localSheetId="12" hidden="1">{#N/A,#N/A,FALSE,"지침";#N/A,#N/A,FALSE,"환경분석";#N/A,#N/A,FALSE,"Sheet16"}</definedName>
    <definedName name="인쇄BU" localSheetId="42" hidden="1">{#N/A,#N/A,FALSE,"지침";#N/A,#N/A,FALSE,"환경분석";#N/A,#N/A,FALSE,"Sheet16"}</definedName>
    <definedName name="인쇄BU" hidden="1">{#N/A,#N/A,FALSE,"지침";#N/A,#N/A,FALSE,"환경분석";#N/A,#N/A,FALSE,"Sheet16"}</definedName>
    <definedName name="인원1" localSheetId="15" hidden="1">{#N/A,#N/A,FALSE,"98소지이동TOTvs99.1 (2)";#N/A,#N/A,FALSE,"TOTAL";#N/A,#N/A,FALSE,"98소지이동TOTvs99.1(b) (2)"}</definedName>
    <definedName name="인원1" localSheetId="6" hidden="1">{#N/A,#N/A,FALSE,"98소지이동TOTvs99.1 (2)";#N/A,#N/A,FALSE,"TOTAL";#N/A,#N/A,FALSE,"98소지이동TOTvs99.1(b) (2)"}</definedName>
    <definedName name="인원1" localSheetId="45" hidden="1">{#N/A,#N/A,FALSE,"98소지이동TOTvs99.1 (2)";#N/A,#N/A,FALSE,"TOTAL";#N/A,#N/A,FALSE,"98소지이동TOTvs99.1(b) (2)"}</definedName>
    <definedName name="인원1" localSheetId="42" hidden="1">{#N/A,#N/A,FALSE,"98소지이동TOTvs99.1 (2)";#N/A,#N/A,FALSE,"TOTAL";#N/A,#N/A,FALSE,"98소지이동TOTvs99.1(b) (2)"}</definedName>
    <definedName name="인원1" hidden="1">{#N/A,#N/A,FALSE,"98소지이동TOTvs99.1 (2)";#N/A,#N/A,FALSE,"TOTAL";#N/A,#N/A,FALSE,"98소지이동TOTvs99.1(b) (2)"}</definedName>
    <definedName name="인원2" localSheetId="15"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인원2" localSheetId="6"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인원2" localSheetId="45"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인원2" localSheetId="42"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인원2"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인원2002년1월" localSheetId="15"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인원2002년1월" localSheetId="6"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인원2002년1월" localSheetId="45"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인원2002년1월" localSheetId="42"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인원2002년1월"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인원세부" localSheetId="42" hidden="1">{#N/A,#N/A,TRUE,"Y생산";#N/A,#N/A,TRUE,"Y판매";#N/A,#N/A,TRUE,"Y총물량";#N/A,#N/A,TRUE,"Y능력";#N/A,#N/A,TRUE,"YKD"}</definedName>
    <definedName name="인원세부" hidden="1">{#N/A,#N/A,TRUE,"Y생산";#N/A,#N/A,TRUE,"Y판매";#N/A,#N/A,TRUE,"Y총물량";#N/A,#N/A,TRUE,"Y능력";#N/A,#N/A,TRUE,"YKD"}</definedName>
    <definedName name="인원충원사유" localSheetId="15" hidden="1">{#N/A,#N/A,FALSE,"계약직(여)"}</definedName>
    <definedName name="인원충원사유" localSheetId="6" hidden="1">{#N/A,#N/A,FALSE,"계약직(여)"}</definedName>
    <definedName name="인원충원사유" localSheetId="45" hidden="1">{#N/A,#N/A,FALSE,"계약직(여)"}</definedName>
    <definedName name="인원충원사유" localSheetId="42" hidden="1">{#N/A,#N/A,FALSE,"계약직(여)"}</definedName>
    <definedName name="인원충원사유" hidden="1">{#N/A,#N/A,FALSE,"계약직(여)"}</definedName>
    <definedName name="인원현황2" localSheetId="15" hidden="1">{#N/A,#N/A,FALSE,"손익표지";#N/A,#N/A,FALSE,"손익계산";#N/A,#N/A,FALSE,"일반관리비";#N/A,#N/A,FALSE,"영업외수익";#N/A,#N/A,FALSE,"영업외비용";#N/A,#N/A,FALSE,"매출액";#N/A,#N/A,FALSE,"요약손익";#N/A,#N/A,FALSE,"요약대차";#N/A,#N/A,FALSE,"매출채권현황";#N/A,#N/A,FALSE,"매출채권명세"}</definedName>
    <definedName name="인원현황2" localSheetId="6" hidden="1">{#N/A,#N/A,FALSE,"손익표지";#N/A,#N/A,FALSE,"손익계산";#N/A,#N/A,FALSE,"일반관리비";#N/A,#N/A,FALSE,"영업외수익";#N/A,#N/A,FALSE,"영업외비용";#N/A,#N/A,FALSE,"매출액";#N/A,#N/A,FALSE,"요약손익";#N/A,#N/A,FALSE,"요약대차";#N/A,#N/A,FALSE,"매출채권현황";#N/A,#N/A,FALSE,"매출채권명세"}</definedName>
    <definedName name="인원현황2" localSheetId="45" hidden="1">{#N/A,#N/A,FALSE,"손익표지";#N/A,#N/A,FALSE,"손익계산";#N/A,#N/A,FALSE,"일반관리비";#N/A,#N/A,FALSE,"영업외수익";#N/A,#N/A,FALSE,"영업외비용";#N/A,#N/A,FALSE,"매출액";#N/A,#N/A,FALSE,"요약손익";#N/A,#N/A,FALSE,"요약대차";#N/A,#N/A,FALSE,"매출채권현황";#N/A,#N/A,FALSE,"매출채권명세"}</definedName>
    <definedName name="인원현황2" localSheetId="42" hidden="1">{#N/A,#N/A,FALSE,"손익표지";#N/A,#N/A,FALSE,"손익계산";#N/A,#N/A,FALSE,"일반관리비";#N/A,#N/A,FALSE,"영업외수익";#N/A,#N/A,FALSE,"영업외비용";#N/A,#N/A,FALSE,"매출액";#N/A,#N/A,FALSE,"요약손익";#N/A,#N/A,FALSE,"요약대차";#N/A,#N/A,FALSE,"매출채권현황";#N/A,#N/A,FALSE,"매출채권명세"}</definedName>
    <definedName name="인원현황2" hidden="1">{#N/A,#N/A,FALSE,"손익표지";#N/A,#N/A,FALSE,"손익계산";#N/A,#N/A,FALSE,"일반관리비";#N/A,#N/A,FALSE,"영업외수익";#N/A,#N/A,FALSE,"영업외비용";#N/A,#N/A,FALSE,"매출액";#N/A,#N/A,FALSE,"요약손익";#N/A,#N/A,FALSE,"요약대차";#N/A,#N/A,FALSE,"매출채권현황";#N/A,#N/A,FALSE,"매출채권명세"}</definedName>
    <definedName name="인원현황3" localSheetId="15" hidden="1">{#N/A,#N/A,FALSE,"손익표지";#N/A,#N/A,FALSE,"손익계산";#N/A,#N/A,FALSE,"일반관리비";#N/A,#N/A,FALSE,"영업외수익";#N/A,#N/A,FALSE,"영업외비용";#N/A,#N/A,FALSE,"매출액";#N/A,#N/A,FALSE,"요약손익";#N/A,#N/A,FALSE,"요약대차";#N/A,#N/A,FALSE,"매출채권현황";#N/A,#N/A,FALSE,"매출채권명세"}</definedName>
    <definedName name="인원현황3" localSheetId="6" hidden="1">{#N/A,#N/A,FALSE,"손익표지";#N/A,#N/A,FALSE,"손익계산";#N/A,#N/A,FALSE,"일반관리비";#N/A,#N/A,FALSE,"영업외수익";#N/A,#N/A,FALSE,"영업외비용";#N/A,#N/A,FALSE,"매출액";#N/A,#N/A,FALSE,"요약손익";#N/A,#N/A,FALSE,"요약대차";#N/A,#N/A,FALSE,"매출채권현황";#N/A,#N/A,FALSE,"매출채권명세"}</definedName>
    <definedName name="인원현황3" localSheetId="45" hidden="1">{#N/A,#N/A,FALSE,"손익표지";#N/A,#N/A,FALSE,"손익계산";#N/A,#N/A,FALSE,"일반관리비";#N/A,#N/A,FALSE,"영업외수익";#N/A,#N/A,FALSE,"영업외비용";#N/A,#N/A,FALSE,"매출액";#N/A,#N/A,FALSE,"요약손익";#N/A,#N/A,FALSE,"요약대차";#N/A,#N/A,FALSE,"매출채권현황";#N/A,#N/A,FALSE,"매출채권명세"}</definedName>
    <definedName name="인원현황3" localSheetId="42" hidden="1">{#N/A,#N/A,FALSE,"손익표지";#N/A,#N/A,FALSE,"손익계산";#N/A,#N/A,FALSE,"일반관리비";#N/A,#N/A,FALSE,"영업외수익";#N/A,#N/A,FALSE,"영업외비용";#N/A,#N/A,FALSE,"매출액";#N/A,#N/A,FALSE,"요약손익";#N/A,#N/A,FALSE,"요약대차";#N/A,#N/A,FALSE,"매출채권현황";#N/A,#N/A,FALSE,"매출채권명세"}</definedName>
    <definedName name="인원현황3" hidden="1">{#N/A,#N/A,FALSE,"손익표지";#N/A,#N/A,FALSE,"손익계산";#N/A,#N/A,FALSE,"일반관리비";#N/A,#N/A,FALSE,"영업외수익";#N/A,#N/A,FALSE,"영업외비용";#N/A,#N/A,FALSE,"매출액";#N/A,#N/A,FALSE,"요약손익";#N/A,#N/A,FALSE,"요약대차";#N/A,#N/A,FALSE,"매출채권현황";#N/A,#N/A,FALSE,"매출채권명세"}</definedName>
    <definedName name="일동" localSheetId="42" hidden="1">{#N/A,#N/A,TRUE,"Y생산";#N/A,#N/A,TRUE,"Y판매";#N/A,#N/A,TRUE,"Y총물량";#N/A,#N/A,TRUE,"Y능력";#N/A,#N/A,TRUE,"YKD"}</definedName>
    <definedName name="일동" hidden="1">{#N/A,#N/A,TRUE,"Y생산";#N/A,#N/A,TRUE,"Y판매";#N/A,#N/A,TRUE,"Y총물량";#N/A,#N/A,TRUE,"Y능력";#N/A,#N/A,TRUE,"YKD"}</definedName>
    <definedName name="일반관리비" localSheetId="12" hidden="1">{#N/A,#N/A,FALSE,"Sheet1"}</definedName>
    <definedName name="일반관리비" localSheetId="42" hidden="1">{#N/A,#N/A,FALSE,"Sheet1"}</definedName>
    <definedName name="일반관리비" hidden="1">{#N/A,#N/A,FALSE,"Sheet1"}</definedName>
    <definedName name="일산" localSheetId="15" hidden="1">{#N/A,#N/A,FALSE,"손익표지";#N/A,#N/A,FALSE,"손익계산";#N/A,#N/A,FALSE,"일반관리비";#N/A,#N/A,FALSE,"영업외수익";#N/A,#N/A,FALSE,"영업외비용";#N/A,#N/A,FALSE,"매출액";#N/A,#N/A,FALSE,"요약손익";#N/A,#N/A,FALSE,"요약대차";#N/A,#N/A,FALSE,"매출채권현황";#N/A,#N/A,FALSE,"매출채권명세"}</definedName>
    <definedName name="일산" localSheetId="6" hidden="1">{#N/A,#N/A,FALSE,"손익표지";#N/A,#N/A,FALSE,"손익계산";#N/A,#N/A,FALSE,"일반관리비";#N/A,#N/A,FALSE,"영업외수익";#N/A,#N/A,FALSE,"영업외비용";#N/A,#N/A,FALSE,"매출액";#N/A,#N/A,FALSE,"요약손익";#N/A,#N/A,FALSE,"요약대차";#N/A,#N/A,FALSE,"매출채권현황";#N/A,#N/A,FALSE,"매출채권명세"}</definedName>
    <definedName name="일산" localSheetId="45" hidden="1">{#N/A,#N/A,FALSE,"손익표지";#N/A,#N/A,FALSE,"손익계산";#N/A,#N/A,FALSE,"일반관리비";#N/A,#N/A,FALSE,"영업외수익";#N/A,#N/A,FALSE,"영업외비용";#N/A,#N/A,FALSE,"매출액";#N/A,#N/A,FALSE,"요약손익";#N/A,#N/A,FALSE,"요약대차";#N/A,#N/A,FALSE,"매출채권현황";#N/A,#N/A,FALSE,"매출채권명세"}</definedName>
    <definedName name="일산" localSheetId="42" hidden="1">{#N/A,#N/A,FALSE,"손익표지";#N/A,#N/A,FALSE,"손익계산";#N/A,#N/A,FALSE,"일반관리비";#N/A,#N/A,FALSE,"영업외수익";#N/A,#N/A,FALSE,"영업외비용";#N/A,#N/A,FALSE,"매출액";#N/A,#N/A,FALSE,"요약손익";#N/A,#N/A,FALSE,"요약대차";#N/A,#N/A,FALSE,"매출채권현황";#N/A,#N/A,FALSE,"매출채권명세"}</definedName>
    <definedName name="일산" hidden="1">{#N/A,#N/A,FALSE,"손익표지";#N/A,#N/A,FALSE,"손익계산";#N/A,#N/A,FALSE,"일반관리비";#N/A,#N/A,FALSE,"영업외수익";#N/A,#N/A,FALSE,"영업외비용";#N/A,#N/A,FALSE,"매출액";#N/A,#N/A,FALSE,"요약손익";#N/A,#N/A,FALSE,"요약대차";#N/A,#N/A,FALSE,"매출채권현황";#N/A,#N/A,FALSE,"매출채권명세"}</definedName>
    <definedName name="일위" localSheetId="30" hidden="1">#REF!</definedName>
    <definedName name="일위" localSheetId="29" hidden="1">#REF!</definedName>
    <definedName name="일위" localSheetId="33" hidden="1">#REF!</definedName>
    <definedName name="일위" localSheetId="31" hidden="1">#REF!</definedName>
    <definedName name="일위" localSheetId="32" hidden="1">#REF!</definedName>
    <definedName name="일위" hidden="1">#REF!</definedName>
    <definedName name="일자별" localSheetId="15" hidden="1">{#N/A,#N/A,FALSE,"손익표지";#N/A,#N/A,FALSE,"손익계산";#N/A,#N/A,FALSE,"일반관리비";#N/A,#N/A,FALSE,"영업외수익";#N/A,#N/A,FALSE,"영업외비용";#N/A,#N/A,FALSE,"매출액";#N/A,#N/A,FALSE,"요약손익";#N/A,#N/A,FALSE,"요약대차";#N/A,#N/A,FALSE,"매출채권현황";#N/A,#N/A,FALSE,"매출채권명세"}</definedName>
    <definedName name="일자별" localSheetId="6" hidden="1">{#N/A,#N/A,FALSE,"손익표지";#N/A,#N/A,FALSE,"손익계산";#N/A,#N/A,FALSE,"일반관리비";#N/A,#N/A,FALSE,"영업외수익";#N/A,#N/A,FALSE,"영업외비용";#N/A,#N/A,FALSE,"매출액";#N/A,#N/A,FALSE,"요약손익";#N/A,#N/A,FALSE,"요약대차";#N/A,#N/A,FALSE,"매출채권현황";#N/A,#N/A,FALSE,"매출채권명세"}</definedName>
    <definedName name="일자별" localSheetId="45" hidden="1">{#N/A,#N/A,FALSE,"손익표지";#N/A,#N/A,FALSE,"손익계산";#N/A,#N/A,FALSE,"일반관리비";#N/A,#N/A,FALSE,"영업외수익";#N/A,#N/A,FALSE,"영업외비용";#N/A,#N/A,FALSE,"매출액";#N/A,#N/A,FALSE,"요약손익";#N/A,#N/A,FALSE,"요약대차";#N/A,#N/A,FALSE,"매출채권현황";#N/A,#N/A,FALSE,"매출채권명세"}</definedName>
    <definedName name="일자별" localSheetId="42" hidden="1">{#N/A,#N/A,FALSE,"손익표지";#N/A,#N/A,FALSE,"손익계산";#N/A,#N/A,FALSE,"일반관리비";#N/A,#N/A,FALSE,"영업외수익";#N/A,#N/A,FALSE,"영업외비용";#N/A,#N/A,FALSE,"매출액";#N/A,#N/A,FALSE,"요약손익";#N/A,#N/A,FALSE,"요약대차";#N/A,#N/A,FALSE,"매출채권현황";#N/A,#N/A,FALSE,"매출채권명세"}</definedName>
    <definedName name="일자별" hidden="1">{#N/A,#N/A,FALSE,"손익표지";#N/A,#N/A,FALSE,"손익계산";#N/A,#N/A,FALSE,"일반관리비";#N/A,#N/A,FALSE,"영업외수익";#N/A,#N/A,FALSE,"영업외비용";#N/A,#N/A,FALSE,"매출액";#N/A,#N/A,FALSE,"요약손익";#N/A,#N/A,FALSE,"요약대차";#N/A,#N/A,FALSE,"매출채권현황";#N/A,#N/A,FALSE,"매출채권명세"}</definedName>
    <definedName name="일정" localSheetId="42" hidden="1">{#N/A,#N/A,TRUE,"Y생산";#N/A,#N/A,TRUE,"Y판매";#N/A,#N/A,TRUE,"Y총물량";#N/A,#N/A,TRUE,"Y능력";#N/A,#N/A,TRUE,"YKD"}</definedName>
    <definedName name="일정" hidden="1">{#N/A,#N/A,TRUE,"Y생산";#N/A,#N/A,TRUE,"Y판매";#N/A,#N/A,TRUE,"Y총물량";#N/A,#N/A,TRUE,"Y능력";#N/A,#N/A,TRUE,"YKD"}</definedName>
    <definedName name="임대미수" localSheetId="30" hidden="1">#REF!</definedName>
    <definedName name="임대미수" localSheetId="29" hidden="1">#REF!</definedName>
    <definedName name="임대미수" localSheetId="33" hidden="1">#REF!</definedName>
    <definedName name="임대미수" localSheetId="31" hidden="1">#REF!</definedName>
    <definedName name="임대미수" localSheetId="32" hidden="1">#REF!</definedName>
    <definedName name="임대미수" hidden="1">#REF!</definedName>
    <definedName name="임동원" localSheetId="15" hidden="1">{#N/A,#N/A,FALSE,"정공"}</definedName>
    <definedName name="임동원" localSheetId="6" hidden="1">{#N/A,#N/A,FALSE,"정공"}</definedName>
    <definedName name="임동원" localSheetId="45" hidden="1">{#N/A,#N/A,FALSE,"정공"}</definedName>
    <definedName name="임동원" localSheetId="42" hidden="1">{#N/A,#N/A,FALSE,"정공"}</definedName>
    <definedName name="임동원" hidden="1">{#N/A,#N/A,FALSE,"정공"}</definedName>
    <definedName name="임차" localSheetId="15" hidden="1">{"'분양원가'!$B$1:$F$113"}</definedName>
    <definedName name="임차" localSheetId="6" hidden="1">{"'분양원가'!$B$1:$F$113"}</definedName>
    <definedName name="임차" localSheetId="45" hidden="1">{"'분양원가'!$B$1:$F$113"}</definedName>
    <definedName name="임차" localSheetId="42" hidden="1">{"'분양원가'!$B$1:$F$113"}</definedName>
    <definedName name="임차" hidden="1">{"'분양원가'!$B$1:$F$113"}</definedName>
    <definedName name="임차2" localSheetId="15" hidden="1">{"'분양원가'!$B$1:$F$113"}</definedName>
    <definedName name="임차2" localSheetId="6" hidden="1">{"'분양원가'!$B$1:$F$113"}</definedName>
    <definedName name="임차2" localSheetId="45" hidden="1">{"'분양원가'!$B$1:$F$113"}</definedName>
    <definedName name="임차2" localSheetId="42" hidden="1">{"'분양원가'!$B$1:$F$113"}</definedName>
    <definedName name="임차2" hidden="1">{"'분양원가'!$B$1:$F$113"}</definedName>
    <definedName name="임차총현황" localSheetId="42" hidden="1">{"'경비내역'!$E$11"}</definedName>
    <definedName name="임차총현황" hidden="1">{"'경비내역'!$E$11"}</definedName>
    <definedName name="입력현황1" localSheetId="15" hidden="1">{#N/A,#N/A,FALSE,"DAOCM 2차 검토"}</definedName>
    <definedName name="입력현황1" localSheetId="6" hidden="1">{#N/A,#N/A,FALSE,"DAOCM 2차 검토"}</definedName>
    <definedName name="입력현황1" localSheetId="45" hidden="1">{#N/A,#N/A,FALSE,"DAOCM 2차 검토"}</definedName>
    <definedName name="입력현황1" localSheetId="42" hidden="1">{#N/A,#N/A,FALSE,"DAOCM 2차 검토"}</definedName>
    <definedName name="입력현황1" hidden="1">{#N/A,#N/A,FALSE,"DAOCM 2차 검토"}</definedName>
    <definedName name="잉" localSheetId="4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잉"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ㅈ" localSheetId="12" hidden="1">{#N/A,#N/A,FALSE,"Aging Summary";#N/A,#N/A,FALSE,"Ratio Analysis";#N/A,#N/A,FALSE,"Test 120 Day Accts";#N/A,#N/A,FALSE,"Tickmarks"}</definedName>
    <definedName name="ㅈ" localSheetId="42" hidden="1">{#N/A,#N/A,FALSE,"BS";#N/A,#N/A,FALSE,"PL";#N/A,#N/A,FALSE,"처분";#N/A,#N/A,FALSE,"현금";#N/A,#N/A,FALSE,"매출";#N/A,#N/A,FALSE,"원가";#N/A,#N/A,FALSE,"경영"}</definedName>
    <definedName name="ㅈ" hidden="1">{#N/A,#N/A,FALSE,"BS";#N/A,#N/A,FALSE,"PL";#N/A,#N/A,FALSE,"처분";#N/A,#N/A,FALSE,"현금";#N/A,#N/A,FALSE,"매출";#N/A,#N/A,FALSE,"원가";#N/A,#N/A,FALSE,"경영"}</definedName>
    <definedName name="ㅈㄱ3" localSheetId="15" hidden="1">{#N/A,#N/A,FALSE,"손익표지";#N/A,#N/A,FALSE,"손익계산";#N/A,#N/A,FALSE,"일반관리비";#N/A,#N/A,FALSE,"영업외수익";#N/A,#N/A,FALSE,"영업외비용";#N/A,#N/A,FALSE,"매출액";#N/A,#N/A,FALSE,"요약손익";#N/A,#N/A,FALSE,"요약대차";#N/A,#N/A,FALSE,"매출채권현황";#N/A,#N/A,FALSE,"매출채권명세"}</definedName>
    <definedName name="ㅈㄱ3"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ㅈㄱ3" localSheetId="45" hidden="1">{#N/A,#N/A,FALSE,"손익표지";#N/A,#N/A,FALSE,"손익계산";#N/A,#N/A,FALSE,"일반관리비";#N/A,#N/A,FALSE,"영업외수익";#N/A,#N/A,FALSE,"영업외비용";#N/A,#N/A,FALSE,"매출액";#N/A,#N/A,FALSE,"요약손익";#N/A,#N/A,FALSE,"요약대차";#N/A,#N/A,FALSE,"매출채권현황";#N/A,#N/A,FALSE,"매출채권명세"}</definedName>
    <definedName name="ㅈㄱ3" localSheetId="42" hidden="1">{#N/A,#N/A,FALSE,"손익표지";#N/A,#N/A,FALSE,"손익계산";#N/A,#N/A,FALSE,"일반관리비";#N/A,#N/A,FALSE,"영업외수익";#N/A,#N/A,FALSE,"영업외비용";#N/A,#N/A,FALSE,"매출액";#N/A,#N/A,FALSE,"요약손익";#N/A,#N/A,FALSE,"요약대차";#N/A,#N/A,FALSE,"매출채권현황";#N/A,#N/A,FALSE,"매출채권명세"}</definedName>
    <definedName name="ㅈㄱ3" hidden="1">{#N/A,#N/A,FALSE,"손익표지";#N/A,#N/A,FALSE,"손익계산";#N/A,#N/A,FALSE,"일반관리비";#N/A,#N/A,FALSE,"영업외수익";#N/A,#N/A,FALSE,"영업외비용";#N/A,#N/A,FALSE,"매출액";#N/A,#N/A,FALSE,"요약손익";#N/A,#N/A,FALSE,"요약대차";#N/A,#N/A,FALSE,"매출채권현황";#N/A,#N/A,FALSE,"매출채권명세"}</definedName>
    <definedName name="ㅈㄷ" localSheetId="15" hidden="1">{#N/A,#N/A,FALSE,"손익표지";#N/A,#N/A,FALSE,"손익계산";#N/A,#N/A,FALSE,"일반관리비";#N/A,#N/A,FALSE,"영업외수익";#N/A,#N/A,FALSE,"영업외비용";#N/A,#N/A,FALSE,"매출액";#N/A,#N/A,FALSE,"요약손익";#N/A,#N/A,FALSE,"요약대차";#N/A,#N/A,FALSE,"매출채권현황";#N/A,#N/A,FALSE,"매출채권명세"}</definedName>
    <definedName name="ㅈㄷ"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ㅈㄷ" localSheetId="45" hidden="1">{#N/A,#N/A,FALSE,"손익표지";#N/A,#N/A,FALSE,"손익계산";#N/A,#N/A,FALSE,"일반관리비";#N/A,#N/A,FALSE,"영업외수익";#N/A,#N/A,FALSE,"영업외비용";#N/A,#N/A,FALSE,"매출액";#N/A,#N/A,FALSE,"요약손익";#N/A,#N/A,FALSE,"요약대차";#N/A,#N/A,FALSE,"매출채권현황";#N/A,#N/A,FALSE,"매출채권명세"}</definedName>
    <definedName name="ㅈㄷ" localSheetId="42" hidden="1">{#N/A,#N/A,FALSE,"손익표지";#N/A,#N/A,FALSE,"손익계산";#N/A,#N/A,FALSE,"일반관리비";#N/A,#N/A,FALSE,"영업외수익";#N/A,#N/A,FALSE,"영업외비용";#N/A,#N/A,FALSE,"매출액";#N/A,#N/A,FALSE,"요약손익";#N/A,#N/A,FALSE,"요약대차";#N/A,#N/A,FALSE,"매출채권현황";#N/A,#N/A,FALSE,"매출채권명세"}</definedName>
    <definedName name="ㅈㄷ" hidden="1">{#N/A,#N/A,FALSE,"손익표지";#N/A,#N/A,FALSE,"손익계산";#N/A,#N/A,FALSE,"일반관리비";#N/A,#N/A,FALSE,"영업외수익";#N/A,#N/A,FALSE,"영업외비용";#N/A,#N/A,FALSE,"매출액";#N/A,#N/A,FALSE,"요약손익";#N/A,#N/A,FALSE,"요약대차";#N/A,#N/A,FALSE,"매출채권현황";#N/A,#N/A,FALSE,"매출채권명세"}</definedName>
    <definedName name="ㅈㄷㄱㅈㄷ" localSheetId="15" hidden="1">{#N/A,#N/A,FALSE,"손익표지";#N/A,#N/A,FALSE,"손익계산";#N/A,#N/A,FALSE,"일반관리비";#N/A,#N/A,FALSE,"영업외수익";#N/A,#N/A,FALSE,"영업외비용";#N/A,#N/A,FALSE,"매출액";#N/A,#N/A,FALSE,"요약손익";#N/A,#N/A,FALSE,"요약대차";#N/A,#N/A,FALSE,"매출채권현황";#N/A,#N/A,FALSE,"매출채권명세"}</definedName>
    <definedName name="ㅈㄷㄱㅈㄷ"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ㅈㄷㄱㅈㄷ" localSheetId="45" hidden="1">{#N/A,#N/A,FALSE,"손익표지";#N/A,#N/A,FALSE,"손익계산";#N/A,#N/A,FALSE,"일반관리비";#N/A,#N/A,FALSE,"영업외수익";#N/A,#N/A,FALSE,"영업외비용";#N/A,#N/A,FALSE,"매출액";#N/A,#N/A,FALSE,"요약손익";#N/A,#N/A,FALSE,"요약대차";#N/A,#N/A,FALSE,"매출채권현황";#N/A,#N/A,FALSE,"매출채권명세"}</definedName>
    <definedName name="ㅈㄷㄱㅈㄷ" localSheetId="42" hidden="1">{#N/A,#N/A,FALSE,"손익표지";#N/A,#N/A,FALSE,"손익계산";#N/A,#N/A,FALSE,"일반관리비";#N/A,#N/A,FALSE,"영업외수익";#N/A,#N/A,FALSE,"영업외비용";#N/A,#N/A,FALSE,"매출액";#N/A,#N/A,FALSE,"요약손익";#N/A,#N/A,FALSE,"요약대차";#N/A,#N/A,FALSE,"매출채권현황";#N/A,#N/A,FALSE,"매출채권명세"}</definedName>
    <definedName name="ㅈㄷㄱㅈㄷ" hidden="1">{#N/A,#N/A,FALSE,"손익표지";#N/A,#N/A,FALSE,"손익계산";#N/A,#N/A,FALSE,"일반관리비";#N/A,#N/A,FALSE,"영업외수익";#N/A,#N/A,FALSE,"영업외비용";#N/A,#N/A,FALSE,"매출액";#N/A,#N/A,FALSE,"요약손익";#N/A,#N/A,FALSE,"요약대차";#N/A,#N/A,FALSE,"매출채권현황";#N/A,#N/A,FALSE,"매출채권명세"}</definedName>
    <definedName name="ㅈㄷㄱㅈㄷㄱ" localSheetId="15" hidden="1">{#N/A,#N/A,FALSE,"손익표지";#N/A,#N/A,FALSE,"손익계산";#N/A,#N/A,FALSE,"일반관리비";#N/A,#N/A,FALSE,"영업외수익";#N/A,#N/A,FALSE,"영업외비용";#N/A,#N/A,FALSE,"매출액";#N/A,#N/A,FALSE,"요약손익";#N/A,#N/A,FALSE,"요약대차";#N/A,#N/A,FALSE,"매출채권현황";#N/A,#N/A,FALSE,"매출채권명세"}</definedName>
    <definedName name="ㅈㄷㄱㅈㄷㄱ"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ㅈㄷㄱㅈㄷㄱ" localSheetId="45" hidden="1">{#N/A,#N/A,FALSE,"손익표지";#N/A,#N/A,FALSE,"손익계산";#N/A,#N/A,FALSE,"일반관리비";#N/A,#N/A,FALSE,"영업외수익";#N/A,#N/A,FALSE,"영업외비용";#N/A,#N/A,FALSE,"매출액";#N/A,#N/A,FALSE,"요약손익";#N/A,#N/A,FALSE,"요약대차";#N/A,#N/A,FALSE,"매출채권현황";#N/A,#N/A,FALSE,"매출채권명세"}</definedName>
    <definedName name="ㅈㄷㄱㅈㄷㄱ" localSheetId="42" hidden="1">{#N/A,#N/A,FALSE,"손익표지";#N/A,#N/A,FALSE,"손익계산";#N/A,#N/A,FALSE,"일반관리비";#N/A,#N/A,FALSE,"영업외수익";#N/A,#N/A,FALSE,"영업외비용";#N/A,#N/A,FALSE,"매출액";#N/A,#N/A,FALSE,"요약손익";#N/A,#N/A,FALSE,"요약대차";#N/A,#N/A,FALSE,"매출채권현황";#N/A,#N/A,FALSE,"매출채권명세"}</definedName>
    <definedName name="ㅈㄷㄱㅈㄷㄱ" hidden="1">{#N/A,#N/A,FALSE,"손익표지";#N/A,#N/A,FALSE,"손익계산";#N/A,#N/A,FALSE,"일반관리비";#N/A,#N/A,FALSE,"영업외수익";#N/A,#N/A,FALSE,"영업외비용";#N/A,#N/A,FALSE,"매출액";#N/A,#N/A,FALSE,"요약손익";#N/A,#N/A,FALSE,"요약대차";#N/A,#N/A,FALSE,"매출채권현황";#N/A,#N/A,FALSE,"매출채권명세"}</definedName>
    <definedName name="ㅈㄷㅈㄱㄷ" localSheetId="15" hidden="1">{#N/A,#N/A,FALSE,"손익표지";#N/A,#N/A,FALSE,"손익계산";#N/A,#N/A,FALSE,"일반관리비";#N/A,#N/A,FALSE,"영업외수익";#N/A,#N/A,FALSE,"영업외비용";#N/A,#N/A,FALSE,"매출액";#N/A,#N/A,FALSE,"요약손익";#N/A,#N/A,FALSE,"요약대차";#N/A,#N/A,FALSE,"매출채권현황";#N/A,#N/A,FALSE,"매출채권명세"}</definedName>
    <definedName name="ㅈㄷㅈㄱㄷ"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ㅈㄷㅈㄱㄷ" localSheetId="45" hidden="1">{#N/A,#N/A,FALSE,"손익표지";#N/A,#N/A,FALSE,"손익계산";#N/A,#N/A,FALSE,"일반관리비";#N/A,#N/A,FALSE,"영업외수익";#N/A,#N/A,FALSE,"영업외비용";#N/A,#N/A,FALSE,"매출액";#N/A,#N/A,FALSE,"요약손익";#N/A,#N/A,FALSE,"요약대차";#N/A,#N/A,FALSE,"매출채권현황";#N/A,#N/A,FALSE,"매출채권명세"}</definedName>
    <definedName name="ㅈㄷㅈㄱㄷ" localSheetId="42" hidden="1">{#N/A,#N/A,FALSE,"손익표지";#N/A,#N/A,FALSE,"손익계산";#N/A,#N/A,FALSE,"일반관리비";#N/A,#N/A,FALSE,"영업외수익";#N/A,#N/A,FALSE,"영업외비용";#N/A,#N/A,FALSE,"매출액";#N/A,#N/A,FALSE,"요약손익";#N/A,#N/A,FALSE,"요약대차";#N/A,#N/A,FALSE,"매출채권현황";#N/A,#N/A,FALSE,"매출채권명세"}</definedName>
    <definedName name="ㅈㄷㅈㄱㄷ" hidden="1">{#N/A,#N/A,FALSE,"손익표지";#N/A,#N/A,FALSE,"손익계산";#N/A,#N/A,FALSE,"일반관리비";#N/A,#N/A,FALSE,"영업외수익";#N/A,#N/A,FALSE,"영업외비용";#N/A,#N/A,FALSE,"매출액";#N/A,#N/A,FALSE,"요약손익";#N/A,#N/A,FALSE,"요약대차";#N/A,#N/A,FALSE,"매출채권현황";#N/A,#N/A,FALSE,"매출채권명세"}</definedName>
    <definedName name="ㅈㄷㅈㄷ" localSheetId="15" hidden="1">{#N/A,#N/A,FALSE,"손익표지";#N/A,#N/A,FALSE,"손익계산";#N/A,#N/A,FALSE,"일반관리비";#N/A,#N/A,FALSE,"영업외수익";#N/A,#N/A,FALSE,"영업외비용";#N/A,#N/A,FALSE,"매출액";#N/A,#N/A,FALSE,"요약손익";#N/A,#N/A,FALSE,"요약대차";#N/A,#N/A,FALSE,"매출채권현황";#N/A,#N/A,FALSE,"매출채권명세"}</definedName>
    <definedName name="ㅈㄷㅈㄷ"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ㅈㄷㅈㄷ" localSheetId="45" hidden="1">{#N/A,#N/A,FALSE,"손익표지";#N/A,#N/A,FALSE,"손익계산";#N/A,#N/A,FALSE,"일반관리비";#N/A,#N/A,FALSE,"영업외수익";#N/A,#N/A,FALSE,"영업외비용";#N/A,#N/A,FALSE,"매출액";#N/A,#N/A,FALSE,"요약손익";#N/A,#N/A,FALSE,"요약대차";#N/A,#N/A,FALSE,"매출채권현황";#N/A,#N/A,FALSE,"매출채권명세"}</definedName>
    <definedName name="ㅈㄷㅈㄷ" localSheetId="42" hidden="1">{#N/A,#N/A,FALSE,"손익표지";#N/A,#N/A,FALSE,"손익계산";#N/A,#N/A,FALSE,"일반관리비";#N/A,#N/A,FALSE,"영업외수익";#N/A,#N/A,FALSE,"영업외비용";#N/A,#N/A,FALSE,"매출액";#N/A,#N/A,FALSE,"요약손익";#N/A,#N/A,FALSE,"요약대차";#N/A,#N/A,FALSE,"매출채권현황";#N/A,#N/A,FALSE,"매출채권명세"}</definedName>
    <definedName name="ㅈㄷㅈㄷ" hidden="1">{#N/A,#N/A,FALSE,"손익표지";#N/A,#N/A,FALSE,"손익계산";#N/A,#N/A,FALSE,"일반관리비";#N/A,#N/A,FALSE,"영업외수익";#N/A,#N/A,FALSE,"영업외비용";#N/A,#N/A,FALSE,"매출액";#N/A,#N/A,FALSE,"요약손익";#N/A,#N/A,FALSE,"요약대차";#N/A,#N/A,FALSE,"매출채권현황";#N/A,#N/A,FALSE,"매출채권명세"}</definedName>
    <definedName name="ㅈㅂㄷ" localSheetId="15" hidden="1">{#N/A,#N/A,FALSE,"손익표지";#N/A,#N/A,FALSE,"손익계산";#N/A,#N/A,FALSE,"일반관리비";#N/A,#N/A,FALSE,"영업외수익";#N/A,#N/A,FALSE,"영업외비용";#N/A,#N/A,FALSE,"매출액";#N/A,#N/A,FALSE,"요약손익";#N/A,#N/A,FALSE,"요약대차";#N/A,#N/A,FALSE,"매출채권현황";#N/A,#N/A,FALSE,"매출채권명세"}</definedName>
    <definedName name="ㅈㅂㄷ"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ㅈㅂㄷ" localSheetId="45" hidden="1">{#N/A,#N/A,FALSE,"손익표지";#N/A,#N/A,FALSE,"손익계산";#N/A,#N/A,FALSE,"일반관리비";#N/A,#N/A,FALSE,"영업외수익";#N/A,#N/A,FALSE,"영업외비용";#N/A,#N/A,FALSE,"매출액";#N/A,#N/A,FALSE,"요약손익";#N/A,#N/A,FALSE,"요약대차";#N/A,#N/A,FALSE,"매출채권현황";#N/A,#N/A,FALSE,"매출채권명세"}</definedName>
    <definedName name="ㅈㅂㄷ" localSheetId="42" hidden="1">{#N/A,#N/A,FALSE,"손익표지";#N/A,#N/A,FALSE,"손익계산";#N/A,#N/A,FALSE,"일반관리비";#N/A,#N/A,FALSE,"영업외수익";#N/A,#N/A,FALSE,"영업외비용";#N/A,#N/A,FALSE,"매출액";#N/A,#N/A,FALSE,"요약손익";#N/A,#N/A,FALSE,"요약대차";#N/A,#N/A,FALSE,"매출채권현황";#N/A,#N/A,FALSE,"매출채권명세"}</definedName>
    <definedName name="ㅈㅂㄷ" hidden="1">{#N/A,#N/A,FALSE,"손익표지";#N/A,#N/A,FALSE,"손익계산";#N/A,#N/A,FALSE,"일반관리비";#N/A,#N/A,FALSE,"영업외수익";#N/A,#N/A,FALSE,"영업외비용";#N/A,#N/A,FALSE,"매출액";#N/A,#N/A,FALSE,"요약손익";#N/A,#N/A,FALSE,"요약대차";#N/A,#N/A,FALSE,"매출채권현황";#N/A,#N/A,FALSE,"매출채권명세"}</definedName>
    <definedName name="ㅈㅅㄷ" localSheetId="15" hidden="1">{#N/A,#N/A,FALSE,"손익표지";#N/A,#N/A,FALSE,"손익계산";#N/A,#N/A,FALSE,"일반관리비";#N/A,#N/A,FALSE,"영업외수익";#N/A,#N/A,FALSE,"영업외비용";#N/A,#N/A,FALSE,"매출액";#N/A,#N/A,FALSE,"요약손익";#N/A,#N/A,FALSE,"요약대차";#N/A,#N/A,FALSE,"매출채권현황";#N/A,#N/A,FALSE,"매출채권명세"}</definedName>
    <definedName name="ㅈㅅㄷ"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ㅈㅅㄷ" localSheetId="45" hidden="1">{#N/A,#N/A,FALSE,"손익표지";#N/A,#N/A,FALSE,"손익계산";#N/A,#N/A,FALSE,"일반관리비";#N/A,#N/A,FALSE,"영업외수익";#N/A,#N/A,FALSE,"영업외비용";#N/A,#N/A,FALSE,"매출액";#N/A,#N/A,FALSE,"요약손익";#N/A,#N/A,FALSE,"요약대차";#N/A,#N/A,FALSE,"매출채권현황";#N/A,#N/A,FALSE,"매출채권명세"}</definedName>
    <definedName name="ㅈㅅㄷ" localSheetId="42" hidden="1">{#N/A,#N/A,FALSE,"손익표지";#N/A,#N/A,FALSE,"손익계산";#N/A,#N/A,FALSE,"일반관리비";#N/A,#N/A,FALSE,"영업외수익";#N/A,#N/A,FALSE,"영업외비용";#N/A,#N/A,FALSE,"매출액";#N/A,#N/A,FALSE,"요약손익";#N/A,#N/A,FALSE,"요약대차";#N/A,#N/A,FALSE,"매출채권현황";#N/A,#N/A,FALSE,"매출채권명세"}</definedName>
    <definedName name="ㅈㅅㄷ" hidden="1">{#N/A,#N/A,FALSE,"손익표지";#N/A,#N/A,FALSE,"손익계산";#N/A,#N/A,FALSE,"일반관리비";#N/A,#N/A,FALSE,"영업외수익";#N/A,#N/A,FALSE,"영업외비용";#N/A,#N/A,FALSE,"매출액";#N/A,#N/A,FALSE,"요약손익";#N/A,#N/A,FALSE,"요약대차";#N/A,#N/A,FALSE,"매출채권현황";#N/A,#N/A,FALSE,"매출채권명세"}</definedName>
    <definedName name="ㅈㅈ" localSheetId="12" hidden="1">{#N/A,"수불부",FALSE,"사급자재수불서";#N/A,"수불부",FALSE,"사급자재수불서"}</definedName>
    <definedName name="ㅈㅈ" localSheetId="42" hidden="1">{#N/A,"수불부",FALSE,"사급자재수불서";#N/A,"수불부",FALSE,"사급자재수불서"}</definedName>
    <definedName name="ㅈㅈ" hidden="1">{#N/A,"수불부",FALSE,"사급자재수불서";#N/A,"수불부",FALSE,"사급자재수불서"}</definedName>
    <definedName name="ㅈㅈㅈ" localSheetId="1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ㅈㅈㅈ" localSheetId="15" hidden="1">{"FORM17",#N/A,FALSE,"Commission1";"FORM17.1",#N/A,FALSE,"Commission2"}</definedName>
    <definedName name="ㅈㅈㅈ" localSheetId="6" hidden="1">{"FORM17",#N/A,FALSE,"Commission1";"FORM17.1",#N/A,FALSE,"Commission2"}</definedName>
    <definedName name="ㅈㅈㅈ" localSheetId="45" hidden="1">{"FORM17",#N/A,FALSE,"Commission1";"FORM17.1",#N/A,FALSE,"Commission2"}</definedName>
    <definedName name="ㅈㅈㅈ" localSheetId="42" hidden="1">{"FORM17",#N/A,FALSE,"Commission1";"FORM17.1",#N/A,FALSE,"Commission2"}</definedName>
    <definedName name="ㅈㅈㅈ" hidden="1">{#N/A,#N/A,TRUE,"매출진척-1";#N/A,#N/A,TRUE,"매출진척-2";#N/A,#N/A,TRUE,"제품실적";#N/A,#N/A,TRUE,"RAC";#N/A,#N/A,TRUE,"PAC ";#N/A,#N/A,TRUE,"재고현황";#N/A,#N/A,TRUE,"공지사항"}</definedName>
    <definedName name="ㅈㅈㅈㅈ" localSheetId="15" hidden="1">{#N/A,#N/A,FALSE,"정공"}</definedName>
    <definedName name="ㅈㅈㅈㅈ" localSheetId="6" hidden="1">{#N/A,#N/A,FALSE,"정공"}</definedName>
    <definedName name="ㅈㅈㅈㅈ" localSheetId="45" hidden="1">{#N/A,#N/A,FALSE,"정공"}</definedName>
    <definedName name="ㅈㅈㅈㅈ" localSheetId="42" hidden="1">{#N/A,#N/A,FALSE,"정공"}</definedName>
    <definedName name="ㅈㅈㅈㅈ" hidden="1">{#N/A,#N/A,FALSE,"정공"}</definedName>
    <definedName name="자" localSheetId="1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자" localSheetId="42" hidden="1">{#N/A,#N/A,FALSE,"UNIT";#N/A,#N/A,FALSE,"UNIT";#N/A,#N/A,FALSE,"계정"}</definedName>
    <definedName name="자" hidden="1">{#N/A,#N/A,FALSE,"UNIT";#N/A,#N/A,FALSE,"UNIT";#N/A,#N/A,FALSE,"계정"}</definedName>
    <definedName name="자." localSheetId="12" hidden="1">{#N/A,#N/A,FALSE,"UNIT";#N/A,#N/A,FALSE,"UNIT";#N/A,#N/A,FALSE,"계정"}</definedName>
    <definedName name="자." localSheetId="42" hidden="1">{#N/A,#N/A,FALSE,"UNIT";#N/A,#N/A,FALSE,"UNIT";#N/A,#N/A,FALSE,"계정"}</definedName>
    <definedName name="자." hidden="1">{#N/A,#N/A,FALSE,"UNIT";#N/A,#N/A,FALSE,"UNIT";#N/A,#N/A,FALSE,"계정"}</definedName>
    <definedName name="자.." localSheetId="12" hidden="1">{#N/A,#N/A,FALSE,"UNIT";#N/A,#N/A,FALSE,"UNIT";#N/A,#N/A,FALSE,"계정"}</definedName>
    <definedName name="자.." localSheetId="42" hidden="1">{#N/A,#N/A,FALSE,"UNIT";#N/A,#N/A,FALSE,"UNIT";#N/A,#N/A,FALSE,"계정"}</definedName>
    <definedName name="자.." hidden="1">{#N/A,#N/A,FALSE,"UNIT";#N/A,#N/A,FALSE,"UNIT";#N/A,#N/A,FALSE,"계정"}</definedName>
    <definedName name="자금계획" localSheetId="15" hidden="1">{#N/A,#N/A,FALSE,"정공"}</definedName>
    <definedName name="자금계획" localSheetId="6" hidden="1">{#N/A,#N/A,FALSE,"정공"}</definedName>
    <definedName name="자금계획" localSheetId="45" hidden="1">{#N/A,#N/A,FALSE,"정공"}</definedName>
    <definedName name="자금계획" localSheetId="42" hidden="1">{#N/A,#N/A,FALSE,"정공"}</definedName>
    <definedName name="자금계획" hidden="1">{#N/A,#N/A,FALSE,"정공"}</definedName>
    <definedName name="자금수지_00" localSheetId="15"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자금수지_00" localSheetId="6"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자금수지_00" localSheetId="45"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자금수지_00" localSheetId="4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자금수지_00"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자동화" localSheetId="42" hidden="1">{#N/A,#N/A,FALSE,"UNIT";#N/A,#N/A,FALSE,"UNIT";#N/A,#N/A,FALSE,"계정"}</definedName>
    <definedName name="자동화" hidden="1">{#N/A,#N/A,FALSE,"UNIT";#N/A,#N/A,FALSE,"UNIT";#N/A,#N/A,FALSE,"계정"}</definedName>
    <definedName name="자본" localSheetId="12" hidden="1">{#N/A,#N/A,FALSE,"Aging Summary";#N/A,#N/A,FALSE,"Ratio Analysis";#N/A,#N/A,FALSE,"Test 120 Day Accts";#N/A,#N/A,FALSE,"Tickmarks"}</definedName>
    <definedName name="자본" localSheetId="42" hidden="1">{#N/A,#N/A,FALSE,"Aging Summary";#N/A,#N/A,FALSE,"Ratio Analysis";#N/A,#N/A,FALSE,"Test 120 Day Accts";#N/A,#N/A,FALSE,"Tickmarks"}</definedName>
    <definedName name="자본" hidden="1">{#N/A,#N/A,FALSE,"Aging Summary";#N/A,#N/A,FALSE,"Ratio Analysis";#N/A,#N/A,FALSE,"Test 120 Day Accts";#N/A,#N/A,FALSE,"Tickmarks"}</definedName>
    <definedName name="자본금" localSheetId="15" hidden="1">{#N/A,#N/A,FALSE,"정공"}</definedName>
    <definedName name="자본금" localSheetId="6" hidden="1">{#N/A,#N/A,FALSE,"정공"}</definedName>
    <definedName name="자본금" localSheetId="45" hidden="1">{#N/A,#N/A,FALSE,"정공"}</definedName>
    <definedName name="자본금" localSheetId="42" hidden="1">{#N/A,#N/A,FALSE,"정공"}</definedName>
    <definedName name="자본금" hidden="1">{#N/A,#N/A,FALSE,"Aging Summary";#N/A,#N/A,FALSE,"Ratio Analysis";#N/A,#N/A,FALSE,"Test 120 Day Accts";#N/A,#N/A,FALSE,"Tickmarks"}</definedName>
    <definedName name="자본반기" localSheetId="30" hidden="1">#REF!</definedName>
    <definedName name="자본반기" localSheetId="29" hidden="1">#REF!</definedName>
    <definedName name="자본반기" localSheetId="33" hidden="1">#REF!</definedName>
    <definedName name="자본반기" localSheetId="31" hidden="1">#REF!</definedName>
    <definedName name="자본반기" localSheetId="32" hidden="1">#REF!</definedName>
    <definedName name="자본반기" hidden="1">#REF!</definedName>
    <definedName name="자본방" localSheetId="12" hidden="1">{#N/A,#N/A,FALSE,"Aging Summary";#N/A,#N/A,FALSE,"Ratio Analysis";#N/A,#N/A,FALSE,"Test 120 Day Accts";#N/A,#N/A,FALSE,"Tickmarks"}</definedName>
    <definedName name="자본방" localSheetId="42" hidden="1">{#N/A,#N/A,FALSE,"Aging Summary";#N/A,#N/A,FALSE,"Ratio Analysis";#N/A,#N/A,FALSE,"Test 120 Day Accts";#N/A,#N/A,FALSE,"Tickmarks"}</definedName>
    <definedName name="자본방" hidden="1">{#N/A,#N/A,FALSE,"Aging Summary";#N/A,#N/A,FALSE,"Ratio Analysis";#N/A,#N/A,FALSE,"Test 120 Day Accts";#N/A,#N/A,FALSE,"Tickmarks"}</definedName>
    <definedName name="자본적" localSheetId="15" hidden="1">{#N/A,#N/A,FALSE,"98소지이동TOTvs99.1 (2)";#N/A,#N/A,FALSE,"TOTAL";#N/A,#N/A,FALSE,"98소지이동TOTvs99.1(b) (2)"}</definedName>
    <definedName name="자본적" localSheetId="6" hidden="1">{#N/A,#N/A,FALSE,"98소지이동TOTvs99.1 (2)";#N/A,#N/A,FALSE,"TOTAL";#N/A,#N/A,FALSE,"98소지이동TOTvs99.1(b) (2)"}</definedName>
    <definedName name="자본적" localSheetId="45" hidden="1">{#N/A,#N/A,FALSE,"98소지이동TOTvs99.1 (2)";#N/A,#N/A,FALSE,"TOTAL";#N/A,#N/A,FALSE,"98소지이동TOTvs99.1(b) (2)"}</definedName>
    <definedName name="자본적" localSheetId="42" hidden="1">{#N/A,#N/A,FALSE,"98소지이동TOTvs99.1 (2)";#N/A,#N/A,FALSE,"TOTAL";#N/A,#N/A,FALSE,"98소지이동TOTvs99.1(b) (2)"}</definedName>
    <definedName name="자본적" hidden="1">{#N/A,#N/A,FALSE,"98소지이동TOTvs99.1 (2)";#N/A,#N/A,FALSE,"TOTAL";#N/A,#N/A,FALSE,"98소지이동TOTvs99.1(b) (2)"}</definedName>
    <definedName name="자산" localSheetId="15" hidden="1">{#N/A,#N/A,FALSE,"손익표지";#N/A,#N/A,FALSE,"손익계산";#N/A,#N/A,FALSE,"일반관리비";#N/A,#N/A,FALSE,"영업외수익";#N/A,#N/A,FALSE,"영업외비용";#N/A,#N/A,FALSE,"매출액";#N/A,#N/A,FALSE,"요약손익";#N/A,#N/A,FALSE,"요약대차";#N/A,#N/A,FALSE,"매출채권현황";#N/A,#N/A,FALSE,"매출채권명세"}</definedName>
    <definedName name="자산" localSheetId="6" hidden="1">{#N/A,#N/A,FALSE,"손익표지";#N/A,#N/A,FALSE,"손익계산";#N/A,#N/A,FALSE,"일반관리비";#N/A,#N/A,FALSE,"영업외수익";#N/A,#N/A,FALSE,"영업외비용";#N/A,#N/A,FALSE,"매출액";#N/A,#N/A,FALSE,"요약손익";#N/A,#N/A,FALSE,"요약대차";#N/A,#N/A,FALSE,"매출채권현황";#N/A,#N/A,FALSE,"매출채권명세"}</definedName>
    <definedName name="자산" localSheetId="45" hidden="1">{#N/A,#N/A,FALSE,"손익표지";#N/A,#N/A,FALSE,"손익계산";#N/A,#N/A,FALSE,"일반관리비";#N/A,#N/A,FALSE,"영업외수익";#N/A,#N/A,FALSE,"영업외비용";#N/A,#N/A,FALSE,"매출액";#N/A,#N/A,FALSE,"요약손익";#N/A,#N/A,FALSE,"요약대차";#N/A,#N/A,FALSE,"매출채권현황";#N/A,#N/A,FALSE,"매출채권명세"}</definedName>
    <definedName name="자산" localSheetId="42" hidden="1">{#N/A,#N/A,FALSE,"손익표지";#N/A,#N/A,FALSE,"손익계산";#N/A,#N/A,FALSE,"일반관리비";#N/A,#N/A,FALSE,"영업외수익";#N/A,#N/A,FALSE,"영업외비용";#N/A,#N/A,FALSE,"매출액";#N/A,#N/A,FALSE,"요약손익";#N/A,#N/A,FALSE,"요약대차";#N/A,#N/A,FALSE,"매출채권현황";#N/A,#N/A,FALSE,"매출채권명세"}</definedName>
    <definedName name="자산" hidden="1">{#N/A,#N/A,FALSE,"손익표지";#N/A,#N/A,FALSE,"손익계산";#N/A,#N/A,FALSE,"일반관리비";#N/A,#N/A,FALSE,"영업외수익";#N/A,#N/A,FALSE,"영업외비용";#N/A,#N/A,FALSE,"매출액";#N/A,#N/A,FALSE,"요약손익";#N/A,#N/A,FALSE,"요약대차";#N/A,#N/A,FALSE,"매출채권현황";#N/A,#N/A,FALSE,"매출채권명세"}</definedName>
    <definedName name="자자자잦" localSheetId="15" hidden="1">{#N/A,#N/A,FALSE,"정공"}</definedName>
    <definedName name="자자자잦" localSheetId="6" hidden="1">{#N/A,#N/A,FALSE,"정공"}</definedName>
    <definedName name="자자자잦" localSheetId="45" hidden="1">{#N/A,#N/A,FALSE,"정공"}</definedName>
    <definedName name="자자자잦" localSheetId="42" hidden="1">{#N/A,#N/A,FALSE,"정공"}</definedName>
    <definedName name="자자자잦" hidden="1">{#N/A,#N/A,FALSE,"정공"}</definedName>
    <definedName name="자재기준" localSheetId="42" hidden="1">{#N/A,#N/A,TRUE,"Y생산";#N/A,#N/A,TRUE,"Y판매";#N/A,#N/A,TRUE,"Y총물량";#N/A,#N/A,TRUE,"Y능력";#N/A,#N/A,TRUE,"YKD"}</definedName>
    <definedName name="자재기준" hidden="1">{#N/A,#N/A,TRUE,"Y생산";#N/A,#N/A,TRUE,"Y판매";#N/A,#N/A,TRUE,"Y총물량";#N/A,#N/A,TRUE,"Y능력";#N/A,#N/A,TRUE,"YKD"}</definedName>
    <definedName name="작성조서" localSheetId="42" hidden="1">{#N/A,#N/A,FALSE,"BS";#N/A,#N/A,FALSE,"PL";#N/A,#N/A,FALSE,"처분";#N/A,#N/A,FALSE,"현금";#N/A,#N/A,FALSE,"매출";#N/A,#N/A,FALSE,"원가";#N/A,#N/A,FALSE,"경영"}</definedName>
    <definedName name="작성조서" hidden="1">{#N/A,#N/A,FALSE,"BS";#N/A,#N/A,FALSE,"PL";#N/A,#N/A,FALSE,"처분";#N/A,#N/A,FALSE,"현금";#N/A,#N/A,FALSE,"매출";#N/A,#N/A,FALSE,"원가";#N/A,#N/A,FALSE,"경영"}</definedName>
    <definedName name="작업" localSheetId="15" hidden="1">{#N/A,#N/A,FALSE,"군산원가";#N/A,#N/A,FALSE,"팀별월별";#N/A,#N/A,FALSE,"타공정대체";#N/A,#N/A,FALSE,"기타경비";#N/A,#N/A,FALSE,"원료";#N/A,#N/A,FALSE,"연료"}</definedName>
    <definedName name="작업" localSheetId="6" hidden="1">{#N/A,#N/A,FALSE,"군산원가";#N/A,#N/A,FALSE,"팀별월별";#N/A,#N/A,FALSE,"타공정대체";#N/A,#N/A,FALSE,"기타경비";#N/A,#N/A,FALSE,"원료";#N/A,#N/A,FALSE,"연료"}</definedName>
    <definedName name="작업" localSheetId="45" hidden="1">{#N/A,#N/A,FALSE,"군산원가";#N/A,#N/A,FALSE,"팀별월별";#N/A,#N/A,FALSE,"타공정대체";#N/A,#N/A,FALSE,"기타경비";#N/A,#N/A,FALSE,"원료";#N/A,#N/A,FALSE,"연료"}</definedName>
    <definedName name="작업" localSheetId="42" hidden="1">{#N/A,#N/A,FALSE,"군산원가";#N/A,#N/A,FALSE,"팀별월별";#N/A,#N/A,FALSE,"타공정대체";#N/A,#N/A,FALSE,"기타경비";#N/A,#N/A,FALSE,"원료";#N/A,#N/A,FALSE,"연료"}</definedName>
    <definedName name="작업" hidden="1">{#N/A,#N/A,FALSE,"군산원가";#N/A,#N/A,FALSE,"팀별월별";#N/A,#N/A,FALSE,"타공정대체";#N/A,#N/A,FALSE,"기타경비";#N/A,#N/A,FALSE,"원료";#N/A,#N/A,FALSE,"연료"}</definedName>
    <definedName name="잔다르크" localSheetId="15" hidden="1">{#N/A,#N/A,FALSE,"정공"}</definedName>
    <definedName name="잔다르크" localSheetId="6" hidden="1">{#N/A,#N/A,FALSE,"정공"}</definedName>
    <definedName name="잔다르크" localSheetId="45" hidden="1">{#N/A,#N/A,FALSE,"정공"}</definedName>
    <definedName name="잔다르크" localSheetId="42" hidden="1">{#N/A,#N/A,FALSE,"정공"}</definedName>
    <definedName name="잔다르크" hidden="1">{#N/A,#N/A,FALSE,"정공"}</definedName>
    <definedName name="잡손실" localSheetId="15" hidden="1">{#N/A,#N/A,FALSE,"1.CRITERIA";#N/A,#N/A,FALSE,"2.IS";#N/A,#N/A,FALSE,"3.BS";#N/A,#N/A,FALSE,"4.PER PL";#N/A,#N/A,FALSE,"5.INVESTMENT";#N/A,#N/A,FALSE,"6.공문";#N/A,#N/A,FALSE,"7.netinvest"}</definedName>
    <definedName name="잡손실" localSheetId="6" hidden="1">{#N/A,#N/A,FALSE,"1.CRITERIA";#N/A,#N/A,FALSE,"2.IS";#N/A,#N/A,FALSE,"3.BS";#N/A,#N/A,FALSE,"4.PER PL";#N/A,#N/A,FALSE,"5.INVESTMENT";#N/A,#N/A,FALSE,"6.공문";#N/A,#N/A,FALSE,"7.netinvest"}</definedName>
    <definedName name="잡손실" localSheetId="45" hidden="1">{#N/A,#N/A,FALSE,"1.CRITERIA";#N/A,#N/A,FALSE,"2.IS";#N/A,#N/A,FALSE,"3.BS";#N/A,#N/A,FALSE,"4.PER PL";#N/A,#N/A,FALSE,"5.INVESTMENT";#N/A,#N/A,FALSE,"6.공문";#N/A,#N/A,FALSE,"7.netinvest"}</definedName>
    <definedName name="잡손실" localSheetId="42" hidden="1">{#N/A,#N/A,FALSE,"1.CRITERIA";#N/A,#N/A,FALSE,"2.IS";#N/A,#N/A,FALSE,"3.BS";#N/A,#N/A,FALSE,"4.PER PL";#N/A,#N/A,FALSE,"5.INVESTMENT";#N/A,#N/A,FALSE,"6.공문";#N/A,#N/A,FALSE,"7.netinvest"}</definedName>
    <definedName name="잡손실" hidden="1">{#N/A,#N/A,FALSE,"1.CRITERIA";#N/A,#N/A,FALSE,"2.IS";#N/A,#N/A,FALSE,"3.BS";#N/A,#N/A,FALSE,"4.PER PL";#N/A,#N/A,FALSE,"5.INVESTMENT";#N/A,#N/A,FALSE,"6.공문";#N/A,#N/A,FALSE,"7.netinvest"}</definedName>
    <definedName name="잡손익2" localSheetId="15" hidden="1">{#N/A,#N/A,FALSE,"BS";#N/A,#N/A,FALSE,"PL";#N/A,#N/A,FALSE,"처분";#N/A,#N/A,FALSE,"현금";#N/A,#N/A,FALSE,"매출";#N/A,#N/A,FALSE,"원가";#N/A,#N/A,FALSE,"경영"}</definedName>
    <definedName name="잡손익2" localSheetId="6" hidden="1">{#N/A,#N/A,FALSE,"BS";#N/A,#N/A,FALSE,"PL";#N/A,#N/A,FALSE,"처분";#N/A,#N/A,FALSE,"현금";#N/A,#N/A,FALSE,"매출";#N/A,#N/A,FALSE,"원가";#N/A,#N/A,FALSE,"경영"}</definedName>
    <definedName name="잡손익2" localSheetId="45" hidden="1">{#N/A,#N/A,FALSE,"BS";#N/A,#N/A,FALSE,"PL";#N/A,#N/A,FALSE,"처분";#N/A,#N/A,FALSE,"현금";#N/A,#N/A,FALSE,"매출";#N/A,#N/A,FALSE,"원가";#N/A,#N/A,FALSE,"경영"}</definedName>
    <definedName name="잡손익2" localSheetId="42" hidden="1">{#N/A,#N/A,FALSE,"BS";#N/A,#N/A,FALSE,"PL";#N/A,#N/A,FALSE,"처분";#N/A,#N/A,FALSE,"현금";#N/A,#N/A,FALSE,"매출";#N/A,#N/A,FALSE,"원가";#N/A,#N/A,FALSE,"경영"}</definedName>
    <definedName name="잡손익2" hidden="1">{#N/A,#N/A,FALSE,"BS";#N/A,#N/A,FALSE,"PL";#N/A,#N/A,FALSE,"처분";#N/A,#N/A,FALSE,"현금";#N/A,#N/A,FALSE,"매출";#N/A,#N/A,FALSE,"원가";#N/A,#N/A,FALSE,"경영"}</definedName>
    <definedName name="잡이익" localSheetId="15" hidden="1">{#N/A,#N/A,FALSE,"1.CRITERIA";#N/A,#N/A,FALSE,"2.IS";#N/A,#N/A,FALSE,"3.BS";#N/A,#N/A,FALSE,"4.PER PL";#N/A,#N/A,FALSE,"5.INVESTMENT";#N/A,#N/A,FALSE,"6.공문";#N/A,#N/A,FALSE,"7.netinvest"}</definedName>
    <definedName name="잡이익" localSheetId="6" hidden="1">{#N/A,#N/A,FALSE,"1.CRITERIA";#N/A,#N/A,FALSE,"2.IS";#N/A,#N/A,FALSE,"3.BS";#N/A,#N/A,FALSE,"4.PER PL";#N/A,#N/A,FALSE,"5.INVESTMENT";#N/A,#N/A,FALSE,"6.공문";#N/A,#N/A,FALSE,"7.netinvest"}</definedName>
    <definedName name="잡이익" localSheetId="45" hidden="1">{#N/A,#N/A,FALSE,"1.CRITERIA";#N/A,#N/A,FALSE,"2.IS";#N/A,#N/A,FALSE,"3.BS";#N/A,#N/A,FALSE,"4.PER PL";#N/A,#N/A,FALSE,"5.INVESTMENT";#N/A,#N/A,FALSE,"6.공문";#N/A,#N/A,FALSE,"7.netinvest"}</definedName>
    <definedName name="잡이익" localSheetId="42" hidden="1">{#N/A,#N/A,FALSE,"1.CRITERIA";#N/A,#N/A,FALSE,"2.IS";#N/A,#N/A,FALSE,"3.BS";#N/A,#N/A,FALSE,"4.PER PL";#N/A,#N/A,FALSE,"5.INVESTMENT";#N/A,#N/A,FALSE,"6.공문";#N/A,#N/A,FALSE,"7.netinvest"}</definedName>
    <definedName name="잡이익" hidden="1">{#N/A,#N/A,FALSE,"1.CRITERIA";#N/A,#N/A,FALSE,"2.IS";#N/A,#N/A,FALSE,"3.BS";#N/A,#N/A,FALSE,"4.PER PL";#N/A,#N/A,FALSE,"5.INVESTMENT";#N/A,#N/A,FALSE,"6.공문";#N/A,#N/A,FALSE,"7.netinvest"}</definedName>
    <definedName name="장VP" localSheetId="12" hidden="1">{#N/A,#N/A,FALSE,"UNIT";#N/A,#N/A,FALSE,"UNIT";#N/A,#N/A,FALSE,"계정"}</definedName>
    <definedName name="장VP" localSheetId="42" hidden="1">{#N/A,#N/A,FALSE,"UNIT";#N/A,#N/A,FALSE,"UNIT";#N/A,#N/A,FALSE,"계정"}</definedName>
    <definedName name="장VP" hidden="1">{#N/A,#N/A,FALSE,"UNIT";#N/A,#N/A,FALSE,"UNIT";#N/A,#N/A,FALSE,"계정"}</definedName>
    <definedName name="장기차입금" localSheetId="42" hidden="1">{#N/A,#N/A,FALSE,"BS";#N/A,#N/A,FALSE,"PL";#N/A,#N/A,FALSE,"처분";#N/A,#N/A,FALSE,"현금";#N/A,#N/A,FALSE,"매출";#N/A,#N/A,FALSE,"원가";#N/A,#N/A,FALSE,"경영"}</definedName>
    <definedName name="장기차입금" hidden="1">{#N/A,#N/A,FALSE,"BS";#N/A,#N/A,FALSE,"PL";#N/A,#N/A,FALSE,"처분";#N/A,#N/A,FALSE,"현금";#N/A,#N/A,FALSE,"매출";#N/A,#N/A,FALSE,"원가";#N/A,#N/A,FALSE,"경영"}</definedName>
    <definedName name="장병서" localSheetId="15" hidden="1">{"FORM1",#N/A,FALSE,"Revenue";"FORMTR",#N/A,FALSE,"Revenue";"FORM3.1",#N/A,FALSE,"Revenue"}</definedName>
    <definedName name="장병서" localSheetId="6" hidden="1">{"FORM1",#N/A,FALSE,"Revenue";"FORMTR",#N/A,FALSE,"Revenue";"FORM3.1",#N/A,FALSE,"Revenue"}</definedName>
    <definedName name="장병서" localSheetId="45" hidden="1">{"FORM1",#N/A,FALSE,"Revenue";"FORMTR",#N/A,FALSE,"Revenue";"FORM3.1",#N/A,FALSE,"Revenue"}</definedName>
    <definedName name="장병서" localSheetId="42" hidden="1">{"FORM1",#N/A,FALSE,"Revenue";"FORMTR",#N/A,FALSE,"Revenue";"FORM3.1",#N/A,FALSE,"Revenue"}</definedName>
    <definedName name="장병서" hidden="1">{"FORM1",#N/A,FALSE,"Revenue";"FORMTR",#N/A,FALSE,"Revenue";"FORM3.1",#N/A,FALSE,"Revenue"}</definedName>
    <definedName name="재" localSheetId="12" hidden="1">{#N/A,#N/A,FALSE,"UNIT";#N/A,#N/A,FALSE,"UNIT";#N/A,#N/A,FALSE,"계정"}</definedName>
    <definedName name="재" localSheetId="42" hidden="1">{#N/A,#N/A,FALSE,"UNIT";#N/A,#N/A,FALSE,"UNIT";#N/A,#N/A,FALSE,"계정"}</definedName>
    <definedName name="재" hidden="1">{#N/A,#N/A,FALSE,"UNIT";#N/A,#N/A,FALSE,"UNIT";#N/A,#N/A,FALSE,"계정"}</definedName>
    <definedName name="재거" localSheetId="42" hidden="1">{#N/A,#N/A,FALSE,"UNIT";#N/A,#N/A,FALSE,"UNIT";#N/A,#N/A,FALSE,"계정"}</definedName>
    <definedName name="재거" hidden="1">{#N/A,#N/A,FALSE,"UNIT";#N/A,#N/A,FALSE,"UNIT";#N/A,#N/A,FALSE,"계정"}</definedName>
    <definedName name="재고" localSheetId="1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재고"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재고" localSheetId="4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재고" localSheetId="4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재고"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재고자산" localSheetId="15" hidden="1">{"'분양원가'!$B$1:$F$113"}</definedName>
    <definedName name="재고자산" localSheetId="6" hidden="1">{"'분양원가'!$B$1:$F$113"}</definedName>
    <definedName name="재고자산" localSheetId="45" hidden="1">{"'분양원가'!$B$1:$F$113"}</definedName>
    <definedName name="재고자산" localSheetId="42" hidden="1">{"'분양원가'!$B$1:$F$113"}</definedName>
    <definedName name="재고자산" hidden="1">{"'분양원가'!$B$1:$F$113"}</definedName>
    <definedName name="재고자산수량" localSheetId="1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재고자산수량"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재고자산수량" localSheetId="4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재고자산수량" localSheetId="4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재고자산수량"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재고자산이자최종" localSheetId="15" hidden="1">{"'분양원가'!$B$1:$F$113"}</definedName>
    <definedName name="재고자산이자최종" localSheetId="6" hidden="1">{"'분양원가'!$B$1:$F$113"}</definedName>
    <definedName name="재고자산이자최종" localSheetId="45" hidden="1">{"'분양원가'!$B$1:$F$113"}</definedName>
    <definedName name="재고자산이자최종" localSheetId="42" hidden="1">{"'분양원가'!$B$1:$F$113"}</definedName>
    <definedName name="재고자산이자최종" hidden="1">{"'분양원가'!$B$1:$F$113"}</definedName>
    <definedName name="재료" localSheetId="42" hidden="1">{#N/A,#N/A,FALSE,"UNIT";#N/A,#N/A,FALSE,"UNIT";#N/A,#N/A,FALSE,"계정"}</definedName>
    <definedName name="재료" hidden="1">{#N/A,#N/A,FALSE,"UNIT";#N/A,#N/A,FALSE,"UNIT";#N/A,#N/A,FALSE,"계정"}</definedName>
    <definedName name="재료비" localSheetId="42" hidden="1">{#N/A,#N/A,TRUE,"일정"}</definedName>
    <definedName name="재료비" hidden="1">{#N/A,#N/A,TRUE,"일정"}</definedName>
    <definedName name="재료비점검" localSheetId="42" hidden="1">{#N/A,#N/A,FALSE,"UNIT";#N/A,#N/A,FALSE,"UNIT";#N/A,#N/A,FALSE,"계정"}</definedName>
    <definedName name="재료비점검" hidden="1">{#N/A,#N/A,FALSE,"UNIT";#N/A,#N/A,FALSE,"UNIT";#N/A,#N/A,FALSE,"계정"}</definedName>
    <definedName name="재산관리비12월" hidden="1">{#N/A,#N/A,TRUE,"COFTOT"}</definedName>
    <definedName name="재재재" localSheetId="15" hidden="1">{"'미착금액'!$A$4:$G$14"}</definedName>
    <definedName name="재재재" localSheetId="6" hidden="1">{"'미착금액'!$A$4:$G$14"}</definedName>
    <definedName name="재재재" localSheetId="45" hidden="1">{"'미착금액'!$A$4:$G$14"}</definedName>
    <definedName name="재재재" localSheetId="42" hidden="1">{"'미착금액'!$A$4:$G$14"}</definedName>
    <definedName name="재재재" hidden="1">{"'미착금액'!$A$4:$G$14"}</definedName>
    <definedName name="저장품" localSheetId="15" hidden="1">{"'분양원가'!$B$1:$F$113"}</definedName>
    <definedName name="저장품" localSheetId="6" hidden="1">{"'분양원가'!$B$1:$F$113"}</definedName>
    <definedName name="저장품" localSheetId="45" hidden="1">{"'분양원가'!$B$1:$F$113"}</definedName>
    <definedName name="저장품" localSheetId="42" hidden="1">{"'분양원가'!$B$1:$F$113"}</definedName>
    <definedName name="저장품" hidden="1">{"'분양원가'!$B$1:$F$113"}</definedName>
    <definedName name="저저" localSheetId="12" hidden="1">{#N/A,#N/A,FALSE,"UNIT";#N/A,#N/A,FALSE,"UNIT";#N/A,#N/A,FALSE,"계정"}</definedName>
    <definedName name="저저" localSheetId="42" hidden="1">{#N/A,#N/A,FALSE,"UNIT";#N/A,#N/A,FALSE,"UNIT";#N/A,#N/A,FALSE,"계정"}</definedName>
    <definedName name="저저" hidden="1">{#N/A,#N/A,FALSE,"UNIT";#N/A,#N/A,FALSE,"UNIT";#N/A,#N/A,FALSE,"계정"}</definedName>
    <definedName name="적치" localSheetId="15" hidden="1">{#N/A,#N/A,FALSE,"군산원가";#N/A,#N/A,FALSE,"팀별월별";#N/A,#N/A,FALSE,"타공정대체";#N/A,#N/A,FALSE,"기타경비";#N/A,#N/A,FALSE,"원료";#N/A,#N/A,FALSE,"연료"}</definedName>
    <definedName name="적치" localSheetId="6" hidden="1">{#N/A,#N/A,FALSE,"군산원가";#N/A,#N/A,FALSE,"팀별월별";#N/A,#N/A,FALSE,"타공정대체";#N/A,#N/A,FALSE,"기타경비";#N/A,#N/A,FALSE,"원료";#N/A,#N/A,FALSE,"연료"}</definedName>
    <definedName name="적치" localSheetId="45" hidden="1">{#N/A,#N/A,FALSE,"군산원가";#N/A,#N/A,FALSE,"팀별월별";#N/A,#N/A,FALSE,"타공정대체";#N/A,#N/A,FALSE,"기타경비";#N/A,#N/A,FALSE,"원료";#N/A,#N/A,FALSE,"연료"}</definedName>
    <definedName name="적치" localSheetId="42" hidden="1">{#N/A,#N/A,FALSE,"군산원가";#N/A,#N/A,FALSE,"팀별월별";#N/A,#N/A,FALSE,"타공정대체";#N/A,#N/A,FALSE,"기타경비";#N/A,#N/A,FALSE,"원료";#N/A,#N/A,FALSE,"연료"}</definedName>
    <definedName name="적치" hidden="1">{#N/A,#N/A,FALSE,"군산원가";#N/A,#N/A,FALSE,"팀별월별";#N/A,#N/A,FALSE,"타공정대체";#N/A,#N/A,FALSE,"기타경비";#N/A,#N/A,FALSE,"원료";#N/A,#N/A,FALSE,"연료"}</definedName>
    <definedName name="전2" localSheetId="15" hidden="1">{#N/A,#N/A,FALSE,"정공"}</definedName>
    <definedName name="전2" localSheetId="6" hidden="1">{#N/A,#N/A,FALSE,"정공"}</definedName>
    <definedName name="전2" localSheetId="45" hidden="1">{#N/A,#N/A,FALSE,"정공"}</definedName>
    <definedName name="전2" localSheetId="42" hidden="1">{#N/A,#N/A,FALSE,"정공"}</definedName>
    <definedName name="전2" hidden="1">{#N/A,#N/A,FALSE,"정공"}</definedName>
    <definedName name="전기오류" hidden="1">#REF!</definedName>
    <definedName name="전략" localSheetId="15" hidden="1">{#N/A,#N/A,FALSE,"정공"}</definedName>
    <definedName name="전략" localSheetId="6" hidden="1">{#N/A,#N/A,FALSE,"정공"}</definedName>
    <definedName name="전략" localSheetId="45" hidden="1">{#N/A,#N/A,FALSE,"정공"}</definedName>
    <definedName name="전략" localSheetId="42" hidden="1">{#N/A,#N/A,FALSE,"정공"}</definedName>
    <definedName name="전략" hidden="1">{#N/A,#N/A,FALSE,"정공"}</definedName>
    <definedName name="전략2" localSheetId="15" hidden="1">{#N/A,#N/A,FALSE,"정공"}</definedName>
    <definedName name="전략2" localSheetId="6" hidden="1">{#N/A,#N/A,FALSE,"정공"}</definedName>
    <definedName name="전략2" localSheetId="45" hidden="1">{#N/A,#N/A,FALSE,"정공"}</definedName>
    <definedName name="전략2" localSheetId="42" hidden="1">{#N/A,#N/A,FALSE,"정공"}</definedName>
    <definedName name="전략2" hidden="1">{#N/A,#N/A,FALSE,"정공"}</definedName>
    <definedName name="전략투" localSheetId="15" hidden="1">{#N/A,#N/A,FALSE,"정공"}</definedName>
    <definedName name="전략투" localSheetId="6" hidden="1">{#N/A,#N/A,FALSE,"정공"}</definedName>
    <definedName name="전략투" localSheetId="45" hidden="1">{#N/A,#N/A,FALSE,"정공"}</definedName>
    <definedName name="전략투" localSheetId="42" hidden="1">{#N/A,#N/A,FALSE,"정공"}</definedName>
    <definedName name="전략투" hidden="1">{#N/A,#N/A,FALSE,"정공"}</definedName>
    <definedName name="전송영업1" localSheetId="12" hidden="1">{#N/A,#N/A,FALSE,"DAOCM 2차 검토"}</definedName>
    <definedName name="전송영업1" localSheetId="15" hidden="1">{#N/A,#N/A,FALSE,"DAOCM 2차 검토"}</definedName>
    <definedName name="전송영업1" localSheetId="6" hidden="1">{#N/A,#N/A,FALSE,"DAOCM 2차 검토"}</definedName>
    <definedName name="전송영업1" localSheetId="45" hidden="1">{#N/A,#N/A,FALSE,"DAOCM 2차 검토"}</definedName>
    <definedName name="전송영업1" localSheetId="42" hidden="1">{#N/A,#N/A,FALSE,"DAOCM 2차 검토"}</definedName>
    <definedName name="전송영업1" hidden="1">{#N/A,#N/A,FALSE,"DAOCM 2차 검토"}</definedName>
    <definedName name="전송영업2" localSheetId="12" hidden="1">{#N/A,#N/A,FALSE,"DAOCM 2차 검토"}</definedName>
    <definedName name="전송영업2" localSheetId="15" hidden="1">{#N/A,#N/A,FALSE,"DAOCM 2차 검토"}</definedName>
    <definedName name="전송영업2" localSheetId="6" hidden="1">{#N/A,#N/A,FALSE,"DAOCM 2차 검토"}</definedName>
    <definedName name="전송영업2" localSheetId="45" hidden="1">{#N/A,#N/A,FALSE,"DAOCM 2차 검토"}</definedName>
    <definedName name="전송영업2" localSheetId="42" hidden="1">{#N/A,#N/A,FALSE,"DAOCM 2차 검토"}</definedName>
    <definedName name="전송영업2" hidden="1">{#N/A,#N/A,FALSE,"DAOCM 2차 검토"}</definedName>
    <definedName name="전자" localSheetId="15" hidden="1">{#N/A,#N/A,FALSE,"손익표지";#N/A,#N/A,FALSE,"손익계산";#N/A,#N/A,FALSE,"일반관리비";#N/A,#N/A,FALSE,"영업외수익";#N/A,#N/A,FALSE,"영업외비용";#N/A,#N/A,FALSE,"매출액";#N/A,#N/A,FALSE,"요약손익";#N/A,#N/A,FALSE,"요약대차";#N/A,#N/A,FALSE,"매출채권현황";#N/A,#N/A,FALSE,"매출채권명세"}</definedName>
    <definedName name="전자" localSheetId="6" hidden="1">{#N/A,#N/A,FALSE,"손익표지";#N/A,#N/A,FALSE,"손익계산";#N/A,#N/A,FALSE,"일반관리비";#N/A,#N/A,FALSE,"영업외수익";#N/A,#N/A,FALSE,"영업외비용";#N/A,#N/A,FALSE,"매출액";#N/A,#N/A,FALSE,"요약손익";#N/A,#N/A,FALSE,"요약대차";#N/A,#N/A,FALSE,"매출채권현황";#N/A,#N/A,FALSE,"매출채권명세"}</definedName>
    <definedName name="전자" localSheetId="45" hidden="1">{#N/A,#N/A,FALSE,"손익표지";#N/A,#N/A,FALSE,"손익계산";#N/A,#N/A,FALSE,"일반관리비";#N/A,#N/A,FALSE,"영업외수익";#N/A,#N/A,FALSE,"영업외비용";#N/A,#N/A,FALSE,"매출액";#N/A,#N/A,FALSE,"요약손익";#N/A,#N/A,FALSE,"요약대차";#N/A,#N/A,FALSE,"매출채권현황";#N/A,#N/A,FALSE,"매출채권명세"}</definedName>
    <definedName name="전자" localSheetId="42" hidden="1">{#N/A,#N/A,FALSE,"손익표지";#N/A,#N/A,FALSE,"손익계산";#N/A,#N/A,FALSE,"일반관리비";#N/A,#N/A,FALSE,"영업외수익";#N/A,#N/A,FALSE,"영업외비용";#N/A,#N/A,FALSE,"매출액";#N/A,#N/A,FALSE,"요약손익";#N/A,#N/A,FALSE,"요약대차";#N/A,#N/A,FALSE,"매출채권현황";#N/A,#N/A,FALSE,"매출채권명세"}</definedName>
    <definedName name="전자" hidden="1">{#N/A,#N/A,FALSE,"손익표지";#N/A,#N/A,FALSE,"손익계산";#N/A,#N/A,FALSE,"일반관리비";#N/A,#N/A,FALSE,"영업외수익";#N/A,#N/A,FALSE,"영업외비용";#N/A,#N/A,FALSE,"매출액";#N/A,#N/A,FALSE,"요약손익";#N/A,#N/A,FALSE,"요약대차";#N/A,#N/A,FALSE,"매출채권현황";#N/A,#N/A,FALSE,"매출채권명세"}</definedName>
    <definedName name="전자CF" localSheetId="42" hidden="1">{#N/A,#N/A,FALSE,"지침";#N/A,#N/A,FALSE,"환경분석";#N/A,#N/A,FALSE,"Sheet16"}</definedName>
    <definedName name="전자CF" hidden="1">{#N/A,#N/A,FALSE,"지침";#N/A,#N/A,FALSE,"환경분석";#N/A,#N/A,FALSE,"Sheet16"}</definedName>
    <definedName name="전체비용" localSheetId="42" hidden="1">{"'9월'!$F$38"}</definedName>
    <definedName name="전체비용" hidden="1">{"'9월'!$F$38"}</definedName>
    <definedName name="전체비용2" localSheetId="42" hidden="1">{"'9월'!$F$38"}</definedName>
    <definedName name="전체비용2" hidden="1">{"'9월'!$F$38"}</definedName>
    <definedName name="전표수거비" localSheetId="15" hidden="1">{#N/A,#N/A,FALSE,"계약직(여)"}</definedName>
    <definedName name="전표수거비" localSheetId="6" hidden="1">{#N/A,#N/A,FALSE,"계약직(여)"}</definedName>
    <definedName name="전표수거비" localSheetId="45" hidden="1">{#N/A,#N/A,FALSE,"계약직(여)"}</definedName>
    <definedName name="전표수거비" localSheetId="42" hidden="1">{#N/A,#N/A,FALSE,"계약직(여)"}</definedName>
    <definedName name="전표수거비" hidden="1">{#N/A,#N/A,FALSE,"계약직(여)"}</definedName>
    <definedName name="절감내역상세" localSheetId="15" hidden="1">{#N/A,#N/A,FALSE,"정공"}</definedName>
    <definedName name="절감내역상세" localSheetId="6" hidden="1">{#N/A,#N/A,FALSE,"정공"}</definedName>
    <definedName name="절감내역상세" localSheetId="45" hidden="1">{#N/A,#N/A,FALSE,"정공"}</definedName>
    <definedName name="절감내역상세" localSheetId="42" hidden="1">{#N/A,#N/A,FALSE,"정공"}</definedName>
    <definedName name="절감내역상세" hidden="1">{#N/A,#N/A,FALSE,"정공"}</definedName>
    <definedName name="절감반기계획對실적" localSheetId="15" hidden="1">{#N/A,#N/A,FALSE,"정공"}</definedName>
    <definedName name="절감반기계획對실적" localSheetId="6" hidden="1">{#N/A,#N/A,FALSE,"정공"}</definedName>
    <definedName name="절감반기계획對실적" localSheetId="45" hidden="1">{#N/A,#N/A,FALSE,"정공"}</definedName>
    <definedName name="절감반기계획對실적" localSheetId="42" hidden="1">{#N/A,#N/A,FALSE,"정공"}</definedName>
    <definedName name="절감반기계획對실적" hidden="1">{#N/A,#N/A,FALSE,"정공"}</definedName>
    <definedName name="접대비" localSheetId="4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접대비"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정" localSheetId="12" hidden="1">{#N/A,#N/A,FALSE,"UNIT";#N/A,#N/A,FALSE,"UNIT";#N/A,#N/A,FALSE,"계정"}</definedName>
    <definedName name="정" localSheetId="42" hidden="1">{#N/A,#N/A,FALSE,"UNIT";#N/A,#N/A,FALSE,"UNIT";#N/A,#N/A,FALSE,"계정"}</definedName>
    <definedName name="정" hidden="1">{#N/A,#N/A,FALSE,"UNIT";#N/A,#N/A,FALSE,"UNIT";#N/A,#N/A,FALSE,"계정"}</definedName>
    <definedName name="정공" localSheetId="15" hidden="1">{#N/A,#N/A,FALSE,"정공"}</definedName>
    <definedName name="정공" localSheetId="6" hidden="1">{#N/A,#N/A,FALSE,"정공"}</definedName>
    <definedName name="정공" localSheetId="45" hidden="1">{#N/A,#N/A,FALSE,"정공"}</definedName>
    <definedName name="정공" localSheetId="42" hidden="1">{#N/A,#N/A,FALSE,"정공"}</definedName>
    <definedName name="정공" hidden="1">{#N/A,#N/A,FALSE,"정공"}</definedName>
    <definedName name="정문" localSheetId="12" hidden="1">{#N/A,#N/A,FALSE,"UNIT";#N/A,#N/A,FALSE,"UNIT";#N/A,#N/A,FALSE,"계정"}</definedName>
    <definedName name="정문" localSheetId="42" hidden="1">{#N/A,#N/A,FALSE,"UNIT";#N/A,#N/A,FALSE,"UNIT";#N/A,#N/A,FALSE,"계정"}</definedName>
    <definedName name="정문" hidden="1">{#N/A,#N/A,FALSE,"UNIT";#N/A,#N/A,FALSE,"UNIT";#N/A,#N/A,FALSE,"계정"}</definedName>
    <definedName name="정문식" localSheetId="12" hidden="1">{#N/A,#N/A,FALSE,"UNIT";#N/A,#N/A,FALSE,"UNIT";#N/A,#N/A,FALSE,"계정"}</definedName>
    <definedName name="정문식" localSheetId="42" hidden="1">{#N/A,#N/A,FALSE,"UNIT";#N/A,#N/A,FALSE,"UNIT";#N/A,#N/A,FALSE,"계정"}</definedName>
    <definedName name="정문식" hidden="1">{#N/A,#N/A,FALSE,"UNIT";#N/A,#N/A,FALSE,"UNIT";#N/A,#N/A,FALSE,"계정"}</definedName>
    <definedName name="정봉용" localSheetId="15" hidden="1">{#N/A,#N/A,FALSE,"손익표지";#N/A,#N/A,FALSE,"손익계산";#N/A,#N/A,FALSE,"일반관리비";#N/A,#N/A,FALSE,"영업외수익";#N/A,#N/A,FALSE,"영업외비용";#N/A,#N/A,FALSE,"매출액";#N/A,#N/A,FALSE,"요약손익";#N/A,#N/A,FALSE,"요약대차";#N/A,#N/A,FALSE,"매출채권현황";#N/A,#N/A,FALSE,"매출채권명세"}</definedName>
    <definedName name="정봉용" localSheetId="6" hidden="1">{#N/A,#N/A,FALSE,"손익표지";#N/A,#N/A,FALSE,"손익계산";#N/A,#N/A,FALSE,"일반관리비";#N/A,#N/A,FALSE,"영업외수익";#N/A,#N/A,FALSE,"영업외비용";#N/A,#N/A,FALSE,"매출액";#N/A,#N/A,FALSE,"요약손익";#N/A,#N/A,FALSE,"요약대차";#N/A,#N/A,FALSE,"매출채권현황";#N/A,#N/A,FALSE,"매출채권명세"}</definedName>
    <definedName name="정봉용" localSheetId="45" hidden="1">{#N/A,#N/A,FALSE,"손익표지";#N/A,#N/A,FALSE,"손익계산";#N/A,#N/A,FALSE,"일반관리비";#N/A,#N/A,FALSE,"영업외수익";#N/A,#N/A,FALSE,"영업외비용";#N/A,#N/A,FALSE,"매출액";#N/A,#N/A,FALSE,"요약손익";#N/A,#N/A,FALSE,"요약대차";#N/A,#N/A,FALSE,"매출채권현황";#N/A,#N/A,FALSE,"매출채권명세"}</definedName>
    <definedName name="정봉용" localSheetId="42" hidden="1">{#N/A,#N/A,FALSE,"손익표지";#N/A,#N/A,FALSE,"손익계산";#N/A,#N/A,FALSE,"일반관리비";#N/A,#N/A,FALSE,"영업외수익";#N/A,#N/A,FALSE,"영업외비용";#N/A,#N/A,FALSE,"매출액";#N/A,#N/A,FALSE,"요약손익";#N/A,#N/A,FALSE,"요약대차";#N/A,#N/A,FALSE,"매출채권현황";#N/A,#N/A,FALSE,"매출채권명세"}</definedName>
    <definedName name="정봉용" hidden="1">{#N/A,#N/A,FALSE,"손익표지";#N/A,#N/A,FALSE,"손익계산";#N/A,#N/A,FALSE,"일반관리비";#N/A,#N/A,FALSE,"영업외수익";#N/A,#N/A,FALSE,"영업외비용";#N/A,#N/A,FALSE,"매출액";#N/A,#N/A,FALSE,"요약손익";#N/A,#N/A,FALSE,"요약대차";#N/A,#N/A,FALSE,"매출채권현황";#N/A,#N/A,FALSE,"매출채권명세"}</definedName>
    <definedName name="정상가격" localSheetId="4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정상가격"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정인" localSheetId="15" hidden="1">{#N/A,#N/A,FALSE,"손익표지";#N/A,#N/A,FALSE,"손익계산";#N/A,#N/A,FALSE,"일반관리비";#N/A,#N/A,FALSE,"영업외수익";#N/A,#N/A,FALSE,"영업외비용";#N/A,#N/A,FALSE,"매출액";#N/A,#N/A,FALSE,"요약손익";#N/A,#N/A,FALSE,"요약대차";#N/A,#N/A,FALSE,"매출채권현황";#N/A,#N/A,FALSE,"매출채권명세"}</definedName>
    <definedName name="정인" localSheetId="6" hidden="1">{#N/A,#N/A,FALSE,"손익표지";#N/A,#N/A,FALSE,"손익계산";#N/A,#N/A,FALSE,"일반관리비";#N/A,#N/A,FALSE,"영업외수익";#N/A,#N/A,FALSE,"영업외비용";#N/A,#N/A,FALSE,"매출액";#N/A,#N/A,FALSE,"요약손익";#N/A,#N/A,FALSE,"요약대차";#N/A,#N/A,FALSE,"매출채권현황";#N/A,#N/A,FALSE,"매출채권명세"}</definedName>
    <definedName name="정인" localSheetId="45" hidden="1">{#N/A,#N/A,FALSE,"손익표지";#N/A,#N/A,FALSE,"손익계산";#N/A,#N/A,FALSE,"일반관리비";#N/A,#N/A,FALSE,"영업외수익";#N/A,#N/A,FALSE,"영업외비용";#N/A,#N/A,FALSE,"매출액";#N/A,#N/A,FALSE,"요약손익";#N/A,#N/A,FALSE,"요약대차";#N/A,#N/A,FALSE,"매출채권현황";#N/A,#N/A,FALSE,"매출채권명세"}</definedName>
    <definedName name="정인" localSheetId="42" hidden="1">{#N/A,#N/A,FALSE,"손익표지";#N/A,#N/A,FALSE,"손익계산";#N/A,#N/A,FALSE,"일반관리비";#N/A,#N/A,FALSE,"영업외수익";#N/A,#N/A,FALSE,"영업외비용";#N/A,#N/A,FALSE,"매출액";#N/A,#N/A,FALSE,"요약손익";#N/A,#N/A,FALSE,"요약대차";#N/A,#N/A,FALSE,"매출채권현황";#N/A,#N/A,FALSE,"매출채권명세"}</definedName>
    <definedName name="정인" hidden="1">{#N/A,#N/A,FALSE,"손익표지";#N/A,#N/A,FALSE,"손익계산";#N/A,#N/A,FALSE,"일반관리비";#N/A,#N/A,FALSE,"영업외수익";#N/A,#N/A,FALSE,"영업외비용";#N/A,#N/A,FALSE,"매출액";#N/A,#N/A,FALSE,"요약손익";#N/A,#N/A,FALSE,"요약대차";#N/A,#N/A,FALSE,"매출채권현황";#N/A,#N/A,FALSE,"매출채권명세"}</definedName>
    <definedName name="정인보" localSheetId="15" hidden="1">{#N/A,#N/A,FALSE,"손익표지";#N/A,#N/A,FALSE,"손익계산";#N/A,#N/A,FALSE,"일반관리비";#N/A,#N/A,FALSE,"영업외수익";#N/A,#N/A,FALSE,"영업외비용";#N/A,#N/A,FALSE,"매출액";#N/A,#N/A,FALSE,"요약손익";#N/A,#N/A,FALSE,"요약대차";#N/A,#N/A,FALSE,"매출채권현황";#N/A,#N/A,FALSE,"매출채권명세"}</definedName>
    <definedName name="정인보" localSheetId="6" hidden="1">{#N/A,#N/A,FALSE,"손익표지";#N/A,#N/A,FALSE,"손익계산";#N/A,#N/A,FALSE,"일반관리비";#N/A,#N/A,FALSE,"영업외수익";#N/A,#N/A,FALSE,"영업외비용";#N/A,#N/A,FALSE,"매출액";#N/A,#N/A,FALSE,"요약손익";#N/A,#N/A,FALSE,"요약대차";#N/A,#N/A,FALSE,"매출채권현황";#N/A,#N/A,FALSE,"매출채권명세"}</definedName>
    <definedName name="정인보" localSheetId="45" hidden="1">{#N/A,#N/A,FALSE,"손익표지";#N/A,#N/A,FALSE,"손익계산";#N/A,#N/A,FALSE,"일반관리비";#N/A,#N/A,FALSE,"영업외수익";#N/A,#N/A,FALSE,"영업외비용";#N/A,#N/A,FALSE,"매출액";#N/A,#N/A,FALSE,"요약손익";#N/A,#N/A,FALSE,"요약대차";#N/A,#N/A,FALSE,"매출채권현황";#N/A,#N/A,FALSE,"매출채권명세"}</definedName>
    <definedName name="정인보" localSheetId="42" hidden="1">{#N/A,#N/A,FALSE,"손익표지";#N/A,#N/A,FALSE,"손익계산";#N/A,#N/A,FALSE,"일반관리비";#N/A,#N/A,FALSE,"영업외수익";#N/A,#N/A,FALSE,"영업외비용";#N/A,#N/A,FALSE,"매출액";#N/A,#N/A,FALSE,"요약손익";#N/A,#N/A,FALSE,"요약대차";#N/A,#N/A,FALSE,"매출채권현황";#N/A,#N/A,FALSE,"매출채권명세"}</definedName>
    <definedName name="정인보" hidden="1">{#N/A,#N/A,FALSE,"손익표지";#N/A,#N/A,FALSE,"손익계산";#N/A,#N/A,FALSE,"일반관리비";#N/A,#N/A,FALSE,"영업외수익";#N/A,#N/A,FALSE,"영업외비용";#N/A,#N/A,FALSE,"매출액";#N/A,#N/A,FALSE,"요약손익";#N/A,#N/A,FALSE,"요약대차";#N/A,#N/A,FALSE,"매출채권현황";#N/A,#N/A,FALSE,"매출채권명세"}</definedName>
    <definedName name="정종구" localSheetId="15" hidden="1">{#N/A,#N/A,FALSE,"손익표지";#N/A,#N/A,FALSE,"손익계산";#N/A,#N/A,FALSE,"일반관리비";#N/A,#N/A,FALSE,"영업외수익";#N/A,#N/A,FALSE,"영업외비용";#N/A,#N/A,FALSE,"매출액";#N/A,#N/A,FALSE,"요약손익";#N/A,#N/A,FALSE,"요약대차";#N/A,#N/A,FALSE,"매출채권현황";#N/A,#N/A,FALSE,"매출채권명세"}</definedName>
    <definedName name="정종구" localSheetId="6" hidden="1">{#N/A,#N/A,FALSE,"손익표지";#N/A,#N/A,FALSE,"손익계산";#N/A,#N/A,FALSE,"일반관리비";#N/A,#N/A,FALSE,"영업외수익";#N/A,#N/A,FALSE,"영업외비용";#N/A,#N/A,FALSE,"매출액";#N/A,#N/A,FALSE,"요약손익";#N/A,#N/A,FALSE,"요약대차";#N/A,#N/A,FALSE,"매출채권현황";#N/A,#N/A,FALSE,"매출채권명세"}</definedName>
    <definedName name="정종구" localSheetId="45" hidden="1">{#N/A,#N/A,FALSE,"손익표지";#N/A,#N/A,FALSE,"손익계산";#N/A,#N/A,FALSE,"일반관리비";#N/A,#N/A,FALSE,"영업외수익";#N/A,#N/A,FALSE,"영업외비용";#N/A,#N/A,FALSE,"매출액";#N/A,#N/A,FALSE,"요약손익";#N/A,#N/A,FALSE,"요약대차";#N/A,#N/A,FALSE,"매출채권현황";#N/A,#N/A,FALSE,"매출채권명세"}</definedName>
    <definedName name="정종구" localSheetId="42" hidden="1">{#N/A,#N/A,FALSE,"손익표지";#N/A,#N/A,FALSE,"손익계산";#N/A,#N/A,FALSE,"일반관리비";#N/A,#N/A,FALSE,"영업외수익";#N/A,#N/A,FALSE,"영업외비용";#N/A,#N/A,FALSE,"매출액";#N/A,#N/A,FALSE,"요약손익";#N/A,#N/A,FALSE,"요약대차";#N/A,#N/A,FALSE,"매출채권현황";#N/A,#N/A,FALSE,"매출채권명세"}</definedName>
    <definedName name="정종구" hidden="1">{#N/A,#N/A,FALSE,"손익표지";#N/A,#N/A,FALSE,"손익계산";#N/A,#N/A,FALSE,"일반관리비";#N/A,#N/A,FALSE,"영업외수익";#N/A,#N/A,FALSE,"영업외비용";#N/A,#N/A,FALSE,"매출액";#N/A,#N/A,FALSE,"요약손익";#N/A,#N/A,FALSE,"요약대차";#N/A,#N/A,FALSE,"매출채권현황";#N/A,#N/A,FALSE,"매출채권명세"}</definedName>
    <definedName name="정주" localSheetId="12" hidden="1">{#N/A,#N/A,FALSE,"DAOCM 2차 검토"}</definedName>
    <definedName name="정주" localSheetId="42" hidden="1">{#N/A,#N/A,FALSE,"DAOCM 2차 검토"}</definedName>
    <definedName name="정주" hidden="1">{#N/A,#N/A,FALSE,"DAOCM 2차 검토"}</definedName>
    <definedName name="정징" localSheetId="42" hidden="1">{#N/A,#N/A,TRUE,"Y생산";#N/A,#N/A,TRUE,"Y판매";#N/A,#N/A,TRUE,"Y총물량";#N/A,#N/A,TRUE,"Y능력";#N/A,#N/A,TRUE,"YKD"}</definedName>
    <definedName name="정징" hidden="1">{#N/A,#N/A,TRUE,"Y생산";#N/A,#N/A,TRUE,"Y판매";#N/A,#N/A,TRUE,"Y총물량";#N/A,#N/A,TRUE,"Y능력";#N/A,#N/A,TRUE,"YKD"}</definedName>
    <definedName name="제1안" localSheetId="12" hidden="1">{#N/A,#N/A,TRUE,"매출진척-1";#N/A,#N/A,TRUE,"매출진척-2";#N/A,#N/A,TRUE,"제품실적";#N/A,#N/A,TRUE,"RAC";#N/A,#N/A,TRUE,"PAC ";#N/A,#N/A,TRUE,"재고현황";#N/A,#N/A,TRUE,"공지사항"}</definedName>
    <definedName name="제1안" localSheetId="42" hidden="1">{#N/A,#N/A,TRUE,"매출진척-1";#N/A,#N/A,TRUE,"매출진척-2";#N/A,#N/A,TRUE,"제품실적";#N/A,#N/A,TRUE,"RAC";#N/A,#N/A,TRUE,"PAC ";#N/A,#N/A,TRUE,"재고현황";#N/A,#N/A,TRUE,"공지사항"}</definedName>
    <definedName name="제1안" hidden="1">{#N/A,#N/A,TRUE,"매출진척-1";#N/A,#N/A,TRUE,"매출진척-2";#N/A,#N/A,TRUE,"제품실적";#N/A,#N/A,TRUE,"RAC";#N/A,#N/A,TRUE,"PAC ";#N/A,#N/A,TRUE,"재고현황";#N/A,#N/A,TRUE,"공지사항"}</definedName>
    <definedName name="제조" localSheetId="42" hidden="1">{#N/A,#N/A,FALSE,"1.CRITERIA";#N/A,#N/A,FALSE,"2.IS";#N/A,#N/A,FALSE,"3.BS";#N/A,#N/A,FALSE,"4.PER PL";#N/A,#N/A,FALSE,"5.INVESTMENT";#N/A,#N/A,FALSE,"6.공문";#N/A,#N/A,FALSE,"7.netinvest"}</definedName>
    <definedName name="제조" hidden="1">{#N/A,#N/A,FALSE,"1.CRITERIA";#N/A,#N/A,FALSE,"2.IS";#N/A,#N/A,FALSE,"3.BS";#N/A,#N/A,FALSE,"4.PER PL";#N/A,#N/A,FALSE,"5.INVESTMENT";#N/A,#N/A,FALSE,"6.공문";#N/A,#N/A,FALSE,"7.netinvest"}</definedName>
    <definedName name="제출" localSheetId="15" hidden="1">{#N/A,#N/A,FALSE,"손익표지";#N/A,#N/A,FALSE,"손익계산";#N/A,#N/A,FALSE,"일반관리비";#N/A,#N/A,FALSE,"영업외수익";#N/A,#N/A,FALSE,"영업외비용";#N/A,#N/A,FALSE,"매출액";#N/A,#N/A,FALSE,"요약손익";#N/A,#N/A,FALSE,"요약대차";#N/A,#N/A,FALSE,"매출채권현황";#N/A,#N/A,FALSE,"매출채권명세"}</definedName>
    <definedName name="제출" localSheetId="6" hidden="1">{#N/A,#N/A,FALSE,"손익표지";#N/A,#N/A,FALSE,"손익계산";#N/A,#N/A,FALSE,"일반관리비";#N/A,#N/A,FALSE,"영업외수익";#N/A,#N/A,FALSE,"영업외비용";#N/A,#N/A,FALSE,"매출액";#N/A,#N/A,FALSE,"요약손익";#N/A,#N/A,FALSE,"요약대차";#N/A,#N/A,FALSE,"매출채권현황";#N/A,#N/A,FALSE,"매출채권명세"}</definedName>
    <definedName name="제출" localSheetId="45" hidden="1">{#N/A,#N/A,FALSE,"손익표지";#N/A,#N/A,FALSE,"손익계산";#N/A,#N/A,FALSE,"일반관리비";#N/A,#N/A,FALSE,"영업외수익";#N/A,#N/A,FALSE,"영업외비용";#N/A,#N/A,FALSE,"매출액";#N/A,#N/A,FALSE,"요약손익";#N/A,#N/A,FALSE,"요약대차";#N/A,#N/A,FALSE,"매출채권현황";#N/A,#N/A,FALSE,"매출채권명세"}</definedName>
    <definedName name="제출" localSheetId="42" hidden="1">{#N/A,#N/A,FALSE,"손익표지";#N/A,#N/A,FALSE,"손익계산";#N/A,#N/A,FALSE,"일반관리비";#N/A,#N/A,FALSE,"영업외수익";#N/A,#N/A,FALSE,"영업외비용";#N/A,#N/A,FALSE,"매출액";#N/A,#N/A,FALSE,"요약손익";#N/A,#N/A,FALSE,"요약대차";#N/A,#N/A,FALSE,"매출채권현황";#N/A,#N/A,FALSE,"매출채권명세"}</definedName>
    <definedName name="제출" hidden="1">{#N/A,#N/A,FALSE,"손익표지";#N/A,#N/A,FALSE,"손익계산";#N/A,#N/A,FALSE,"일반관리비";#N/A,#N/A,FALSE,"영업외수익";#N/A,#N/A,FALSE,"영업외비용";#N/A,#N/A,FALSE,"매출액";#N/A,#N/A,FALSE,"요약손익";#N/A,#N/A,FALSE,"요약대차";#N/A,#N/A,FALSE,"매출채권현황";#N/A,#N/A,FALSE,"매출채권명세"}</definedName>
    <definedName name="제출용" localSheetId="42" hidden="1">{"'경비내역'!$E$11"}</definedName>
    <definedName name="제출용" hidden="1">{"'경비내역'!$E$11"}</definedName>
    <definedName name="제품구분손익" localSheetId="15" hidden="1">{#N/A,#N/A,FALSE,"정공"}</definedName>
    <definedName name="제품구분손익" localSheetId="6" hidden="1">{#N/A,#N/A,FALSE,"정공"}</definedName>
    <definedName name="제품구분손익" localSheetId="45" hidden="1">{#N/A,#N/A,FALSE,"정공"}</definedName>
    <definedName name="제품구분손익" localSheetId="42" hidden="1">{#N/A,#N/A,FALSE,"정공"}</definedName>
    <definedName name="제품구분손익" hidden="1">{#N/A,#N/A,FALSE,"정공"}</definedName>
    <definedName name="제품별" localSheetId="15" hidden="1">{#N/A,#N/A,FALSE,"정공"}</definedName>
    <definedName name="제품별" localSheetId="6" hidden="1">{#N/A,#N/A,FALSE,"정공"}</definedName>
    <definedName name="제품별" localSheetId="45" hidden="1">{#N/A,#N/A,FALSE,"정공"}</definedName>
    <definedName name="제품별" localSheetId="42" hidden="1">{#N/A,#N/A,FALSE,"정공"}</definedName>
    <definedName name="제품별" hidden="1">{#N/A,#N/A,FALSE,"정공"}</definedName>
    <definedName name="제품별사업전략" localSheetId="12" hidden="1">{#N/A,#N/A,FALSE,"UNIT";#N/A,#N/A,FALSE,"UNIT";#N/A,#N/A,FALSE,"계정"}</definedName>
    <definedName name="제품별사업전략" localSheetId="42" hidden="1">{#N/A,#N/A,FALSE,"UNIT";#N/A,#N/A,FALSE,"UNIT";#N/A,#N/A,FALSE,"계정"}</definedName>
    <definedName name="제품별사업전략" hidden="1">{#N/A,#N/A,FALSE,"UNIT";#N/A,#N/A,FALSE,"UNIT";#N/A,#N/A,FALSE,"계정"}</definedName>
    <definedName name="제품별손익" localSheetId="15" hidden="1">{#N/A,#N/A,FALSE,"정공"}</definedName>
    <definedName name="제품별손익" localSheetId="6" hidden="1">{#N/A,#N/A,FALSE,"정공"}</definedName>
    <definedName name="제품별손익" localSheetId="45" hidden="1">{#N/A,#N/A,FALSE,"정공"}</definedName>
    <definedName name="제품별손익" localSheetId="42" hidden="1">{#N/A,#N/A,FALSE,"정공"}</definedName>
    <definedName name="제품별손익" hidden="1">{#N/A,#N/A,FALSE,"정공"}</definedName>
    <definedName name="제품손익표" localSheetId="15" hidden="1">{#N/A,#N/A,FALSE,"정공"}</definedName>
    <definedName name="제품손익표" localSheetId="6" hidden="1">{#N/A,#N/A,FALSE,"정공"}</definedName>
    <definedName name="제품손익표" localSheetId="45" hidden="1">{#N/A,#N/A,FALSE,"정공"}</definedName>
    <definedName name="제품손익표" localSheetId="42" hidden="1">{#N/A,#N/A,FALSE,"정공"}</definedName>
    <definedName name="제품손익표" hidden="1">{#N/A,#N/A,FALSE,"정공"}</definedName>
    <definedName name="조" localSheetId="15" hidden="1">{#N/A,#N/A,FALSE,"1.CRITERIA";#N/A,#N/A,FALSE,"2.IS";#N/A,#N/A,FALSE,"3.BS";#N/A,#N/A,FALSE,"4.PER PL";#N/A,#N/A,FALSE,"5.INVESTMENT";#N/A,#N/A,FALSE,"6.공문";#N/A,#N/A,FALSE,"7.netinvest"}</definedName>
    <definedName name="조" localSheetId="6" hidden="1">{#N/A,#N/A,FALSE,"1.CRITERIA";#N/A,#N/A,FALSE,"2.IS";#N/A,#N/A,FALSE,"3.BS";#N/A,#N/A,FALSE,"4.PER PL";#N/A,#N/A,FALSE,"5.INVESTMENT";#N/A,#N/A,FALSE,"6.공문";#N/A,#N/A,FALSE,"7.netinvest"}</definedName>
    <definedName name="조" localSheetId="45" hidden="1">{#N/A,#N/A,FALSE,"1.CRITERIA";#N/A,#N/A,FALSE,"2.IS";#N/A,#N/A,FALSE,"3.BS";#N/A,#N/A,FALSE,"4.PER PL";#N/A,#N/A,FALSE,"5.INVESTMENT";#N/A,#N/A,FALSE,"6.공문";#N/A,#N/A,FALSE,"7.netinvest"}</definedName>
    <definedName name="조" localSheetId="42" hidden="1">{#N/A,#N/A,FALSE,"1.CRITERIA";#N/A,#N/A,FALSE,"2.IS";#N/A,#N/A,FALSE,"3.BS";#N/A,#N/A,FALSE,"4.PER PL";#N/A,#N/A,FALSE,"5.INVESTMENT";#N/A,#N/A,FALSE,"6.공문";#N/A,#N/A,FALSE,"7.netinvest"}</definedName>
    <definedName name="조" hidden="1">{#N/A,#N/A,FALSE,"1.CRITERIA";#N/A,#N/A,FALSE,"2.IS";#N/A,#N/A,FALSE,"3.BS";#N/A,#N/A,FALSE,"4.PER PL";#N/A,#N/A,FALSE,"5.INVESTMENT";#N/A,#N/A,FALSE,"6.공문";#N/A,#N/A,FALSE,"7.netinvest"}</definedName>
    <definedName name="조정" localSheetId="30" hidden="1">#REF!</definedName>
    <definedName name="조정" localSheetId="29" hidden="1">#REF!</definedName>
    <definedName name="조정" localSheetId="33" hidden="1">#REF!</definedName>
    <definedName name="조정" localSheetId="15" hidden="1">#REF!</definedName>
    <definedName name="조정" localSheetId="31" hidden="1">#REF!</definedName>
    <definedName name="조정" localSheetId="6" hidden="1">#REF!</definedName>
    <definedName name="조정" localSheetId="32" hidden="1">#REF!</definedName>
    <definedName name="조정" localSheetId="42" hidden="1">#REF!</definedName>
    <definedName name="조정" hidden="1">#REF!</definedName>
    <definedName name="조정2" localSheetId="15" hidden="1">{#N/A,#N/A,FALSE,"DAOCM 2차 검토"}</definedName>
    <definedName name="조정2" localSheetId="6" hidden="1">{#N/A,#N/A,FALSE,"DAOCM 2차 검토"}</definedName>
    <definedName name="조정2" localSheetId="45" hidden="1">{#N/A,#N/A,FALSE,"DAOCM 2차 검토"}</definedName>
    <definedName name="조정2" localSheetId="42" hidden="1">{#N/A,#N/A,FALSE,"DAOCM 2차 검토"}</definedName>
    <definedName name="조정2" hidden="1">{#N/A,#N/A,FALSE,"DAOCM 2차 검토"}</definedName>
    <definedName name="조정표지" localSheetId="4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조정표지"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조정후손익" localSheetId="15" hidden="1">{#N/A,#N/A,FALSE,"정공"}</definedName>
    <definedName name="조정후손익" localSheetId="6" hidden="1">{#N/A,#N/A,FALSE,"정공"}</definedName>
    <definedName name="조정후손익" localSheetId="45" hidden="1">{#N/A,#N/A,FALSE,"정공"}</definedName>
    <definedName name="조정후손익" localSheetId="42" hidden="1">{#N/A,#N/A,FALSE,"정공"}</definedName>
    <definedName name="조정후손익" hidden="1">{#N/A,#N/A,FALSE,"정공"}</definedName>
    <definedName name="조직1" localSheetId="15" hidden="1">{#N/A,#N/A,FALSE,"정공"}</definedName>
    <definedName name="조직1" localSheetId="6" hidden="1">{#N/A,#N/A,FALSE,"정공"}</definedName>
    <definedName name="조직1" localSheetId="45" hidden="1">{#N/A,#N/A,FALSE,"정공"}</definedName>
    <definedName name="조직1" localSheetId="42" hidden="1">{#N/A,#N/A,FALSE,"정공"}</definedName>
    <definedName name="조직1" hidden="1">{#N/A,#N/A,FALSE,"정공"}</definedName>
    <definedName name="조직3" localSheetId="15" hidden="1">{#N/A,#N/A,FALSE,"정공"}</definedName>
    <definedName name="조직3" localSheetId="6" hidden="1">{#N/A,#N/A,FALSE,"정공"}</definedName>
    <definedName name="조직3" localSheetId="45" hidden="1">{#N/A,#N/A,FALSE,"정공"}</definedName>
    <definedName name="조직3" localSheetId="42" hidden="1">{#N/A,#N/A,FALSE,"정공"}</definedName>
    <definedName name="조직3" hidden="1">{#N/A,#N/A,FALSE,"정공"}</definedName>
    <definedName name="조회" localSheetId="42" hidden="1">{#N/A,#N/A,FALSE,"채권채무";#N/A,#N/A,FALSE,"control sheet"}</definedName>
    <definedName name="조회" hidden="1">{#N/A,#N/A,FALSE,"채권채무";#N/A,#N/A,FALSE,"control sheet"}</definedName>
    <definedName name="조회서" localSheetId="42" hidden="1">{#N/A,#N/A,FALSE,"채권채무";#N/A,#N/A,FALSE,"control sheet"}</definedName>
    <definedName name="조회서" hidden="1">{#N/A,#N/A,FALSE,"채권채무";#N/A,#N/A,FALSE,"control sheet"}</definedName>
    <definedName name="종합2" localSheetId="15" hidden="1">{#N/A,#N/A,FALSE,"정공"}</definedName>
    <definedName name="종합2" localSheetId="6" hidden="1">{#N/A,#N/A,FALSE,"정공"}</definedName>
    <definedName name="종합2" localSheetId="45" hidden="1">{#N/A,#N/A,FALSE,"정공"}</definedName>
    <definedName name="종합2" localSheetId="42" hidden="1">{#N/A,#N/A,FALSE,"정공"}</definedName>
    <definedName name="종합2" hidden="1">{#N/A,#N/A,FALSE,"정공"}</definedName>
    <definedName name="종합미래2" localSheetId="15" hidden="1">{#N/A,#N/A,FALSE,"정공"}</definedName>
    <definedName name="종합미래2" localSheetId="6" hidden="1">{#N/A,#N/A,FALSE,"정공"}</definedName>
    <definedName name="종합미래2" localSheetId="45" hidden="1">{#N/A,#N/A,FALSE,"정공"}</definedName>
    <definedName name="종합미래2" localSheetId="42" hidden="1">{#N/A,#N/A,FALSE,"정공"}</definedName>
    <definedName name="종합미래2" hidden="1">{#N/A,#N/A,FALSE,"정공"}</definedName>
    <definedName name="종합어음" localSheetId="15" hidden="1">{#N/A,#N/A,FALSE,"손익표지";#N/A,#N/A,FALSE,"손익계산";#N/A,#N/A,FALSE,"일반관리비";#N/A,#N/A,FALSE,"영업외수익";#N/A,#N/A,FALSE,"영업외비용";#N/A,#N/A,FALSE,"매출액";#N/A,#N/A,FALSE,"요약손익";#N/A,#N/A,FALSE,"요약대차";#N/A,#N/A,FALSE,"매출채권현황";#N/A,#N/A,FALSE,"매출채권명세"}</definedName>
    <definedName name="종합어음" localSheetId="6" hidden="1">{#N/A,#N/A,FALSE,"손익표지";#N/A,#N/A,FALSE,"손익계산";#N/A,#N/A,FALSE,"일반관리비";#N/A,#N/A,FALSE,"영업외수익";#N/A,#N/A,FALSE,"영업외비용";#N/A,#N/A,FALSE,"매출액";#N/A,#N/A,FALSE,"요약손익";#N/A,#N/A,FALSE,"요약대차";#N/A,#N/A,FALSE,"매출채권현황";#N/A,#N/A,FALSE,"매출채권명세"}</definedName>
    <definedName name="종합어음" localSheetId="45" hidden="1">{#N/A,#N/A,FALSE,"손익표지";#N/A,#N/A,FALSE,"손익계산";#N/A,#N/A,FALSE,"일반관리비";#N/A,#N/A,FALSE,"영업외수익";#N/A,#N/A,FALSE,"영업외비용";#N/A,#N/A,FALSE,"매출액";#N/A,#N/A,FALSE,"요약손익";#N/A,#N/A,FALSE,"요약대차";#N/A,#N/A,FALSE,"매출채권현황";#N/A,#N/A,FALSE,"매출채권명세"}</definedName>
    <definedName name="종합어음" localSheetId="42" hidden="1">{#N/A,#N/A,FALSE,"손익표지";#N/A,#N/A,FALSE,"손익계산";#N/A,#N/A,FALSE,"일반관리비";#N/A,#N/A,FALSE,"영업외수익";#N/A,#N/A,FALSE,"영업외비용";#N/A,#N/A,FALSE,"매출액";#N/A,#N/A,FALSE,"요약손익";#N/A,#N/A,FALSE,"요약대차";#N/A,#N/A,FALSE,"매출채권현황";#N/A,#N/A,FALSE,"매출채권명세"}</definedName>
    <definedName name="종합어음" hidden="1">{#N/A,#N/A,FALSE,"손익표지";#N/A,#N/A,FALSE,"손익계산";#N/A,#N/A,FALSE,"일반관리비";#N/A,#N/A,FALSE,"영업외수익";#N/A,#N/A,FALSE,"영업외비용";#N/A,#N/A,FALSE,"매출액";#N/A,#N/A,FALSE,"요약손익";#N/A,#N/A,FALSE,"요약대차";#N/A,#N/A,FALSE,"매출채권현황";#N/A,#N/A,FALSE,"매출채권명세"}</definedName>
    <definedName name="종화" localSheetId="12" hidden="1">{#N/A,#N/A,FALSE,"지침";#N/A,#N/A,FALSE,"환경분석";#N/A,#N/A,FALSE,"Sheet16"}</definedName>
    <definedName name="종화" localSheetId="42" hidden="1">{#N/A,#N/A,FALSE,"지침";#N/A,#N/A,FALSE,"환경분석";#N/A,#N/A,FALSE,"Sheet16"}</definedName>
    <definedName name="종화" hidden="1">{#N/A,#N/A,FALSE,"지침";#N/A,#N/A,FALSE,"환경분석";#N/A,#N/A,FALSE,"Sheet16"}</definedName>
    <definedName name="주" localSheetId="12" hidden="1">{#N/A,#N/A,FALSE,"지침";#N/A,#N/A,FALSE,"환경분석";#N/A,#N/A,FALSE,"Sheet16"}</definedName>
    <definedName name="주" localSheetId="42" hidden="1">{#N/A,#N/A,FALSE,"UNIT";#N/A,#N/A,FALSE,"UNIT";#N/A,#N/A,FALSE,"계정"}</definedName>
    <definedName name="주" hidden="1">{#N/A,#N/A,FALSE,"UNIT";#N/A,#N/A,FALSE,"UNIT";#N/A,#N/A,FALSE,"계정"}</definedName>
    <definedName name="주가상승계수">#REF!</definedName>
    <definedName name="주가하락계수">#REF!</definedName>
    <definedName name="주란" localSheetId="12" hidden="1">{#N/A,#N/A,FALSE,"지침";#N/A,#N/A,FALSE,"환경분석";#N/A,#N/A,FALSE,"Sheet16"}</definedName>
    <definedName name="주란" localSheetId="42" hidden="1">{#N/A,#N/A,FALSE,"지침";#N/A,#N/A,FALSE,"환경분석";#N/A,#N/A,FALSE,"Sheet16"}</definedName>
    <definedName name="주란" hidden="1">{#N/A,#N/A,FALSE,"지침";#N/A,#N/A,FALSE,"환경분석";#N/A,#N/A,FALSE,"Sheet16"}</definedName>
    <definedName name="주요" localSheetId="42" hidden="1">{#N/A,#N/A,TRUE,"Y생산";#N/A,#N/A,TRUE,"Y판매";#N/A,#N/A,TRUE,"Y총물량";#N/A,#N/A,TRUE,"Y능력";#N/A,#N/A,TRUE,"YKD"}</definedName>
    <definedName name="주요" hidden="1">{#N/A,#N/A,TRUE,"Y생산";#N/A,#N/A,TRUE,"Y판매";#N/A,#N/A,TRUE,"Y총물량";#N/A,#N/A,TRUE,"Y능력";#N/A,#N/A,TRUE,"YKD"}</definedName>
    <definedName name="주요업무" localSheetId="15" hidden="1">{#N/A,#N/A,FALSE,"손익표지";#N/A,#N/A,FALSE,"손익계산";#N/A,#N/A,FALSE,"일반관리비";#N/A,#N/A,FALSE,"영업외수익";#N/A,#N/A,FALSE,"영업외비용";#N/A,#N/A,FALSE,"매출액";#N/A,#N/A,FALSE,"요약손익";#N/A,#N/A,FALSE,"요약대차";#N/A,#N/A,FALSE,"매출채권현황";#N/A,#N/A,FALSE,"매출채권명세"}</definedName>
    <definedName name="주요업무" localSheetId="6" hidden="1">{#N/A,#N/A,FALSE,"손익표지";#N/A,#N/A,FALSE,"손익계산";#N/A,#N/A,FALSE,"일반관리비";#N/A,#N/A,FALSE,"영업외수익";#N/A,#N/A,FALSE,"영업외비용";#N/A,#N/A,FALSE,"매출액";#N/A,#N/A,FALSE,"요약손익";#N/A,#N/A,FALSE,"요약대차";#N/A,#N/A,FALSE,"매출채권현황";#N/A,#N/A,FALSE,"매출채권명세"}</definedName>
    <definedName name="주요업무" localSheetId="45" hidden="1">{#N/A,#N/A,FALSE,"손익표지";#N/A,#N/A,FALSE,"손익계산";#N/A,#N/A,FALSE,"일반관리비";#N/A,#N/A,FALSE,"영업외수익";#N/A,#N/A,FALSE,"영업외비용";#N/A,#N/A,FALSE,"매출액";#N/A,#N/A,FALSE,"요약손익";#N/A,#N/A,FALSE,"요약대차";#N/A,#N/A,FALSE,"매출채권현황";#N/A,#N/A,FALSE,"매출채권명세"}</definedName>
    <definedName name="주요업무" localSheetId="42" hidden="1">{#N/A,#N/A,FALSE,"손익표지";#N/A,#N/A,FALSE,"손익계산";#N/A,#N/A,FALSE,"일반관리비";#N/A,#N/A,FALSE,"영업외수익";#N/A,#N/A,FALSE,"영업외비용";#N/A,#N/A,FALSE,"매출액";#N/A,#N/A,FALSE,"요약손익";#N/A,#N/A,FALSE,"요약대차";#N/A,#N/A,FALSE,"매출채권현황";#N/A,#N/A,FALSE,"매출채권명세"}</definedName>
    <definedName name="주요업무" hidden="1">{#N/A,#N/A,FALSE,"손익표지";#N/A,#N/A,FALSE,"손익계산";#N/A,#N/A,FALSE,"일반관리비";#N/A,#N/A,FALSE,"영업외수익";#N/A,#N/A,FALSE,"영업외비용";#N/A,#N/A,FALSE,"매출액";#N/A,#N/A,FALSE,"요약손익";#N/A,#N/A,FALSE,"요약대차";#N/A,#N/A,FALSE,"매출채권현황";#N/A,#N/A,FALSE,"매출채권명세"}</definedName>
    <definedName name="주요업무2" localSheetId="15" hidden="1">{#N/A,#N/A,TRUE,"Y생산";#N/A,#N/A,TRUE,"Y판매";#N/A,#N/A,TRUE,"Y총물량";#N/A,#N/A,TRUE,"Y능력";#N/A,#N/A,TRUE,"YKD"}</definedName>
    <definedName name="주요업무2" localSheetId="6" hidden="1">{#N/A,#N/A,TRUE,"Y생산";#N/A,#N/A,TRUE,"Y판매";#N/A,#N/A,TRUE,"Y총물량";#N/A,#N/A,TRUE,"Y능력";#N/A,#N/A,TRUE,"YKD"}</definedName>
    <definedName name="주요업무2" localSheetId="45" hidden="1">{#N/A,#N/A,TRUE,"Y생산";#N/A,#N/A,TRUE,"Y판매";#N/A,#N/A,TRUE,"Y총물량";#N/A,#N/A,TRUE,"Y능력";#N/A,#N/A,TRUE,"YKD"}</definedName>
    <definedName name="주요업무2" localSheetId="42" hidden="1">{#N/A,#N/A,TRUE,"Y생산";#N/A,#N/A,TRUE,"Y판매";#N/A,#N/A,TRUE,"Y총물량";#N/A,#N/A,TRUE,"Y능력";#N/A,#N/A,TRUE,"YKD"}</definedName>
    <definedName name="주요업무2" hidden="1">{#N/A,#N/A,TRUE,"Y생산";#N/A,#N/A,TRUE,"Y판매";#N/A,#N/A,TRUE,"Y총물량";#N/A,#N/A,TRUE,"Y능력";#N/A,#N/A,TRUE,"YKD"}</definedName>
    <definedName name="주요업무3" localSheetId="15" hidden="1">{#N/A,#N/A,TRUE,"Y생산";#N/A,#N/A,TRUE,"Y판매";#N/A,#N/A,TRUE,"Y총물량";#N/A,#N/A,TRUE,"Y능력";#N/A,#N/A,TRUE,"YKD"}</definedName>
    <definedName name="주요업무3" localSheetId="6" hidden="1">{#N/A,#N/A,TRUE,"Y생산";#N/A,#N/A,TRUE,"Y판매";#N/A,#N/A,TRUE,"Y총물량";#N/A,#N/A,TRUE,"Y능력";#N/A,#N/A,TRUE,"YKD"}</definedName>
    <definedName name="주요업무3" localSheetId="45" hidden="1">{#N/A,#N/A,TRUE,"Y생산";#N/A,#N/A,TRUE,"Y판매";#N/A,#N/A,TRUE,"Y총물량";#N/A,#N/A,TRUE,"Y능력";#N/A,#N/A,TRUE,"YKD"}</definedName>
    <definedName name="주요업무3" localSheetId="42" hidden="1">{#N/A,#N/A,TRUE,"Y생산";#N/A,#N/A,TRUE,"Y판매";#N/A,#N/A,TRUE,"Y총물량";#N/A,#N/A,TRUE,"Y능력";#N/A,#N/A,TRUE,"YKD"}</definedName>
    <definedName name="주요업무3" hidden="1">{#N/A,#N/A,TRUE,"Y생산";#N/A,#N/A,TRUE,"Y판매";#N/A,#N/A,TRUE,"Y총물량";#N/A,#N/A,TRUE,"Y능력";#N/A,#N/A,TRUE,"YKD"}</definedName>
    <definedName name="주정관" localSheetId="12" hidden="1">{#N/A,#N/A,TRUE,"일정"}</definedName>
    <definedName name="주정관" localSheetId="42" hidden="1">{#N/A,#N/A,TRUE,"일정"}</definedName>
    <definedName name="주정관" hidden="1">{#N/A,#N/A,TRUE,"일정"}</definedName>
    <definedName name="주차계획" localSheetId="12" hidden="1">{#N/A,#N/A,FALSE,"UNIT";#N/A,#N/A,FALSE,"UNIT";#N/A,#N/A,FALSE,"계정"}</definedName>
    <definedName name="주차계획" localSheetId="42" hidden="1">{#N/A,#N/A,FALSE,"UNIT";#N/A,#N/A,FALSE,"UNIT";#N/A,#N/A,FALSE,"계정"}</definedName>
    <definedName name="주차계획" hidden="1">{#N/A,#N/A,FALSE,"UNIT";#N/A,#N/A,FALSE,"UNIT";#N/A,#N/A,FALSE,"계정"}</definedName>
    <definedName name="중간예납" localSheetId="4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중간예납"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중간예납신고납계산서" localSheetId="42"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중간예납신고납계산서"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중간예납신고납부계산서" localSheetId="42"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중간예납신고납부계산서"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중간요약" localSheetId="15" hidden="1">{#N/A,#N/A,FALSE,"BS";#N/A,#N/A,FALSE,"PL";#N/A,#N/A,FALSE,"처분";#N/A,#N/A,FALSE,"현금";#N/A,#N/A,FALSE,"매출";#N/A,#N/A,FALSE,"원가";#N/A,#N/A,FALSE,"경영"}</definedName>
    <definedName name="중간요약" localSheetId="6" hidden="1">{#N/A,#N/A,FALSE,"BS";#N/A,#N/A,FALSE,"PL";#N/A,#N/A,FALSE,"처분";#N/A,#N/A,FALSE,"현금";#N/A,#N/A,FALSE,"매출";#N/A,#N/A,FALSE,"원가";#N/A,#N/A,FALSE,"경영"}</definedName>
    <definedName name="중간요약" localSheetId="45" hidden="1">{#N/A,#N/A,FALSE,"BS";#N/A,#N/A,FALSE,"PL";#N/A,#N/A,FALSE,"처분";#N/A,#N/A,FALSE,"현금";#N/A,#N/A,FALSE,"매출";#N/A,#N/A,FALSE,"원가";#N/A,#N/A,FALSE,"경영"}</definedName>
    <definedName name="중간요약" localSheetId="42" hidden="1">{#N/A,#N/A,FALSE,"BS";#N/A,#N/A,FALSE,"PL";#N/A,#N/A,FALSE,"처분";#N/A,#N/A,FALSE,"현금";#N/A,#N/A,FALSE,"매출";#N/A,#N/A,FALSE,"원가";#N/A,#N/A,FALSE,"경영"}</definedName>
    <definedName name="중간요약" hidden="1">{#N/A,#N/A,FALSE,"BS";#N/A,#N/A,FALSE,"PL";#N/A,#N/A,FALSE,"처분";#N/A,#N/A,FALSE,"현금";#N/A,#N/A,FALSE,"매출";#N/A,#N/A,FALSE,"원가";#N/A,#N/A,FALSE,"경영"}</definedName>
    <definedName name="중기" localSheetId="15" hidden="1">{#N/A,#N/A,FALSE,"정공"}</definedName>
    <definedName name="중기" localSheetId="6" hidden="1">{#N/A,#N/A,FALSE,"정공"}</definedName>
    <definedName name="중기" localSheetId="45" hidden="1">{#N/A,#N/A,FALSE,"정공"}</definedName>
    <definedName name="중기" localSheetId="42" hidden="1">{#N/A,#N/A,FALSE,"정공"}</definedName>
    <definedName name="중기" hidden="1">{#N/A,#N/A,FALSE,"정공"}</definedName>
    <definedName name="중요성" localSheetId="12" hidden="1">{#N/A,#N/A,FALSE,"UNIT";#N/A,#N/A,FALSE,"UNIT";#N/A,#N/A,FALSE,"계정"}</definedName>
    <definedName name="중요성" localSheetId="42" hidden="1">{#N/A,#N/A,FALSE,"UNIT";#N/A,#N/A,FALSE,"UNIT";#N/A,#N/A,FALSE,"계정"}</definedName>
    <definedName name="중요성" hidden="1">{#N/A,#N/A,FALSE,"UNIT";#N/A,#N/A,FALSE,"UNIT";#N/A,#N/A,FALSE,"계정"}</definedName>
    <definedName name="증감분석" localSheetId="42" hidden="1">{"'경비내역'!$E$11"}</definedName>
    <definedName name="증감분석" hidden="1">{"'경비내역'!$E$11"}</definedName>
    <definedName name="증감분석_1" localSheetId="42" hidden="1">{"'경비내역'!$E$11"}</definedName>
    <definedName name="증감분석_1" hidden="1">{"'경비내역'!$E$11"}</definedName>
    <definedName name="지배구조1" localSheetId="12" hidden="1">{#N/A,#N/A,FALSE,"지침";#N/A,#N/A,FALSE,"환경분석";#N/A,#N/A,FALSE,"Sheet16"}</definedName>
    <definedName name="지배구조1" localSheetId="42" hidden="1">{#N/A,#N/A,FALSE,"지침";#N/A,#N/A,FALSE,"환경분석";#N/A,#N/A,FALSE,"Sheet16"}</definedName>
    <definedName name="지배구조1" hidden="1">{#N/A,#N/A,FALSE,"지침";#N/A,#N/A,FALSE,"환경분석";#N/A,#N/A,FALSE,"Sheet16"}</definedName>
    <definedName name="지분법" localSheetId="15" hidden="1">{#N/A,#N/A,FALSE,"계약직(여)"}</definedName>
    <definedName name="지분법" localSheetId="6" hidden="1">{#N/A,#N/A,FALSE,"계약직(여)"}</definedName>
    <definedName name="지분법" localSheetId="45" hidden="1">{#N/A,#N/A,FALSE,"계약직(여)"}</definedName>
    <definedName name="지분법" localSheetId="42" hidden="1">{#N/A,#N/A,FALSE,"계약직(여)"}</definedName>
    <definedName name="지분법" hidden="1">{#N/A,#N/A,FALSE,"계약직(여)"}</definedName>
    <definedName name="지분법이름" localSheetId="42" hidden="1">{"'5국공정'!$A$1:$E$128"}</definedName>
    <definedName name="지분법이름" hidden="1">{"'5국공정'!$A$1:$E$128"}</definedName>
    <definedName name="지분증감" localSheetId="42" hidden="1">{#N/A,#N/A,FALSE,"BS";#N/A,#N/A,FALSE,"PL";#N/A,#N/A,FALSE,"처분";#N/A,#N/A,FALSE,"현금";#N/A,#N/A,FALSE,"매출";#N/A,#N/A,FALSE,"원가";#N/A,#N/A,FALSE,"경영"}</definedName>
    <definedName name="지분증감" hidden="1">{#N/A,#N/A,FALSE,"BS";#N/A,#N/A,FALSE,"PL";#N/A,#N/A,FALSE,"처분";#N/A,#N/A,FALSE,"현금";#N/A,#N/A,FALSE,"매출";#N/A,#N/A,FALSE,"원가";#N/A,#N/A,FALSE,"경영"}</definedName>
    <definedName name="지역본부" localSheetId="15" hidden="1">{#N/A,#N/A,FALSE,"DAOCM 2차 검토"}</definedName>
    <definedName name="지역본부" localSheetId="6" hidden="1">{#N/A,#N/A,FALSE,"DAOCM 2차 검토"}</definedName>
    <definedName name="지역본부" localSheetId="45" hidden="1">{#N/A,#N/A,FALSE,"DAOCM 2차 검토"}</definedName>
    <definedName name="지역본부" localSheetId="42" hidden="1">{#N/A,#N/A,FALSE,"DAOCM 2차 검토"}</definedName>
    <definedName name="지역본부" hidden="1">{#N/A,#N/A,FALSE,"DAOCM 2차 검토"}</definedName>
    <definedName name="지지지" localSheetId="15" hidden="1">{"'미착금액'!$A$4:$G$14"}</definedName>
    <definedName name="지지지" localSheetId="6" hidden="1">{"'미착금액'!$A$4:$G$14"}</definedName>
    <definedName name="지지지" localSheetId="45" hidden="1">{"'미착금액'!$A$4:$G$14"}</definedName>
    <definedName name="지지지" localSheetId="42" hidden="1">{"'미착금액'!$A$4:$G$14"}</definedName>
    <definedName name="지지지" hidden="1">{#N/A,#N/A,FALSE,"BS";#N/A,#N/A,FALSE,"PL";#N/A,#N/A,FALSE,"처분";#N/A,#N/A,FALSE,"현금";#N/A,#N/A,FALSE,"매출";#N/A,#N/A,FALSE,"원가";#N/A,#N/A,FALSE,"경영"}</definedName>
    <definedName name="직급별3" localSheetId="12" hidden="1">{#N/A,#N/A,FALSE,"Sheet1"}</definedName>
    <definedName name="직급별3" localSheetId="42" hidden="1">{#N/A,#N/A,FALSE,"Sheet1"}</definedName>
    <definedName name="직급별3" hidden="1">{#N/A,#N/A,FALSE,"Sheet1"}</definedName>
    <definedName name="직급별초입비교" localSheetId="15"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직급별초입비교" localSheetId="6"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직급별초입비교" localSheetId="45"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직급별초입비교" localSheetId="4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직급별초입비교"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직전3개월현금흐름" localSheetId="12" hidden="1">{#N/A,#N/A,FALSE,"UNIT";#N/A,#N/A,FALSE,"UNIT";#N/A,#N/A,FALSE,"계정"}</definedName>
    <definedName name="직전3개월현금흐름" localSheetId="42" hidden="1">{#N/A,#N/A,FALSE,"UNIT";#N/A,#N/A,FALSE,"UNIT";#N/A,#N/A,FALSE,"계정"}</definedName>
    <definedName name="직전3개월현금흐름" hidden="1">{#N/A,#N/A,FALSE,"UNIT";#N/A,#N/A,FALSE,"UNIT";#N/A,#N/A,FALSE,"계정"}</definedName>
    <definedName name="진" localSheetId="12" hidden="1">{#N/A,#N/A,FALSE,"UNIT";#N/A,#N/A,FALSE,"UNIT";#N/A,#N/A,FALSE,"계정"}</definedName>
    <definedName name="진" localSheetId="42" hidden="1">{#N/A,#N/A,FALSE,"UNIT";#N/A,#N/A,FALSE,"UNIT";#N/A,#N/A,FALSE,"계정"}</definedName>
    <definedName name="진" hidden="1">{#N/A,#N/A,FALSE,"UNIT";#N/A,#N/A,FALSE,"UNIT";#N/A,#N/A,FALSE,"계정"}</definedName>
    <definedName name="진단표" localSheetId="4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진단표"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진짜연습" localSheetId="15" hidden="1">{#N/A,#N/A,FALSE,"손익표지";#N/A,#N/A,FALSE,"손익계산";#N/A,#N/A,FALSE,"일반관리비";#N/A,#N/A,FALSE,"영업외수익";#N/A,#N/A,FALSE,"영업외비용";#N/A,#N/A,FALSE,"매출액";#N/A,#N/A,FALSE,"요약손익";#N/A,#N/A,FALSE,"요약대차";#N/A,#N/A,FALSE,"매출채권현황";#N/A,#N/A,FALSE,"매출채권명세"}</definedName>
    <definedName name="진짜연습" localSheetId="6" hidden="1">{#N/A,#N/A,FALSE,"손익표지";#N/A,#N/A,FALSE,"손익계산";#N/A,#N/A,FALSE,"일반관리비";#N/A,#N/A,FALSE,"영업외수익";#N/A,#N/A,FALSE,"영업외비용";#N/A,#N/A,FALSE,"매출액";#N/A,#N/A,FALSE,"요약손익";#N/A,#N/A,FALSE,"요약대차";#N/A,#N/A,FALSE,"매출채권현황";#N/A,#N/A,FALSE,"매출채권명세"}</definedName>
    <definedName name="진짜연습" localSheetId="45" hidden="1">{#N/A,#N/A,FALSE,"손익표지";#N/A,#N/A,FALSE,"손익계산";#N/A,#N/A,FALSE,"일반관리비";#N/A,#N/A,FALSE,"영업외수익";#N/A,#N/A,FALSE,"영업외비용";#N/A,#N/A,FALSE,"매출액";#N/A,#N/A,FALSE,"요약손익";#N/A,#N/A,FALSE,"요약대차";#N/A,#N/A,FALSE,"매출채권현황";#N/A,#N/A,FALSE,"매출채권명세"}</definedName>
    <definedName name="진짜연습" localSheetId="42" hidden="1">{#N/A,#N/A,FALSE,"손익표지";#N/A,#N/A,FALSE,"손익계산";#N/A,#N/A,FALSE,"일반관리비";#N/A,#N/A,FALSE,"영업외수익";#N/A,#N/A,FALSE,"영업외비용";#N/A,#N/A,FALSE,"매출액";#N/A,#N/A,FALSE,"요약손익";#N/A,#N/A,FALSE,"요약대차";#N/A,#N/A,FALSE,"매출채권현황";#N/A,#N/A,FALSE,"매출채권명세"}</definedName>
    <definedName name="진짜연습" hidden="1">{#N/A,#N/A,FALSE,"손익표지";#N/A,#N/A,FALSE,"손익계산";#N/A,#N/A,FALSE,"일반관리비";#N/A,#N/A,FALSE,"영업외수익";#N/A,#N/A,FALSE,"영업외비용";#N/A,#N/A,FALSE,"매출액";#N/A,#N/A,FALSE,"요약손익";#N/A,#N/A,FALSE,"요약대차";#N/A,#N/A,FALSE,"매출채권현황";#N/A,#N/A,FALSE,"매출채권명세"}</definedName>
    <definedName name="진짜원가" localSheetId="15" hidden="1">{#N/A,#N/A,FALSE,"손익표지";#N/A,#N/A,FALSE,"손익계산";#N/A,#N/A,FALSE,"일반관리비";#N/A,#N/A,FALSE,"영업외수익";#N/A,#N/A,FALSE,"영업외비용";#N/A,#N/A,FALSE,"매출액";#N/A,#N/A,FALSE,"요약손익";#N/A,#N/A,FALSE,"요약대차";#N/A,#N/A,FALSE,"매출채권현황";#N/A,#N/A,FALSE,"매출채권명세"}</definedName>
    <definedName name="진짜원가" localSheetId="6" hidden="1">{#N/A,#N/A,FALSE,"손익표지";#N/A,#N/A,FALSE,"손익계산";#N/A,#N/A,FALSE,"일반관리비";#N/A,#N/A,FALSE,"영업외수익";#N/A,#N/A,FALSE,"영업외비용";#N/A,#N/A,FALSE,"매출액";#N/A,#N/A,FALSE,"요약손익";#N/A,#N/A,FALSE,"요약대차";#N/A,#N/A,FALSE,"매출채권현황";#N/A,#N/A,FALSE,"매출채권명세"}</definedName>
    <definedName name="진짜원가" localSheetId="45" hidden="1">{#N/A,#N/A,FALSE,"손익표지";#N/A,#N/A,FALSE,"손익계산";#N/A,#N/A,FALSE,"일반관리비";#N/A,#N/A,FALSE,"영업외수익";#N/A,#N/A,FALSE,"영업외비용";#N/A,#N/A,FALSE,"매출액";#N/A,#N/A,FALSE,"요약손익";#N/A,#N/A,FALSE,"요약대차";#N/A,#N/A,FALSE,"매출채권현황";#N/A,#N/A,FALSE,"매출채권명세"}</definedName>
    <definedName name="진짜원가" localSheetId="42" hidden="1">{#N/A,#N/A,FALSE,"손익표지";#N/A,#N/A,FALSE,"손익계산";#N/A,#N/A,FALSE,"일반관리비";#N/A,#N/A,FALSE,"영업외수익";#N/A,#N/A,FALSE,"영업외비용";#N/A,#N/A,FALSE,"매출액";#N/A,#N/A,FALSE,"요약손익";#N/A,#N/A,FALSE,"요약대차";#N/A,#N/A,FALSE,"매출채권현황";#N/A,#N/A,FALSE,"매출채권명세"}</definedName>
    <definedName name="진짜원가" hidden="1">{#N/A,#N/A,FALSE,"손익표지";#N/A,#N/A,FALSE,"손익계산";#N/A,#N/A,FALSE,"일반관리비";#N/A,#N/A,FALSE,"영업외수익";#N/A,#N/A,FALSE,"영업외비용";#N/A,#N/A,FALSE,"매출액";#N/A,#N/A,FALSE,"요약손익";#N/A,#N/A,FALSE,"요약대차";#N/A,#N/A,FALSE,"매출채권현황";#N/A,#N/A,FALSE,"매출채권명세"}</definedName>
    <definedName name="ㅊ" localSheetId="42" hidden="1">{#N/A,#N/A,FALSE,"BS";#N/A,#N/A,FALSE,"PL";#N/A,#N/A,FALSE,"처분";#N/A,#N/A,FALSE,"현금";#N/A,#N/A,FALSE,"매출";#N/A,#N/A,FALSE,"원가";#N/A,#N/A,FALSE,"경영"}</definedName>
    <definedName name="ㅊ" hidden="1">{#N/A,#N/A,FALSE,"BS";#N/A,#N/A,FALSE,"PL";#N/A,#N/A,FALSE,"처분";#N/A,#N/A,FALSE,"현금";#N/A,#N/A,FALSE,"매출";#N/A,#N/A,FALSE,"원가";#N/A,#N/A,FALSE,"경영"}</definedName>
    <definedName name="ㅊㅊ" localSheetId="1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ㅊㅊ" localSheetId="4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ㅊㅊ"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ㅊㅊㅊ" localSheetId="12" hidden="1">{#N/A,#N/A,FALSE,"UNIT";#N/A,#N/A,FALSE,"UNIT";#N/A,#N/A,FALSE,"계정"}</definedName>
    <definedName name="ㅊㅊㅊ" localSheetId="42" hidden="1">{#N/A,#N/A,FALSE,"UNIT";#N/A,#N/A,FALSE,"UNIT";#N/A,#N/A,FALSE,"계정"}</definedName>
    <definedName name="ㅊㅊㅊ" hidden="1">{#N/A,#N/A,FALSE,"UNIT";#N/A,#N/A,FALSE,"UNIT";#N/A,#N/A,FALSE,"계정"}</definedName>
    <definedName name="ㅊㅊㅊㅊ" localSheetId="12" hidden="1">{#N/A,#N/A,FALSE,"UNIT";#N/A,#N/A,FALSE,"UNIT";#N/A,#N/A,FALSE,"계정"}</definedName>
    <definedName name="ㅊㅊㅊㅊ" localSheetId="42" hidden="1">{#N/A,#N/A,FALSE,"UNIT";#N/A,#N/A,FALSE,"UNIT";#N/A,#N/A,FALSE,"계정"}</definedName>
    <definedName name="ㅊㅊㅊㅊ" hidden="1">{#N/A,#N/A,FALSE,"UNIT";#N/A,#N/A,FALSE,"UNIT";#N/A,#N/A,FALSE,"계정"}</definedName>
    <definedName name="차" localSheetId="15" hidden="1">{#N/A,#N/A,FALSE,"1.CRITERIA";#N/A,#N/A,FALSE,"2.IS";#N/A,#N/A,FALSE,"3.BS";#N/A,#N/A,FALSE,"4.PER PL";#N/A,#N/A,FALSE,"5.INVESTMENT";#N/A,#N/A,FALSE,"6.공문";#N/A,#N/A,FALSE,"7.netinvest"}</definedName>
    <definedName name="차" localSheetId="6" hidden="1">{#N/A,#N/A,FALSE,"1.CRITERIA";#N/A,#N/A,FALSE,"2.IS";#N/A,#N/A,FALSE,"3.BS";#N/A,#N/A,FALSE,"4.PER PL";#N/A,#N/A,FALSE,"5.INVESTMENT";#N/A,#N/A,FALSE,"6.공문";#N/A,#N/A,FALSE,"7.netinvest"}</definedName>
    <definedName name="차" localSheetId="45" hidden="1">{#N/A,#N/A,FALSE,"1.CRITERIA";#N/A,#N/A,FALSE,"2.IS";#N/A,#N/A,FALSE,"3.BS";#N/A,#N/A,FALSE,"4.PER PL";#N/A,#N/A,FALSE,"5.INVESTMENT";#N/A,#N/A,FALSE,"6.공문";#N/A,#N/A,FALSE,"7.netinvest"}</definedName>
    <definedName name="차" localSheetId="42" hidden="1">{#N/A,#N/A,FALSE,"1.CRITERIA";#N/A,#N/A,FALSE,"2.IS";#N/A,#N/A,FALSE,"3.BS";#N/A,#N/A,FALSE,"4.PER PL";#N/A,#N/A,FALSE,"5.INVESTMENT";#N/A,#N/A,FALSE,"6.공문";#N/A,#N/A,FALSE,"7.netinvest"}</definedName>
    <definedName name="차" hidden="1">{#N/A,#N/A,FALSE,"1.CRITERIA";#N/A,#N/A,FALSE,"2.IS";#N/A,#N/A,FALSE,"3.BS";#N/A,#N/A,FALSE,"4.PER PL";#N/A,#N/A,FALSE,"5.INVESTMENT";#N/A,#N/A,FALSE,"6.공문";#N/A,#N/A,FALSE,"7.netinvest"}</definedName>
    <definedName name="차." localSheetId="12" hidden="1">{#N/A,#N/A,FALSE,"UNIT";#N/A,#N/A,FALSE,"UNIT";#N/A,#N/A,FALSE,"계정"}</definedName>
    <definedName name="차." localSheetId="42" hidden="1">{#N/A,#N/A,FALSE,"UNIT";#N/A,#N/A,FALSE,"UNIT";#N/A,#N/A,FALSE,"계정"}</definedName>
    <definedName name="차." hidden="1">{#N/A,#N/A,FALSE,"UNIT";#N/A,#N/A,FALSE,"UNIT";#N/A,#N/A,FALSE,"계정"}</definedName>
    <definedName name="차량SVC" localSheetId="12" hidden="1">{#N/A,#N/A,FALSE,"UNIT";#N/A,#N/A,FALSE,"UNIT";#N/A,#N/A,FALSE,"계정"}</definedName>
    <definedName name="차량SVC" localSheetId="42" hidden="1">{#N/A,#N/A,FALSE,"UNIT";#N/A,#N/A,FALSE,"UNIT";#N/A,#N/A,FALSE,"계정"}</definedName>
    <definedName name="차량SVC" hidden="1">{#N/A,#N/A,FALSE,"UNIT";#N/A,#N/A,FALSE,"UNIT";#N/A,#N/A,FALSE,"계정"}</definedName>
    <definedName name="차량운반구" localSheetId="12" hidden="1">{"'손익현황'!$A$1:$J$29"}</definedName>
    <definedName name="차량운반구" localSheetId="42" hidden="1">{"'손익현황'!$A$1:$J$29"}</definedName>
    <definedName name="차량운반구" hidden="1">{"'손익현황'!$A$1:$J$29"}</definedName>
    <definedName name="차입명세" localSheetId="15" hidden="1">{"'분양원가'!$B$1:$F$113"}</definedName>
    <definedName name="차입명세" localSheetId="6" hidden="1">{"'분양원가'!$B$1:$F$113"}</definedName>
    <definedName name="차입명세" localSheetId="45" hidden="1">{"'분양원가'!$B$1:$F$113"}</definedName>
    <definedName name="차입명세" localSheetId="42" hidden="1">{"'분양원가'!$B$1:$F$113"}</definedName>
    <definedName name="차입명세" hidden="1">{"'분양원가'!$B$1:$F$113"}</definedName>
    <definedName name="차종별" localSheetId="42" hidden="1">{#N/A,#N/A,TRUE,"Y생산";#N/A,#N/A,TRUE,"Y판매";#N/A,#N/A,TRUE,"Y총물량";#N/A,#N/A,TRUE,"Y능력";#N/A,#N/A,TRUE,"YKD"}</definedName>
    <definedName name="차종별" hidden="1">{#N/A,#N/A,TRUE,"Y생산";#N/A,#N/A,TRUE,"Y판매";#N/A,#N/A,TRUE,"Y총물량";#N/A,#N/A,TRUE,"Y능력";#N/A,#N/A,TRUE,"YKD"}</definedName>
    <definedName name="차트" localSheetId="15" hidden="1">{#N/A,#N/A,FALSE,"정공"}</definedName>
    <definedName name="차트" localSheetId="6" hidden="1">{#N/A,#N/A,FALSE,"정공"}</definedName>
    <definedName name="차트" localSheetId="45" hidden="1">{#N/A,#N/A,FALSE,"정공"}</definedName>
    <definedName name="차트" localSheetId="42" hidden="1">{#N/A,#N/A,FALSE,"정공"}</definedName>
    <definedName name="차트" hidden="1">{#N/A,#N/A,FALSE,"정공"}</definedName>
    <definedName name="참고2" localSheetId="15" hidden="1">#REF!</definedName>
    <definedName name="참고2" localSheetId="6" hidden="1">#REF!</definedName>
    <definedName name="참고2" localSheetId="42" hidden="1">#REF!</definedName>
    <definedName name="참고2" hidden="1">#REF!</definedName>
    <definedName name="창고LOSS" localSheetId="15" hidden="1">{#N/A,#N/A,FALSE,"군산원가";#N/A,#N/A,FALSE,"팀별월별";#N/A,#N/A,FALSE,"타공정대체";#N/A,#N/A,FALSE,"기타경비";#N/A,#N/A,FALSE,"원료";#N/A,#N/A,FALSE,"연료"}</definedName>
    <definedName name="창고LOSS" localSheetId="6" hidden="1">{#N/A,#N/A,FALSE,"군산원가";#N/A,#N/A,FALSE,"팀별월별";#N/A,#N/A,FALSE,"타공정대체";#N/A,#N/A,FALSE,"기타경비";#N/A,#N/A,FALSE,"원료";#N/A,#N/A,FALSE,"연료"}</definedName>
    <definedName name="창고LOSS" localSheetId="45" hidden="1">{#N/A,#N/A,FALSE,"군산원가";#N/A,#N/A,FALSE,"팀별월별";#N/A,#N/A,FALSE,"타공정대체";#N/A,#N/A,FALSE,"기타경비";#N/A,#N/A,FALSE,"원료";#N/A,#N/A,FALSE,"연료"}</definedName>
    <definedName name="창고LOSS" localSheetId="42" hidden="1">{#N/A,#N/A,FALSE,"군산원가";#N/A,#N/A,FALSE,"팀별월별";#N/A,#N/A,FALSE,"타공정대체";#N/A,#N/A,FALSE,"기타경비";#N/A,#N/A,FALSE,"원료";#N/A,#N/A,FALSE,"연료"}</definedName>
    <definedName name="창고LOSS" hidden="1">{#N/A,#N/A,FALSE,"군산원가";#N/A,#N/A,FALSE,"팀별월별";#N/A,#N/A,FALSE,"타공정대체";#N/A,#N/A,FALSE,"기타경비";#N/A,#N/A,FALSE,"원료";#N/A,#N/A,FALSE,"연료"}</definedName>
    <definedName name="채권재" localSheetId="42" hidden="1">{#N/A,#N/A,FALSE,"채권채무";#N/A,#N/A,FALSE,"control sheet"}</definedName>
    <definedName name="채권재" hidden="1">{#N/A,#N/A,FALSE,"채권채무";#N/A,#N/A,FALSE,"control sheet"}</definedName>
    <definedName name="초고압" localSheetId="42" hidden="1">{#N/A,#N/A,FALSE,"UNIT";#N/A,#N/A,FALSE,"UNIT";#N/A,#N/A,FALSE,"계정"}</definedName>
    <definedName name="초고압" hidden="1">{#N/A,#N/A,FALSE,"UNIT";#N/A,#N/A,FALSE,"UNIT";#N/A,#N/A,FALSE,"계정"}</definedName>
    <definedName name="초임금비교" localSheetId="15" hidden="1">{#N/A,#N/A,FALSE,"계약직(여)"}</definedName>
    <definedName name="초임금비교" localSheetId="6" hidden="1">{#N/A,#N/A,FALSE,"계약직(여)"}</definedName>
    <definedName name="초임금비교" localSheetId="45" hidden="1">{#N/A,#N/A,FALSE,"계약직(여)"}</definedName>
    <definedName name="초임금비교" localSheetId="42" hidden="1">{#N/A,#N/A,FALSE,"계약직(여)"}</definedName>
    <definedName name="초임금비교" hidden="1">{#N/A,#N/A,FALSE,"계약직(여)"}</definedName>
    <definedName name="초임급" localSheetId="15" hidden="1">{#N/A,#N/A,FALSE,"계약직(여)"}</definedName>
    <definedName name="초임급" localSheetId="6" hidden="1">{#N/A,#N/A,FALSE,"계약직(여)"}</definedName>
    <definedName name="초임급" localSheetId="45" hidden="1">{#N/A,#N/A,FALSE,"계약직(여)"}</definedName>
    <definedName name="초임급" localSheetId="42" hidden="1">{#N/A,#N/A,FALSE,"계약직(여)"}</definedName>
    <definedName name="초임급" hidden="1">{#N/A,#N/A,FALSE,"계약직(여)"}</definedName>
    <definedName name="총괄" localSheetId="15"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총괄" localSheetId="6"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총괄" localSheetId="45"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총괄" localSheetId="42"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총괄"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총괄_신세대" localSheetId="15" hidden="1">{#N/A,#N/A,FALSE,"정공"}</definedName>
    <definedName name="총괄_신세대" localSheetId="6" hidden="1">{#N/A,#N/A,FALSE,"정공"}</definedName>
    <definedName name="총괄_신세대" localSheetId="45" hidden="1">{#N/A,#N/A,FALSE,"정공"}</definedName>
    <definedName name="총괄_신세대" localSheetId="42" hidden="1">{#N/A,#N/A,FALSE,"정공"}</definedName>
    <definedName name="총괄_신세대" hidden="1">{#N/A,#N/A,FALSE,"정공"}</definedName>
    <definedName name="총괄6" localSheetId="15" hidden="1">{#N/A,#N/A,FALSE,"정공"}</definedName>
    <definedName name="총괄6" localSheetId="6" hidden="1">{#N/A,#N/A,FALSE,"정공"}</definedName>
    <definedName name="총괄6" localSheetId="45" hidden="1">{#N/A,#N/A,FALSE,"정공"}</definedName>
    <definedName name="총괄6" localSheetId="42" hidden="1">{#N/A,#N/A,FALSE,"정공"}</definedName>
    <definedName name="총괄6" hidden="1">{#N/A,#N/A,FALSE,"정공"}</definedName>
    <definedName name="총무팀총무팀" localSheetId="42" hidden="1">{#N/A,#N/A,TRUE,"Y생산";#N/A,#N/A,TRUE,"Y판매";#N/A,#N/A,TRUE,"Y총물량";#N/A,#N/A,TRUE,"Y능력";#N/A,#N/A,TRUE,"YKD"}</definedName>
    <definedName name="총무팀총무팀" hidden="1">{#N/A,#N/A,TRUE,"Y생산";#N/A,#N/A,TRUE,"Y판매";#N/A,#N/A,TRUE,"Y총물량";#N/A,#N/A,TRUE,"Y능력";#N/A,#N/A,TRUE,"YKD"}</definedName>
    <definedName name="총임차현황2월말" localSheetId="42" hidden="1">{"'경비내역'!$E$11"}</definedName>
    <definedName name="총임차현황2월말" hidden="1">{"'경비내역'!$E$11"}</definedName>
    <definedName name="촤" localSheetId="15" hidden="1">{#N/A,#N/A,FALSE,"1.CRITERIA";#N/A,#N/A,FALSE,"2.IS";#N/A,#N/A,FALSE,"3.BS";#N/A,#N/A,FALSE,"4.PER PL";#N/A,#N/A,FALSE,"5.INVESTMENT";#N/A,#N/A,FALSE,"6.공문";#N/A,#N/A,FALSE,"7.netinvest"}</definedName>
    <definedName name="촤" localSheetId="6" hidden="1">{#N/A,#N/A,FALSE,"1.CRITERIA";#N/A,#N/A,FALSE,"2.IS";#N/A,#N/A,FALSE,"3.BS";#N/A,#N/A,FALSE,"4.PER PL";#N/A,#N/A,FALSE,"5.INVESTMENT";#N/A,#N/A,FALSE,"6.공문";#N/A,#N/A,FALSE,"7.netinvest"}</definedName>
    <definedName name="촤" localSheetId="45" hidden="1">{#N/A,#N/A,FALSE,"1.CRITERIA";#N/A,#N/A,FALSE,"2.IS";#N/A,#N/A,FALSE,"3.BS";#N/A,#N/A,FALSE,"4.PER PL";#N/A,#N/A,FALSE,"5.INVESTMENT";#N/A,#N/A,FALSE,"6.공문";#N/A,#N/A,FALSE,"7.netinvest"}</definedName>
    <definedName name="촤" localSheetId="42" hidden="1">{#N/A,#N/A,FALSE,"1.CRITERIA";#N/A,#N/A,FALSE,"2.IS";#N/A,#N/A,FALSE,"3.BS";#N/A,#N/A,FALSE,"4.PER PL";#N/A,#N/A,FALSE,"5.INVESTMENT";#N/A,#N/A,FALSE,"6.공문";#N/A,#N/A,FALSE,"7.netinvest"}</definedName>
    <definedName name="촤" hidden="1">{#N/A,#N/A,FALSE,"1.CRITERIA";#N/A,#N/A,FALSE,"2.IS";#N/A,#N/A,FALSE,"3.BS";#N/A,#N/A,FALSE,"4.PER PL";#N/A,#N/A,FALSE,"5.INVESTMENT";#N/A,#N/A,FALSE,"6.공문";#N/A,#N/A,FALSE,"7.netinvest"}</definedName>
    <definedName name="최리리" localSheetId="15" hidden="1">{#N/A,#N/A,FALSE,"정공"}</definedName>
    <definedName name="최리리" localSheetId="6" hidden="1">{#N/A,#N/A,FALSE,"정공"}</definedName>
    <definedName name="최리리" localSheetId="45" hidden="1">{#N/A,#N/A,FALSE,"정공"}</definedName>
    <definedName name="최리리" localSheetId="42" hidden="1">{#N/A,#N/A,FALSE,"정공"}</definedName>
    <definedName name="최리리" hidden="1">{#N/A,#N/A,FALSE,"정공"}</definedName>
    <definedName name="최영" localSheetId="15" hidden="1">{#N/A,#N/A,FALSE,"정공"}</definedName>
    <definedName name="최영" localSheetId="6" hidden="1">{#N/A,#N/A,FALSE,"정공"}</definedName>
    <definedName name="최영" localSheetId="45" hidden="1">{#N/A,#N/A,FALSE,"정공"}</definedName>
    <definedName name="최영" localSheetId="42" hidden="1">{#N/A,#N/A,FALSE,"정공"}</definedName>
    <definedName name="최영" hidden="1">{#N/A,#N/A,FALSE,"정공"}</definedName>
    <definedName name="최재호" localSheetId="12" hidden="1">#REF!</definedName>
    <definedName name="최재호" localSheetId="30" hidden="1">#REF!</definedName>
    <definedName name="최재호" localSheetId="29" hidden="1">#REF!</definedName>
    <definedName name="최재호" localSheetId="33" hidden="1">#REF!</definedName>
    <definedName name="최재호" localSheetId="31" hidden="1">#REF!</definedName>
    <definedName name="최재호" hidden="1">#REF!</definedName>
    <definedName name="최종" localSheetId="15" hidden="1">{#N/A,#N/A,FALSE,"손익표지";#N/A,#N/A,FALSE,"손익계산";#N/A,#N/A,FALSE,"일반관리비";#N/A,#N/A,FALSE,"영업외수익";#N/A,#N/A,FALSE,"영업외비용";#N/A,#N/A,FALSE,"매출액";#N/A,#N/A,FALSE,"요약손익";#N/A,#N/A,FALSE,"요약대차";#N/A,#N/A,FALSE,"매출채권현황";#N/A,#N/A,FALSE,"매출채권명세"}</definedName>
    <definedName name="최종" localSheetId="6" hidden="1">{#N/A,#N/A,FALSE,"손익표지";#N/A,#N/A,FALSE,"손익계산";#N/A,#N/A,FALSE,"일반관리비";#N/A,#N/A,FALSE,"영업외수익";#N/A,#N/A,FALSE,"영업외비용";#N/A,#N/A,FALSE,"매출액";#N/A,#N/A,FALSE,"요약손익";#N/A,#N/A,FALSE,"요약대차";#N/A,#N/A,FALSE,"매출채권현황";#N/A,#N/A,FALSE,"매출채권명세"}</definedName>
    <definedName name="최종" localSheetId="45" hidden="1">{#N/A,#N/A,FALSE,"손익표지";#N/A,#N/A,FALSE,"손익계산";#N/A,#N/A,FALSE,"일반관리비";#N/A,#N/A,FALSE,"영업외수익";#N/A,#N/A,FALSE,"영업외비용";#N/A,#N/A,FALSE,"매출액";#N/A,#N/A,FALSE,"요약손익";#N/A,#N/A,FALSE,"요약대차";#N/A,#N/A,FALSE,"매출채권현황";#N/A,#N/A,FALSE,"매출채권명세"}</definedName>
    <definedName name="최종" localSheetId="42" hidden="1">{#N/A,#N/A,FALSE,"손익표지";#N/A,#N/A,FALSE,"손익계산";#N/A,#N/A,FALSE,"일반관리비";#N/A,#N/A,FALSE,"영업외수익";#N/A,#N/A,FALSE,"영업외비용";#N/A,#N/A,FALSE,"매출액";#N/A,#N/A,FALSE,"요약손익";#N/A,#N/A,FALSE,"요약대차";#N/A,#N/A,FALSE,"매출채권현황";#N/A,#N/A,FALSE,"매출채권명세"}</definedName>
    <definedName name="최종" hidden="1">{#N/A,#N/A,FALSE,"손익표지";#N/A,#N/A,FALSE,"손익계산";#N/A,#N/A,FALSE,"일반관리비";#N/A,#N/A,FALSE,"영업외수익";#N/A,#N/A,FALSE,"영업외비용";#N/A,#N/A,FALSE,"매출액";#N/A,#N/A,FALSE,"요약손익";#N/A,#N/A,FALSE,"요약대차";#N/A,#N/A,FALSE,"매출채권현황";#N/A,#N/A,FALSE,"매출채권명세"}</definedName>
    <definedName name="최종2" localSheetId="15" hidden="1">{#N/A,#N/A,FALSE,"손익표지";#N/A,#N/A,FALSE,"손익계산";#N/A,#N/A,FALSE,"일반관리비";#N/A,#N/A,FALSE,"영업외수익";#N/A,#N/A,FALSE,"영업외비용";#N/A,#N/A,FALSE,"매출액";#N/A,#N/A,FALSE,"요약손익";#N/A,#N/A,FALSE,"요약대차";#N/A,#N/A,FALSE,"매출채권현황";#N/A,#N/A,FALSE,"매출채권명세"}</definedName>
    <definedName name="최종2" localSheetId="6" hidden="1">{#N/A,#N/A,FALSE,"손익표지";#N/A,#N/A,FALSE,"손익계산";#N/A,#N/A,FALSE,"일반관리비";#N/A,#N/A,FALSE,"영업외수익";#N/A,#N/A,FALSE,"영업외비용";#N/A,#N/A,FALSE,"매출액";#N/A,#N/A,FALSE,"요약손익";#N/A,#N/A,FALSE,"요약대차";#N/A,#N/A,FALSE,"매출채권현황";#N/A,#N/A,FALSE,"매출채권명세"}</definedName>
    <definedName name="최종2" localSheetId="45" hidden="1">{#N/A,#N/A,FALSE,"손익표지";#N/A,#N/A,FALSE,"손익계산";#N/A,#N/A,FALSE,"일반관리비";#N/A,#N/A,FALSE,"영업외수익";#N/A,#N/A,FALSE,"영업외비용";#N/A,#N/A,FALSE,"매출액";#N/A,#N/A,FALSE,"요약손익";#N/A,#N/A,FALSE,"요약대차";#N/A,#N/A,FALSE,"매출채권현황";#N/A,#N/A,FALSE,"매출채권명세"}</definedName>
    <definedName name="최종2" localSheetId="42" hidden="1">{#N/A,#N/A,FALSE,"손익표지";#N/A,#N/A,FALSE,"손익계산";#N/A,#N/A,FALSE,"일반관리비";#N/A,#N/A,FALSE,"영업외수익";#N/A,#N/A,FALSE,"영업외비용";#N/A,#N/A,FALSE,"매출액";#N/A,#N/A,FALSE,"요약손익";#N/A,#N/A,FALSE,"요약대차";#N/A,#N/A,FALSE,"매출채권현황";#N/A,#N/A,FALSE,"매출채권명세"}</definedName>
    <definedName name="최종2" hidden="1">{#N/A,#N/A,FALSE,"손익표지";#N/A,#N/A,FALSE,"손익계산";#N/A,#N/A,FALSE,"일반관리비";#N/A,#N/A,FALSE,"영업외수익";#N/A,#N/A,FALSE,"영업외비용";#N/A,#N/A,FALSE,"매출액";#N/A,#N/A,FALSE,"요약손익";#N/A,#N/A,FALSE,"요약대차";#N/A,#N/A,FALSE,"매출채권현황";#N/A,#N/A,FALSE,"매출채권명세"}</definedName>
    <definedName name="최종검진수가" localSheetId="42"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최종검진수가"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최종분임" localSheetId="15" hidden="1">{#N/A,#N/A,FALSE,"손익표지";#N/A,#N/A,FALSE,"손익계산";#N/A,#N/A,FALSE,"일반관리비";#N/A,#N/A,FALSE,"영업외수익";#N/A,#N/A,FALSE,"영업외비용";#N/A,#N/A,FALSE,"매출액";#N/A,#N/A,FALSE,"요약손익";#N/A,#N/A,FALSE,"요약대차";#N/A,#N/A,FALSE,"매출채권현황";#N/A,#N/A,FALSE,"매출채권명세"}</definedName>
    <definedName name="최종분임" localSheetId="6" hidden="1">{#N/A,#N/A,FALSE,"손익표지";#N/A,#N/A,FALSE,"손익계산";#N/A,#N/A,FALSE,"일반관리비";#N/A,#N/A,FALSE,"영업외수익";#N/A,#N/A,FALSE,"영업외비용";#N/A,#N/A,FALSE,"매출액";#N/A,#N/A,FALSE,"요약손익";#N/A,#N/A,FALSE,"요약대차";#N/A,#N/A,FALSE,"매출채권현황";#N/A,#N/A,FALSE,"매출채권명세"}</definedName>
    <definedName name="최종분임" localSheetId="45" hidden="1">{#N/A,#N/A,FALSE,"손익표지";#N/A,#N/A,FALSE,"손익계산";#N/A,#N/A,FALSE,"일반관리비";#N/A,#N/A,FALSE,"영업외수익";#N/A,#N/A,FALSE,"영업외비용";#N/A,#N/A,FALSE,"매출액";#N/A,#N/A,FALSE,"요약손익";#N/A,#N/A,FALSE,"요약대차";#N/A,#N/A,FALSE,"매출채권현황";#N/A,#N/A,FALSE,"매출채권명세"}</definedName>
    <definedName name="최종분임" localSheetId="42" hidden="1">{#N/A,#N/A,FALSE,"손익표지";#N/A,#N/A,FALSE,"손익계산";#N/A,#N/A,FALSE,"일반관리비";#N/A,#N/A,FALSE,"영업외수익";#N/A,#N/A,FALSE,"영업외비용";#N/A,#N/A,FALSE,"매출액";#N/A,#N/A,FALSE,"요약손익";#N/A,#N/A,FALSE,"요약대차";#N/A,#N/A,FALSE,"매출채권현황";#N/A,#N/A,FALSE,"매출채권명세"}</definedName>
    <definedName name="최종분임" hidden="1">{#N/A,#N/A,FALSE,"손익표지";#N/A,#N/A,FALSE,"손익계산";#N/A,#N/A,FALSE,"일반관리비";#N/A,#N/A,FALSE,"영업외수익";#N/A,#N/A,FALSE,"영업외비용";#N/A,#N/A,FALSE,"매출액";#N/A,#N/A,FALSE,"요약손익";#N/A,#N/A,FALSE,"요약대차";#N/A,#N/A,FALSE,"매출채권현황";#N/A,#N/A,FALSE,"매출채권명세"}</definedName>
    <definedName name="최종분입니다" localSheetId="15" hidden="1">{#N/A,#N/A,FALSE,"손익표지";#N/A,#N/A,FALSE,"손익계산";#N/A,#N/A,FALSE,"일반관리비";#N/A,#N/A,FALSE,"영업외수익";#N/A,#N/A,FALSE,"영업외비용";#N/A,#N/A,FALSE,"매출액";#N/A,#N/A,FALSE,"요약손익";#N/A,#N/A,FALSE,"요약대차";#N/A,#N/A,FALSE,"매출채권현황";#N/A,#N/A,FALSE,"매출채권명세"}</definedName>
    <definedName name="최종분입니다" localSheetId="6" hidden="1">{#N/A,#N/A,FALSE,"손익표지";#N/A,#N/A,FALSE,"손익계산";#N/A,#N/A,FALSE,"일반관리비";#N/A,#N/A,FALSE,"영업외수익";#N/A,#N/A,FALSE,"영업외비용";#N/A,#N/A,FALSE,"매출액";#N/A,#N/A,FALSE,"요약손익";#N/A,#N/A,FALSE,"요약대차";#N/A,#N/A,FALSE,"매출채권현황";#N/A,#N/A,FALSE,"매출채권명세"}</definedName>
    <definedName name="최종분입니다" localSheetId="45" hidden="1">{#N/A,#N/A,FALSE,"손익표지";#N/A,#N/A,FALSE,"손익계산";#N/A,#N/A,FALSE,"일반관리비";#N/A,#N/A,FALSE,"영업외수익";#N/A,#N/A,FALSE,"영업외비용";#N/A,#N/A,FALSE,"매출액";#N/A,#N/A,FALSE,"요약손익";#N/A,#N/A,FALSE,"요약대차";#N/A,#N/A,FALSE,"매출채권현황";#N/A,#N/A,FALSE,"매출채권명세"}</definedName>
    <definedName name="최종분입니다" localSheetId="42" hidden="1">{#N/A,#N/A,FALSE,"손익표지";#N/A,#N/A,FALSE,"손익계산";#N/A,#N/A,FALSE,"일반관리비";#N/A,#N/A,FALSE,"영업외수익";#N/A,#N/A,FALSE,"영업외비용";#N/A,#N/A,FALSE,"매출액";#N/A,#N/A,FALSE,"요약손익";#N/A,#N/A,FALSE,"요약대차";#N/A,#N/A,FALSE,"매출채권현황";#N/A,#N/A,FALSE,"매출채권명세"}</definedName>
    <definedName name="최종분입니다" hidden="1">{#N/A,#N/A,FALSE,"손익표지";#N/A,#N/A,FALSE,"손익계산";#N/A,#N/A,FALSE,"일반관리비";#N/A,#N/A,FALSE,"영업외수익";#N/A,#N/A,FALSE,"영업외비용";#N/A,#N/A,FALSE,"매출액";#N/A,#N/A,FALSE,"요약손익";#N/A,#N/A,FALSE,"요약대차";#N/A,#N/A,FALSE,"매출채권현황";#N/A,#N/A,FALSE,"매출채권명세"}</definedName>
    <definedName name="추진" localSheetId="15" hidden="1">{#N/A,#N/A,FALSE,"정공"}</definedName>
    <definedName name="추진" localSheetId="6" hidden="1">{#N/A,#N/A,FALSE,"정공"}</definedName>
    <definedName name="추진" localSheetId="45" hidden="1">{#N/A,#N/A,FALSE,"정공"}</definedName>
    <definedName name="추진" localSheetId="42" hidden="1">{#N/A,#N/A,FALSE,"정공"}</definedName>
    <definedName name="추진" hidden="1">{#N/A,#N/A,FALSE,"정공"}</definedName>
    <definedName name="추진전략" localSheetId="15" hidden="1">{#N/A,#N/A,FALSE,"정공"}</definedName>
    <definedName name="추진전략" localSheetId="6" hidden="1">{#N/A,#N/A,FALSE,"정공"}</definedName>
    <definedName name="추진전략" localSheetId="45" hidden="1">{#N/A,#N/A,FALSE,"정공"}</definedName>
    <definedName name="추진전략" localSheetId="42" hidden="1">{#N/A,#N/A,FALSE,"정공"}</definedName>
    <definedName name="추진전략" hidden="1">{#N/A,#N/A,FALSE,"정공"}</definedName>
    <definedName name="출판" localSheetId="42" hidden="1">{#N/A,#N/A,FALSE,"지침";#N/A,#N/A,FALSE,"환경분석";#N/A,#N/A,FALSE,"Sheet16"}</definedName>
    <definedName name="출판" hidden="1">{#N/A,#N/A,FALSE,"지침";#N/A,#N/A,FALSE,"환경분석";#N/A,#N/A,FALSE,"Sheet16"}</definedName>
    <definedName name="충당계상내역" localSheetId="12" hidden="1">{#N/A,#N/A,FALSE,"회선임차현황"}</definedName>
    <definedName name="충당계상내역" localSheetId="42" hidden="1">{#N/A,#N/A,FALSE,"회선임차현황"}</definedName>
    <definedName name="충당계상내역" hidden="1">{#N/A,#N/A,FALSE,"회선임차현황"}</definedName>
    <definedName name="츄" localSheetId="12" hidden="1">{#N/A,#N/A,FALSE,"Sheet1"}</definedName>
    <definedName name="츄" localSheetId="42" hidden="1">{#N/A,#N/A,FALSE,"Sheet1"}</definedName>
    <definedName name="츄" hidden="1">{#N/A,#N/A,FALSE,"Sheet1"}</definedName>
    <definedName name="ㅋ" localSheetId="15" hidden="1">{#N/A,#N/A,FALSE,"손익표지";#N/A,#N/A,FALSE,"손익계산";#N/A,#N/A,FALSE,"일반관리비";#N/A,#N/A,FALSE,"영업외수익";#N/A,#N/A,FALSE,"영업외비용";#N/A,#N/A,FALSE,"매출액";#N/A,#N/A,FALSE,"요약손익";#N/A,#N/A,FALSE,"요약대차";#N/A,#N/A,FALSE,"매출채권현황";#N/A,#N/A,FALSE,"매출채권명세"}</definedName>
    <definedName name="ㅋ"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ㅋ" localSheetId="45" hidden="1">{#N/A,#N/A,FALSE,"손익표지";#N/A,#N/A,FALSE,"손익계산";#N/A,#N/A,FALSE,"일반관리비";#N/A,#N/A,FALSE,"영업외수익";#N/A,#N/A,FALSE,"영업외비용";#N/A,#N/A,FALSE,"매출액";#N/A,#N/A,FALSE,"요약손익";#N/A,#N/A,FALSE,"요약대차";#N/A,#N/A,FALSE,"매출채권현황";#N/A,#N/A,FALSE,"매출채권명세"}</definedName>
    <definedName name="ㅋ" localSheetId="42" hidden="1">{#N/A,#N/A,FALSE,"손익표지";#N/A,#N/A,FALSE,"손익계산";#N/A,#N/A,FALSE,"일반관리비";#N/A,#N/A,FALSE,"영업외수익";#N/A,#N/A,FALSE,"영업외비용";#N/A,#N/A,FALSE,"매출액";#N/A,#N/A,FALSE,"요약손익";#N/A,#N/A,FALSE,"요약대차";#N/A,#N/A,FALSE,"매출채권현황";#N/A,#N/A,FALSE,"매출채권명세"}</definedName>
    <definedName name="ㅋ" hidden="1">{#N/A,#N/A,FALSE,"UNIT";#N/A,#N/A,FALSE,"UNIT";#N/A,#N/A,FALSE,"계정"}</definedName>
    <definedName name="ㅋㅋ" localSheetId="12" hidden="1">{#N/A,#N/A,FALSE,"UNIT";#N/A,#N/A,FALSE,"UNIT";#N/A,#N/A,FALSE,"계정"}</definedName>
    <definedName name="ㅋㅋ" localSheetId="15" hidden="1">{#N/A,#N/A,FALSE,"손익표지";#N/A,#N/A,FALSE,"손익계산";#N/A,#N/A,FALSE,"일반관리비";#N/A,#N/A,FALSE,"영업외수익";#N/A,#N/A,FALSE,"영업외비용";#N/A,#N/A,FALSE,"매출액";#N/A,#N/A,FALSE,"요약손익";#N/A,#N/A,FALSE,"요약대차";#N/A,#N/A,FALSE,"매출채권현황";#N/A,#N/A,FALSE,"매출채권명세"}</definedName>
    <definedName name="ㅋㅋ"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ㅋㅋ" localSheetId="45" hidden="1">{#N/A,#N/A,FALSE,"손익표지";#N/A,#N/A,FALSE,"손익계산";#N/A,#N/A,FALSE,"일반관리비";#N/A,#N/A,FALSE,"영업외수익";#N/A,#N/A,FALSE,"영업외비용";#N/A,#N/A,FALSE,"매출액";#N/A,#N/A,FALSE,"요약손익";#N/A,#N/A,FALSE,"요약대차";#N/A,#N/A,FALSE,"매출채권현황";#N/A,#N/A,FALSE,"매출채권명세"}</definedName>
    <definedName name="ㅋㅋ" localSheetId="42" hidden="1">{#N/A,#N/A,FALSE,"손익표지";#N/A,#N/A,FALSE,"손익계산";#N/A,#N/A,FALSE,"일반관리비";#N/A,#N/A,FALSE,"영업외수익";#N/A,#N/A,FALSE,"영업외비용";#N/A,#N/A,FALSE,"매출액";#N/A,#N/A,FALSE,"요약손익";#N/A,#N/A,FALSE,"요약대차";#N/A,#N/A,FALSE,"매출채권현황";#N/A,#N/A,FALSE,"매출채권명세"}</definedName>
    <definedName name="ㅋㅋ" hidden="1">{#N/A,#N/A,FALSE,"UNIT";#N/A,#N/A,FALSE,"UNIT";#N/A,#N/A,FALSE,"계정"}</definedName>
    <definedName name="ㅋㅋㅋ" localSheetId="12" hidden="1">{#N/A,#N/A,TRUE,"매출진척-1";#N/A,#N/A,TRUE,"매출진척-2";#N/A,#N/A,TRUE,"제품실적";#N/A,#N/A,TRUE,"RAC";#N/A,#N/A,TRUE,"PAC ";#N/A,#N/A,TRUE,"재고현황";#N/A,#N/A,TRUE,"공지사항"}</definedName>
    <definedName name="ㅋㅋㅋ" localSheetId="15" hidden="1">{#N/A,#N/A,FALSE,"손익표지";#N/A,#N/A,FALSE,"손익계산";#N/A,#N/A,FALSE,"일반관리비";#N/A,#N/A,FALSE,"영업외수익";#N/A,#N/A,FALSE,"영업외비용";#N/A,#N/A,FALSE,"매출액";#N/A,#N/A,FALSE,"요약손익";#N/A,#N/A,FALSE,"요약대차";#N/A,#N/A,FALSE,"매출채권현황";#N/A,#N/A,FALSE,"매출채권명세"}</definedName>
    <definedName name="ㅋㅋㅋ"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ㅋㅋㅋ" localSheetId="45" hidden="1">{#N/A,#N/A,FALSE,"손익표지";#N/A,#N/A,FALSE,"손익계산";#N/A,#N/A,FALSE,"일반관리비";#N/A,#N/A,FALSE,"영업외수익";#N/A,#N/A,FALSE,"영업외비용";#N/A,#N/A,FALSE,"매출액";#N/A,#N/A,FALSE,"요약손익";#N/A,#N/A,FALSE,"요약대차";#N/A,#N/A,FALSE,"매출채권현황";#N/A,#N/A,FALSE,"매출채권명세"}</definedName>
    <definedName name="ㅋㅋㅋ" localSheetId="42" hidden="1">{#N/A,#N/A,FALSE,"손익표지";#N/A,#N/A,FALSE,"손익계산";#N/A,#N/A,FALSE,"일반관리비";#N/A,#N/A,FALSE,"영업외수익";#N/A,#N/A,FALSE,"영업외비용";#N/A,#N/A,FALSE,"매출액";#N/A,#N/A,FALSE,"요약손익";#N/A,#N/A,FALSE,"요약대차";#N/A,#N/A,FALSE,"매출채권현황";#N/A,#N/A,FALSE,"매출채권명세"}</definedName>
    <definedName name="ㅋㅋㅋ" hidden="1">{#N/A,#N/A,TRUE,"매출진척-1";#N/A,#N/A,TRUE,"매출진척-2";#N/A,#N/A,TRUE,"제품실적";#N/A,#N/A,TRUE,"RAC";#N/A,#N/A,TRUE,"PAC ";#N/A,#N/A,TRUE,"재고현황";#N/A,#N/A,TRUE,"공지사항"}</definedName>
    <definedName name="ㅋㅋㅋㅋ" localSheetId="12" hidden="1">{#N/A,#N/A,FALSE,"UNIT";#N/A,#N/A,FALSE,"UNIT";#N/A,#N/A,FALSE,"계정"}</definedName>
    <definedName name="ㅋㅋㅋㅋ" localSheetId="15" hidden="1">{#N/A,#N/A,FALSE,"손익표지";#N/A,#N/A,FALSE,"손익계산";#N/A,#N/A,FALSE,"일반관리비";#N/A,#N/A,FALSE,"영업외수익";#N/A,#N/A,FALSE,"영업외비용";#N/A,#N/A,FALSE,"매출액";#N/A,#N/A,FALSE,"요약손익";#N/A,#N/A,FALSE,"요약대차";#N/A,#N/A,FALSE,"매출채권현황";#N/A,#N/A,FALSE,"매출채권명세"}</definedName>
    <definedName name="ㅋㅋㅋㅋ"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ㅋㅋㅋㅋ" localSheetId="45" hidden="1">{#N/A,#N/A,FALSE,"손익표지";#N/A,#N/A,FALSE,"손익계산";#N/A,#N/A,FALSE,"일반관리비";#N/A,#N/A,FALSE,"영업외수익";#N/A,#N/A,FALSE,"영업외비용";#N/A,#N/A,FALSE,"매출액";#N/A,#N/A,FALSE,"요약손익";#N/A,#N/A,FALSE,"요약대차";#N/A,#N/A,FALSE,"매출채권현황";#N/A,#N/A,FALSE,"매출채권명세"}</definedName>
    <definedName name="ㅋㅋㅋㅋ" localSheetId="42" hidden="1">{#N/A,#N/A,FALSE,"손익표지";#N/A,#N/A,FALSE,"손익계산";#N/A,#N/A,FALSE,"일반관리비";#N/A,#N/A,FALSE,"영업외수익";#N/A,#N/A,FALSE,"영업외비용";#N/A,#N/A,FALSE,"매출액";#N/A,#N/A,FALSE,"요약손익";#N/A,#N/A,FALSE,"요약대차";#N/A,#N/A,FALSE,"매출채권현황";#N/A,#N/A,FALSE,"매출채권명세"}</definedName>
    <definedName name="ㅋㅋㅋㅋ" hidden="1">{#N/A,#N/A,FALSE,"UNIT";#N/A,#N/A,FALSE,"UNIT";#N/A,#N/A,FALSE,"계정"}</definedName>
    <definedName name="ㅋㅋㅋㅋㅋ" localSheetId="12" hidden="1">{#N/A,#N/A,FALSE,"UNIT";#N/A,#N/A,FALSE,"UNIT";#N/A,#N/A,FALSE,"계정"}</definedName>
    <definedName name="ㅋㅋㅋㅋㅋ" localSheetId="15" hidden="1">{#N/A,#N/A,FALSE,"손익표지";#N/A,#N/A,FALSE,"손익계산";#N/A,#N/A,FALSE,"일반관리비";#N/A,#N/A,FALSE,"영업외수익";#N/A,#N/A,FALSE,"영업외비용";#N/A,#N/A,FALSE,"매출액";#N/A,#N/A,FALSE,"요약손익";#N/A,#N/A,FALSE,"요약대차";#N/A,#N/A,FALSE,"매출채권현황";#N/A,#N/A,FALSE,"매출채권명세"}</definedName>
    <definedName name="ㅋㅋㅋㅋㅋ"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ㅋㅋㅋㅋㅋ" localSheetId="45" hidden="1">{#N/A,#N/A,FALSE,"손익표지";#N/A,#N/A,FALSE,"손익계산";#N/A,#N/A,FALSE,"일반관리비";#N/A,#N/A,FALSE,"영업외수익";#N/A,#N/A,FALSE,"영업외비용";#N/A,#N/A,FALSE,"매출액";#N/A,#N/A,FALSE,"요약손익";#N/A,#N/A,FALSE,"요약대차";#N/A,#N/A,FALSE,"매출채권현황";#N/A,#N/A,FALSE,"매출채권명세"}</definedName>
    <definedName name="ㅋㅋㅋㅋㅋ" localSheetId="42" hidden="1">{#N/A,#N/A,FALSE,"손익표지";#N/A,#N/A,FALSE,"손익계산";#N/A,#N/A,FALSE,"일반관리비";#N/A,#N/A,FALSE,"영업외수익";#N/A,#N/A,FALSE,"영업외비용";#N/A,#N/A,FALSE,"매출액";#N/A,#N/A,FALSE,"요약손익";#N/A,#N/A,FALSE,"요약대차";#N/A,#N/A,FALSE,"매출채권현황";#N/A,#N/A,FALSE,"매출채권명세"}</definedName>
    <definedName name="ㅋㅋㅋㅋㅋ" hidden="1">{#N/A,#N/A,FALSE,"UNIT";#N/A,#N/A,FALSE,"UNIT";#N/A,#N/A,FALSE,"계정"}</definedName>
    <definedName name="ㅋㅋㅋㅋㅋㅋ" localSheetId="15" hidden="1">{#N/A,#N/A,FALSE,"손익표지";#N/A,#N/A,FALSE,"손익계산";#N/A,#N/A,FALSE,"일반관리비";#N/A,#N/A,FALSE,"영업외수익";#N/A,#N/A,FALSE,"영업외비용";#N/A,#N/A,FALSE,"매출액";#N/A,#N/A,FALSE,"요약손익";#N/A,#N/A,FALSE,"요약대차";#N/A,#N/A,FALSE,"매출채권현황";#N/A,#N/A,FALSE,"매출채권명세"}</definedName>
    <definedName name="ㅋㅋㅋㅋㅋㅋ"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ㅋㅋㅋㅋㅋㅋ" localSheetId="45" hidden="1">{#N/A,#N/A,FALSE,"손익표지";#N/A,#N/A,FALSE,"손익계산";#N/A,#N/A,FALSE,"일반관리비";#N/A,#N/A,FALSE,"영업외수익";#N/A,#N/A,FALSE,"영업외비용";#N/A,#N/A,FALSE,"매출액";#N/A,#N/A,FALSE,"요약손익";#N/A,#N/A,FALSE,"요약대차";#N/A,#N/A,FALSE,"매출채권현황";#N/A,#N/A,FALSE,"매출채권명세"}</definedName>
    <definedName name="ㅋㅋㅋㅋㅋㅋ" localSheetId="42" hidden="1">{#N/A,#N/A,FALSE,"손익표지";#N/A,#N/A,FALSE,"손익계산";#N/A,#N/A,FALSE,"일반관리비";#N/A,#N/A,FALSE,"영업외수익";#N/A,#N/A,FALSE,"영업외비용";#N/A,#N/A,FALSE,"매출액";#N/A,#N/A,FALSE,"요약손익";#N/A,#N/A,FALSE,"요약대차";#N/A,#N/A,FALSE,"매출채권현황";#N/A,#N/A,FALSE,"매출채권명세"}</definedName>
    <definedName name="ㅋㅋㅋㅋㅋㅋ" hidden="1">{#N/A,#N/A,FALSE,"손익표지";#N/A,#N/A,FALSE,"손익계산";#N/A,#N/A,FALSE,"일반관리비";#N/A,#N/A,FALSE,"영업외수익";#N/A,#N/A,FALSE,"영업외비용";#N/A,#N/A,FALSE,"매출액";#N/A,#N/A,FALSE,"요약손익";#N/A,#N/A,FALSE,"요약대차";#N/A,#N/A,FALSE,"매출채권현황";#N/A,#N/A,FALSE,"매출채권명세"}</definedName>
    <definedName name="ㅋㅌㅊ" localSheetId="12" hidden="1">{#N/A,#N/A,FALSE,"Sheet1"}</definedName>
    <definedName name="ㅋㅌㅊ" localSheetId="42" hidden="1">{#N/A,#N/A,FALSE,"Sheet1"}</definedName>
    <definedName name="ㅋㅌㅊ" hidden="1">{#N/A,#N/A,FALSE,"Sheet1"}</definedName>
    <definedName name="카러" localSheetId="15" hidden="1">{#N/A,#N/A,FALSE,"1.CRITERIA";#N/A,#N/A,FALSE,"2.IS";#N/A,#N/A,FALSE,"3.BS";#N/A,#N/A,FALSE,"4.PER PL";#N/A,#N/A,FALSE,"5.INVESTMENT";#N/A,#N/A,FALSE,"6.공문";#N/A,#N/A,FALSE,"7.netinvest"}</definedName>
    <definedName name="카러" localSheetId="6" hidden="1">{#N/A,#N/A,FALSE,"1.CRITERIA";#N/A,#N/A,FALSE,"2.IS";#N/A,#N/A,FALSE,"3.BS";#N/A,#N/A,FALSE,"4.PER PL";#N/A,#N/A,FALSE,"5.INVESTMENT";#N/A,#N/A,FALSE,"6.공문";#N/A,#N/A,FALSE,"7.netinvest"}</definedName>
    <definedName name="카러" localSheetId="45" hidden="1">{#N/A,#N/A,FALSE,"1.CRITERIA";#N/A,#N/A,FALSE,"2.IS";#N/A,#N/A,FALSE,"3.BS";#N/A,#N/A,FALSE,"4.PER PL";#N/A,#N/A,FALSE,"5.INVESTMENT";#N/A,#N/A,FALSE,"6.공문";#N/A,#N/A,FALSE,"7.netinvest"}</definedName>
    <definedName name="카러" localSheetId="42" hidden="1">{#N/A,#N/A,FALSE,"1.CRITERIA";#N/A,#N/A,FALSE,"2.IS";#N/A,#N/A,FALSE,"3.BS";#N/A,#N/A,FALSE,"4.PER PL";#N/A,#N/A,FALSE,"5.INVESTMENT";#N/A,#N/A,FALSE,"6.공문";#N/A,#N/A,FALSE,"7.netinvest"}</definedName>
    <definedName name="카러" hidden="1">{#N/A,#N/A,FALSE,"1.CRITERIA";#N/A,#N/A,FALSE,"2.IS";#N/A,#N/A,FALSE,"3.BS";#N/A,#N/A,FALSE,"4.PER PL";#N/A,#N/A,FALSE,"5.INVESTMENT";#N/A,#N/A,FALSE,"6.공문";#N/A,#N/A,FALSE,"7.netinvest"}</definedName>
    <definedName name="캐쉬" localSheetId="42" hidden="1">{#N/A,#N/A,FALSE,"지침";#N/A,#N/A,FALSE,"환경분석";#N/A,#N/A,FALSE,"Sheet16"}</definedName>
    <definedName name="캐쉬" hidden="1">{#N/A,#N/A,FALSE,"지침";#N/A,#N/A,FALSE,"환경분석";#N/A,#N/A,FALSE,"Sheet16"}</definedName>
    <definedName name="커머" localSheetId="15" hidden="1">{#N/A,#N/A,FALSE,"1.CRITERIA";#N/A,#N/A,FALSE,"2.IS";#N/A,#N/A,FALSE,"3.BS";#N/A,#N/A,FALSE,"4.PER PL";#N/A,#N/A,FALSE,"5.INVESTMENT";#N/A,#N/A,FALSE,"6.공문";#N/A,#N/A,FALSE,"7.netinvest"}</definedName>
    <definedName name="커머" localSheetId="6" hidden="1">{#N/A,#N/A,FALSE,"1.CRITERIA";#N/A,#N/A,FALSE,"2.IS";#N/A,#N/A,FALSE,"3.BS";#N/A,#N/A,FALSE,"4.PER PL";#N/A,#N/A,FALSE,"5.INVESTMENT";#N/A,#N/A,FALSE,"6.공문";#N/A,#N/A,FALSE,"7.netinvest"}</definedName>
    <definedName name="커머" localSheetId="45" hidden="1">{#N/A,#N/A,FALSE,"1.CRITERIA";#N/A,#N/A,FALSE,"2.IS";#N/A,#N/A,FALSE,"3.BS";#N/A,#N/A,FALSE,"4.PER PL";#N/A,#N/A,FALSE,"5.INVESTMENT";#N/A,#N/A,FALSE,"6.공문";#N/A,#N/A,FALSE,"7.netinvest"}</definedName>
    <definedName name="커머" localSheetId="42" hidden="1">{#N/A,#N/A,FALSE,"1.CRITERIA";#N/A,#N/A,FALSE,"2.IS";#N/A,#N/A,FALSE,"3.BS";#N/A,#N/A,FALSE,"4.PER PL";#N/A,#N/A,FALSE,"5.INVESTMENT";#N/A,#N/A,FALSE,"6.공문";#N/A,#N/A,FALSE,"7.netinvest"}</definedName>
    <definedName name="커머" hidden="1">{#N/A,#N/A,FALSE,"1.CRITERIA";#N/A,#N/A,FALSE,"2.IS";#N/A,#N/A,FALSE,"3.BS";#N/A,#N/A,FALSE,"4.PER PL";#N/A,#N/A,FALSE,"5.INVESTMENT";#N/A,#N/A,FALSE,"6.공문";#N/A,#N/A,FALSE,"7.netinvest"}</definedName>
    <definedName name="컼커" localSheetId="15" hidden="1">{#N/A,#N/A,FALSE,"1.CRITERIA";#N/A,#N/A,FALSE,"2.IS";#N/A,#N/A,FALSE,"3.BS";#N/A,#N/A,FALSE,"4.PER PL";#N/A,#N/A,FALSE,"5.INVESTMENT";#N/A,#N/A,FALSE,"6.공문";#N/A,#N/A,FALSE,"7.netinvest"}</definedName>
    <definedName name="컼커" localSheetId="6" hidden="1">{#N/A,#N/A,FALSE,"1.CRITERIA";#N/A,#N/A,FALSE,"2.IS";#N/A,#N/A,FALSE,"3.BS";#N/A,#N/A,FALSE,"4.PER PL";#N/A,#N/A,FALSE,"5.INVESTMENT";#N/A,#N/A,FALSE,"6.공문";#N/A,#N/A,FALSE,"7.netinvest"}</definedName>
    <definedName name="컼커" localSheetId="45" hidden="1">{#N/A,#N/A,FALSE,"1.CRITERIA";#N/A,#N/A,FALSE,"2.IS";#N/A,#N/A,FALSE,"3.BS";#N/A,#N/A,FALSE,"4.PER PL";#N/A,#N/A,FALSE,"5.INVESTMENT";#N/A,#N/A,FALSE,"6.공문";#N/A,#N/A,FALSE,"7.netinvest"}</definedName>
    <definedName name="컼커" localSheetId="42" hidden="1">{#N/A,#N/A,FALSE,"1.CRITERIA";#N/A,#N/A,FALSE,"2.IS";#N/A,#N/A,FALSE,"3.BS";#N/A,#N/A,FALSE,"4.PER PL";#N/A,#N/A,FALSE,"5.INVESTMENT";#N/A,#N/A,FALSE,"6.공문";#N/A,#N/A,FALSE,"7.netinvest"}</definedName>
    <definedName name="컼커" hidden="1">{#N/A,#N/A,FALSE,"1.CRITERIA";#N/A,#N/A,FALSE,"2.IS";#N/A,#N/A,FALSE,"3.BS";#N/A,#N/A,FALSE,"4.PER PL";#N/A,#N/A,FALSE,"5.INVESTMENT";#N/A,#N/A,FALSE,"6.공문";#N/A,#N/A,FALSE,"7.netinvest"}</definedName>
    <definedName name="코" localSheetId="15" hidden="1">{#N/A,#N/A,FALSE,"1.CRITERIA";#N/A,#N/A,FALSE,"2.IS";#N/A,#N/A,FALSE,"3.BS";#N/A,#N/A,FALSE,"4.PER PL";#N/A,#N/A,FALSE,"5.INVESTMENT";#N/A,#N/A,FALSE,"6.공문";#N/A,#N/A,FALSE,"7.netinvest"}</definedName>
    <definedName name="코" localSheetId="6" hidden="1">{#N/A,#N/A,FALSE,"1.CRITERIA";#N/A,#N/A,FALSE,"2.IS";#N/A,#N/A,FALSE,"3.BS";#N/A,#N/A,FALSE,"4.PER PL";#N/A,#N/A,FALSE,"5.INVESTMENT";#N/A,#N/A,FALSE,"6.공문";#N/A,#N/A,FALSE,"7.netinvest"}</definedName>
    <definedName name="코" localSheetId="45" hidden="1">{#N/A,#N/A,FALSE,"1.CRITERIA";#N/A,#N/A,FALSE,"2.IS";#N/A,#N/A,FALSE,"3.BS";#N/A,#N/A,FALSE,"4.PER PL";#N/A,#N/A,FALSE,"5.INVESTMENT";#N/A,#N/A,FALSE,"6.공문";#N/A,#N/A,FALSE,"7.netinvest"}</definedName>
    <definedName name="코" localSheetId="42" hidden="1">{#N/A,#N/A,FALSE,"1.CRITERIA";#N/A,#N/A,FALSE,"2.IS";#N/A,#N/A,FALSE,"3.BS";#N/A,#N/A,FALSE,"4.PER PL";#N/A,#N/A,FALSE,"5.INVESTMENT";#N/A,#N/A,FALSE,"6.공문";#N/A,#N/A,FALSE,"7.netinvest"}</definedName>
    <definedName name="코" hidden="1">{#N/A,#N/A,FALSE,"1.CRITERIA";#N/A,#N/A,FALSE,"2.IS";#N/A,#N/A,FALSE,"3.BS";#N/A,#N/A,FALSE,"4.PER PL";#N/A,#N/A,FALSE,"5.INVESTMENT";#N/A,#N/A,FALSE,"6.공문";#N/A,#N/A,FALSE,"7.netinvest"}</definedName>
    <definedName name="키" localSheetId="15" hidden="1">{#N/A,#N/A,FALSE,"1.CRITERIA";#N/A,#N/A,FALSE,"2.IS";#N/A,#N/A,FALSE,"3.BS";#N/A,#N/A,FALSE,"4.PER PL";#N/A,#N/A,FALSE,"5.INVESTMENT";#N/A,#N/A,FALSE,"6.공문";#N/A,#N/A,FALSE,"7.netinvest"}</definedName>
    <definedName name="키" localSheetId="6" hidden="1">{#N/A,#N/A,FALSE,"1.CRITERIA";#N/A,#N/A,FALSE,"2.IS";#N/A,#N/A,FALSE,"3.BS";#N/A,#N/A,FALSE,"4.PER PL";#N/A,#N/A,FALSE,"5.INVESTMENT";#N/A,#N/A,FALSE,"6.공문";#N/A,#N/A,FALSE,"7.netinvest"}</definedName>
    <definedName name="키" localSheetId="45" hidden="1">{#N/A,#N/A,FALSE,"1.CRITERIA";#N/A,#N/A,FALSE,"2.IS";#N/A,#N/A,FALSE,"3.BS";#N/A,#N/A,FALSE,"4.PER PL";#N/A,#N/A,FALSE,"5.INVESTMENT";#N/A,#N/A,FALSE,"6.공문";#N/A,#N/A,FALSE,"7.netinvest"}</definedName>
    <definedName name="키" localSheetId="42" hidden="1">{#N/A,#N/A,FALSE,"1.CRITERIA";#N/A,#N/A,FALSE,"2.IS";#N/A,#N/A,FALSE,"3.BS";#N/A,#N/A,FALSE,"4.PER PL";#N/A,#N/A,FALSE,"5.INVESTMENT";#N/A,#N/A,FALSE,"6.공문";#N/A,#N/A,FALSE,"7.netinvest"}</definedName>
    <definedName name="키" hidden="1">{#N/A,#N/A,FALSE,"1.CRITERIA";#N/A,#N/A,FALSE,"2.IS";#N/A,#N/A,FALSE,"3.BS";#N/A,#N/A,FALSE,"4.PER PL";#N/A,#N/A,FALSE,"5.INVESTMENT";#N/A,#N/A,FALSE,"6.공문";#N/A,#N/A,FALSE,"7.netinvest"}</definedName>
    <definedName name="ㅌ" localSheetId="15" hidden="1">{#N/A,#N/A,FALSE,"손익표지";#N/A,#N/A,FALSE,"손익계산";#N/A,#N/A,FALSE,"일반관리비";#N/A,#N/A,FALSE,"영업외수익";#N/A,#N/A,FALSE,"영업외비용";#N/A,#N/A,FALSE,"매출액";#N/A,#N/A,FALSE,"요약손익";#N/A,#N/A,FALSE,"요약대차";#N/A,#N/A,FALSE,"매출채권현황";#N/A,#N/A,FALSE,"매출채권명세"}</definedName>
    <definedName name="ㅌ"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ㅌ" localSheetId="45" hidden="1">{#N/A,#N/A,FALSE,"손익표지";#N/A,#N/A,FALSE,"손익계산";#N/A,#N/A,FALSE,"일반관리비";#N/A,#N/A,FALSE,"영업외수익";#N/A,#N/A,FALSE,"영업외비용";#N/A,#N/A,FALSE,"매출액";#N/A,#N/A,FALSE,"요약손익";#N/A,#N/A,FALSE,"요약대차";#N/A,#N/A,FALSE,"매출채권현황";#N/A,#N/A,FALSE,"매출채권명세"}</definedName>
    <definedName name="ㅌ" localSheetId="42" hidden="1">{#N/A,#N/A,FALSE,"손익표지";#N/A,#N/A,FALSE,"손익계산";#N/A,#N/A,FALSE,"일반관리비";#N/A,#N/A,FALSE,"영업외수익";#N/A,#N/A,FALSE,"영업외비용";#N/A,#N/A,FALSE,"매출액";#N/A,#N/A,FALSE,"요약손익";#N/A,#N/A,FALSE,"요약대차";#N/A,#N/A,FALSE,"매출채권현황";#N/A,#N/A,FALSE,"매출채권명세"}</definedName>
    <definedName name="ㅌ" hidden="1">{#N/A,#N/A,FALSE,"UNIT";#N/A,#N/A,FALSE,"UNIT";#N/A,#N/A,FALSE,"계정"}</definedName>
    <definedName name="ㅌㄹ헉ㄴ터" localSheetId="30" hidden="1">#REF!</definedName>
    <definedName name="ㅌㄹ헉ㄴ터" localSheetId="29" hidden="1">#REF!</definedName>
    <definedName name="ㅌㄹ헉ㄴ터" localSheetId="33" hidden="1">#REF!</definedName>
    <definedName name="ㅌㄹ헉ㄴ터" localSheetId="31" hidden="1">#REF!</definedName>
    <definedName name="ㅌㄹ헉ㄴ터" hidden="1">#REF!</definedName>
    <definedName name="ㅌㅊ" localSheetId="42" hidden="1">{#N/A,#N/A,FALSE,"UNIT";#N/A,#N/A,FALSE,"UNIT";#N/A,#N/A,FALSE,"계정"}</definedName>
    <definedName name="ㅌㅊ" hidden="1">{#N/A,#N/A,FALSE,"UNIT";#N/A,#N/A,FALSE,"UNIT";#N/A,#N/A,FALSE,"계정"}</definedName>
    <definedName name="ㅌㅌ" localSheetId="12" hidden="1">{#N/A,#N/A,TRUE,"일정"}</definedName>
    <definedName name="ㅌㅌ" localSheetId="15" hidden="1">{#N/A,#N/A,FALSE,"손익표지";#N/A,#N/A,FALSE,"손익계산";#N/A,#N/A,FALSE,"일반관리비";#N/A,#N/A,FALSE,"영업외수익";#N/A,#N/A,FALSE,"영업외비용";#N/A,#N/A,FALSE,"매출액";#N/A,#N/A,FALSE,"요약손익";#N/A,#N/A,FALSE,"요약대차";#N/A,#N/A,FALSE,"매출채권현황";#N/A,#N/A,FALSE,"매출채권명세"}</definedName>
    <definedName name="ㅌㅌ"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ㅌㅌ" localSheetId="45" hidden="1">{#N/A,#N/A,FALSE,"손익표지";#N/A,#N/A,FALSE,"손익계산";#N/A,#N/A,FALSE,"일반관리비";#N/A,#N/A,FALSE,"영업외수익";#N/A,#N/A,FALSE,"영업외비용";#N/A,#N/A,FALSE,"매출액";#N/A,#N/A,FALSE,"요약손익";#N/A,#N/A,FALSE,"요약대차";#N/A,#N/A,FALSE,"매출채권현황";#N/A,#N/A,FALSE,"매출채권명세"}</definedName>
    <definedName name="ㅌㅌ" localSheetId="42" hidden="1">{#N/A,#N/A,FALSE,"손익표지";#N/A,#N/A,FALSE,"손익계산";#N/A,#N/A,FALSE,"일반관리비";#N/A,#N/A,FALSE,"영업외수익";#N/A,#N/A,FALSE,"영업외비용";#N/A,#N/A,FALSE,"매출액";#N/A,#N/A,FALSE,"요약손익";#N/A,#N/A,FALSE,"요약대차";#N/A,#N/A,FALSE,"매출채권현황";#N/A,#N/A,FALSE,"매출채권명세"}</definedName>
    <definedName name="ㅌㅌ" hidden="1">{#N/A,#N/A,FALSE,"UNIT";#N/A,#N/A,FALSE,"UNIT";#N/A,#N/A,FALSE,"계정"}</definedName>
    <definedName name="ㅌㅌㅌㅌ" localSheetId="15" hidden="1">{#N/A,#N/A,FALSE,"손익표지";#N/A,#N/A,FALSE,"손익계산";#N/A,#N/A,FALSE,"일반관리비";#N/A,#N/A,FALSE,"영업외수익";#N/A,#N/A,FALSE,"영업외비용";#N/A,#N/A,FALSE,"매출액";#N/A,#N/A,FALSE,"요약손익";#N/A,#N/A,FALSE,"요약대차";#N/A,#N/A,FALSE,"매출채권현황";#N/A,#N/A,FALSE,"매출채권명세"}</definedName>
    <definedName name="ㅌㅌㅌㅌ"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ㅌㅌㅌㅌ" localSheetId="45" hidden="1">{#N/A,#N/A,FALSE,"손익표지";#N/A,#N/A,FALSE,"손익계산";#N/A,#N/A,FALSE,"일반관리비";#N/A,#N/A,FALSE,"영업외수익";#N/A,#N/A,FALSE,"영업외비용";#N/A,#N/A,FALSE,"매출액";#N/A,#N/A,FALSE,"요약손익";#N/A,#N/A,FALSE,"요약대차";#N/A,#N/A,FALSE,"매출채권현황";#N/A,#N/A,FALSE,"매출채권명세"}</definedName>
    <definedName name="ㅌㅌㅌㅌ" localSheetId="42" hidden="1">{#N/A,#N/A,FALSE,"손익표지";#N/A,#N/A,FALSE,"손익계산";#N/A,#N/A,FALSE,"일반관리비";#N/A,#N/A,FALSE,"영업외수익";#N/A,#N/A,FALSE,"영업외비용";#N/A,#N/A,FALSE,"매출액";#N/A,#N/A,FALSE,"요약손익";#N/A,#N/A,FALSE,"요약대차";#N/A,#N/A,FALSE,"매출채권현황";#N/A,#N/A,FALSE,"매출채권명세"}</definedName>
    <definedName name="ㅌㅌㅌㅌ" hidden="1">{#N/A,#N/A,FALSE,"손익표지";#N/A,#N/A,FALSE,"손익계산";#N/A,#N/A,FALSE,"일반관리비";#N/A,#N/A,FALSE,"영업외수익";#N/A,#N/A,FALSE,"영업외비용";#N/A,#N/A,FALSE,"매출액";#N/A,#N/A,FALSE,"요약손익";#N/A,#N/A,FALSE,"요약대차";#N/A,#N/A,FALSE,"매출채권현황";#N/A,#N/A,FALSE,"매출채권명세"}</definedName>
    <definedName name="통신회선편집용" localSheetId="12" hidden="1">{#N/A,#N/A,FALSE,"회선임차현황"}</definedName>
    <definedName name="통신회선편집용" localSheetId="42" hidden="1">{#N/A,#N/A,FALSE,"회선임차현황"}</definedName>
    <definedName name="통신회선편집용" hidden="1">{#N/A,#N/A,FALSE,"회선임차현황"}</definedName>
    <definedName name="퇴충명세" localSheetId="4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퇴충명세"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투" localSheetId="15" hidden="1">#REF!</definedName>
    <definedName name="투" localSheetId="6" hidden="1">#REF!</definedName>
    <definedName name="투" localSheetId="42" hidden="1">#REF!</definedName>
    <definedName name="투" hidden="1">#REF!</definedName>
    <definedName name="투자3" localSheetId="42" hidden="1">{"'9월'!$F$38"}</definedName>
    <definedName name="투자3" hidden="1">{"'9월'!$F$38"}</definedName>
    <definedName name="투자계획1" localSheetId="12" hidden="1">{#N/A,#N/A,FALSE,"UNIT";#N/A,#N/A,FALSE,"UNIT";#N/A,#N/A,FALSE,"계정"}</definedName>
    <definedName name="투자계획1" localSheetId="42" hidden="1">{#N/A,#N/A,FALSE,"UNIT";#N/A,#N/A,FALSE,"UNIT";#N/A,#N/A,FALSE,"계정"}</definedName>
    <definedName name="투자계획1" hidden="1">{#N/A,#N/A,FALSE,"UNIT";#N/A,#N/A,FALSE,"UNIT";#N/A,#N/A,FALSE,"계정"}</definedName>
    <definedName name="투자자산" localSheetId="15" hidden="1">{"FORM17",#N/A,FALSE,"Commission1";"FORM17.1",#N/A,FALSE,"Commission2"}</definedName>
    <definedName name="투자자산" localSheetId="6" hidden="1">{"FORM17",#N/A,FALSE,"Commission1";"FORM17.1",#N/A,FALSE,"Commission2"}</definedName>
    <definedName name="투자자산" localSheetId="45" hidden="1">{"FORM17",#N/A,FALSE,"Commission1";"FORM17.1",#N/A,FALSE,"Commission2"}</definedName>
    <definedName name="투자자산" localSheetId="42" hidden="1">{"FORM17",#N/A,FALSE,"Commission1";"FORM17.1",#N/A,FALSE,"Commission2"}</definedName>
    <definedName name="투자자산" hidden="1">{"FORM17",#N/A,FALSE,"Commission1";"FORM17.1",#N/A,FALSE,"Commission2"}</definedName>
    <definedName name="투자자산2" localSheetId="15" hidden="1">{"FORM1",#N/A,FALSE,"Revenue";"FORMTR",#N/A,FALSE,"Revenue";"FORM3.1",#N/A,FALSE,"Revenue"}</definedName>
    <definedName name="투자자산2" localSheetId="6" hidden="1">{"FORM1",#N/A,FALSE,"Revenue";"FORMTR",#N/A,FALSE,"Revenue";"FORM3.1",#N/A,FALSE,"Revenue"}</definedName>
    <definedName name="투자자산2" localSheetId="45" hidden="1">{"FORM1",#N/A,FALSE,"Revenue";"FORMTR",#N/A,FALSE,"Revenue";"FORM3.1",#N/A,FALSE,"Revenue"}</definedName>
    <definedName name="투자자산2" localSheetId="42" hidden="1">{"FORM1",#N/A,FALSE,"Revenue";"FORMTR",#N/A,FALSE,"Revenue";"FORM3.1",#N/A,FALSE,"Revenue"}</definedName>
    <definedName name="투자자산2" hidden="1">{"FORM1",#N/A,FALSE,"Revenue";"FORMTR",#N/A,FALSE,"Revenue";"FORM3.1",#N/A,FALSE,"Revenue"}</definedName>
    <definedName name="투자현황" localSheetId="42" hidden="1">{#N/A,#N/A,FALSE,"UNIT";#N/A,#N/A,FALSE,"UNIT";#N/A,#N/A,FALSE,"계정"}</definedName>
    <definedName name="투자현황" hidden="1">{#N/A,#N/A,FALSE,"UNIT";#N/A,#N/A,FALSE,"UNIT";#N/A,#N/A,FALSE,"계정"}</definedName>
    <definedName name="튜" localSheetId="12" hidden="1">{#N/A,#N/A,FALSE,"Sheet1"}</definedName>
    <definedName name="튜" localSheetId="42" hidden="1">{#N/A,#N/A,FALSE,"Sheet1"}</definedName>
    <definedName name="튜" hidden="1">{#N/A,#N/A,FALSE,"Sheet1"}</definedName>
    <definedName name="특정" localSheetId="15" hidden="1">{#N/A,#N/A,FALSE,"1.CRITERIA";#N/A,#N/A,FALSE,"2.IS";#N/A,#N/A,FALSE,"3.BS";#N/A,#N/A,FALSE,"4.PER PL";#N/A,#N/A,FALSE,"5.INVESTMENT";#N/A,#N/A,FALSE,"6.공문";#N/A,#N/A,FALSE,"7.netinvest"}</definedName>
    <definedName name="특정" localSheetId="6" hidden="1">{#N/A,#N/A,FALSE,"1.CRITERIA";#N/A,#N/A,FALSE,"2.IS";#N/A,#N/A,FALSE,"3.BS";#N/A,#N/A,FALSE,"4.PER PL";#N/A,#N/A,FALSE,"5.INVESTMENT";#N/A,#N/A,FALSE,"6.공문";#N/A,#N/A,FALSE,"7.netinvest"}</definedName>
    <definedName name="특정" localSheetId="45" hidden="1">{#N/A,#N/A,FALSE,"1.CRITERIA";#N/A,#N/A,FALSE,"2.IS";#N/A,#N/A,FALSE,"3.BS";#N/A,#N/A,FALSE,"4.PER PL";#N/A,#N/A,FALSE,"5.INVESTMENT";#N/A,#N/A,FALSE,"6.공문";#N/A,#N/A,FALSE,"7.netinvest"}</definedName>
    <definedName name="특정" localSheetId="42" hidden="1">{#N/A,#N/A,FALSE,"1.CRITERIA";#N/A,#N/A,FALSE,"2.IS";#N/A,#N/A,FALSE,"3.BS";#N/A,#N/A,FALSE,"4.PER PL";#N/A,#N/A,FALSE,"5.INVESTMENT";#N/A,#N/A,FALSE,"6.공문";#N/A,#N/A,FALSE,"7.netinvest"}</definedName>
    <definedName name="특정" hidden="1">{#N/A,#N/A,FALSE,"1.CRITERIA";#N/A,#N/A,FALSE,"2.IS";#N/A,#N/A,FALSE,"3.BS";#N/A,#N/A,FALSE,"4.PER PL";#N/A,#N/A,FALSE,"5.INVESTMENT";#N/A,#N/A,FALSE,"6.공문";#N/A,#N/A,FALSE,"7.netinvest"}</definedName>
    <definedName name="특판주방PO" localSheetId="42" hidden="1">{"'2 혼례가구(1)'!$C$10"}</definedName>
    <definedName name="특판주방PO" hidden="1">{"'2 혼례가구(1)'!$C$10"}</definedName>
    <definedName name="팀별계획" localSheetId="12" hidden="1">{#N/A,#N/A,FALSE,"UNIT";#N/A,#N/A,FALSE,"UNIT";#N/A,#N/A,FALSE,"계정"}</definedName>
    <definedName name="팀별계획" localSheetId="42" hidden="1">{#N/A,#N/A,FALSE,"UNIT";#N/A,#N/A,FALSE,"UNIT";#N/A,#N/A,FALSE,"계정"}</definedName>
    <definedName name="팀별계획" hidden="1">{#N/A,#N/A,FALSE,"UNIT";#N/A,#N/A,FALSE,"UNIT";#N/A,#N/A,FALSE,"계정"}</definedName>
    <definedName name="ㅍ" localSheetId="12" hidden="1">{#N/A,#N/A,FALSE,"Aging Summary";#N/A,#N/A,FALSE,"Ratio Analysis";#N/A,#N/A,FALSE,"Test 120 Day Accts";#N/A,#N/A,FALSE,"Tickmarks"}</definedName>
    <definedName name="ㅍ" localSheetId="42" hidden="1">{#N/A,#N/A,FALSE,"UNIT";#N/A,#N/A,FALSE,"UNIT";#N/A,#N/A,FALSE,"계정"}</definedName>
    <definedName name="ㅍ" hidden="1">{#N/A,#N/A,FALSE,"UNIT";#N/A,#N/A,FALSE,"UNIT";#N/A,#N/A,FALSE,"계정"}</definedName>
    <definedName name="ㅍㅍ" localSheetId="42" hidden="1">{#N/A,#N/A,FALSE,"단축1";#N/A,#N/A,FALSE,"단축2";#N/A,#N/A,FALSE,"단축3";#N/A,#N/A,FALSE,"장축";#N/A,#N/A,FALSE,"4WD"}</definedName>
    <definedName name="ㅍㅍ" hidden="1">{#N/A,#N/A,FALSE,"단축1";#N/A,#N/A,FALSE,"단축2";#N/A,#N/A,FALSE,"단축3";#N/A,#N/A,FALSE,"장축";#N/A,#N/A,FALSE,"4WD"}</definedName>
    <definedName name="ㅍㅍㅍㅍ" localSheetId="12" hidden="1">{#N/A,#N/A,FALSE,"UNIT";#N/A,#N/A,FALSE,"UNIT";#N/A,#N/A,FALSE,"계정"}</definedName>
    <definedName name="ㅍㅍㅍㅍ" localSheetId="42" hidden="1">{#N/A,#N/A,FALSE,"UNIT";#N/A,#N/A,FALSE,"UNIT";#N/A,#N/A,FALSE,"계정"}</definedName>
    <definedName name="ㅍㅍㅍㅍ" hidden="1">{#N/A,#N/A,FALSE,"UNIT";#N/A,#N/A,FALSE,"UNIT";#N/A,#N/A,FALSE,"계정"}</definedName>
    <definedName name="ㅍㅍㅍㅍㅍ" localSheetId="12" hidden="1">{#N/A,#N/A,FALSE,"UNIT";#N/A,#N/A,FALSE,"UNIT";#N/A,#N/A,FALSE,"계정"}</definedName>
    <definedName name="ㅍㅍㅍㅍㅍ" localSheetId="42" hidden="1">{#N/A,#N/A,FALSE,"UNIT";#N/A,#N/A,FALSE,"UNIT";#N/A,#N/A,FALSE,"계정"}</definedName>
    <definedName name="ㅍㅍㅍㅍㅍ" hidden="1">{#N/A,#N/A,FALSE,"UNIT";#N/A,#N/A,FALSE,"UNIT";#N/A,#N/A,FALSE,"계정"}</definedName>
    <definedName name="파" localSheetId="15" hidden="1">{#N/A,#N/A,FALSE,"1.CRITERIA";#N/A,#N/A,FALSE,"2.IS";#N/A,#N/A,FALSE,"3.BS";#N/A,#N/A,FALSE,"4.PER PL";#N/A,#N/A,FALSE,"5.INVESTMENT";#N/A,#N/A,FALSE,"6.공문";#N/A,#N/A,FALSE,"7.netinvest"}</definedName>
    <definedName name="파" localSheetId="6" hidden="1">{#N/A,#N/A,FALSE,"1.CRITERIA";#N/A,#N/A,FALSE,"2.IS";#N/A,#N/A,FALSE,"3.BS";#N/A,#N/A,FALSE,"4.PER PL";#N/A,#N/A,FALSE,"5.INVESTMENT";#N/A,#N/A,FALSE,"6.공문";#N/A,#N/A,FALSE,"7.netinvest"}</definedName>
    <definedName name="파" localSheetId="45" hidden="1">{#N/A,#N/A,FALSE,"1.CRITERIA";#N/A,#N/A,FALSE,"2.IS";#N/A,#N/A,FALSE,"3.BS";#N/A,#N/A,FALSE,"4.PER PL";#N/A,#N/A,FALSE,"5.INVESTMENT";#N/A,#N/A,FALSE,"6.공문";#N/A,#N/A,FALSE,"7.netinvest"}</definedName>
    <definedName name="파" localSheetId="42" hidden="1">{#N/A,#N/A,FALSE,"1.CRITERIA";#N/A,#N/A,FALSE,"2.IS";#N/A,#N/A,FALSE,"3.BS";#N/A,#N/A,FALSE,"4.PER PL";#N/A,#N/A,FALSE,"5.INVESTMENT";#N/A,#N/A,FALSE,"6.공문";#N/A,#N/A,FALSE,"7.netinvest"}</definedName>
    <definedName name="파" hidden="1">{#N/A,#N/A,FALSE,"1.CRITERIA";#N/A,#N/A,FALSE,"2.IS";#N/A,#N/A,FALSE,"3.BS";#N/A,#N/A,FALSE,"4.PER PL";#N/A,#N/A,FALSE,"5.INVESTMENT";#N/A,#N/A,FALSE,"6.공문";#N/A,#N/A,FALSE,"7.netinvest"}</definedName>
    <definedName name="파생" localSheetId="12" hidden="1">{#N/A,#N/A,FALSE,"Sheet1"}</definedName>
    <definedName name="파생" localSheetId="42" hidden="1">{#N/A,#N/A,FALSE,"Sheet1"}</definedName>
    <definedName name="파생" hidden="1">{#N/A,#N/A,FALSE,"Sheet1"}</definedName>
    <definedName name="파아라" localSheetId="15" hidden="1">{#N/A,#N/A,FALSE,"1.CRITERIA";#N/A,#N/A,FALSE,"2.IS";#N/A,#N/A,FALSE,"3.BS";#N/A,#N/A,FALSE,"4.PER PL";#N/A,#N/A,FALSE,"5.INVESTMENT";#N/A,#N/A,FALSE,"6.공문";#N/A,#N/A,FALSE,"7.netinvest"}</definedName>
    <definedName name="파아라" localSheetId="6" hidden="1">{#N/A,#N/A,FALSE,"1.CRITERIA";#N/A,#N/A,FALSE,"2.IS";#N/A,#N/A,FALSE,"3.BS";#N/A,#N/A,FALSE,"4.PER PL";#N/A,#N/A,FALSE,"5.INVESTMENT";#N/A,#N/A,FALSE,"6.공문";#N/A,#N/A,FALSE,"7.netinvest"}</definedName>
    <definedName name="파아라" localSheetId="45" hidden="1">{#N/A,#N/A,FALSE,"1.CRITERIA";#N/A,#N/A,FALSE,"2.IS";#N/A,#N/A,FALSE,"3.BS";#N/A,#N/A,FALSE,"4.PER PL";#N/A,#N/A,FALSE,"5.INVESTMENT";#N/A,#N/A,FALSE,"6.공문";#N/A,#N/A,FALSE,"7.netinvest"}</definedName>
    <definedName name="파아라" localSheetId="42" hidden="1">{#N/A,#N/A,FALSE,"1.CRITERIA";#N/A,#N/A,FALSE,"2.IS";#N/A,#N/A,FALSE,"3.BS";#N/A,#N/A,FALSE,"4.PER PL";#N/A,#N/A,FALSE,"5.INVESTMENT";#N/A,#N/A,FALSE,"6.공문";#N/A,#N/A,FALSE,"7.netinvest"}</definedName>
    <definedName name="파아라" hidden="1">{#N/A,#N/A,FALSE,"1.CRITERIA";#N/A,#N/A,FALSE,"2.IS";#N/A,#N/A,FALSE,"3.BS";#N/A,#N/A,FALSE,"4.PER PL";#N/A,#N/A,FALSE,"5.INVESTMENT";#N/A,#N/A,FALSE,"6.공문";#N/A,#N/A,FALSE,"7.netinvest"}</definedName>
    <definedName name="파하" localSheetId="15" hidden="1">{#N/A,#N/A,FALSE,"1.CRITERIA";#N/A,#N/A,FALSE,"2.IS";#N/A,#N/A,FALSE,"3.BS";#N/A,#N/A,FALSE,"4.PER PL";#N/A,#N/A,FALSE,"5.INVESTMENT";#N/A,#N/A,FALSE,"6.공문";#N/A,#N/A,FALSE,"7.netinvest"}</definedName>
    <definedName name="파하" localSheetId="6" hidden="1">{#N/A,#N/A,FALSE,"1.CRITERIA";#N/A,#N/A,FALSE,"2.IS";#N/A,#N/A,FALSE,"3.BS";#N/A,#N/A,FALSE,"4.PER PL";#N/A,#N/A,FALSE,"5.INVESTMENT";#N/A,#N/A,FALSE,"6.공문";#N/A,#N/A,FALSE,"7.netinvest"}</definedName>
    <definedName name="파하" localSheetId="45" hidden="1">{#N/A,#N/A,FALSE,"1.CRITERIA";#N/A,#N/A,FALSE,"2.IS";#N/A,#N/A,FALSE,"3.BS";#N/A,#N/A,FALSE,"4.PER PL";#N/A,#N/A,FALSE,"5.INVESTMENT";#N/A,#N/A,FALSE,"6.공문";#N/A,#N/A,FALSE,"7.netinvest"}</definedName>
    <definedName name="파하" localSheetId="42" hidden="1">{#N/A,#N/A,FALSE,"1.CRITERIA";#N/A,#N/A,FALSE,"2.IS";#N/A,#N/A,FALSE,"3.BS";#N/A,#N/A,FALSE,"4.PER PL";#N/A,#N/A,FALSE,"5.INVESTMENT";#N/A,#N/A,FALSE,"6.공문";#N/A,#N/A,FALSE,"7.netinvest"}</definedName>
    <definedName name="파하" hidden="1">{#N/A,#N/A,FALSE,"1.CRITERIA";#N/A,#N/A,FALSE,"2.IS";#N/A,#N/A,FALSE,"3.BS";#N/A,#N/A,FALSE,"4.PER PL";#N/A,#N/A,FALSE,"5.INVESTMENT";#N/A,#N/A,FALSE,"6.공문";#N/A,#N/A,FALSE,"7.netinvest"}</definedName>
    <definedName name="판도라상자" localSheetId="15" hidden="1">{#N/A,#N/A,FALSE,"정공"}</definedName>
    <definedName name="판도라상자" localSheetId="6" hidden="1">{#N/A,#N/A,FALSE,"정공"}</definedName>
    <definedName name="판도라상자" localSheetId="45" hidden="1">{#N/A,#N/A,FALSE,"정공"}</definedName>
    <definedName name="판도라상자" localSheetId="42" hidden="1">{#N/A,#N/A,FALSE,"정공"}</definedName>
    <definedName name="판도라상자" hidden="1">{#N/A,#N/A,FALSE,"정공"}</definedName>
    <definedName name="판본부" localSheetId="15" hidden="1">{#N/A,#N/A,FALSE,"군산원가";#N/A,#N/A,FALSE,"팀별월별";#N/A,#N/A,FALSE,"타공정대체";#N/A,#N/A,FALSE,"기타경비";#N/A,#N/A,FALSE,"원료";#N/A,#N/A,FALSE,"연료"}</definedName>
    <definedName name="판본부" localSheetId="6" hidden="1">{#N/A,#N/A,FALSE,"군산원가";#N/A,#N/A,FALSE,"팀별월별";#N/A,#N/A,FALSE,"타공정대체";#N/A,#N/A,FALSE,"기타경비";#N/A,#N/A,FALSE,"원료";#N/A,#N/A,FALSE,"연료"}</definedName>
    <definedName name="판본부" localSheetId="45" hidden="1">{#N/A,#N/A,FALSE,"군산원가";#N/A,#N/A,FALSE,"팀별월별";#N/A,#N/A,FALSE,"타공정대체";#N/A,#N/A,FALSE,"기타경비";#N/A,#N/A,FALSE,"원료";#N/A,#N/A,FALSE,"연료"}</definedName>
    <definedName name="판본부" localSheetId="42" hidden="1">{#N/A,#N/A,FALSE,"군산원가";#N/A,#N/A,FALSE,"팀별월별";#N/A,#N/A,FALSE,"타공정대체";#N/A,#N/A,FALSE,"기타경비";#N/A,#N/A,FALSE,"원료";#N/A,#N/A,FALSE,"연료"}</definedName>
    <definedName name="판본부" hidden="1">{#N/A,#N/A,FALSE,"군산원가";#N/A,#N/A,FALSE,"팀별월별";#N/A,#N/A,FALSE,"타공정대체";#N/A,#N/A,FALSE,"기타경비";#N/A,#N/A,FALSE,"원료";#N/A,#N/A,FALSE,"연료"}</definedName>
    <definedName name="판유리" localSheetId="15"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판유리" localSheetId="6"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판유리" localSheetId="45"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판유리" localSheetId="42"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판유리"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판촉지원적립금" localSheetId="12" hidden="1">{#N/A,#N/A,TRUE,"매출진척-1";#N/A,#N/A,TRUE,"매출진척-2";#N/A,#N/A,TRUE,"제품실적";#N/A,#N/A,TRUE,"RAC";#N/A,#N/A,TRUE,"PAC ";#N/A,#N/A,TRUE,"재고현황";#N/A,#N/A,TRUE,"공지사항"}</definedName>
    <definedName name="판촉지원적립금" localSheetId="42" hidden="1">{#N/A,#N/A,TRUE,"매출진척-1";#N/A,#N/A,TRUE,"매출진척-2";#N/A,#N/A,TRUE,"제품실적";#N/A,#N/A,TRUE,"RAC";#N/A,#N/A,TRUE,"PAC ";#N/A,#N/A,TRUE,"재고현황";#N/A,#N/A,TRUE,"공지사항"}</definedName>
    <definedName name="판촉지원적립금" hidden="1">{#N/A,#N/A,TRUE,"매출진척-1";#N/A,#N/A,TRUE,"매출진척-2";#N/A,#N/A,TRUE,"제품실적";#N/A,#N/A,TRUE,"RAC";#N/A,#N/A,TRUE,"PAC ";#N/A,#N/A,TRUE,"재고현황";#N/A,#N/A,TRUE,"공지사항"}</definedName>
    <definedName name="팔레" localSheetId="15" hidden="1">{#N/A,#N/A,FALSE,"손익표지";#N/A,#N/A,FALSE,"손익계산";#N/A,#N/A,FALSE,"일반관리비";#N/A,#N/A,FALSE,"영업외수익";#N/A,#N/A,FALSE,"영업외비용";#N/A,#N/A,FALSE,"매출액";#N/A,#N/A,FALSE,"요약손익";#N/A,#N/A,FALSE,"요약대차";#N/A,#N/A,FALSE,"매출채권현황";#N/A,#N/A,FALSE,"매출채권명세"}</definedName>
    <definedName name="팔레" localSheetId="6" hidden="1">{#N/A,#N/A,FALSE,"손익표지";#N/A,#N/A,FALSE,"손익계산";#N/A,#N/A,FALSE,"일반관리비";#N/A,#N/A,FALSE,"영업외수익";#N/A,#N/A,FALSE,"영업외비용";#N/A,#N/A,FALSE,"매출액";#N/A,#N/A,FALSE,"요약손익";#N/A,#N/A,FALSE,"요약대차";#N/A,#N/A,FALSE,"매출채권현황";#N/A,#N/A,FALSE,"매출채권명세"}</definedName>
    <definedName name="팔레" localSheetId="45" hidden="1">{#N/A,#N/A,FALSE,"손익표지";#N/A,#N/A,FALSE,"손익계산";#N/A,#N/A,FALSE,"일반관리비";#N/A,#N/A,FALSE,"영업외수익";#N/A,#N/A,FALSE,"영업외비용";#N/A,#N/A,FALSE,"매출액";#N/A,#N/A,FALSE,"요약손익";#N/A,#N/A,FALSE,"요약대차";#N/A,#N/A,FALSE,"매출채권현황";#N/A,#N/A,FALSE,"매출채권명세"}</definedName>
    <definedName name="팔레" localSheetId="42" hidden="1">{#N/A,#N/A,FALSE,"손익표지";#N/A,#N/A,FALSE,"손익계산";#N/A,#N/A,FALSE,"일반관리비";#N/A,#N/A,FALSE,"영업외수익";#N/A,#N/A,FALSE,"영업외비용";#N/A,#N/A,FALSE,"매출액";#N/A,#N/A,FALSE,"요약손익";#N/A,#N/A,FALSE,"요약대차";#N/A,#N/A,FALSE,"매출채권현황";#N/A,#N/A,FALSE,"매출채권명세"}</definedName>
    <definedName name="팔레" hidden="1">{#N/A,#N/A,FALSE,"손익표지";#N/A,#N/A,FALSE,"손익계산";#N/A,#N/A,FALSE,"일반관리비";#N/A,#N/A,FALSE,"영업외수익";#N/A,#N/A,FALSE,"영업외비용";#N/A,#N/A,FALSE,"매출액";#N/A,#N/A,FALSE,"요약손익";#N/A,#N/A,FALSE,"요약대차";#N/A,#N/A,FALSE,"매출채권현황";#N/A,#N/A,FALSE,"매출채권명세"}</definedName>
    <definedName name="퍄" localSheetId="15" hidden="1">{#N/A,#N/A,FALSE,"1.CRITERIA";#N/A,#N/A,FALSE,"2.IS";#N/A,#N/A,FALSE,"3.BS";#N/A,#N/A,FALSE,"4.PER PL";#N/A,#N/A,FALSE,"5.INVESTMENT";#N/A,#N/A,FALSE,"6.공문";#N/A,#N/A,FALSE,"7.netinvest"}</definedName>
    <definedName name="퍄" localSheetId="6" hidden="1">{#N/A,#N/A,FALSE,"1.CRITERIA";#N/A,#N/A,FALSE,"2.IS";#N/A,#N/A,FALSE,"3.BS";#N/A,#N/A,FALSE,"4.PER PL";#N/A,#N/A,FALSE,"5.INVESTMENT";#N/A,#N/A,FALSE,"6.공문";#N/A,#N/A,FALSE,"7.netinvest"}</definedName>
    <definedName name="퍄" localSheetId="45" hidden="1">{#N/A,#N/A,FALSE,"1.CRITERIA";#N/A,#N/A,FALSE,"2.IS";#N/A,#N/A,FALSE,"3.BS";#N/A,#N/A,FALSE,"4.PER PL";#N/A,#N/A,FALSE,"5.INVESTMENT";#N/A,#N/A,FALSE,"6.공문";#N/A,#N/A,FALSE,"7.netinvest"}</definedName>
    <definedName name="퍄" localSheetId="42" hidden="1">{#N/A,#N/A,FALSE,"1.CRITERIA";#N/A,#N/A,FALSE,"2.IS";#N/A,#N/A,FALSE,"3.BS";#N/A,#N/A,FALSE,"4.PER PL";#N/A,#N/A,FALSE,"5.INVESTMENT";#N/A,#N/A,FALSE,"6.공문";#N/A,#N/A,FALSE,"7.netinvest"}</definedName>
    <definedName name="퍄" hidden="1">{#N/A,#N/A,FALSE,"1.CRITERIA";#N/A,#N/A,FALSE,"2.IS";#N/A,#N/A,FALSE,"3.BS";#N/A,#N/A,FALSE,"4.PER PL";#N/A,#N/A,FALSE,"5.INVESTMENT";#N/A,#N/A,FALSE,"6.공문";#N/A,#N/A,FALSE,"7.netinvest"}</definedName>
    <definedName name="페" localSheetId="15" hidden="1">{#N/A,#N/A,FALSE,"1.CRITERIA";#N/A,#N/A,FALSE,"2.IS";#N/A,#N/A,FALSE,"3.BS";#N/A,#N/A,FALSE,"4.PER PL";#N/A,#N/A,FALSE,"5.INVESTMENT";#N/A,#N/A,FALSE,"6.공문";#N/A,#N/A,FALSE,"7.netinvest"}</definedName>
    <definedName name="페" localSheetId="6" hidden="1">{#N/A,#N/A,FALSE,"1.CRITERIA";#N/A,#N/A,FALSE,"2.IS";#N/A,#N/A,FALSE,"3.BS";#N/A,#N/A,FALSE,"4.PER PL";#N/A,#N/A,FALSE,"5.INVESTMENT";#N/A,#N/A,FALSE,"6.공문";#N/A,#N/A,FALSE,"7.netinvest"}</definedName>
    <definedName name="페" localSheetId="45" hidden="1">{#N/A,#N/A,FALSE,"1.CRITERIA";#N/A,#N/A,FALSE,"2.IS";#N/A,#N/A,FALSE,"3.BS";#N/A,#N/A,FALSE,"4.PER PL";#N/A,#N/A,FALSE,"5.INVESTMENT";#N/A,#N/A,FALSE,"6.공문";#N/A,#N/A,FALSE,"7.netinvest"}</definedName>
    <definedName name="페" localSheetId="42" hidden="1">{#N/A,#N/A,FALSE,"1.CRITERIA";#N/A,#N/A,FALSE,"2.IS";#N/A,#N/A,FALSE,"3.BS";#N/A,#N/A,FALSE,"4.PER PL";#N/A,#N/A,FALSE,"5.INVESTMENT";#N/A,#N/A,FALSE,"6.공문";#N/A,#N/A,FALSE,"7.netinvest"}</definedName>
    <definedName name="페" hidden="1">{#N/A,#N/A,FALSE,"1.CRITERIA";#N/A,#N/A,FALSE,"2.IS";#N/A,#N/A,FALSE,"3.BS";#N/A,#N/A,FALSE,"4.PER PL";#N/A,#N/A,FALSE,"5.INVESTMENT";#N/A,#N/A,FALSE,"6.공문";#N/A,#N/A,FALSE,"7.netinvest"}</definedName>
    <definedName name="펴" localSheetId="15" hidden="1">{#N/A,#N/A,FALSE,"1.CRITERIA";#N/A,#N/A,FALSE,"2.IS";#N/A,#N/A,FALSE,"3.BS";#N/A,#N/A,FALSE,"4.PER PL";#N/A,#N/A,FALSE,"5.INVESTMENT";#N/A,#N/A,FALSE,"6.공문";#N/A,#N/A,FALSE,"7.netinvest"}</definedName>
    <definedName name="펴" localSheetId="6" hidden="1">{#N/A,#N/A,FALSE,"1.CRITERIA";#N/A,#N/A,FALSE,"2.IS";#N/A,#N/A,FALSE,"3.BS";#N/A,#N/A,FALSE,"4.PER PL";#N/A,#N/A,FALSE,"5.INVESTMENT";#N/A,#N/A,FALSE,"6.공문";#N/A,#N/A,FALSE,"7.netinvest"}</definedName>
    <definedName name="펴" localSheetId="45" hidden="1">{#N/A,#N/A,FALSE,"1.CRITERIA";#N/A,#N/A,FALSE,"2.IS";#N/A,#N/A,FALSE,"3.BS";#N/A,#N/A,FALSE,"4.PER PL";#N/A,#N/A,FALSE,"5.INVESTMENT";#N/A,#N/A,FALSE,"6.공문";#N/A,#N/A,FALSE,"7.netinvest"}</definedName>
    <definedName name="펴" localSheetId="42" hidden="1">{#N/A,#N/A,FALSE,"1.CRITERIA";#N/A,#N/A,FALSE,"2.IS";#N/A,#N/A,FALSE,"3.BS";#N/A,#N/A,FALSE,"4.PER PL";#N/A,#N/A,FALSE,"5.INVESTMENT";#N/A,#N/A,FALSE,"6.공문";#N/A,#N/A,FALSE,"7.netinvest"}</definedName>
    <definedName name="펴" hidden="1">{#N/A,#N/A,FALSE,"1.CRITERIA";#N/A,#N/A,FALSE,"2.IS";#N/A,#N/A,FALSE,"3.BS";#N/A,#N/A,FALSE,"4.PER PL";#N/A,#N/A,FALSE,"5.INVESTMENT";#N/A,#N/A,FALSE,"6.공문";#N/A,#N/A,FALSE,"7.netinvest"}</definedName>
    <definedName name="평균이자" localSheetId="30" hidden="1">#REF!</definedName>
    <definedName name="평균이자" localSheetId="29" hidden="1">#REF!</definedName>
    <definedName name="평균이자" localSheetId="33" hidden="1">#REF!</definedName>
    <definedName name="평균이자" localSheetId="31" hidden="1">#REF!</definedName>
    <definedName name="평균이자" localSheetId="32" hidden="1">#REF!</definedName>
    <definedName name="평균이자" hidden="1">#REF!</definedName>
    <definedName name="평균이자율" localSheetId="30" hidden="1">#REF!</definedName>
    <definedName name="평균이자율" localSheetId="29" hidden="1">#REF!</definedName>
    <definedName name="평균이자율" localSheetId="33" hidden="1">#REF!</definedName>
    <definedName name="평균이자율" localSheetId="15" hidden="1">#REF!</definedName>
    <definedName name="평균이자율" localSheetId="31" hidden="1">#REF!</definedName>
    <definedName name="평균이자율" localSheetId="6" hidden="1">#REF!</definedName>
    <definedName name="평균이자율" localSheetId="42" hidden="1">#REF!</definedName>
    <definedName name="평균이자율" hidden="1">#REF!</definedName>
    <definedName name="평평균이자" localSheetId="30" hidden="1">#REF!</definedName>
    <definedName name="평평균이자" localSheetId="29" hidden="1">#REF!</definedName>
    <definedName name="평평균이자" localSheetId="33" hidden="1">#REF!</definedName>
    <definedName name="평평균이자" localSheetId="31" hidden="1">#REF!</definedName>
    <definedName name="평평균이자" localSheetId="32" hidden="1">#REF!</definedName>
    <definedName name="평평균이자" hidden="1">#REF!</definedName>
    <definedName name="포" localSheetId="15" hidden="1">{#N/A,#N/A,FALSE,"1.CRITERIA";#N/A,#N/A,FALSE,"2.IS";#N/A,#N/A,FALSE,"3.BS";#N/A,#N/A,FALSE,"4.PER PL";#N/A,#N/A,FALSE,"5.INVESTMENT";#N/A,#N/A,FALSE,"6.공문";#N/A,#N/A,FALSE,"7.netinvest"}</definedName>
    <definedName name="포" localSheetId="6" hidden="1">{#N/A,#N/A,FALSE,"1.CRITERIA";#N/A,#N/A,FALSE,"2.IS";#N/A,#N/A,FALSE,"3.BS";#N/A,#N/A,FALSE,"4.PER PL";#N/A,#N/A,FALSE,"5.INVESTMENT";#N/A,#N/A,FALSE,"6.공문";#N/A,#N/A,FALSE,"7.netinvest"}</definedName>
    <definedName name="포" localSheetId="45" hidden="1">{#N/A,#N/A,FALSE,"1.CRITERIA";#N/A,#N/A,FALSE,"2.IS";#N/A,#N/A,FALSE,"3.BS";#N/A,#N/A,FALSE,"4.PER PL";#N/A,#N/A,FALSE,"5.INVESTMENT";#N/A,#N/A,FALSE,"6.공문";#N/A,#N/A,FALSE,"7.netinvest"}</definedName>
    <definedName name="포" localSheetId="42" hidden="1">{#N/A,#N/A,FALSE,"1.CRITERIA";#N/A,#N/A,FALSE,"2.IS";#N/A,#N/A,FALSE,"3.BS";#N/A,#N/A,FALSE,"4.PER PL";#N/A,#N/A,FALSE,"5.INVESTMENT";#N/A,#N/A,FALSE,"6.공문";#N/A,#N/A,FALSE,"7.netinvest"}</definedName>
    <definedName name="포" hidden="1">{#N/A,#N/A,FALSE,"UNIT";#N/A,#N/A,FALSE,"UNIT";#N/A,#N/A,FALSE,"계정"}</definedName>
    <definedName name="포공화학" localSheetId="15" hidden="1">{#N/A,#N/A,FALSE,"범우구미";#N/A,#N/A,FALSE,"세한케미칼";#N/A,#N/A,FALSE,"세명화학";#N/A,#N/A,FALSE,"신영케미칼";#N/A,#N/A,FALSE,"일석상사"}</definedName>
    <definedName name="포공화학" localSheetId="6" hidden="1">{#N/A,#N/A,FALSE,"범우구미";#N/A,#N/A,FALSE,"세한케미칼";#N/A,#N/A,FALSE,"세명화학";#N/A,#N/A,FALSE,"신영케미칼";#N/A,#N/A,FALSE,"일석상사"}</definedName>
    <definedName name="포공화학" localSheetId="45" hidden="1">{#N/A,#N/A,FALSE,"범우구미";#N/A,#N/A,FALSE,"세한케미칼";#N/A,#N/A,FALSE,"세명화학";#N/A,#N/A,FALSE,"신영케미칼";#N/A,#N/A,FALSE,"일석상사"}</definedName>
    <definedName name="포공화학" localSheetId="42" hidden="1">{#N/A,#N/A,FALSE,"범우구미";#N/A,#N/A,FALSE,"세한케미칼";#N/A,#N/A,FALSE,"세명화학";#N/A,#N/A,FALSE,"신영케미칼";#N/A,#N/A,FALSE,"일석상사"}</definedName>
    <definedName name="포공화학" hidden="1">{#N/A,#N/A,FALSE,"범우구미";#N/A,#N/A,FALSE,"세한케미칼";#N/A,#N/A,FALSE,"세명화학";#N/A,#N/A,FALSE,"신영케미칼";#N/A,#N/A,FALSE,"일석상사"}</definedName>
    <definedName name="포장" localSheetId="12" hidden="1">{#N/A,#N/A,FALSE,"지침";#N/A,#N/A,FALSE,"환경분석";#N/A,#N/A,FALSE,"Sheet16"}</definedName>
    <definedName name="포장" localSheetId="42" hidden="1">{#N/A,#N/A,FALSE,"지침";#N/A,#N/A,FALSE,"환경분석";#N/A,#N/A,FALSE,"Sheet16"}</definedName>
    <definedName name="포장" hidden="1">{#N/A,#N/A,FALSE,"지침";#N/A,#N/A,FALSE,"환경분석";#N/A,#N/A,FALSE,"Sheet16"}</definedName>
    <definedName name="포장2월ocf" localSheetId="42" hidden="1">{#N/A,#N/A,FALSE,"지침";#N/A,#N/A,FALSE,"환경분석";#N/A,#N/A,FALSE,"Sheet16"}</definedName>
    <definedName name="포장2월ocf" hidden="1">{#N/A,#N/A,FALSE,"지침";#N/A,#N/A,FALSE,"환경분석";#N/A,#N/A,FALSE,"Sheet16"}</definedName>
    <definedName name="포장BS" localSheetId="12" hidden="1">{#N/A,#N/A,FALSE,"지침";#N/A,#N/A,FALSE,"환경분석";#N/A,#N/A,FALSE,"Sheet16"}</definedName>
    <definedName name="포장BS" localSheetId="42" hidden="1">{#N/A,#N/A,FALSE,"지침";#N/A,#N/A,FALSE,"환경분석";#N/A,#N/A,FALSE,"Sheet16"}</definedName>
    <definedName name="포장BS" hidden="1">{#N/A,#N/A,FALSE,"지침";#N/A,#N/A,FALSE,"환경분석";#N/A,#N/A,FALSE,"Sheet16"}</definedName>
    <definedName name="포장ocf" localSheetId="42" hidden="1">{#N/A,#N/A,FALSE,"지침";#N/A,#N/A,FALSE,"환경분석";#N/A,#N/A,FALSE,"Sheet16"}</definedName>
    <definedName name="포장ocf" hidden="1">{#N/A,#N/A,FALSE,"지침";#N/A,#N/A,FALSE,"환경분석";#N/A,#N/A,FALSE,"Sheet16"}</definedName>
    <definedName name="표지조정" localSheetId="4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표지조정"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품" localSheetId="15" hidden="1">{#N/A,#N/A,TRUE,"Y생산";#N/A,#N/A,TRUE,"Y판매";#N/A,#N/A,TRUE,"Y총물량";#N/A,#N/A,TRUE,"Y능력";#N/A,#N/A,TRUE,"YKD"}</definedName>
    <definedName name="품" localSheetId="6" hidden="1">{#N/A,#N/A,TRUE,"Y생산";#N/A,#N/A,TRUE,"Y판매";#N/A,#N/A,TRUE,"Y총물량";#N/A,#N/A,TRUE,"Y능력";#N/A,#N/A,TRUE,"YKD"}</definedName>
    <definedName name="품" localSheetId="45" hidden="1">{#N/A,#N/A,TRUE,"Y생산";#N/A,#N/A,TRUE,"Y판매";#N/A,#N/A,TRUE,"Y총물량";#N/A,#N/A,TRUE,"Y능력";#N/A,#N/A,TRUE,"YKD"}</definedName>
    <definedName name="품" localSheetId="42" hidden="1">{#N/A,#N/A,TRUE,"Y생산";#N/A,#N/A,TRUE,"Y판매";#N/A,#N/A,TRUE,"Y총물량";#N/A,#N/A,TRUE,"Y능력";#N/A,#N/A,TRUE,"YKD"}</definedName>
    <definedName name="품" hidden="1">{#N/A,#N/A,TRUE,"Y생산";#N/A,#N/A,TRUE,"Y판매";#N/A,#N/A,TRUE,"Y총물량";#N/A,#N/A,TRUE,"Y능력";#N/A,#N/A,TRUE,"YKD"}</definedName>
    <definedName name="품의개요" localSheetId="42" hidden="1">{"'9월'!$F$38"}</definedName>
    <definedName name="품의개요" hidden="1">{"'9월'!$F$38"}</definedName>
    <definedName name="품종별" localSheetId="15" hidden="1">{#N/A,#N/A,FALSE,"Yield";#N/A,#N/A,FALSE,"Loss1";#N/A,#N/A,FALSE,"Loss2";#N/A,#N/A,FALSE,"Hour-Labor(배분)";#N/A,#N/A,FALSE,"Capital Expenditure";#N/A,#N/A,FALSE,"Productivity"}</definedName>
    <definedName name="품종별" localSheetId="6" hidden="1">{#N/A,#N/A,FALSE,"Yield";#N/A,#N/A,FALSE,"Loss1";#N/A,#N/A,FALSE,"Loss2";#N/A,#N/A,FALSE,"Hour-Labor(배분)";#N/A,#N/A,FALSE,"Capital Expenditure";#N/A,#N/A,FALSE,"Productivity"}</definedName>
    <definedName name="품종별" localSheetId="45" hidden="1">{#N/A,#N/A,FALSE,"Yield";#N/A,#N/A,FALSE,"Loss1";#N/A,#N/A,FALSE,"Loss2";#N/A,#N/A,FALSE,"Hour-Labor(배분)";#N/A,#N/A,FALSE,"Capital Expenditure";#N/A,#N/A,FALSE,"Productivity"}</definedName>
    <definedName name="품종별" localSheetId="42" hidden="1">{#N/A,#N/A,FALSE,"Yield";#N/A,#N/A,FALSE,"Loss1";#N/A,#N/A,FALSE,"Loss2";#N/A,#N/A,FALSE,"Hour-Labor(배분)";#N/A,#N/A,FALSE,"Capital Expenditure";#N/A,#N/A,FALSE,"Productivity"}</definedName>
    <definedName name="품종별" hidden="1">{#N/A,#N/A,FALSE,"Yield";#N/A,#N/A,FALSE,"Loss1";#N/A,#N/A,FALSE,"Loss2";#N/A,#N/A,FALSE,"Hour-Labor(배분)";#N/A,#N/A,FALSE,"Capital Expenditure";#N/A,#N/A,FALSE,"Productivity"}</definedName>
    <definedName name="품질" localSheetId="42" hidden="1">{"'2 혼례가구(1)'!$C$10"}</definedName>
    <definedName name="품질" hidden="1">{"'2 혼례가구(1)'!$C$10"}</definedName>
    <definedName name="품질생산합격" localSheetId="42" hidden="1">{#N/A,#N/A,TRUE,"Y생산";#N/A,#N/A,TRUE,"Y판매";#N/A,#N/A,TRUE,"Y총물량";#N/A,#N/A,TRUE,"Y능력";#N/A,#N/A,TRUE,"YKD"}</definedName>
    <definedName name="품질생산합격" hidden="1">{#N/A,#N/A,TRUE,"Y생산";#N/A,#N/A,TRUE,"Y판매";#N/A,#N/A,TRUE,"Y총물량";#N/A,#N/A,TRUE,"Y능력";#N/A,#N/A,TRUE,"YKD"}</definedName>
    <definedName name="품질지수" localSheetId="15" hidden="1">{#N/A,#N/A,FALSE,"KMC최종회의(7월) 자료"}</definedName>
    <definedName name="품질지수" localSheetId="6" hidden="1">{#N/A,#N/A,FALSE,"KMC최종회의(7월) 자료"}</definedName>
    <definedName name="품질지수" localSheetId="45" hidden="1">{#N/A,#N/A,FALSE,"KMC최종회의(7월) 자료"}</definedName>
    <definedName name="품질지수" localSheetId="42" hidden="1">{#N/A,#N/A,FALSE,"KMC최종회의(7월) 자료"}</definedName>
    <definedName name="품질지수" hidden="1">{#N/A,#N/A,FALSE,"KMC최종회의(7월) 자료"}</definedName>
    <definedName name="ㅎ" localSheetId="15" hidden="1">{#N/A,#N/A,FALSE,"손익표지";#N/A,#N/A,FALSE,"손익계산";#N/A,#N/A,FALSE,"일반관리비";#N/A,#N/A,FALSE,"영업외수익";#N/A,#N/A,FALSE,"영업외비용";#N/A,#N/A,FALSE,"매출액";#N/A,#N/A,FALSE,"요약손익";#N/A,#N/A,FALSE,"요약대차";#N/A,#N/A,FALSE,"매출채권현황";#N/A,#N/A,FALSE,"매출채권명세"}</definedName>
    <definedName name="ㅎ"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ㅎ" localSheetId="45" hidden="1">{#N/A,#N/A,FALSE,"손익표지";#N/A,#N/A,FALSE,"손익계산";#N/A,#N/A,FALSE,"일반관리비";#N/A,#N/A,FALSE,"영업외수익";#N/A,#N/A,FALSE,"영업외비용";#N/A,#N/A,FALSE,"매출액";#N/A,#N/A,FALSE,"요약손익";#N/A,#N/A,FALSE,"요약대차";#N/A,#N/A,FALSE,"매출채권현황";#N/A,#N/A,FALSE,"매출채권명세"}</definedName>
    <definedName name="ㅎ" localSheetId="42" hidden="1">{#N/A,#N/A,FALSE,"손익표지";#N/A,#N/A,FALSE,"손익계산";#N/A,#N/A,FALSE,"일반관리비";#N/A,#N/A,FALSE,"영업외수익";#N/A,#N/A,FALSE,"영업외비용";#N/A,#N/A,FALSE,"매출액";#N/A,#N/A,FALSE,"요약손익";#N/A,#N/A,FALSE,"요약대차";#N/A,#N/A,FALSE,"매출채권현황";#N/A,#N/A,FALSE,"매출채권명세"}</definedName>
    <definedName name="ㅎ" hidden="1">{#N/A,#N/A,FALSE,"BS";#N/A,#N/A,FALSE,"PL";#N/A,#N/A,FALSE,"처분";#N/A,#N/A,FALSE,"현금";#N/A,#N/A,FALSE,"매출";#N/A,#N/A,FALSE,"원가";#N/A,#N/A,FALSE,"경영"}</definedName>
    <definedName name="ㅎㅁ" localSheetId="15" hidden="1">{#N/A,#N/A,FALSE,"손익표지";#N/A,#N/A,FALSE,"손익계산";#N/A,#N/A,FALSE,"일반관리비";#N/A,#N/A,FALSE,"영업외수익";#N/A,#N/A,FALSE,"영업외비용";#N/A,#N/A,FALSE,"매출액";#N/A,#N/A,FALSE,"요약손익";#N/A,#N/A,FALSE,"요약대차";#N/A,#N/A,FALSE,"매출채권현황";#N/A,#N/A,FALSE,"매출채권명세"}</definedName>
    <definedName name="ㅎㅁ"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ㅎㅁ" localSheetId="45" hidden="1">{#N/A,#N/A,FALSE,"손익표지";#N/A,#N/A,FALSE,"손익계산";#N/A,#N/A,FALSE,"일반관리비";#N/A,#N/A,FALSE,"영업외수익";#N/A,#N/A,FALSE,"영업외비용";#N/A,#N/A,FALSE,"매출액";#N/A,#N/A,FALSE,"요약손익";#N/A,#N/A,FALSE,"요약대차";#N/A,#N/A,FALSE,"매출채권현황";#N/A,#N/A,FALSE,"매출채권명세"}</definedName>
    <definedName name="ㅎㅁ" localSheetId="42" hidden="1">{#N/A,#N/A,FALSE,"손익표지";#N/A,#N/A,FALSE,"손익계산";#N/A,#N/A,FALSE,"일반관리비";#N/A,#N/A,FALSE,"영업외수익";#N/A,#N/A,FALSE,"영업외비용";#N/A,#N/A,FALSE,"매출액";#N/A,#N/A,FALSE,"요약손익";#N/A,#N/A,FALSE,"요약대차";#N/A,#N/A,FALSE,"매출채권현황";#N/A,#N/A,FALSE,"매출채권명세"}</definedName>
    <definedName name="ㅎㅁ" hidden="1">{#N/A,#N/A,FALSE,"손익표지";#N/A,#N/A,FALSE,"손익계산";#N/A,#N/A,FALSE,"일반관리비";#N/A,#N/A,FALSE,"영업외수익";#N/A,#N/A,FALSE,"영업외비용";#N/A,#N/A,FALSE,"매출액";#N/A,#N/A,FALSE,"요약손익";#N/A,#N/A,FALSE,"요약대차";#N/A,#N/A,FALSE,"매출채권현황";#N/A,#N/A,FALSE,"매출채권명세"}</definedName>
    <definedName name="ㅎㅂㅈㄷ" localSheetId="1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ㅎㅂㅈㄷ"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ㅎㅂㅈㄷ" localSheetId="4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ㅎㅂㅈㄷ" localSheetId="4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ㅎㅂㅈㄷ"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ㅎㅅ흅ㄷ" hidden="1">#REF!</definedName>
    <definedName name="ㅎㅇㅀ" localSheetId="15" hidden="1">{#N/A,#N/A,FALSE,"손익표지";#N/A,#N/A,FALSE,"손익계산";#N/A,#N/A,FALSE,"일반관리비";#N/A,#N/A,FALSE,"영업외수익";#N/A,#N/A,FALSE,"영업외비용";#N/A,#N/A,FALSE,"매출액";#N/A,#N/A,FALSE,"요약손익";#N/A,#N/A,FALSE,"요약대차";#N/A,#N/A,FALSE,"매출채권현황";#N/A,#N/A,FALSE,"매출채권명세"}</definedName>
    <definedName name="ㅎㅇㅀ"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ㅎㅇㅀ" localSheetId="45" hidden="1">{#N/A,#N/A,FALSE,"손익표지";#N/A,#N/A,FALSE,"손익계산";#N/A,#N/A,FALSE,"일반관리비";#N/A,#N/A,FALSE,"영업외수익";#N/A,#N/A,FALSE,"영업외비용";#N/A,#N/A,FALSE,"매출액";#N/A,#N/A,FALSE,"요약손익";#N/A,#N/A,FALSE,"요약대차";#N/A,#N/A,FALSE,"매출채권현황";#N/A,#N/A,FALSE,"매출채권명세"}</definedName>
    <definedName name="ㅎㅇㅀ" localSheetId="42" hidden="1">{#N/A,#N/A,FALSE,"손익표지";#N/A,#N/A,FALSE,"손익계산";#N/A,#N/A,FALSE,"일반관리비";#N/A,#N/A,FALSE,"영업외수익";#N/A,#N/A,FALSE,"영업외비용";#N/A,#N/A,FALSE,"매출액";#N/A,#N/A,FALSE,"요약손익";#N/A,#N/A,FALSE,"요약대차";#N/A,#N/A,FALSE,"매출채권현황";#N/A,#N/A,FALSE,"매출채권명세"}</definedName>
    <definedName name="ㅎㅇㅀ" hidden="1">{#N/A,#N/A,FALSE,"손익표지";#N/A,#N/A,FALSE,"손익계산";#N/A,#N/A,FALSE,"일반관리비";#N/A,#N/A,FALSE,"영업외수익";#N/A,#N/A,FALSE,"영업외비용";#N/A,#N/A,FALSE,"매출액";#N/A,#N/A,FALSE,"요약손익";#N/A,#N/A,FALSE,"요약대차";#N/A,#N/A,FALSE,"매출채권현황";#N/A,#N/A,FALSE,"매출채권명세"}</definedName>
    <definedName name="ㅎㅇㅇㄹ" localSheetId="15" hidden="1">{#N/A,#N/A,FALSE,"손익표지";#N/A,#N/A,FALSE,"손익계산";#N/A,#N/A,FALSE,"일반관리비";#N/A,#N/A,FALSE,"영업외수익";#N/A,#N/A,FALSE,"영업외비용";#N/A,#N/A,FALSE,"매출액";#N/A,#N/A,FALSE,"요약손익";#N/A,#N/A,FALSE,"요약대차";#N/A,#N/A,FALSE,"매출채권현황";#N/A,#N/A,FALSE,"매출채권명세"}</definedName>
    <definedName name="ㅎㅇㅇㄹ"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ㅎㅇㅇㄹ" localSheetId="45" hidden="1">{#N/A,#N/A,FALSE,"손익표지";#N/A,#N/A,FALSE,"손익계산";#N/A,#N/A,FALSE,"일반관리비";#N/A,#N/A,FALSE,"영업외수익";#N/A,#N/A,FALSE,"영업외비용";#N/A,#N/A,FALSE,"매출액";#N/A,#N/A,FALSE,"요약손익";#N/A,#N/A,FALSE,"요약대차";#N/A,#N/A,FALSE,"매출채권현황";#N/A,#N/A,FALSE,"매출채권명세"}</definedName>
    <definedName name="ㅎㅇㅇㄹ" localSheetId="42" hidden="1">{#N/A,#N/A,FALSE,"손익표지";#N/A,#N/A,FALSE,"손익계산";#N/A,#N/A,FALSE,"일반관리비";#N/A,#N/A,FALSE,"영업외수익";#N/A,#N/A,FALSE,"영업외비용";#N/A,#N/A,FALSE,"매출액";#N/A,#N/A,FALSE,"요약손익";#N/A,#N/A,FALSE,"요약대차";#N/A,#N/A,FALSE,"매출채권현황";#N/A,#N/A,FALSE,"매출채권명세"}</definedName>
    <definedName name="ㅎㅇㅇㄹ" hidden="1">{#N/A,#N/A,FALSE,"손익표지";#N/A,#N/A,FALSE,"손익계산";#N/A,#N/A,FALSE,"일반관리비";#N/A,#N/A,FALSE,"영업외수익";#N/A,#N/A,FALSE,"영업외비용";#N/A,#N/A,FALSE,"매출액";#N/A,#N/A,FALSE,"요약손익";#N/A,#N/A,FALSE,"요약대차";#N/A,#N/A,FALSE,"매출채권현황";#N/A,#N/A,FALSE,"매출채권명세"}</definedName>
    <definedName name="ㅎ오ㅓ" localSheetId="15" hidden="1">{#N/A,#N/A,FALSE,"손익표지";#N/A,#N/A,FALSE,"손익계산";#N/A,#N/A,FALSE,"일반관리비";#N/A,#N/A,FALSE,"영업외수익";#N/A,#N/A,FALSE,"영업외비용";#N/A,#N/A,FALSE,"매출액";#N/A,#N/A,FALSE,"요약손익";#N/A,#N/A,FALSE,"요약대차";#N/A,#N/A,FALSE,"매출채권현황";#N/A,#N/A,FALSE,"매출채권명세"}</definedName>
    <definedName name="ㅎ오ㅓ"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ㅎ오ㅓ" localSheetId="45" hidden="1">{#N/A,#N/A,FALSE,"손익표지";#N/A,#N/A,FALSE,"손익계산";#N/A,#N/A,FALSE,"일반관리비";#N/A,#N/A,FALSE,"영업외수익";#N/A,#N/A,FALSE,"영업외비용";#N/A,#N/A,FALSE,"매출액";#N/A,#N/A,FALSE,"요약손익";#N/A,#N/A,FALSE,"요약대차";#N/A,#N/A,FALSE,"매출채권현황";#N/A,#N/A,FALSE,"매출채권명세"}</definedName>
    <definedName name="ㅎ오ㅓ" localSheetId="42" hidden="1">{#N/A,#N/A,FALSE,"손익표지";#N/A,#N/A,FALSE,"손익계산";#N/A,#N/A,FALSE,"일반관리비";#N/A,#N/A,FALSE,"영업외수익";#N/A,#N/A,FALSE,"영업외비용";#N/A,#N/A,FALSE,"매출액";#N/A,#N/A,FALSE,"요약손익";#N/A,#N/A,FALSE,"요약대차";#N/A,#N/A,FALSE,"매출채권현황";#N/A,#N/A,FALSE,"매출채권명세"}</definedName>
    <definedName name="ㅎ오ㅓ" hidden="1">{#N/A,#N/A,FALSE,"손익표지";#N/A,#N/A,FALSE,"손익계산";#N/A,#N/A,FALSE,"일반관리비";#N/A,#N/A,FALSE,"영업외수익";#N/A,#N/A,FALSE,"영업외비용";#N/A,#N/A,FALSE,"매출액";#N/A,#N/A,FALSE,"요약손익";#N/A,#N/A,FALSE,"요약대차";#N/A,#N/A,FALSE,"매출채권현황";#N/A,#N/A,FALSE,"매출채권명세"}</definedName>
    <definedName name="ㅎㅎ" localSheetId="15" hidden="1">{#N/A,#N/A,TRUE,"Summary";#N/A,#N/A,TRUE,"IS";#N/A,#N/A,TRUE,"Adj";#N/A,#N/A,TRUE,"BS";#N/A,#N/A,TRUE,"CF";#N/A,#N/A,TRUE,"Debt";#N/A,#N/A,TRUE,"IRR"}</definedName>
    <definedName name="ㅎㅎ" localSheetId="6" hidden="1">{#N/A,#N/A,TRUE,"Summary";#N/A,#N/A,TRUE,"IS";#N/A,#N/A,TRUE,"Adj";#N/A,#N/A,TRUE,"BS";#N/A,#N/A,TRUE,"CF";#N/A,#N/A,TRUE,"Debt";#N/A,#N/A,TRUE,"IRR"}</definedName>
    <definedName name="ㅎㅎ" localSheetId="45" hidden="1">{#N/A,#N/A,TRUE,"Summary";#N/A,#N/A,TRUE,"IS";#N/A,#N/A,TRUE,"Adj";#N/A,#N/A,TRUE,"BS";#N/A,#N/A,TRUE,"CF";#N/A,#N/A,TRUE,"Debt";#N/A,#N/A,TRUE,"IRR"}</definedName>
    <definedName name="ㅎㅎ" localSheetId="42" hidden="1">{#N/A,#N/A,TRUE,"Summary";#N/A,#N/A,TRUE,"IS";#N/A,#N/A,TRUE,"Adj";#N/A,#N/A,TRUE,"BS";#N/A,#N/A,TRUE,"CF";#N/A,#N/A,TRUE,"Debt";#N/A,#N/A,TRUE,"IRR"}</definedName>
    <definedName name="ㅎㅎ" hidden="1">{#N/A,#N/A,TRUE,"Summary";#N/A,#N/A,TRUE,"IS";#N/A,#N/A,TRUE,"Adj";#N/A,#N/A,TRUE,"BS";#N/A,#N/A,TRUE,"CF";#N/A,#N/A,TRUE,"Debt";#N/A,#N/A,TRUE,"IRR"}</definedName>
    <definedName name="ㅎㅎㅎ" localSheetId="42" hidden="1">{#N/A,#N/A,FALSE,"UNIT";#N/A,#N/A,FALSE,"UNIT";#N/A,#N/A,FALSE,"계정"}</definedName>
    <definedName name="ㅎㅎㅎ" hidden="1">{#N/A,#N/A,FALSE,"UNIT";#N/A,#N/A,FALSE,"UNIT";#N/A,#N/A,FALSE,"계정"}</definedName>
    <definedName name="ㅎㅎㅎㅎ" localSheetId="12" hidden="1">#REF!</definedName>
    <definedName name="ㅎㅎㅎㅎ" localSheetId="42" hidden="1">{#N/A,#N/A,FALSE,"BS";#N/A,#N/A,FALSE,"PL";#N/A,#N/A,FALSE,"처분";#N/A,#N/A,FALSE,"현금";#N/A,#N/A,FALSE,"매출";#N/A,#N/A,FALSE,"원가";#N/A,#N/A,FALSE,"경영"}</definedName>
    <definedName name="ㅎㅎㅎㅎ" hidden="1">{#N/A,#N/A,FALSE,"BS";#N/A,#N/A,FALSE,"PL";#N/A,#N/A,FALSE,"처분";#N/A,#N/A,FALSE,"현금";#N/A,#N/A,FALSE,"매출";#N/A,#N/A,FALSE,"원가";#N/A,#N/A,FALSE,"경영"}</definedName>
    <definedName name="ㅎㅎ하" localSheetId="15" hidden="1">{#N/A,#N/A,FALSE,"계약직(여)"}</definedName>
    <definedName name="ㅎㅎ하" localSheetId="6" hidden="1">{#N/A,#N/A,FALSE,"계약직(여)"}</definedName>
    <definedName name="ㅎㅎ하" localSheetId="45" hidden="1">{#N/A,#N/A,FALSE,"계약직(여)"}</definedName>
    <definedName name="ㅎㅎ하" localSheetId="42" hidden="1">{#N/A,#N/A,FALSE,"계약직(여)"}</definedName>
    <definedName name="ㅎㅎ하" hidden="1">{#N/A,#N/A,FALSE,"계약직(여)"}</definedName>
    <definedName name="하" localSheetId="12" hidden="1">{"'보고양식'!$A$58:$K$111"}</definedName>
    <definedName name="하" localSheetId="15" hidden="1">{#N/A,#N/A,FALSE,"1.CRITERIA";#N/A,#N/A,FALSE,"2.IS";#N/A,#N/A,FALSE,"3.BS";#N/A,#N/A,FALSE,"4.PER PL";#N/A,#N/A,FALSE,"5.INVESTMENT";#N/A,#N/A,FALSE,"6.공문";#N/A,#N/A,FALSE,"7.netinvest"}</definedName>
    <definedName name="하" localSheetId="6" hidden="1">{#N/A,#N/A,FALSE,"1.CRITERIA";#N/A,#N/A,FALSE,"2.IS";#N/A,#N/A,FALSE,"3.BS";#N/A,#N/A,FALSE,"4.PER PL";#N/A,#N/A,FALSE,"5.INVESTMENT";#N/A,#N/A,FALSE,"6.공문";#N/A,#N/A,FALSE,"7.netinvest"}</definedName>
    <definedName name="하" localSheetId="45" hidden="1">{#N/A,#N/A,FALSE,"1.CRITERIA";#N/A,#N/A,FALSE,"2.IS";#N/A,#N/A,FALSE,"3.BS";#N/A,#N/A,FALSE,"4.PER PL";#N/A,#N/A,FALSE,"5.INVESTMENT";#N/A,#N/A,FALSE,"6.공문";#N/A,#N/A,FALSE,"7.netinvest"}</definedName>
    <definedName name="하" localSheetId="42" hidden="1">{#N/A,#N/A,FALSE,"1.CRITERIA";#N/A,#N/A,FALSE,"2.IS";#N/A,#N/A,FALSE,"3.BS";#N/A,#N/A,FALSE,"4.PER PL";#N/A,#N/A,FALSE,"5.INVESTMENT";#N/A,#N/A,FALSE,"6.공문";#N/A,#N/A,FALSE,"7.netinvest"}</definedName>
    <definedName name="하" hidden="1">{"'보고양식'!$A$58:$K$111"}</definedName>
    <definedName name="하반기차입금계획" localSheetId="15" hidden="1">{#N/A,#N/A,FALSE,"손익표지";#N/A,#N/A,FALSE,"손익계산";#N/A,#N/A,FALSE,"일반관리비";#N/A,#N/A,FALSE,"영업외수익";#N/A,#N/A,FALSE,"영업외비용";#N/A,#N/A,FALSE,"매출액";#N/A,#N/A,FALSE,"요약손익";#N/A,#N/A,FALSE,"요약대차";#N/A,#N/A,FALSE,"매출채권현황";#N/A,#N/A,FALSE,"매출채권명세"}</definedName>
    <definedName name="하반기차입금계획" localSheetId="6" hidden="1">{#N/A,#N/A,FALSE,"손익표지";#N/A,#N/A,FALSE,"손익계산";#N/A,#N/A,FALSE,"일반관리비";#N/A,#N/A,FALSE,"영업외수익";#N/A,#N/A,FALSE,"영업외비용";#N/A,#N/A,FALSE,"매출액";#N/A,#N/A,FALSE,"요약손익";#N/A,#N/A,FALSE,"요약대차";#N/A,#N/A,FALSE,"매출채권현황";#N/A,#N/A,FALSE,"매출채권명세"}</definedName>
    <definedName name="하반기차입금계획" localSheetId="45" hidden="1">{#N/A,#N/A,FALSE,"손익표지";#N/A,#N/A,FALSE,"손익계산";#N/A,#N/A,FALSE,"일반관리비";#N/A,#N/A,FALSE,"영업외수익";#N/A,#N/A,FALSE,"영업외비용";#N/A,#N/A,FALSE,"매출액";#N/A,#N/A,FALSE,"요약손익";#N/A,#N/A,FALSE,"요약대차";#N/A,#N/A,FALSE,"매출채권현황";#N/A,#N/A,FALSE,"매출채권명세"}</definedName>
    <definedName name="하반기차입금계획" localSheetId="42" hidden="1">{#N/A,#N/A,FALSE,"손익표지";#N/A,#N/A,FALSE,"손익계산";#N/A,#N/A,FALSE,"일반관리비";#N/A,#N/A,FALSE,"영업외수익";#N/A,#N/A,FALSE,"영업외비용";#N/A,#N/A,FALSE,"매출액";#N/A,#N/A,FALSE,"요약손익";#N/A,#N/A,FALSE,"요약대차";#N/A,#N/A,FALSE,"매출채권현황";#N/A,#N/A,FALSE,"매출채권명세"}</definedName>
    <definedName name="하반기차입금계획" hidden="1">{#N/A,#N/A,FALSE,"손익표지";#N/A,#N/A,FALSE,"손익계산";#N/A,#N/A,FALSE,"일반관리비";#N/A,#N/A,FALSE,"영업외수익";#N/A,#N/A,FALSE,"영업외비용";#N/A,#N/A,FALSE,"매출액";#N/A,#N/A,FALSE,"요약손익";#N/A,#N/A,FALSE,"요약대차";#N/A,#N/A,FALSE,"매출채권현황";#N/A,#N/A,FALSE,"매출채권명세"}</definedName>
    <definedName name="하하하" localSheetId="4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하하하"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한" localSheetId="15"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한" localSheetId="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한" localSheetId="45"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한" localSheetId="4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한"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한영사전" localSheetId="42" hidden="1">{#N/A,#N/A,TRUE,"Y생산";#N/A,#N/A,TRUE,"Y판매";#N/A,#N/A,TRUE,"Y총물량";#N/A,#N/A,TRUE,"Y능력";#N/A,#N/A,TRUE,"YKD"}</definedName>
    <definedName name="한영사전" hidden="1">{#N/A,#N/A,TRUE,"Y생산";#N/A,#N/A,TRUE,"Y판매";#N/A,#N/A,TRUE,"Y총물량";#N/A,#N/A,TRUE,"Y능력";#N/A,#N/A,TRUE,"YKD"}</definedName>
    <definedName name="한원양행" localSheetId="15" hidden="1">{#N/A,#N/A,FALSE,"범우구미";#N/A,#N/A,FALSE,"세한케미칼";#N/A,#N/A,FALSE,"세명화학";#N/A,#N/A,FALSE,"신영케미칼";#N/A,#N/A,FALSE,"일석상사"}</definedName>
    <definedName name="한원양행" localSheetId="6" hidden="1">{#N/A,#N/A,FALSE,"범우구미";#N/A,#N/A,FALSE,"세한케미칼";#N/A,#N/A,FALSE,"세명화학";#N/A,#N/A,FALSE,"신영케미칼";#N/A,#N/A,FALSE,"일석상사"}</definedName>
    <definedName name="한원양행" localSheetId="45" hidden="1">{#N/A,#N/A,FALSE,"범우구미";#N/A,#N/A,FALSE,"세한케미칼";#N/A,#N/A,FALSE,"세명화학";#N/A,#N/A,FALSE,"신영케미칼";#N/A,#N/A,FALSE,"일석상사"}</definedName>
    <definedName name="한원양행" localSheetId="42" hidden="1">{#N/A,#N/A,FALSE,"범우구미";#N/A,#N/A,FALSE,"세한케미칼";#N/A,#N/A,FALSE,"세명화학";#N/A,#N/A,FALSE,"신영케미칼";#N/A,#N/A,FALSE,"일석상사"}</definedName>
    <definedName name="한원양행" hidden="1">{#N/A,#N/A,FALSE,"범우구미";#N/A,#N/A,FALSE,"세한케미칼";#N/A,#N/A,FALSE,"세명화학";#N/A,#N/A,FALSE,"신영케미칼";#N/A,#N/A,FALSE,"일석상사"}</definedName>
    <definedName name="항공수요" localSheetId="15" hidden="1">{#N/A,#N/A,FALSE,"손익표지";#N/A,#N/A,FALSE,"손익계산";#N/A,#N/A,FALSE,"일반관리비";#N/A,#N/A,FALSE,"영업외수익";#N/A,#N/A,FALSE,"영업외비용";#N/A,#N/A,FALSE,"매출액";#N/A,#N/A,FALSE,"요약손익";#N/A,#N/A,FALSE,"요약대차";#N/A,#N/A,FALSE,"매출채권현황";#N/A,#N/A,FALSE,"매출채권명세"}</definedName>
    <definedName name="항공수요" localSheetId="6" hidden="1">{#N/A,#N/A,FALSE,"손익표지";#N/A,#N/A,FALSE,"손익계산";#N/A,#N/A,FALSE,"일반관리비";#N/A,#N/A,FALSE,"영업외수익";#N/A,#N/A,FALSE,"영업외비용";#N/A,#N/A,FALSE,"매출액";#N/A,#N/A,FALSE,"요약손익";#N/A,#N/A,FALSE,"요약대차";#N/A,#N/A,FALSE,"매출채권현황";#N/A,#N/A,FALSE,"매출채권명세"}</definedName>
    <definedName name="항공수요" localSheetId="45" hidden="1">{#N/A,#N/A,FALSE,"손익표지";#N/A,#N/A,FALSE,"손익계산";#N/A,#N/A,FALSE,"일반관리비";#N/A,#N/A,FALSE,"영업외수익";#N/A,#N/A,FALSE,"영업외비용";#N/A,#N/A,FALSE,"매출액";#N/A,#N/A,FALSE,"요약손익";#N/A,#N/A,FALSE,"요약대차";#N/A,#N/A,FALSE,"매출채권현황";#N/A,#N/A,FALSE,"매출채권명세"}</definedName>
    <definedName name="항공수요" localSheetId="42" hidden="1">{#N/A,#N/A,FALSE,"손익표지";#N/A,#N/A,FALSE,"손익계산";#N/A,#N/A,FALSE,"일반관리비";#N/A,#N/A,FALSE,"영업외수익";#N/A,#N/A,FALSE,"영업외비용";#N/A,#N/A,FALSE,"매출액";#N/A,#N/A,FALSE,"요약손익";#N/A,#N/A,FALSE,"요약대차";#N/A,#N/A,FALSE,"매출채권현황";#N/A,#N/A,FALSE,"매출채권명세"}</definedName>
    <definedName name="항공수요" hidden="1">{#N/A,#N/A,FALSE,"손익표지";#N/A,#N/A,FALSE,"손익계산";#N/A,#N/A,FALSE,"일반관리비";#N/A,#N/A,FALSE,"영업외수익";#N/A,#N/A,FALSE,"영업외비용";#N/A,#N/A,FALSE,"매출액";#N/A,#N/A,FALSE,"요약손익";#N/A,#N/A,FALSE,"요약대차";#N/A,#N/A,FALSE,"매출채권현황";#N/A,#N/A,FALSE,"매출채권명세"}</definedName>
    <definedName name="해한" localSheetId="15" hidden="1">{#N/A,#N/A,FALSE,"BS";#N/A,#N/A,FALSE,"PL";#N/A,#N/A,FALSE,"A";#N/A,#N/A,FALSE,"B";#N/A,#N/A,FALSE,"B1";#N/A,#N/A,FALSE,"C";#N/A,#N/A,FALSE,"C1";#N/A,#N/A,FALSE,"C2";#N/A,#N/A,FALSE,"D";#N/A,#N/A,FALSE,"E";#N/A,#N/A,FALSE,"F";#N/A,#N/A,FALSE,"AA";#N/A,#N/A,FALSE,"BB";#N/A,#N/A,FALSE,"CC";#N/A,#N/A,FALSE,"DD";#N/A,#N/A,FALSE,"EE";#N/A,#N/A,FALSE,"FF";#N/A,#N/A,FALSE,"PL10";#N/A,#N/A,FALSE,"PL20";#N/A,#N/A,FALSE,"PL30"}</definedName>
    <definedName name="해한" localSheetId="6" hidden="1">{#N/A,#N/A,FALSE,"BS";#N/A,#N/A,FALSE,"PL";#N/A,#N/A,FALSE,"A";#N/A,#N/A,FALSE,"B";#N/A,#N/A,FALSE,"B1";#N/A,#N/A,FALSE,"C";#N/A,#N/A,FALSE,"C1";#N/A,#N/A,FALSE,"C2";#N/A,#N/A,FALSE,"D";#N/A,#N/A,FALSE,"E";#N/A,#N/A,FALSE,"F";#N/A,#N/A,FALSE,"AA";#N/A,#N/A,FALSE,"BB";#N/A,#N/A,FALSE,"CC";#N/A,#N/A,FALSE,"DD";#N/A,#N/A,FALSE,"EE";#N/A,#N/A,FALSE,"FF";#N/A,#N/A,FALSE,"PL10";#N/A,#N/A,FALSE,"PL20";#N/A,#N/A,FALSE,"PL30"}</definedName>
    <definedName name="해한" localSheetId="45" hidden="1">{#N/A,#N/A,FALSE,"BS";#N/A,#N/A,FALSE,"PL";#N/A,#N/A,FALSE,"A";#N/A,#N/A,FALSE,"B";#N/A,#N/A,FALSE,"B1";#N/A,#N/A,FALSE,"C";#N/A,#N/A,FALSE,"C1";#N/A,#N/A,FALSE,"C2";#N/A,#N/A,FALSE,"D";#N/A,#N/A,FALSE,"E";#N/A,#N/A,FALSE,"F";#N/A,#N/A,FALSE,"AA";#N/A,#N/A,FALSE,"BB";#N/A,#N/A,FALSE,"CC";#N/A,#N/A,FALSE,"DD";#N/A,#N/A,FALSE,"EE";#N/A,#N/A,FALSE,"FF";#N/A,#N/A,FALSE,"PL10";#N/A,#N/A,FALSE,"PL20";#N/A,#N/A,FALSE,"PL30"}</definedName>
    <definedName name="해한" localSheetId="42" hidden="1">{#N/A,#N/A,FALSE,"BS";#N/A,#N/A,FALSE,"PL";#N/A,#N/A,FALSE,"A";#N/A,#N/A,FALSE,"B";#N/A,#N/A,FALSE,"B1";#N/A,#N/A,FALSE,"C";#N/A,#N/A,FALSE,"C1";#N/A,#N/A,FALSE,"C2";#N/A,#N/A,FALSE,"D";#N/A,#N/A,FALSE,"E";#N/A,#N/A,FALSE,"F";#N/A,#N/A,FALSE,"AA";#N/A,#N/A,FALSE,"BB";#N/A,#N/A,FALSE,"CC";#N/A,#N/A,FALSE,"DD";#N/A,#N/A,FALSE,"EE";#N/A,#N/A,FALSE,"FF";#N/A,#N/A,FALSE,"PL10";#N/A,#N/A,FALSE,"PL20";#N/A,#N/A,FALSE,"PL30"}</definedName>
    <definedName name="해한" hidden="1">{#N/A,#N/A,FALSE,"BS";#N/A,#N/A,FALSE,"PL";#N/A,#N/A,FALSE,"A";#N/A,#N/A,FALSE,"B";#N/A,#N/A,FALSE,"B1";#N/A,#N/A,FALSE,"C";#N/A,#N/A,FALSE,"C1";#N/A,#N/A,FALSE,"C2";#N/A,#N/A,FALSE,"D";#N/A,#N/A,FALSE,"E";#N/A,#N/A,FALSE,"F";#N/A,#N/A,FALSE,"AA";#N/A,#N/A,FALSE,"BB";#N/A,#N/A,FALSE,"CC";#N/A,#N/A,FALSE,"DD";#N/A,#N/A,FALSE,"EE";#N/A,#N/A,FALSE,"FF";#N/A,#N/A,FALSE,"PL10";#N/A,#N/A,FALSE,"PL20";#N/A,#N/A,FALSE,"PL30"}</definedName>
    <definedName name="행사가격">#REF!</definedName>
    <definedName name="행사시작일">#REF!</definedName>
    <definedName name="행사종료일">#REF!</definedName>
    <definedName name="햐" localSheetId="15" hidden="1">{#N/A,#N/A,FALSE,"1.CRITERIA";#N/A,#N/A,FALSE,"2.IS";#N/A,#N/A,FALSE,"3.BS";#N/A,#N/A,FALSE,"4.PER PL";#N/A,#N/A,FALSE,"5.INVESTMENT";#N/A,#N/A,FALSE,"6.공문";#N/A,#N/A,FALSE,"7.netinvest"}</definedName>
    <definedName name="햐" localSheetId="6" hidden="1">{#N/A,#N/A,FALSE,"1.CRITERIA";#N/A,#N/A,FALSE,"2.IS";#N/A,#N/A,FALSE,"3.BS";#N/A,#N/A,FALSE,"4.PER PL";#N/A,#N/A,FALSE,"5.INVESTMENT";#N/A,#N/A,FALSE,"6.공문";#N/A,#N/A,FALSE,"7.netinvest"}</definedName>
    <definedName name="햐" localSheetId="45" hidden="1">{#N/A,#N/A,FALSE,"1.CRITERIA";#N/A,#N/A,FALSE,"2.IS";#N/A,#N/A,FALSE,"3.BS";#N/A,#N/A,FALSE,"4.PER PL";#N/A,#N/A,FALSE,"5.INVESTMENT";#N/A,#N/A,FALSE,"6.공문";#N/A,#N/A,FALSE,"7.netinvest"}</definedName>
    <definedName name="햐" localSheetId="42" hidden="1">{#N/A,#N/A,FALSE,"1.CRITERIA";#N/A,#N/A,FALSE,"2.IS";#N/A,#N/A,FALSE,"3.BS";#N/A,#N/A,FALSE,"4.PER PL";#N/A,#N/A,FALSE,"5.INVESTMENT";#N/A,#N/A,FALSE,"6.공문";#N/A,#N/A,FALSE,"7.netinvest"}</definedName>
    <definedName name="햐" hidden="1">{#N/A,#N/A,FALSE,"1.CRITERIA";#N/A,#N/A,FALSE,"2.IS";#N/A,#N/A,FALSE,"3.BS";#N/A,#N/A,FALSE,"4.PER PL";#N/A,#N/A,FALSE,"5.INVESTMENT";#N/A,#N/A,FALSE,"6.공문";#N/A,#N/A,FALSE,"7.netinvest"}</definedName>
    <definedName name="향후추정" localSheetId="42" hidden="1">{"'9월'!$F$38"}</definedName>
    <definedName name="향후추정" hidden="1">{"'9월'!$F$38"}</definedName>
    <definedName name="헷지확률">#REF!</definedName>
    <definedName name="혀" localSheetId="15" hidden="1">{#N/A,#N/A,FALSE,"1.CRITERIA";#N/A,#N/A,FALSE,"2.IS";#N/A,#N/A,FALSE,"3.BS";#N/A,#N/A,FALSE,"4.PER PL";#N/A,#N/A,FALSE,"5.INVESTMENT";#N/A,#N/A,FALSE,"6.공문";#N/A,#N/A,FALSE,"7.netinvest"}</definedName>
    <definedName name="혀" localSheetId="6" hidden="1">{#N/A,#N/A,FALSE,"1.CRITERIA";#N/A,#N/A,FALSE,"2.IS";#N/A,#N/A,FALSE,"3.BS";#N/A,#N/A,FALSE,"4.PER PL";#N/A,#N/A,FALSE,"5.INVESTMENT";#N/A,#N/A,FALSE,"6.공문";#N/A,#N/A,FALSE,"7.netinvest"}</definedName>
    <definedName name="혀" localSheetId="45" hidden="1">{#N/A,#N/A,FALSE,"1.CRITERIA";#N/A,#N/A,FALSE,"2.IS";#N/A,#N/A,FALSE,"3.BS";#N/A,#N/A,FALSE,"4.PER PL";#N/A,#N/A,FALSE,"5.INVESTMENT";#N/A,#N/A,FALSE,"6.공문";#N/A,#N/A,FALSE,"7.netinvest"}</definedName>
    <definedName name="혀" localSheetId="42" hidden="1">{#N/A,#N/A,FALSE,"1.CRITERIA";#N/A,#N/A,FALSE,"2.IS";#N/A,#N/A,FALSE,"3.BS";#N/A,#N/A,FALSE,"4.PER PL";#N/A,#N/A,FALSE,"5.INVESTMENT";#N/A,#N/A,FALSE,"6.공문";#N/A,#N/A,FALSE,"7.netinvest"}</definedName>
    <definedName name="혀" hidden="1">{#N/A,#N/A,FALSE,"1.CRITERIA";#N/A,#N/A,FALSE,"2.IS";#N/A,#N/A,FALSE,"3.BS";#N/A,#N/A,FALSE,"4.PER PL";#N/A,#N/A,FALSE,"5.INVESTMENT";#N/A,#N/A,FALSE,"6.공문";#N/A,#N/A,FALSE,"7.netinvest"}</definedName>
    <definedName name="현" localSheetId="15" hidden="1">{#N/A,#N/A,FALSE,"계약직(여)"}</definedName>
    <definedName name="현" localSheetId="6" hidden="1">{#N/A,#N/A,FALSE,"계약직(여)"}</definedName>
    <definedName name="현" localSheetId="45" hidden="1">{#N/A,#N/A,FALSE,"계약직(여)"}</definedName>
    <definedName name="현" localSheetId="42" hidden="1">{#N/A,#N/A,FALSE,"계약직(여)"}</definedName>
    <definedName name="현" hidden="1">{#N/A,#N/A,FALSE,"계약직(여)"}</definedName>
    <definedName name="현금" localSheetId="12" hidden="1">{#N/A,#N/A,TRUE,"Summary";#N/A,#N/A,TRUE,"IS";#N/A,#N/A,TRUE,"Adj";#N/A,#N/A,TRUE,"BS";#N/A,#N/A,TRUE,"CF";#N/A,#N/A,TRUE,"Debt";#N/A,#N/A,TRUE,"IRR"}</definedName>
    <definedName name="현금" localSheetId="42" hidden="1">{#N/A,#N/A,TRUE,"Summary";#N/A,#N/A,TRUE,"IS";#N/A,#N/A,TRUE,"Adj";#N/A,#N/A,TRUE,"BS";#N/A,#N/A,TRUE,"CF";#N/A,#N/A,TRUE,"Debt";#N/A,#N/A,TRUE,"IRR"}</definedName>
    <definedName name="현금" hidden="1">{#N/A,#N/A,TRUE,"Summary";#N/A,#N/A,TRUE,"IS";#N/A,#N/A,TRUE,"Adj";#N/A,#N/A,TRUE,"BS";#N/A,#N/A,TRUE,"CF";#N/A,#N/A,TRUE,"Debt";#N/A,#N/A,TRUE,"IRR"}</definedName>
    <definedName name="현금흐름" localSheetId="12" hidden="1">{#N/A,#N/A,TRUE,"Summary";#N/A,#N/A,TRUE,"IS";#N/A,#N/A,TRUE,"Adj";#N/A,#N/A,TRUE,"BS";#N/A,#N/A,TRUE,"CF";#N/A,#N/A,TRUE,"Debt";#N/A,#N/A,TRUE,"IRR"}</definedName>
    <definedName name="현금흐름" localSheetId="15" hidden="1">{#N/A,#N/A,FALSE,"손익표지";#N/A,#N/A,FALSE,"손익계산";#N/A,#N/A,FALSE,"일반관리비";#N/A,#N/A,FALSE,"영업외수익";#N/A,#N/A,FALSE,"영업외비용";#N/A,#N/A,FALSE,"매출액";#N/A,#N/A,FALSE,"요약손익";#N/A,#N/A,FALSE,"요약대차";#N/A,#N/A,FALSE,"매출채권현황";#N/A,#N/A,FALSE,"매출채권명세"}</definedName>
    <definedName name="현금흐름" localSheetId="6" hidden="1">{#N/A,#N/A,FALSE,"손익표지";#N/A,#N/A,FALSE,"손익계산";#N/A,#N/A,FALSE,"일반관리비";#N/A,#N/A,FALSE,"영업외수익";#N/A,#N/A,FALSE,"영업외비용";#N/A,#N/A,FALSE,"매출액";#N/A,#N/A,FALSE,"요약손익";#N/A,#N/A,FALSE,"요약대차";#N/A,#N/A,FALSE,"매출채권현황";#N/A,#N/A,FALSE,"매출채권명세"}</definedName>
    <definedName name="현금흐름" localSheetId="45" hidden="1">{#N/A,#N/A,FALSE,"손익표지";#N/A,#N/A,FALSE,"손익계산";#N/A,#N/A,FALSE,"일반관리비";#N/A,#N/A,FALSE,"영업외수익";#N/A,#N/A,FALSE,"영업외비용";#N/A,#N/A,FALSE,"매출액";#N/A,#N/A,FALSE,"요약손익";#N/A,#N/A,FALSE,"요약대차";#N/A,#N/A,FALSE,"매출채권현황";#N/A,#N/A,FALSE,"매출채권명세"}</definedName>
    <definedName name="현금흐름" localSheetId="42" hidden="1">{#N/A,#N/A,FALSE,"손익표지";#N/A,#N/A,FALSE,"손익계산";#N/A,#N/A,FALSE,"일반관리비";#N/A,#N/A,FALSE,"영업외수익";#N/A,#N/A,FALSE,"영업외비용";#N/A,#N/A,FALSE,"매출액";#N/A,#N/A,FALSE,"요약손익";#N/A,#N/A,FALSE,"요약대차";#N/A,#N/A,FALSE,"매출채권현황";#N/A,#N/A,FALSE,"매출채권명세"}</definedName>
    <definedName name="현금흐름" hidden="1">{#N/A,#N/A,TRUE,"Summary";#N/A,#N/A,TRUE,"IS";#N/A,#N/A,TRUE,"Adj";#N/A,#N/A,TRUE,"BS";#N/A,#N/A,TRUE,"CF";#N/A,#N/A,TRUE,"Debt";#N/A,#N/A,TRUE,"IRR"}</definedName>
    <definedName name="현금흐름1" localSheetId="12" hidden="1">#REF!</definedName>
    <definedName name="현금흐름1" localSheetId="30" hidden="1">#REF!</definedName>
    <definedName name="현금흐름1" localSheetId="29" hidden="1">#REF!</definedName>
    <definedName name="현금흐름1" localSheetId="33" hidden="1">#REF!</definedName>
    <definedName name="현금흐름1" localSheetId="31" hidden="1">#REF!</definedName>
    <definedName name="현금흐름1" hidden="1">#REF!</definedName>
    <definedName name="현금흐름3개월" localSheetId="12" hidden="1">{#N/A,#N/A,FALSE,"UNIT";#N/A,#N/A,FALSE,"UNIT";#N/A,#N/A,FALSE,"계정"}</definedName>
    <definedName name="현금흐름3개월" localSheetId="42" hidden="1">{#N/A,#N/A,FALSE,"UNIT";#N/A,#N/A,FALSE,"UNIT";#N/A,#N/A,FALSE,"계정"}</definedName>
    <definedName name="현금흐름3개월" hidden="1">{#N/A,#N/A,FALSE,"UNIT";#N/A,#N/A,FALSE,"UNIT";#N/A,#N/A,FALSE,"계정"}</definedName>
    <definedName name="현금흐름정산표" localSheetId="12" hidden="1">{#N/A,#N/A,FALSE,"지침";#N/A,#N/A,FALSE,"환경분석";#N/A,#N/A,FALSE,"Sheet16"}</definedName>
    <definedName name="현금흐름정산표" localSheetId="42" hidden="1">{#N/A,#N/A,FALSE,"지침";#N/A,#N/A,FALSE,"환경분석";#N/A,#N/A,FALSE,"Sheet16"}</definedName>
    <definedName name="현금흐름정산표" hidden="1">{#N/A,#N/A,FALSE,"지침";#N/A,#N/A,FALSE,"환경분석";#N/A,#N/A,FALSE,"Sheet16"}</definedName>
    <definedName name="현금흐름표" localSheetId="12" hidden="1">{#N/A,#N/A,FALSE,"지침";#N/A,#N/A,FALSE,"환경분석";#N/A,#N/A,FALSE,"Sheet16"}</definedName>
    <definedName name="현금흐름표" localSheetId="15"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현금흐름표" localSheetId="6"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현금흐름표" localSheetId="45"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현금흐름표" localSheetId="42"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현금흐름표" hidden="1">{#N/A,#N/A,FALSE,"지침";#N/A,#N/A,FALSE,"환경분석";#N/A,#N/A,FALSE,"Sheet16"}</definedName>
    <definedName name="현대" localSheetId="15" hidden="1">{#N/A,#N/A,FALSE,"정공"}</definedName>
    <definedName name="현대" localSheetId="6" hidden="1">{#N/A,#N/A,FALSE,"정공"}</definedName>
    <definedName name="현대" localSheetId="45" hidden="1">{#N/A,#N/A,FALSE,"정공"}</definedName>
    <definedName name="현대" localSheetId="42" hidden="1">{#N/A,#N/A,FALSE,"정공"}</definedName>
    <definedName name="현대" hidden="1">{#N/A,#N/A,FALSE,"정공"}</definedName>
    <definedName name="현대우주" localSheetId="15" hidden="1">{#N/A,#N/A,FALSE,"정공"}</definedName>
    <definedName name="현대우주" localSheetId="6" hidden="1">{#N/A,#N/A,FALSE,"정공"}</definedName>
    <definedName name="현대우주" localSheetId="45" hidden="1">{#N/A,#N/A,FALSE,"정공"}</definedName>
    <definedName name="현대우주" localSheetId="42" hidden="1">{#N/A,#N/A,FALSE,"정공"}</definedName>
    <definedName name="현대우주" hidden="1">{#N/A,#N/A,FALSE,"정공"}</definedName>
    <definedName name="현대우주항공" localSheetId="15" hidden="1">{#N/A,#N/A,FALSE,"정공"}</definedName>
    <definedName name="현대우주항공" localSheetId="6" hidden="1">{#N/A,#N/A,FALSE,"정공"}</definedName>
    <definedName name="현대우주항공" localSheetId="45" hidden="1">{#N/A,#N/A,FALSE,"정공"}</definedName>
    <definedName name="현대우주항공" localSheetId="42" hidden="1">{#N/A,#N/A,FALSE,"정공"}</definedName>
    <definedName name="현대우주항공" hidden="1">{#N/A,#N/A,FALSE,"정공"}</definedName>
    <definedName name="현대자동차" localSheetId="15" hidden="1">{#N/A,#N/A,FALSE,"정공"}</definedName>
    <definedName name="현대자동차" localSheetId="6" hidden="1">{#N/A,#N/A,FALSE,"정공"}</definedName>
    <definedName name="현대자동차" localSheetId="45" hidden="1">{#N/A,#N/A,FALSE,"정공"}</definedName>
    <definedName name="현대자동차" localSheetId="42" hidden="1">{#N/A,#N/A,FALSE,"정공"}</definedName>
    <definedName name="현대자동차" hidden="1">{#N/A,#N/A,FALSE,"정공"}</definedName>
    <definedName name="현대정공" localSheetId="15" hidden="1">{#N/A,#N/A,FALSE,"정공"}</definedName>
    <definedName name="현대정공" localSheetId="6" hidden="1">{#N/A,#N/A,FALSE,"정공"}</definedName>
    <definedName name="현대정공" localSheetId="45" hidden="1">{#N/A,#N/A,FALSE,"정공"}</definedName>
    <definedName name="현대정공" localSheetId="42" hidden="1">{#N/A,#N/A,FALSE,"정공"}</definedName>
    <definedName name="현대정공" hidden="1">{#N/A,#N/A,FALSE,"정공"}</definedName>
    <definedName name="현작성조서" localSheetId="42" hidden="1">{#N/A,#N/A,FALSE,"BS";#N/A,#N/A,FALSE,"PL";#N/A,#N/A,FALSE,"처분";#N/A,#N/A,FALSE,"현금";#N/A,#N/A,FALSE,"매출";#N/A,#N/A,FALSE,"원가";#N/A,#N/A,FALSE,"경영"}</definedName>
    <definedName name="현작성조서" hidden="1">{#N/A,#N/A,FALSE,"BS";#N/A,#N/A,FALSE,"PL";#N/A,#N/A,FALSE,"처분";#N/A,#N/A,FALSE,"현금";#N/A,#N/A,FALSE,"매출";#N/A,#N/A,FALSE,"원가";#N/A,#N/A,FALSE,"경영"}</definedName>
    <definedName name="호" localSheetId="12" hidden="1">{#N/A,#N/A,FALSE,"UNIT";#N/A,#N/A,FALSE,"UNIT";#N/A,#N/A,FALSE,"계정"}</definedName>
    <definedName name="호" localSheetId="15" hidden="1">{#N/A,#N/A,FALSE,"1.CRITERIA";#N/A,#N/A,FALSE,"2.IS";#N/A,#N/A,FALSE,"3.BS";#N/A,#N/A,FALSE,"4.PER PL";#N/A,#N/A,FALSE,"5.INVESTMENT";#N/A,#N/A,FALSE,"6.공문";#N/A,#N/A,FALSE,"7.netinvest"}</definedName>
    <definedName name="호" localSheetId="6" hidden="1">{#N/A,#N/A,FALSE,"1.CRITERIA";#N/A,#N/A,FALSE,"2.IS";#N/A,#N/A,FALSE,"3.BS";#N/A,#N/A,FALSE,"4.PER PL";#N/A,#N/A,FALSE,"5.INVESTMENT";#N/A,#N/A,FALSE,"6.공문";#N/A,#N/A,FALSE,"7.netinvest"}</definedName>
    <definedName name="호" localSheetId="45" hidden="1">{#N/A,#N/A,FALSE,"1.CRITERIA";#N/A,#N/A,FALSE,"2.IS";#N/A,#N/A,FALSE,"3.BS";#N/A,#N/A,FALSE,"4.PER PL";#N/A,#N/A,FALSE,"5.INVESTMENT";#N/A,#N/A,FALSE,"6.공문";#N/A,#N/A,FALSE,"7.netinvest"}</definedName>
    <definedName name="호" localSheetId="42" hidden="1">{#N/A,#N/A,FALSE,"1.CRITERIA";#N/A,#N/A,FALSE,"2.IS";#N/A,#N/A,FALSE,"3.BS";#N/A,#N/A,FALSE,"4.PER PL";#N/A,#N/A,FALSE,"5.INVESTMENT";#N/A,#N/A,FALSE,"6.공문";#N/A,#N/A,FALSE,"7.netinvest"}</definedName>
    <definedName name="호" hidden="1">{#N/A,#N/A,FALSE,"1.CRITERIA";#N/A,#N/A,FALSE,"2.IS";#N/A,#N/A,FALSE,"3.BS";#N/A,#N/A,FALSE,"4.PER PL";#N/A,#N/A,FALSE,"5.INVESTMENT";#N/A,#N/A,FALSE,"6.공문";#N/A,#N/A,FALSE,"7.netinvest"}</definedName>
    <definedName name="호ㅓㅎ" localSheetId="15" hidden="1">{#N/A,#N/A,FALSE,"손익표지";#N/A,#N/A,FALSE,"손익계산";#N/A,#N/A,FALSE,"일반관리비";#N/A,#N/A,FALSE,"영업외수익";#N/A,#N/A,FALSE,"영업외비용";#N/A,#N/A,FALSE,"매출액";#N/A,#N/A,FALSE,"요약손익";#N/A,#N/A,FALSE,"요약대차";#N/A,#N/A,FALSE,"매출채권현황";#N/A,#N/A,FALSE,"매출채권명세"}</definedName>
    <definedName name="호ㅓㅎ" localSheetId="6" hidden="1">{#N/A,#N/A,FALSE,"손익표지";#N/A,#N/A,FALSE,"손익계산";#N/A,#N/A,FALSE,"일반관리비";#N/A,#N/A,FALSE,"영업외수익";#N/A,#N/A,FALSE,"영업외비용";#N/A,#N/A,FALSE,"매출액";#N/A,#N/A,FALSE,"요약손익";#N/A,#N/A,FALSE,"요약대차";#N/A,#N/A,FALSE,"매출채권현황";#N/A,#N/A,FALSE,"매출채권명세"}</definedName>
    <definedName name="호ㅓㅎ" localSheetId="45" hidden="1">{#N/A,#N/A,FALSE,"손익표지";#N/A,#N/A,FALSE,"손익계산";#N/A,#N/A,FALSE,"일반관리비";#N/A,#N/A,FALSE,"영업외수익";#N/A,#N/A,FALSE,"영업외비용";#N/A,#N/A,FALSE,"매출액";#N/A,#N/A,FALSE,"요약손익";#N/A,#N/A,FALSE,"요약대차";#N/A,#N/A,FALSE,"매출채권현황";#N/A,#N/A,FALSE,"매출채권명세"}</definedName>
    <definedName name="호ㅓㅎ" localSheetId="42" hidden="1">{#N/A,#N/A,FALSE,"손익표지";#N/A,#N/A,FALSE,"손익계산";#N/A,#N/A,FALSE,"일반관리비";#N/A,#N/A,FALSE,"영업외수익";#N/A,#N/A,FALSE,"영업외비용";#N/A,#N/A,FALSE,"매출액";#N/A,#N/A,FALSE,"요약손익";#N/A,#N/A,FALSE,"요약대차";#N/A,#N/A,FALSE,"매출채권현황";#N/A,#N/A,FALSE,"매출채권명세"}</definedName>
    <definedName name="호ㅓㅎ" hidden="1">{#N/A,#N/A,FALSE,"손익표지";#N/A,#N/A,FALSE,"손익계산";#N/A,#N/A,FALSE,"일반관리비";#N/A,#N/A,FALSE,"영업외수익";#N/A,#N/A,FALSE,"영업외비용";#N/A,#N/A,FALSE,"매출액";#N/A,#N/A,FALSE,"요약손익";#N/A,#N/A,FALSE,"요약대차";#N/A,#N/A,FALSE,"매출채권현황";#N/A,#N/A,FALSE,"매출채권명세"}</definedName>
    <definedName name="호ㅓ호ㅓ" localSheetId="15" hidden="1">{#N/A,#N/A,FALSE,"손익표지";#N/A,#N/A,FALSE,"손익계산";#N/A,#N/A,FALSE,"일반관리비";#N/A,#N/A,FALSE,"영업외수익";#N/A,#N/A,FALSE,"영업외비용";#N/A,#N/A,FALSE,"매출액";#N/A,#N/A,FALSE,"요약손익";#N/A,#N/A,FALSE,"요약대차";#N/A,#N/A,FALSE,"매출채권현황";#N/A,#N/A,FALSE,"매출채권명세"}</definedName>
    <definedName name="호ㅓ호ㅓ" localSheetId="6" hidden="1">{#N/A,#N/A,FALSE,"손익표지";#N/A,#N/A,FALSE,"손익계산";#N/A,#N/A,FALSE,"일반관리비";#N/A,#N/A,FALSE,"영업외수익";#N/A,#N/A,FALSE,"영업외비용";#N/A,#N/A,FALSE,"매출액";#N/A,#N/A,FALSE,"요약손익";#N/A,#N/A,FALSE,"요약대차";#N/A,#N/A,FALSE,"매출채권현황";#N/A,#N/A,FALSE,"매출채권명세"}</definedName>
    <definedName name="호ㅓ호ㅓ" localSheetId="45" hidden="1">{#N/A,#N/A,FALSE,"손익표지";#N/A,#N/A,FALSE,"손익계산";#N/A,#N/A,FALSE,"일반관리비";#N/A,#N/A,FALSE,"영업외수익";#N/A,#N/A,FALSE,"영업외비용";#N/A,#N/A,FALSE,"매출액";#N/A,#N/A,FALSE,"요약손익";#N/A,#N/A,FALSE,"요약대차";#N/A,#N/A,FALSE,"매출채권현황";#N/A,#N/A,FALSE,"매출채권명세"}</definedName>
    <definedName name="호ㅓ호ㅓ" localSheetId="42" hidden="1">{#N/A,#N/A,FALSE,"손익표지";#N/A,#N/A,FALSE,"손익계산";#N/A,#N/A,FALSE,"일반관리비";#N/A,#N/A,FALSE,"영업외수익";#N/A,#N/A,FALSE,"영업외비용";#N/A,#N/A,FALSE,"매출액";#N/A,#N/A,FALSE,"요약손익";#N/A,#N/A,FALSE,"요약대차";#N/A,#N/A,FALSE,"매출채권현황";#N/A,#N/A,FALSE,"매출채권명세"}</definedName>
    <definedName name="호ㅓ호ㅓ" hidden="1">{#N/A,#N/A,FALSE,"손익표지";#N/A,#N/A,FALSE,"손익계산";#N/A,#N/A,FALSE,"일반관리비";#N/A,#N/A,FALSE,"영업외수익";#N/A,#N/A,FALSE,"영업외비용";#N/A,#N/A,FALSE,"매출액";#N/A,#N/A,FALSE,"요약손익";#N/A,#N/A,FALSE,"요약대차";#N/A,#N/A,FALSE,"매출채권현황";#N/A,#N/A,FALSE,"매출채권명세"}</definedName>
    <definedName name="호ㅓㅏ" localSheetId="42" hidden="1">{#N/A,#N/A,FALSE,"96 3월물량표";#N/A,#N/A,FALSE,"96 4월물량표";#N/A,#N/A,FALSE,"96 5월물량표"}</definedName>
    <definedName name="호ㅓㅏ" hidden="1">{#N/A,#N/A,FALSE,"96 3월물량표";#N/A,#N/A,FALSE,"96 4월물량표";#N/A,#N/A,FALSE,"96 5월물량표"}</definedName>
    <definedName name="호ㅓㅏ호" localSheetId="15" hidden="1">{#N/A,#N/A,FALSE,"손익표지";#N/A,#N/A,FALSE,"손익계산";#N/A,#N/A,FALSE,"일반관리비";#N/A,#N/A,FALSE,"영업외수익";#N/A,#N/A,FALSE,"영업외비용";#N/A,#N/A,FALSE,"매출액";#N/A,#N/A,FALSE,"요약손익";#N/A,#N/A,FALSE,"요약대차";#N/A,#N/A,FALSE,"매출채권현황";#N/A,#N/A,FALSE,"매출채권명세"}</definedName>
    <definedName name="호ㅓㅏ호" localSheetId="6" hidden="1">{#N/A,#N/A,FALSE,"손익표지";#N/A,#N/A,FALSE,"손익계산";#N/A,#N/A,FALSE,"일반관리비";#N/A,#N/A,FALSE,"영업외수익";#N/A,#N/A,FALSE,"영업외비용";#N/A,#N/A,FALSE,"매출액";#N/A,#N/A,FALSE,"요약손익";#N/A,#N/A,FALSE,"요약대차";#N/A,#N/A,FALSE,"매출채권현황";#N/A,#N/A,FALSE,"매출채권명세"}</definedName>
    <definedName name="호ㅓㅏ호" localSheetId="45" hidden="1">{#N/A,#N/A,FALSE,"손익표지";#N/A,#N/A,FALSE,"손익계산";#N/A,#N/A,FALSE,"일반관리비";#N/A,#N/A,FALSE,"영업외수익";#N/A,#N/A,FALSE,"영업외비용";#N/A,#N/A,FALSE,"매출액";#N/A,#N/A,FALSE,"요약손익";#N/A,#N/A,FALSE,"요약대차";#N/A,#N/A,FALSE,"매출채권현황";#N/A,#N/A,FALSE,"매출채권명세"}</definedName>
    <definedName name="호ㅓㅏ호" localSheetId="42" hidden="1">{#N/A,#N/A,FALSE,"손익표지";#N/A,#N/A,FALSE,"손익계산";#N/A,#N/A,FALSE,"일반관리비";#N/A,#N/A,FALSE,"영업외수익";#N/A,#N/A,FALSE,"영업외비용";#N/A,#N/A,FALSE,"매출액";#N/A,#N/A,FALSE,"요약손익";#N/A,#N/A,FALSE,"요약대차";#N/A,#N/A,FALSE,"매출채권현황";#N/A,#N/A,FALSE,"매출채권명세"}</definedName>
    <definedName name="호ㅓㅏ호" hidden="1">{#N/A,#N/A,FALSE,"손익표지";#N/A,#N/A,FALSE,"손익계산";#N/A,#N/A,FALSE,"일반관리비";#N/A,#N/A,FALSE,"영업외수익";#N/A,#N/A,FALSE,"영업외비용";#N/A,#N/A,FALSE,"매출액";#N/A,#N/A,FALSE,"요약손익";#N/A,#N/A,FALSE,"요약대차";#N/A,#N/A,FALSE,"매출채권현황";#N/A,#N/A,FALSE,"매출채권명세"}</definedName>
    <definedName name="호ㅓㅜㅎ" localSheetId="15" hidden="1">{#N/A,#N/A,FALSE,"손익표지";#N/A,#N/A,FALSE,"손익계산";#N/A,#N/A,FALSE,"일반관리비";#N/A,#N/A,FALSE,"영업외수익";#N/A,#N/A,FALSE,"영업외비용";#N/A,#N/A,FALSE,"매출액";#N/A,#N/A,FALSE,"요약손익";#N/A,#N/A,FALSE,"요약대차";#N/A,#N/A,FALSE,"매출채권현황";#N/A,#N/A,FALSE,"매출채권명세"}</definedName>
    <definedName name="호ㅓㅜㅎ" localSheetId="6" hidden="1">{#N/A,#N/A,FALSE,"손익표지";#N/A,#N/A,FALSE,"손익계산";#N/A,#N/A,FALSE,"일반관리비";#N/A,#N/A,FALSE,"영업외수익";#N/A,#N/A,FALSE,"영업외비용";#N/A,#N/A,FALSE,"매출액";#N/A,#N/A,FALSE,"요약손익";#N/A,#N/A,FALSE,"요약대차";#N/A,#N/A,FALSE,"매출채권현황";#N/A,#N/A,FALSE,"매출채권명세"}</definedName>
    <definedName name="호ㅓㅜㅎ" localSheetId="45" hidden="1">{#N/A,#N/A,FALSE,"손익표지";#N/A,#N/A,FALSE,"손익계산";#N/A,#N/A,FALSE,"일반관리비";#N/A,#N/A,FALSE,"영업외수익";#N/A,#N/A,FALSE,"영업외비용";#N/A,#N/A,FALSE,"매출액";#N/A,#N/A,FALSE,"요약손익";#N/A,#N/A,FALSE,"요약대차";#N/A,#N/A,FALSE,"매출채권현황";#N/A,#N/A,FALSE,"매출채권명세"}</definedName>
    <definedName name="호ㅓㅜㅎ" localSheetId="42" hidden="1">{#N/A,#N/A,FALSE,"손익표지";#N/A,#N/A,FALSE,"손익계산";#N/A,#N/A,FALSE,"일반관리비";#N/A,#N/A,FALSE,"영업외수익";#N/A,#N/A,FALSE,"영업외비용";#N/A,#N/A,FALSE,"매출액";#N/A,#N/A,FALSE,"요약손익";#N/A,#N/A,FALSE,"요약대차";#N/A,#N/A,FALSE,"매출채권현황";#N/A,#N/A,FALSE,"매출채권명세"}</definedName>
    <definedName name="호ㅓㅜㅎ" hidden="1">{#N/A,#N/A,FALSE,"손익표지";#N/A,#N/A,FALSE,"손익계산";#N/A,#N/A,FALSE,"일반관리비";#N/A,#N/A,FALSE,"영업외수익";#N/A,#N/A,FALSE,"영업외비용";#N/A,#N/A,FALSE,"매출액";#N/A,#N/A,FALSE,"요약손익";#N/A,#N/A,FALSE,"요약대차";#N/A,#N/A,FALSE,"매출채권현황";#N/A,#N/A,FALSE,"매출채권명세"}</definedName>
    <definedName name="홍성태" localSheetId="15" hidden="1">{#N/A,#N/A,FALSE,"손익표지";#N/A,#N/A,FALSE,"손익계산";#N/A,#N/A,FALSE,"일반관리비";#N/A,#N/A,FALSE,"영업외수익";#N/A,#N/A,FALSE,"영업외비용";#N/A,#N/A,FALSE,"매출액";#N/A,#N/A,FALSE,"요약손익";#N/A,#N/A,FALSE,"요약대차";#N/A,#N/A,FALSE,"매출채권현황";#N/A,#N/A,FALSE,"매출채권명세"}</definedName>
    <definedName name="홍성태" localSheetId="6" hidden="1">{#N/A,#N/A,FALSE,"손익표지";#N/A,#N/A,FALSE,"손익계산";#N/A,#N/A,FALSE,"일반관리비";#N/A,#N/A,FALSE,"영업외수익";#N/A,#N/A,FALSE,"영업외비용";#N/A,#N/A,FALSE,"매출액";#N/A,#N/A,FALSE,"요약손익";#N/A,#N/A,FALSE,"요약대차";#N/A,#N/A,FALSE,"매출채권현황";#N/A,#N/A,FALSE,"매출채권명세"}</definedName>
    <definedName name="홍성태" localSheetId="45" hidden="1">{#N/A,#N/A,FALSE,"손익표지";#N/A,#N/A,FALSE,"손익계산";#N/A,#N/A,FALSE,"일반관리비";#N/A,#N/A,FALSE,"영업외수익";#N/A,#N/A,FALSE,"영업외비용";#N/A,#N/A,FALSE,"매출액";#N/A,#N/A,FALSE,"요약손익";#N/A,#N/A,FALSE,"요약대차";#N/A,#N/A,FALSE,"매출채권현황";#N/A,#N/A,FALSE,"매출채권명세"}</definedName>
    <definedName name="홍성태" localSheetId="42" hidden="1">{#N/A,#N/A,FALSE,"손익표지";#N/A,#N/A,FALSE,"손익계산";#N/A,#N/A,FALSE,"일반관리비";#N/A,#N/A,FALSE,"영업외수익";#N/A,#N/A,FALSE,"영업외비용";#N/A,#N/A,FALSE,"매출액";#N/A,#N/A,FALSE,"요약손익";#N/A,#N/A,FALSE,"요약대차";#N/A,#N/A,FALSE,"매출채권현황";#N/A,#N/A,FALSE,"매출채권명세"}</definedName>
    <definedName name="홍성태" hidden="1">{#N/A,#N/A,FALSE,"손익표지";#N/A,#N/A,FALSE,"손익계산";#N/A,#N/A,FALSE,"일반관리비";#N/A,#N/A,FALSE,"영업외수익";#N/A,#N/A,FALSE,"영업외비용";#N/A,#N/A,FALSE,"매출액";#N/A,#N/A,FALSE,"요약손익";#N/A,#N/A,FALSE,"요약대차";#N/A,#N/A,FALSE,"매출채권현황";#N/A,#N/A,FALSE,"매출채권명세"}</definedName>
    <definedName name="확대3" localSheetId="12" hidden="1">{#N/A,#N/A,FALSE,"UNIT";#N/A,#N/A,FALSE,"UNIT";#N/A,#N/A,FALSE,"계정"}</definedName>
    <definedName name="확대3" localSheetId="42" hidden="1">{#N/A,#N/A,FALSE,"UNIT";#N/A,#N/A,FALSE,"UNIT";#N/A,#N/A,FALSE,"계정"}</definedName>
    <definedName name="확대3" hidden="1">{#N/A,#N/A,FALSE,"UNIT";#N/A,#N/A,FALSE,"UNIT";#N/A,#N/A,FALSE,"계정"}</definedName>
    <definedName name="확정심사의견" localSheetId="42" hidden="1">{"'9월'!$F$38"}</definedName>
    <definedName name="확정심사의견" hidden="1">{"'9월'!$F$38"}</definedName>
    <definedName name="환경" localSheetId="42" hidden="1">{#N/A,#N/A,FALSE,"UNIT";#N/A,#N/A,FALSE,"UNIT";#N/A,#N/A,FALSE,"계정"}</definedName>
    <definedName name="환경" hidden="1">{#N/A,#N/A,FALSE,"UNIT";#N/A,#N/A,FALSE,"UNIT";#N/A,#N/A,FALSE,"계정"}</definedName>
    <definedName name="환율유가" localSheetId="15" hidden="1">{#N/A,#N/A,FALSE,"손익표지";#N/A,#N/A,FALSE,"손익계산";#N/A,#N/A,FALSE,"일반관리비";#N/A,#N/A,FALSE,"영업외수익";#N/A,#N/A,FALSE,"영업외비용";#N/A,#N/A,FALSE,"매출액";#N/A,#N/A,FALSE,"요약손익";#N/A,#N/A,FALSE,"요약대차";#N/A,#N/A,FALSE,"매출채권현황";#N/A,#N/A,FALSE,"매출채권명세"}</definedName>
    <definedName name="환율유가" localSheetId="6" hidden="1">{#N/A,#N/A,FALSE,"손익표지";#N/A,#N/A,FALSE,"손익계산";#N/A,#N/A,FALSE,"일반관리비";#N/A,#N/A,FALSE,"영업외수익";#N/A,#N/A,FALSE,"영업외비용";#N/A,#N/A,FALSE,"매출액";#N/A,#N/A,FALSE,"요약손익";#N/A,#N/A,FALSE,"요약대차";#N/A,#N/A,FALSE,"매출채권현황";#N/A,#N/A,FALSE,"매출채권명세"}</definedName>
    <definedName name="환율유가" localSheetId="45" hidden="1">{#N/A,#N/A,FALSE,"손익표지";#N/A,#N/A,FALSE,"손익계산";#N/A,#N/A,FALSE,"일반관리비";#N/A,#N/A,FALSE,"영업외수익";#N/A,#N/A,FALSE,"영업외비용";#N/A,#N/A,FALSE,"매출액";#N/A,#N/A,FALSE,"요약손익";#N/A,#N/A,FALSE,"요약대차";#N/A,#N/A,FALSE,"매출채권현황";#N/A,#N/A,FALSE,"매출채권명세"}</definedName>
    <definedName name="환율유가" localSheetId="42" hidden="1">{#N/A,#N/A,FALSE,"손익표지";#N/A,#N/A,FALSE,"손익계산";#N/A,#N/A,FALSE,"일반관리비";#N/A,#N/A,FALSE,"영업외수익";#N/A,#N/A,FALSE,"영업외비용";#N/A,#N/A,FALSE,"매출액";#N/A,#N/A,FALSE,"요약손익";#N/A,#N/A,FALSE,"요약대차";#N/A,#N/A,FALSE,"매출채권현황";#N/A,#N/A,FALSE,"매출채권명세"}</definedName>
    <definedName name="환율유가" hidden="1">{#N/A,#N/A,FALSE,"손익표지";#N/A,#N/A,FALSE,"손익계산";#N/A,#N/A,FALSE,"일반관리비";#N/A,#N/A,FALSE,"영업외수익";#N/A,#N/A,FALSE,"영업외비용";#N/A,#N/A,FALSE,"매출액";#N/A,#N/A,FALSE,"요약손익";#N/A,#N/A,FALSE,"요약대차";#N/A,#N/A,FALSE,"매출채권현황";#N/A,#N/A,FALSE,"매출채권명세"}</definedName>
    <definedName name="회현" localSheetId="15" hidden="1">{#N/A,#N/A,FALSE,"손익표지";#N/A,#N/A,FALSE,"손익계산";#N/A,#N/A,FALSE,"일반관리비";#N/A,#N/A,FALSE,"영업외수익";#N/A,#N/A,FALSE,"영업외비용";#N/A,#N/A,FALSE,"매출액";#N/A,#N/A,FALSE,"요약손익";#N/A,#N/A,FALSE,"요약대차";#N/A,#N/A,FALSE,"매출채권현황";#N/A,#N/A,FALSE,"매출채권명세"}</definedName>
    <definedName name="회현" localSheetId="6" hidden="1">{#N/A,#N/A,FALSE,"손익표지";#N/A,#N/A,FALSE,"손익계산";#N/A,#N/A,FALSE,"일반관리비";#N/A,#N/A,FALSE,"영업외수익";#N/A,#N/A,FALSE,"영업외비용";#N/A,#N/A,FALSE,"매출액";#N/A,#N/A,FALSE,"요약손익";#N/A,#N/A,FALSE,"요약대차";#N/A,#N/A,FALSE,"매출채권현황";#N/A,#N/A,FALSE,"매출채권명세"}</definedName>
    <definedName name="회현" localSheetId="45" hidden="1">{#N/A,#N/A,FALSE,"손익표지";#N/A,#N/A,FALSE,"손익계산";#N/A,#N/A,FALSE,"일반관리비";#N/A,#N/A,FALSE,"영업외수익";#N/A,#N/A,FALSE,"영업외비용";#N/A,#N/A,FALSE,"매출액";#N/A,#N/A,FALSE,"요약손익";#N/A,#N/A,FALSE,"요약대차";#N/A,#N/A,FALSE,"매출채권현황";#N/A,#N/A,FALSE,"매출채권명세"}</definedName>
    <definedName name="회현" localSheetId="42" hidden="1">{#N/A,#N/A,FALSE,"손익표지";#N/A,#N/A,FALSE,"손익계산";#N/A,#N/A,FALSE,"일반관리비";#N/A,#N/A,FALSE,"영업외수익";#N/A,#N/A,FALSE,"영업외비용";#N/A,#N/A,FALSE,"매출액";#N/A,#N/A,FALSE,"요약손익";#N/A,#N/A,FALSE,"요약대차";#N/A,#N/A,FALSE,"매출채권현황";#N/A,#N/A,FALSE,"매출채권명세"}</definedName>
    <definedName name="회현" hidden="1">{#N/A,#N/A,FALSE,"손익표지";#N/A,#N/A,FALSE,"손익계산";#N/A,#N/A,FALSE,"일반관리비";#N/A,#N/A,FALSE,"영업외수익";#N/A,#N/A,FALSE,"영업외비용";#N/A,#N/A,FALSE,"매출액";#N/A,#N/A,FALSE,"요약손익";#N/A,#N/A,FALSE,"요약대차";#N/A,#N/A,FALSE,"매출채권현황";#N/A,#N/A,FALSE,"매출채권명세"}</definedName>
    <definedName name="효" localSheetId="15" hidden="1">{#N/A,#N/A,FALSE,"1.CRITERIA";#N/A,#N/A,FALSE,"2.IS";#N/A,#N/A,FALSE,"3.BS";#N/A,#N/A,FALSE,"4.PER PL";#N/A,#N/A,FALSE,"5.INVESTMENT";#N/A,#N/A,FALSE,"6.공문";#N/A,#N/A,FALSE,"7.netinvest"}</definedName>
    <definedName name="효" localSheetId="6" hidden="1">{#N/A,#N/A,FALSE,"1.CRITERIA";#N/A,#N/A,FALSE,"2.IS";#N/A,#N/A,FALSE,"3.BS";#N/A,#N/A,FALSE,"4.PER PL";#N/A,#N/A,FALSE,"5.INVESTMENT";#N/A,#N/A,FALSE,"6.공문";#N/A,#N/A,FALSE,"7.netinvest"}</definedName>
    <definedName name="효" localSheetId="45" hidden="1">{#N/A,#N/A,FALSE,"1.CRITERIA";#N/A,#N/A,FALSE,"2.IS";#N/A,#N/A,FALSE,"3.BS";#N/A,#N/A,FALSE,"4.PER PL";#N/A,#N/A,FALSE,"5.INVESTMENT";#N/A,#N/A,FALSE,"6.공문";#N/A,#N/A,FALSE,"7.netinvest"}</definedName>
    <definedName name="효" localSheetId="42" hidden="1">{#N/A,#N/A,FALSE,"1.CRITERIA";#N/A,#N/A,FALSE,"2.IS";#N/A,#N/A,FALSE,"3.BS";#N/A,#N/A,FALSE,"4.PER PL";#N/A,#N/A,FALSE,"5.INVESTMENT";#N/A,#N/A,FALSE,"6.공문";#N/A,#N/A,FALSE,"7.netinvest"}</definedName>
    <definedName name="효" hidden="1">{#N/A,#N/A,FALSE,"1.CRITERIA";#N/A,#N/A,FALSE,"2.IS";#N/A,#N/A,FALSE,"3.BS";#N/A,#N/A,FALSE,"4.PER PL";#N/A,#N/A,FALSE,"5.INVESTMENT";#N/A,#N/A,FALSE,"6.공문";#N/A,#N/A,FALSE,"7.netinvest"}</definedName>
    <definedName name="후" localSheetId="15" hidden="1">{#N/A,#N/A,FALSE,"1.CRITERIA";#N/A,#N/A,FALSE,"2.IS";#N/A,#N/A,FALSE,"3.BS";#N/A,#N/A,FALSE,"4.PER PL";#N/A,#N/A,FALSE,"5.INVESTMENT";#N/A,#N/A,FALSE,"6.공문";#N/A,#N/A,FALSE,"7.netinvest"}</definedName>
    <definedName name="후" localSheetId="6" hidden="1">{#N/A,#N/A,FALSE,"1.CRITERIA";#N/A,#N/A,FALSE,"2.IS";#N/A,#N/A,FALSE,"3.BS";#N/A,#N/A,FALSE,"4.PER PL";#N/A,#N/A,FALSE,"5.INVESTMENT";#N/A,#N/A,FALSE,"6.공문";#N/A,#N/A,FALSE,"7.netinvest"}</definedName>
    <definedName name="후" localSheetId="45" hidden="1">{#N/A,#N/A,FALSE,"1.CRITERIA";#N/A,#N/A,FALSE,"2.IS";#N/A,#N/A,FALSE,"3.BS";#N/A,#N/A,FALSE,"4.PER PL";#N/A,#N/A,FALSE,"5.INVESTMENT";#N/A,#N/A,FALSE,"6.공문";#N/A,#N/A,FALSE,"7.netinvest"}</definedName>
    <definedName name="후" localSheetId="42" hidden="1">{#N/A,#N/A,FALSE,"1.CRITERIA";#N/A,#N/A,FALSE,"2.IS";#N/A,#N/A,FALSE,"3.BS";#N/A,#N/A,FALSE,"4.PER PL";#N/A,#N/A,FALSE,"5.INVESTMENT";#N/A,#N/A,FALSE,"6.공문";#N/A,#N/A,FALSE,"7.netinvest"}</definedName>
    <definedName name="후" hidden="1">{#N/A,#N/A,FALSE,"1.CRITERIA";#N/A,#N/A,FALSE,"2.IS";#N/A,#N/A,FALSE,"3.BS";#N/A,#N/A,FALSE,"4.PER PL";#N/A,#N/A,FALSE,"5.INVESTMENT";#N/A,#N/A,FALSE,"6.공문";#N/A,#N/A,FALSE,"7.netinvest"}</definedName>
    <definedName name="후후후" localSheetId="15" hidden="1">{"'미착금액'!$A$4:$G$14"}</definedName>
    <definedName name="후후후" localSheetId="6" hidden="1">{"'미착금액'!$A$4:$G$14"}</definedName>
    <definedName name="후후후" localSheetId="45" hidden="1">{"'미착금액'!$A$4:$G$14"}</definedName>
    <definedName name="후후후" localSheetId="42" hidden="1">{"'미착금액'!$A$4:$G$14"}</definedName>
    <definedName name="후후후" hidden="1">{"'미착금액'!$A$4:$G$14"}</definedName>
    <definedName name="휴" localSheetId="15" hidden="1">{#N/A,#N/A,FALSE,"1.CRITERIA";#N/A,#N/A,FALSE,"2.IS";#N/A,#N/A,FALSE,"3.BS";#N/A,#N/A,FALSE,"4.PER PL";#N/A,#N/A,FALSE,"5.INVESTMENT";#N/A,#N/A,FALSE,"6.공문";#N/A,#N/A,FALSE,"7.netinvest"}</definedName>
    <definedName name="휴" localSheetId="6" hidden="1">{#N/A,#N/A,FALSE,"1.CRITERIA";#N/A,#N/A,FALSE,"2.IS";#N/A,#N/A,FALSE,"3.BS";#N/A,#N/A,FALSE,"4.PER PL";#N/A,#N/A,FALSE,"5.INVESTMENT";#N/A,#N/A,FALSE,"6.공문";#N/A,#N/A,FALSE,"7.netinvest"}</definedName>
    <definedName name="휴" localSheetId="45" hidden="1">{#N/A,#N/A,FALSE,"1.CRITERIA";#N/A,#N/A,FALSE,"2.IS";#N/A,#N/A,FALSE,"3.BS";#N/A,#N/A,FALSE,"4.PER PL";#N/A,#N/A,FALSE,"5.INVESTMENT";#N/A,#N/A,FALSE,"6.공문";#N/A,#N/A,FALSE,"7.netinvest"}</definedName>
    <definedName name="휴" localSheetId="42" hidden="1">{#N/A,#N/A,FALSE,"1.CRITERIA";#N/A,#N/A,FALSE,"2.IS";#N/A,#N/A,FALSE,"3.BS";#N/A,#N/A,FALSE,"4.PER PL";#N/A,#N/A,FALSE,"5.INVESTMENT";#N/A,#N/A,FALSE,"6.공문";#N/A,#N/A,FALSE,"7.netinvest"}</definedName>
    <definedName name="휴" hidden="1">{#N/A,#N/A,FALSE,"1.CRITERIA";#N/A,#N/A,FALSE,"2.IS";#N/A,#N/A,FALSE,"3.BS";#N/A,#N/A,FALSE,"4.PER PL";#N/A,#N/A,FALSE,"5.INVESTMENT";#N/A,#N/A,FALSE,"6.공문";#N/A,#N/A,FALSE,"7.netinvest"}</definedName>
    <definedName name="흐" localSheetId="15" hidden="1">{#N/A,#N/A,FALSE,"1.CRITERIA";#N/A,#N/A,FALSE,"2.IS";#N/A,#N/A,FALSE,"3.BS";#N/A,#N/A,FALSE,"4.PER PL";#N/A,#N/A,FALSE,"5.INVESTMENT";#N/A,#N/A,FALSE,"6.공문";#N/A,#N/A,FALSE,"7.netinvest"}</definedName>
    <definedName name="흐" localSheetId="6" hidden="1">{#N/A,#N/A,FALSE,"1.CRITERIA";#N/A,#N/A,FALSE,"2.IS";#N/A,#N/A,FALSE,"3.BS";#N/A,#N/A,FALSE,"4.PER PL";#N/A,#N/A,FALSE,"5.INVESTMENT";#N/A,#N/A,FALSE,"6.공문";#N/A,#N/A,FALSE,"7.netinvest"}</definedName>
    <definedName name="흐" localSheetId="45" hidden="1">{#N/A,#N/A,FALSE,"1.CRITERIA";#N/A,#N/A,FALSE,"2.IS";#N/A,#N/A,FALSE,"3.BS";#N/A,#N/A,FALSE,"4.PER PL";#N/A,#N/A,FALSE,"5.INVESTMENT";#N/A,#N/A,FALSE,"6.공문";#N/A,#N/A,FALSE,"7.netinvest"}</definedName>
    <definedName name="흐" localSheetId="42" hidden="1">{#N/A,#N/A,FALSE,"1.CRITERIA";#N/A,#N/A,FALSE,"2.IS";#N/A,#N/A,FALSE,"3.BS";#N/A,#N/A,FALSE,"4.PER PL";#N/A,#N/A,FALSE,"5.INVESTMENT";#N/A,#N/A,FALSE,"6.공문";#N/A,#N/A,FALSE,"7.netinvest"}</definedName>
    <definedName name="흐" hidden="1">{#N/A,#N/A,FALSE,"1.CRITERIA";#N/A,#N/A,FALSE,"2.IS";#N/A,#N/A,FALSE,"3.BS";#N/A,#N/A,FALSE,"4.PER PL";#N/A,#N/A,FALSE,"5.INVESTMENT";#N/A,#N/A,FALSE,"6.공문";#N/A,#N/A,FALSE,"7.netinvest"}</definedName>
    <definedName name="흐름" localSheetId="42" hidden="1">{#N/A,#N/A,FALSE,"BS";#N/A,#N/A,FALSE,"PL";#N/A,#N/A,FALSE,"처분";#N/A,#N/A,FALSE,"현금";#N/A,#N/A,FALSE,"매출";#N/A,#N/A,FALSE,"원가";#N/A,#N/A,FALSE,"경영"}</definedName>
    <definedName name="흐름" hidden="1">{#N/A,#N/A,FALSE,"BS";#N/A,#N/A,FALSE,"PL";#N/A,#N/A,FALSE,"처분";#N/A,#N/A,FALSE,"현금";#N/A,#N/A,FALSE,"매출";#N/A,#N/A,FALSE,"원가";#N/A,#N/A,FALSE,"경영"}</definedName>
    <definedName name="흐름표" localSheetId="12" hidden="1">{#N/A,#N/A,FALSE,"UNIT";#N/A,#N/A,FALSE,"UNIT";#N/A,#N/A,FALSE,"계정"}</definedName>
    <definedName name="흐름표" localSheetId="42" hidden="1">{#N/A,#N/A,FALSE,"UNIT";#N/A,#N/A,FALSE,"UNIT";#N/A,#N/A,FALSE,"계정"}</definedName>
    <definedName name="흐름표" hidden="1">{#N/A,#N/A,FALSE,"UNIT";#N/A,#N/A,FALSE,"UNIT";#N/A,#N/A,FALSE,"계정"}</definedName>
    <definedName name="ㅏ" localSheetId="12" hidden="1">{#N/A,#N/A,TRUE,"Summary";#N/A,#N/A,TRUE,"IS";#N/A,#N/A,TRUE,"Adj";#N/A,#N/A,TRUE,"BS";#N/A,#N/A,TRUE,"CF";#N/A,#N/A,TRUE,"Debt";#N/A,#N/A,TRUE,"IRR"}</definedName>
    <definedName name="ㅏ" localSheetId="15" hidden="1">{#N/A,#N/A,FALSE,"손익표지";#N/A,#N/A,FALSE,"손익계산";#N/A,#N/A,FALSE,"일반관리비";#N/A,#N/A,FALSE,"영업외수익";#N/A,#N/A,FALSE,"영업외비용";#N/A,#N/A,FALSE,"매출액";#N/A,#N/A,FALSE,"요약손익";#N/A,#N/A,FALSE,"요약대차";#N/A,#N/A,FALSE,"매출채권현황";#N/A,#N/A,FALSE,"매출채권명세"}</definedName>
    <definedName name="ㅏ"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ㅏ" localSheetId="45" hidden="1">{#N/A,#N/A,FALSE,"손익표지";#N/A,#N/A,FALSE,"손익계산";#N/A,#N/A,FALSE,"일반관리비";#N/A,#N/A,FALSE,"영업외수익";#N/A,#N/A,FALSE,"영업외비용";#N/A,#N/A,FALSE,"매출액";#N/A,#N/A,FALSE,"요약손익";#N/A,#N/A,FALSE,"요약대차";#N/A,#N/A,FALSE,"매출채권현황";#N/A,#N/A,FALSE,"매출채권명세"}</definedName>
    <definedName name="ㅏ" localSheetId="42" hidden="1">{#N/A,#N/A,FALSE,"손익표지";#N/A,#N/A,FALSE,"손익계산";#N/A,#N/A,FALSE,"일반관리비";#N/A,#N/A,FALSE,"영업외수익";#N/A,#N/A,FALSE,"영업외비용";#N/A,#N/A,FALSE,"매출액";#N/A,#N/A,FALSE,"요약손익";#N/A,#N/A,FALSE,"요약대차";#N/A,#N/A,FALSE,"매출채권현황";#N/A,#N/A,FALSE,"매출채권명세"}</definedName>
    <definedName name="ㅏ" hidden="1">{#N/A,#N/A,FALSE,"UNIT";#N/A,#N/A,FALSE,"UNIT";#N/A,#N/A,FALSE,"계정"}</definedName>
    <definedName name="ㅏㅏ" localSheetId="1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ㅏㅏ" localSheetId="42" hidden="1">{#N/A,#N/A,FALSE,"Aging Summary";#N/A,#N/A,FALSE,"Ratio Analysis";#N/A,#N/A,FALSE,"Test 120 Day Accts";#N/A,#N/A,FALSE,"Tickmarks"}</definedName>
    <definedName name="ㅏㅏ" hidden="1">{#N/A,#N/A,FALSE,"Aging Summary";#N/A,#N/A,FALSE,"Ratio Analysis";#N/A,#N/A,FALSE,"Test 120 Day Accts";#N/A,#N/A,FALSE,"Tickmarks"}</definedName>
    <definedName name="ㅏㅏㅏ" localSheetId="4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ㅏㅏㅏ"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ㅏㅐㅏㅔㅐㅣ" localSheetId="42" hidden="1">{#N/A,#N/A,FALSE,"UNIT";#N/A,#N/A,FALSE,"UNIT";#N/A,#N/A,FALSE,"계정"}</definedName>
    <definedName name="ㅏㅐㅏㅔㅐㅣ" hidden="1">{#N/A,#N/A,FALSE,"UNIT";#N/A,#N/A,FALSE,"UNIT";#N/A,#N/A,FALSE,"계정"}</definedName>
    <definedName name="ㅏㅣㅇ" localSheetId="42" hidden="1">{#N/A,#N/A,FALSE,"BS";#N/A,#N/A,FALSE,"PL";#N/A,#N/A,FALSE,"처분";#N/A,#N/A,FALSE,"현금";#N/A,#N/A,FALSE,"매출";#N/A,#N/A,FALSE,"원가";#N/A,#N/A,FALSE,"경영"}</definedName>
    <definedName name="ㅏㅣㅇ" hidden="1">{#N/A,#N/A,FALSE,"BS";#N/A,#N/A,FALSE,"PL";#N/A,#N/A,FALSE,"처분";#N/A,#N/A,FALSE,"현금";#N/A,#N/A,FALSE,"매출";#N/A,#N/A,FALSE,"원가";#N/A,#N/A,FALSE,"경영"}</definedName>
    <definedName name="ㅐ" localSheetId="12" hidden="1">{#N/A,#N/A,FALSE,"UNIT";#N/A,#N/A,FALSE,"UNIT";#N/A,#N/A,FALSE,"계정"}</definedName>
    <definedName name="ㅐ" localSheetId="42" hidden="1">{#N/A,#N/A,FALSE,"UNIT";#N/A,#N/A,FALSE,"UNIT";#N/A,#N/A,FALSE,"계정"}</definedName>
    <definedName name="ㅐ" hidden="1">{#N/A,#N/A,FALSE,"UNIT";#N/A,#N/A,FALSE,"UNIT";#N/A,#N/A,FALSE,"계정"}</definedName>
    <definedName name="ㅐㅐ" localSheetId="1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ㅐㅐ" localSheetId="4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ㅐㅐ"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ㅐㅐㅐ" localSheetId="12" hidden="1">{#N/A,#N/A,FALSE,"지침";#N/A,#N/A,FALSE,"환경분석";#N/A,#N/A,FALSE,"Sheet16"}</definedName>
    <definedName name="ㅐㅐㅐ" localSheetId="42" hidden="1">{#N/A,#N/A,FALSE,"지침";#N/A,#N/A,FALSE,"환경분석";#N/A,#N/A,FALSE,"Sheet16"}</definedName>
    <definedName name="ㅐㅐㅐ" hidden="1">{#N/A,#N/A,FALSE,"지침";#N/A,#N/A,FALSE,"환경분석";#N/A,#N/A,FALSE,"Sheet16"}</definedName>
    <definedName name="ㅐㅕㅛㅐ" localSheetId="15" hidden="1">{#N/A,#N/A,FALSE,"손익표지";#N/A,#N/A,FALSE,"손익계산";#N/A,#N/A,FALSE,"일반관리비";#N/A,#N/A,FALSE,"영업외수익";#N/A,#N/A,FALSE,"영업외비용";#N/A,#N/A,FALSE,"매출액";#N/A,#N/A,FALSE,"요약손익";#N/A,#N/A,FALSE,"요약대차";#N/A,#N/A,FALSE,"매출채권현황";#N/A,#N/A,FALSE,"매출채권명세"}</definedName>
    <definedName name="ㅐㅕㅛㅐ"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ㅐㅕㅛㅐ" localSheetId="45" hidden="1">{#N/A,#N/A,FALSE,"손익표지";#N/A,#N/A,FALSE,"손익계산";#N/A,#N/A,FALSE,"일반관리비";#N/A,#N/A,FALSE,"영업외수익";#N/A,#N/A,FALSE,"영업외비용";#N/A,#N/A,FALSE,"매출액";#N/A,#N/A,FALSE,"요약손익";#N/A,#N/A,FALSE,"요약대차";#N/A,#N/A,FALSE,"매출채권현황";#N/A,#N/A,FALSE,"매출채권명세"}</definedName>
    <definedName name="ㅐㅕㅛㅐ" localSheetId="42" hidden="1">{#N/A,#N/A,FALSE,"손익표지";#N/A,#N/A,FALSE,"손익계산";#N/A,#N/A,FALSE,"일반관리비";#N/A,#N/A,FALSE,"영업외수익";#N/A,#N/A,FALSE,"영업외비용";#N/A,#N/A,FALSE,"매출액";#N/A,#N/A,FALSE,"요약손익";#N/A,#N/A,FALSE,"요약대차";#N/A,#N/A,FALSE,"매출채권현황";#N/A,#N/A,FALSE,"매출채권명세"}</definedName>
    <definedName name="ㅐㅕㅛㅐ" hidden="1">{#N/A,#N/A,FALSE,"손익표지";#N/A,#N/A,FALSE,"손익계산";#N/A,#N/A,FALSE,"일반관리비";#N/A,#N/A,FALSE,"영업외수익";#N/A,#N/A,FALSE,"영업외비용";#N/A,#N/A,FALSE,"매출액";#N/A,#N/A,FALSE,"요약손익";#N/A,#N/A,FALSE,"요약대차";#N/A,#N/A,FALSE,"매출채권현황";#N/A,#N/A,FALSE,"매출채권명세"}</definedName>
    <definedName name="ㅑ" localSheetId="12" hidden="1">{#N/A,#N/A,FALSE,"Aging Summary";#N/A,#N/A,FALSE,"Ratio Analysis";#N/A,#N/A,FALSE,"Test 120 Day Accts";#N/A,#N/A,FALSE,"Tickmarks"}</definedName>
    <definedName name="ㅑ" localSheetId="42" hidden="1">{#N/A,#N/A,FALSE,"UNIT";#N/A,#N/A,FALSE,"UNIT";#N/A,#N/A,FALSE,"계정"}</definedName>
    <definedName name="ㅑ" hidden="1">{#N/A,#N/A,FALSE,"UNIT";#N/A,#N/A,FALSE,"UNIT";#N/A,#N/A,FALSE,"계정"}</definedName>
    <definedName name="ㅑㅑ" localSheetId="12" hidden="1">{#N/A,#N/A,FALSE,"UNIT";#N/A,#N/A,FALSE,"UNIT";#N/A,#N/A,FALSE,"계정"}</definedName>
    <definedName name="ㅑㅑ" localSheetId="42" hidden="1">{#N/A,#N/A,FALSE,"UNIT";#N/A,#N/A,FALSE,"UNIT";#N/A,#N/A,FALSE,"계정"}</definedName>
    <definedName name="ㅑㅑ" hidden="1">{#N/A,#N/A,FALSE,"UNIT";#N/A,#N/A,FALSE,"UNIT";#N/A,#N/A,FALSE,"계정"}</definedName>
    <definedName name="ㅑㅑㅑㅑ" localSheetId="12" hidden="1">{#N/A,#N/A,FALSE,"UNIT";#N/A,#N/A,FALSE,"UNIT";#N/A,#N/A,FALSE,"계정"}</definedName>
    <definedName name="ㅑㅑㅑㅑ" localSheetId="42" hidden="1">{#N/A,#N/A,FALSE,"UNIT";#N/A,#N/A,FALSE,"UNIT";#N/A,#N/A,FALSE,"계정"}</definedName>
    <definedName name="ㅑㅑㅑㅑ" hidden="1">{#N/A,#N/A,FALSE,"UNIT";#N/A,#N/A,FALSE,"UNIT";#N/A,#N/A,FALSE,"계정"}</definedName>
    <definedName name="ㅓ" localSheetId="12" hidden="1">#REF!</definedName>
    <definedName name="ㅓ" localSheetId="15" hidden="1">{#N/A,#N/A,TRUE,"Y생산";#N/A,#N/A,TRUE,"Y판매";#N/A,#N/A,TRUE,"Y총물량";#N/A,#N/A,TRUE,"Y능력";#N/A,#N/A,TRUE,"YKD"}</definedName>
    <definedName name="ㅓ" localSheetId="6" hidden="1">{#N/A,#N/A,TRUE,"Y생산";#N/A,#N/A,TRUE,"Y판매";#N/A,#N/A,TRUE,"Y총물량";#N/A,#N/A,TRUE,"Y능력";#N/A,#N/A,TRUE,"YKD"}</definedName>
    <definedName name="ㅓ" localSheetId="45" hidden="1">{#N/A,#N/A,TRUE,"Y생산";#N/A,#N/A,TRUE,"Y판매";#N/A,#N/A,TRUE,"Y총물량";#N/A,#N/A,TRUE,"Y능력";#N/A,#N/A,TRUE,"YKD"}</definedName>
    <definedName name="ㅓ" localSheetId="42" hidden="1">{#N/A,#N/A,TRUE,"Y생산";#N/A,#N/A,TRUE,"Y판매";#N/A,#N/A,TRUE,"Y총물량";#N/A,#N/A,TRUE,"Y능력";#N/A,#N/A,TRUE,"YKD"}</definedName>
    <definedName name="ㅓ" hidden="1">{#N/A,#N/A,FALSE,"BS";#N/A,#N/A,FALSE,"PL";#N/A,#N/A,FALSE,"처분";#N/A,#N/A,FALSE,"현금";#N/A,#N/A,FALSE,"매출";#N/A,#N/A,FALSE,"원가";#N/A,#N/A,FALSE,"경영"}</definedName>
    <definedName name="ㅓㅎ" localSheetId="12" hidden="1">{#N/A,#N/A,FALSE,"Sheet1"}</definedName>
    <definedName name="ㅓㅎ" localSheetId="42" hidden="1">{#N/A,#N/A,FALSE,"Sheet1"}</definedName>
    <definedName name="ㅓㅎ" hidden="1">{#N/A,#N/A,FALSE,"Sheet1"}</definedName>
    <definedName name="ㅓㅏ리앙" localSheetId="12" hidden="1">{#N/A,#N/A,FALSE,"UNIT";#N/A,#N/A,FALSE,"UNIT";#N/A,#N/A,FALSE,"계정"}</definedName>
    <definedName name="ㅓㅏ리앙" localSheetId="42" hidden="1">{#N/A,#N/A,FALSE,"UNIT";#N/A,#N/A,FALSE,"UNIT";#N/A,#N/A,FALSE,"계정"}</definedName>
    <definedName name="ㅓㅏ리앙" hidden="1">{#N/A,#N/A,FALSE,"UNIT";#N/A,#N/A,FALSE,"UNIT";#N/A,#N/A,FALSE,"계정"}</definedName>
    <definedName name="ㅓㅓ" localSheetId="12" hidden="1">{#N/A,#N/A,FALSE,"UNIT";#N/A,#N/A,FALSE,"UNIT";#N/A,#N/A,FALSE,"계정"}</definedName>
    <definedName name="ㅓㅓ" localSheetId="42" hidden="1">{#N/A,#N/A,FALSE,"UNIT";#N/A,#N/A,FALSE,"UNIT";#N/A,#N/A,FALSE,"계정"}</definedName>
    <definedName name="ㅓㅓ" hidden="1">{#N/A,#N/A,FALSE,"UNIT";#N/A,#N/A,FALSE,"UNIT";#N/A,#N/A,FALSE,"계정"}</definedName>
    <definedName name="ㅓㅗㅇ허" localSheetId="15" hidden="1">{#N/A,#N/A,FALSE,"손익표지";#N/A,#N/A,FALSE,"손익계산";#N/A,#N/A,FALSE,"일반관리비";#N/A,#N/A,FALSE,"영업외수익";#N/A,#N/A,FALSE,"영업외비용";#N/A,#N/A,FALSE,"매출액";#N/A,#N/A,FALSE,"요약손익";#N/A,#N/A,FALSE,"요약대차";#N/A,#N/A,FALSE,"매출채권현황";#N/A,#N/A,FALSE,"매출채권명세"}</definedName>
    <definedName name="ㅓㅗㅇ허"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ㅓㅗㅇ허" localSheetId="45" hidden="1">{#N/A,#N/A,FALSE,"손익표지";#N/A,#N/A,FALSE,"손익계산";#N/A,#N/A,FALSE,"일반관리비";#N/A,#N/A,FALSE,"영업외수익";#N/A,#N/A,FALSE,"영업외비용";#N/A,#N/A,FALSE,"매출액";#N/A,#N/A,FALSE,"요약손익";#N/A,#N/A,FALSE,"요약대차";#N/A,#N/A,FALSE,"매출채권현황";#N/A,#N/A,FALSE,"매출채권명세"}</definedName>
    <definedName name="ㅓㅗㅇ허" localSheetId="42" hidden="1">{#N/A,#N/A,FALSE,"손익표지";#N/A,#N/A,FALSE,"손익계산";#N/A,#N/A,FALSE,"일반관리비";#N/A,#N/A,FALSE,"영업외수익";#N/A,#N/A,FALSE,"영업외비용";#N/A,#N/A,FALSE,"매출액";#N/A,#N/A,FALSE,"요약손익";#N/A,#N/A,FALSE,"요약대차";#N/A,#N/A,FALSE,"매출채권현황";#N/A,#N/A,FALSE,"매출채권명세"}</definedName>
    <definedName name="ㅓㅗㅇ허" hidden="1">{#N/A,#N/A,FALSE,"손익표지";#N/A,#N/A,FALSE,"손익계산";#N/A,#N/A,FALSE,"일반관리비";#N/A,#N/A,FALSE,"영업외수익";#N/A,#N/A,FALSE,"영업외비용";#N/A,#N/A,FALSE,"매출액";#N/A,#N/A,FALSE,"요약손익";#N/A,#N/A,FALSE,"요약대차";#N/A,#N/A,FALSE,"매출채권현황";#N/A,#N/A,FALSE,"매출채권명세"}</definedName>
    <definedName name="ㅓㅗㅓㅗㅓㅗ" localSheetId="15" hidden="1">#REF!</definedName>
    <definedName name="ㅓㅗㅓㅗㅓㅗ" localSheetId="6" hidden="1">#REF!</definedName>
    <definedName name="ㅓㅗㅓㅗㅓㅗ" localSheetId="42" hidden="1">#REF!</definedName>
    <definedName name="ㅓㅗㅓㅗㅓㅗ" hidden="1">#REF!</definedName>
    <definedName name="ㅓㅘㅓㅘ" localSheetId="15" hidden="1">{#N/A,#N/A,FALSE,"손익표지";#N/A,#N/A,FALSE,"손익계산";#N/A,#N/A,FALSE,"일반관리비";#N/A,#N/A,FALSE,"영업외수익";#N/A,#N/A,FALSE,"영업외비용";#N/A,#N/A,FALSE,"매출액";#N/A,#N/A,FALSE,"요약손익";#N/A,#N/A,FALSE,"요약대차";#N/A,#N/A,FALSE,"매출채권현황";#N/A,#N/A,FALSE,"매출채권명세"}</definedName>
    <definedName name="ㅓㅘㅓㅘ"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ㅓㅘㅓㅘ" localSheetId="45" hidden="1">{#N/A,#N/A,FALSE,"손익표지";#N/A,#N/A,FALSE,"손익계산";#N/A,#N/A,FALSE,"일반관리비";#N/A,#N/A,FALSE,"영업외수익";#N/A,#N/A,FALSE,"영업외비용";#N/A,#N/A,FALSE,"매출액";#N/A,#N/A,FALSE,"요약손익";#N/A,#N/A,FALSE,"요약대차";#N/A,#N/A,FALSE,"매출채권현황";#N/A,#N/A,FALSE,"매출채권명세"}</definedName>
    <definedName name="ㅓㅘㅓㅘ" localSheetId="42" hidden="1">{#N/A,#N/A,FALSE,"손익표지";#N/A,#N/A,FALSE,"손익계산";#N/A,#N/A,FALSE,"일반관리비";#N/A,#N/A,FALSE,"영업외수익";#N/A,#N/A,FALSE,"영업외비용";#N/A,#N/A,FALSE,"매출액";#N/A,#N/A,FALSE,"요약손익";#N/A,#N/A,FALSE,"요약대차";#N/A,#N/A,FALSE,"매출채권현황";#N/A,#N/A,FALSE,"매출채권명세"}</definedName>
    <definedName name="ㅓㅘㅓㅘ" hidden="1">{#N/A,#N/A,FALSE,"손익표지";#N/A,#N/A,FALSE,"손익계산";#N/A,#N/A,FALSE,"일반관리비";#N/A,#N/A,FALSE,"영업외수익";#N/A,#N/A,FALSE,"영업외비용";#N/A,#N/A,FALSE,"매출액";#N/A,#N/A,FALSE,"요약손익";#N/A,#N/A,FALSE,"요약대차";#N/A,#N/A,FALSE,"매출채권현황";#N/A,#N/A,FALSE,"매출채권명세"}</definedName>
    <definedName name="ㅔ" localSheetId="12" hidden="1">{#N/A,#N/A,FALSE,"UNIT";#N/A,#N/A,FALSE,"UNIT";#N/A,#N/A,FALSE,"계정"}</definedName>
    <definedName name="ㅔ" localSheetId="42" hidden="1">{#N/A,#N/A,FALSE,"UNIT";#N/A,#N/A,FALSE,"UNIT";#N/A,#N/A,FALSE,"계정"}</definedName>
    <definedName name="ㅔ" hidden="1">{#N/A,#N/A,FALSE,"UNIT";#N/A,#N/A,FALSE,"UNIT";#N/A,#N/A,FALSE,"계정"}</definedName>
    <definedName name="ㅔㅐㅔㅐㅔㅐㅔㅐㅔ" localSheetId="42" hidden="1">{#N/A,#N/A,FALSE,"지침";#N/A,#N/A,FALSE,"환경분석";#N/A,#N/A,FALSE,"Sheet16"}</definedName>
    <definedName name="ㅔㅐㅔㅐㅔㅐㅔㅐㅔ" hidden="1">{#N/A,#N/A,FALSE,"지침";#N/A,#N/A,FALSE,"환경분석";#N/A,#N/A,FALSE,"Sheet16"}</definedName>
    <definedName name="ㅔㅔ" localSheetId="12" hidden="1">{#N/A,#N/A,FALSE,"UNIT";#N/A,#N/A,FALSE,"UNIT";#N/A,#N/A,FALSE,"계정"}</definedName>
    <definedName name="ㅔㅔ" localSheetId="42" hidden="1">{#N/A,#N/A,FALSE,"UNIT";#N/A,#N/A,FALSE,"UNIT";#N/A,#N/A,FALSE,"계정"}</definedName>
    <definedName name="ㅔㅔ" hidden="1">{#N/A,#N/A,FALSE,"UNIT";#N/A,#N/A,FALSE,"UNIT";#N/A,#N/A,FALSE,"계정"}</definedName>
    <definedName name="ㅔㅔㅔ" localSheetId="12" hidden="1">{#N/A,#N/A,FALSE,"UNIT";#N/A,#N/A,FALSE,"UNIT";#N/A,#N/A,FALSE,"계정"}</definedName>
    <definedName name="ㅔㅔㅔ" localSheetId="42" hidden="1">{#N/A,#N/A,FALSE,"UNIT";#N/A,#N/A,FALSE,"UNIT";#N/A,#N/A,FALSE,"계정"}</definedName>
    <definedName name="ㅔㅔㅔ" hidden="1">{#N/A,#N/A,FALSE,"UNIT";#N/A,#N/A,FALSE,"UNIT";#N/A,#N/A,FALSE,"계정"}</definedName>
    <definedName name="ㅕ" localSheetId="12" hidden="1">{#N/A,#N/A,FALSE,"Aging Summary";#N/A,#N/A,FALSE,"Ratio Analysis";#N/A,#N/A,FALSE,"Test 120 Day Accts";#N/A,#N/A,FALSE,"Tickmarks"}</definedName>
    <definedName name="ㅕ" localSheetId="15" hidden="1">{#N/A,#N/A,FALSE,"BS";#N/A,#N/A,FALSE,"PL";#N/A,#N/A,FALSE,"처분";#N/A,#N/A,FALSE,"현금";#N/A,#N/A,FALSE,"매출";#N/A,#N/A,FALSE,"원가";#N/A,#N/A,FALSE,"경영"}</definedName>
    <definedName name="ㅕ" localSheetId="6" hidden="1">{#N/A,#N/A,FALSE,"BS";#N/A,#N/A,FALSE,"PL";#N/A,#N/A,FALSE,"처분";#N/A,#N/A,FALSE,"현금";#N/A,#N/A,FALSE,"매출";#N/A,#N/A,FALSE,"원가";#N/A,#N/A,FALSE,"경영"}</definedName>
    <definedName name="ㅕ" localSheetId="45" hidden="1">{#N/A,#N/A,FALSE,"BS";#N/A,#N/A,FALSE,"PL";#N/A,#N/A,FALSE,"처분";#N/A,#N/A,FALSE,"현금";#N/A,#N/A,FALSE,"매출";#N/A,#N/A,FALSE,"원가";#N/A,#N/A,FALSE,"경영"}</definedName>
    <definedName name="ㅕ" localSheetId="42" hidden="1">{#N/A,#N/A,FALSE,"BS";#N/A,#N/A,FALSE,"PL";#N/A,#N/A,FALSE,"처분";#N/A,#N/A,FALSE,"현금";#N/A,#N/A,FALSE,"매출";#N/A,#N/A,FALSE,"원가";#N/A,#N/A,FALSE,"경영"}</definedName>
    <definedName name="ㅕ" hidden="1">{#N/A,#N/A,FALSE,"BS";#N/A,#N/A,FALSE,"PL";#N/A,#N/A,FALSE,"처분";#N/A,#N/A,FALSE,"현금";#N/A,#N/A,FALSE,"매출";#N/A,#N/A,FALSE,"원가";#N/A,#N/A,FALSE,"경영"}</definedName>
    <definedName name="ㅕㅕㅕ" localSheetId="12" hidden="1">{#N/A,#N/A,FALSE,"UNIT";#N/A,#N/A,FALSE,"UNIT";#N/A,#N/A,FALSE,"계정"}</definedName>
    <definedName name="ㅕㅕㅕ" localSheetId="42" hidden="1">{#N/A,#N/A,FALSE,"UNIT";#N/A,#N/A,FALSE,"UNIT";#N/A,#N/A,FALSE,"계정"}</definedName>
    <definedName name="ㅕㅕㅕ" hidden="1">{#N/A,#N/A,FALSE,"UNIT";#N/A,#N/A,FALSE,"UNIT";#N/A,#N/A,FALSE,"계정"}</definedName>
    <definedName name="ㅕㅛ" localSheetId="12" hidden="1">{#N/A,#N/A,FALSE,"Sheet1"}</definedName>
    <definedName name="ㅕㅛ" localSheetId="42" hidden="1">{#N/A,#N/A,FALSE,"Sheet1"}</definedName>
    <definedName name="ㅕㅛ" hidden="1">{#N/A,#N/A,FALSE,"Sheet1"}</definedName>
    <definedName name="ㅗ" localSheetId="42" hidden="1">{#N/A,#N/A,FALSE,"BS";#N/A,#N/A,FALSE,"PL";#N/A,#N/A,FALSE,"처분";#N/A,#N/A,FALSE,"현금";#N/A,#N/A,FALSE,"매출";#N/A,#N/A,FALSE,"원가";#N/A,#N/A,FALSE,"경영"}</definedName>
    <definedName name="ㅗ" hidden="1">{#N/A,#N/A,FALSE,"BS";#N/A,#N/A,FALSE,"PL";#N/A,#N/A,FALSE,"처분";#N/A,#N/A,FALSE,"현금";#N/A,#N/A,FALSE,"매출";#N/A,#N/A,FALSE,"원가";#N/A,#N/A,FALSE,"경영"}</definedName>
    <definedName name="ㅗㅅ곡" localSheetId="15" hidden="1">{#N/A,#N/A,FALSE,"손익표지";#N/A,#N/A,FALSE,"손익계산";#N/A,#N/A,FALSE,"일반관리비";#N/A,#N/A,FALSE,"영업외수익";#N/A,#N/A,FALSE,"영업외비용";#N/A,#N/A,FALSE,"매출액";#N/A,#N/A,FALSE,"요약손익";#N/A,#N/A,FALSE,"요약대차";#N/A,#N/A,FALSE,"매출채권현황";#N/A,#N/A,FALSE,"매출채권명세"}</definedName>
    <definedName name="ㅗㅅ곡"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ㅗㅅ곡" localSheetId="45" hidden="1">{#N/A,#N/A,FALSE,"손익표지";#N/A,#N/A,FALSE,"손익계산";#N/A,#N/A,FALSE,"일반관리비";#N/A,#N/A,FALSE,"영업외수익";#N/A,#N/A,FALSE,"영업외비용";#N/A,#N/A,FALSE,"매출액";#N/A,#N/A,FALSE,"요약손익";#N/A,#N/A,FALSE,"요약대차";#N/A,#N/A,FALSE,"매출채권현황";#N/A,#N/A,FALSE,"매출채권명세"}</definedName>
    <definedName name="ㅗㅅ곡" localSheetId="42" hidden="1">{#N/A,#N/A,FALSE,"손익표지";#N/A,#N/A,FALSE,"손익계산";#N/A,#N/A,FALSE,"일반관리비";#N/A,#N/A,FALSE,"영업외수익";#N/A,#N/A,FALSE,"영업외비용";#N/A,#N/A,FALSE,"매출액";#N/A,#N/A,FALSE,"요약손익";#N/A,#N/A,FALSE,"요약대차";#N/A,#N/A,FALSE,"매출채권현황";#N/A,#N/A,FALSE,"매출채권명세"}</definedName>
    <definedName name="ㅗㅅ곡" hidden="1">{#N/A,#N/A,FALSE,"손익표지";#N/A,#N/A,FALSE,"손익계산";#N/A,#N/A,FALSE,"일반관리비";#N/A,#N/A,FALSE,"영업외수익";#N/A,#N/A,FALSE,"영업외비용";#N/A,#N/A,FALSE,"매출액";#N/A,#N/A,FALSE,"요약손익";#N/A,#N/A,FALSE,"요약대차";#N/A,#N/A,FALSE,"매출채권현황";#N/A,#N/A,FALSE,"매출채권명세"}</definedName>
    <definedName name="ㅗㅎ" localSheetId="12" hidden="1">{#N/A,#N/A,FALSE,"Sheet1"}</definedName>
    <definedName name="ㅗㅎ" localSheetId="42" hidden="1">{#N/A,#N/A,FALSE,"Sheet1"}</definedName>
    <definedName name="ㅗㅎ" hidden="1">{#N/A,#N/A,FALSE,"Sheet1"}</definedName>
    <definedName name="ㅗ허" localSheetId="15" hidden="1">{#N/A,#N/A,FALSE,"98소지이동TOTvs99.1 (2)";#N/A,#N/A,FALSE,"TOTAL";#N/A,#N/A,FALSE,"98소지이동TOTvs99.1(b) (2)"}</definedName>
    <definedName name="ㅗ허" localSheetId="6" hidden="1">{#N/A,#N/A,FALSE,"98소지이동TOTvs99.1 (2)";#N/A,#N/A,FALSE,"TOTAL";#N/A,#N/A,FALSE,"98소지이동TOTvs99.1(b) (2)"}</definedName>
    <definedName name="ㅗ허" localSheetId="45" hidden="1">{#N/A,#N/A,FALSE,"98소지이동TOTvs99.1 (2)";#N/A,#N/A,FALSE,"TOTAL";#N/A,#N/A,FALSE,"98소지이동TOTvs99.1(b) (2)"}</definedName>
    <definedName name="ㅗ허" localSheetId="42" hidden="1">{#N/A,#N/A,FALSE,"98소지이동TOTvs99.1 (2)";#N/A,#N/A,FALSE,"TOTAL";#N/A,#N/A,FALSE,"98소지이동TOTvs99.1(b) (2)"}</definedName>
    <definedName name="ㅗ허" hidden="1">{#N/A,#N/A,FALSE,"98소지이동TOTvs99.1 (2)";#N/A,#N/A,FALSE,"TOTAL";#N/A,#N/A,FALSE,"98소지이동TOTvs99.1(b) (2)"}</definedName>
    <definedName name="ㅗ허호ㅓ" localSheetId="15" hidden="1">{#N/A,#N/A,FALSE,"손익표지";#N/A,#N/A,FALSE,"손익계산";#N/A,#N/A,FALSE,"일반관리비";#N/A,#N/A,FALSE,"영업외수익";#N/A,#N/A,FALSE,"영업외비용";#N/A,#N/A,FALSE,"매출액";#N/A,#N/A,FALSE,"요약손익";#N/A,#N/A,FALSE,"요약대차";#N/A,#N/A,FALSE,"매출채권현황";#N/A,#N/A,FALSE,"매출채권명세"}</definedName>
    <definedName name="ㅗ허호ㅓ"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ㅗ허호ㅓ" localSheetId="45" hidden="1">{#N/A,#N/A,FALSE,"손익표지";#N/A,#N/A,FALSE,"손익계산";#N/A,#N/A,FALSE,"일반관리비";#N/A,#N/A,FALSE,"영업외수익";#N/A,#N/A,FALSE,"영업외비용";#N/A,#N/A,FALSE,"매출액";#N/A,#N/A,FALSE,"요약손익";#N/A,#N/A,FALSE,"요약대차";#N/A,#N/A,FALSE,"매출채권현황";#N/A,#N/A,FALSE,"매출채권명세"}</definedName>
    <definedName name="ㅗ허호ㅓ" localSheetId="42" hidden="1">{#N/A,#N/A,FALSE,"손익표지";#N/A,#N/A,FALSE,"손익계산";#N/A,#N/A,FALSE,"일반관리비";#N/A,#N/A,FALSE,"영업외수익";#N/A,#N/A,FALSE,"영업외비용";#N/A,#N/A,FALSE,"매출액";#N/A,#N/A,FALSE,"요약손익";#N/A,#N/A,FALSE,"요약대차";#N/A,#N/A,FALSE,"매출채권현황";#N/A,#N/A,FALSE,"매출채권명세"}</definedName>
    <definedName name="ㅗ허호ㅓ" hidden="1">{#N/A,#N/A,FALSE,"손익표지";#N/A,#N/A,FALSE,"손익계산";#N/A,#N/A,FALSE,"일반관리비";#N/A,#N/A,FALSE,"영업외수익";#N/A,#N/A,FALSE,"영업외비용";#N/A,#N/A,FALSE,"매출액";#N/A,#N/A,FALSE,"요약손익";#N/A,#N/A,FALSE,"요약대차";#N/A,#N/A,FALSE,"매출채권현황";#N/A,#N/A,FALSE,"매출채권명세"}</definedName>
    <definedName name="ㅗ호" localSheetId="15" hidden="1">{#N/A,#N/A,FALSE,"손익표지";#N/A,#N/A,FALSE,"손익계산";#N/A,#N/A,FALSE,"일반관리비";#N/A,#N/A,FALSE,"영업외수익";#N/A,#N/A,FALSE,"영업외비용";#N/A,#N/A,FALSE,"매출액";#N/A,#N/A,FALSE,"요약손익";#N/A,#N/A,FALSE,"요약대차";#N/A,#N/A,FALSE,"매출채권현황";#N/A,#N/A,FALSE,"매출채권명세"}</definedName>
    <definedName name="ㅗ호"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ㅗ호" localSheetId="45" hidden="1">{#N/A,#N/A,FALSE,"손익표지";#N/A,#N/A,FALSE,"손익계산";#N/A,#N/A,FALSE,"일반관리비";#N/A,#N/A,FALSE,"영업외수익";#N/A,#N/A,FALSE,"영업외비용";#N/A,#N/A,FALSE,"매출액";#N/A,#N/A,FALSE,"요약손익";#N/A,#N/A,FALSE,"요약대차";#N/A,#N/A,FALSE,"매출채권현황";#N/A,#N/A,FALSE,"매출채권명세"}</definedName>
    <definedName name="ㅗ호" localSheetId="42" hidden="1">{#N/A,#N/A,FALSE,"손익표지";#N/A,#N/A,FALSE,"손익계산";#N/A,#N/A,FALSE,"일반관리비";#N/A,#N/A,FALSE,"영업외수익";#N/A,#N/A,FALSE,"영업외비용";#N/A,#N/A,FALSE,"매출액";#N/A,#N/A,FALSE,"요약손익";#N/A,#N/A,FALSE,"요약대차";#N/A,#N/A,FALSE,"매출채권현황";#N/A,#N/A,FALSE,"매출채권명세"}</definedName>
    <definedName name="ㅗ호" hidden="1">{#N/A,#N/A,FALSE,"손익표지";#N/A,#N/A,FALSE,"손익계산";#N/A,#N/A,FALSE,"일반관리비";#N/A,#N/A,FALSE,"영업외수익";#N/A,#N/A,FALSE,"영업외비용";#N/A,#N/A,FALSE,"매출액";#N/A,#N/A,FALSE,"요약손익";#N/A,#N/A,FALSE,"요약대차";#N/A,#N/A,FALSE,"매출채권현황";#N/A,#N/A,FALSE,"매출채권명세"}</definedName>
    <definedName name="ㅗㅗ" localSheetId="12" hidden="1">{#N/A,#N/A,FALSE,"UNIT";#N/A,#N/A,FALSE,"UNIT";#N/A,#N/A,FALSE,"계정"}</definedName>
    <definedName name="ㅗㅗ" localSheetId="42" hidden="1">{#N/A,#N/A,FALSE,"UNIT";#N/A,#N/A,FALSE,"UNIT";#N/A,#N/A,FALSE,"계정"}</definedName>
    <definedName name="ㅗㅗ" hidden="1">{#N/A,#N/A,FALSE,"UNIT";#N/A,#N/A,FALSE,"UNIT";#N/A,#N/A,FALSE,"계정"}</definedName>
    <definedName name="ㅗㅗㅇㅀㅇㅁㄴㅇㅀ" localSheetId="15" hidden="1">{#N/A,#N/A,FALSE,"손익표지";#N/A,#N/A,FALSE,"손익계산";#N/A,#N/A,FALSE,"일반관리비";#N/A,#N/A,FALSE,"영업외수익";#N/A,#N/A,FALSE,"영업외비용";#N/A,#N/A,FALSE,"매출액";#N/A,#N/A,FALSE,"요약손익";#N/A,#N/A,FALSE,"요약대차";#N/A,#N/A,FALSE,"매출채권현황";#N/A,#N/A,FALSE,"매출채권명세"}</definedName>
    <definedName name="ㅗㅗㅇㅀㅇㅁㄴㅇㅀ"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ㅗㅗㅇㅀㅇㅁㄴㅇㅀ" localSheetId="45" hidden="1">{#N/A,#N/A,FALSE,"손익표지";#N/A,#N/A,FALSE,"손익계산";#N/A,#N/A,FALSE,"일반관리비";#N/A,#N/A,FALSE,"영업외수익";#N/A,#N/A,FALSE,"영업외비용";#N/A,#N/A,FALSE,"매출액";#N/A,#N/A,FALSE,"요약손익";#N/A,#N/A,FALSE,"요약대차";#N/A,#N/A,FALSE,"매출채권현황";#N/A,#N/A,FALSE,"매출채권명세"}</definedName>
    <definedName name="ㅗㅗㅇㅀㅇㅁㄴㅇㅀ" localSheetId="42" hidden="1">{#N/A,#N/A,FALSE,"손익표지";#N/A,#N/A,FALSE,"손익계산";#N/A,#N/A,FALSE,"일반관리비";#N/A,#N/A,FALSE,"영업외수익";#N/A,#N/A,FALSE,"영업외비용";#N/A,#N/A,FALSE,"매출액";#N/A,#N/A,FALSE,"요약손익";#N/A,#N/A,FALSE,"요약대차";#N/A,#N/A,FALSE,"매출채권현황";#N/A,#N/A,FALSE,"매출채권명세"}</definedName>
    <definedName name="ㅗㅗㅇㅀㅇㅁㄴㅇㅀ" hidden="1">{#N/A,#N/A,FALSE,"손익표지";#N/A,#N/A,FALSE,"손익계산";#N/A,#N/A,FALSE,"일반관리비";#N/A,#N/A,FALSE,"영업외수익";#N/A,#N/A,FALSE,"영업외비용";#N/A,#N/A,FALSE,"매출액";#N/A,#N/A,FALSE,"요약손익";#N/A,#N/A,FALSE,"요약대차";#N/A,#N/A,FALSE,"매출채권현황";#N/A,#N/A,FALSE,"매출채권명세"}</definedName>
    <definedName name="ㅚㅏㅗ" localSheetId="15" hidden="1">{#N/A,#N/A,FALSE,"손익표지";#N/A,#N/A,FALSE,"손익계산";#N/A,#N/A,FALSE,"일반관리비";#N/A,#N/A,FALSE,"영업외수익";#N/A,#N/A,FALSE,"영업외비용";#N/A,#N/A,FALSE,"매출액";#N/A,#N/A,FALSE,"요약손익";#N/A,#N/A,FALSE,"요약대차";#N/A,#N/A,FALSE,"매출채권현황";#N/A,#N/A,FALSE,"매출채권명세"}</definedName>
    <definedName name="ㅚㅏㅗ"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ㅚㅏㅗ" localSheetId="45" hidden="1">{#N/A,#N/A,FALSE,"손익표지";#N/A,#N/A,FALSE,"손익계산";#N/A,#N/A,FALSE,"일반관리비";#N/A,#N/A,FALSE,"영업외수익";#N/A,#N/A,FALSE,"영업외비용";#N/A,#N/A,FALSE,"매출액";#N/A,#N/A,FALSE,"요약손익";#N/A,#N/A,FALSE,"요약대차";#N/A,#N/A,FALSE,"매출채권현황";#N/A,#N/A,FALSE,"매출채권명세"}</definedName>
    <definedName name="ㅚㅏㅗ" localSheetId="42" hidden="1">{#N/A,#N/A,FALSE,"손익표지";#N/A,#N/A,FALSE,"손익계산";#N/A,#N/A,FALSE,"일반관리비";#N/A,#N/A,FALSE,"영업외수익";#N/A,#N/A,FALSE,"영업외비용";#N/A,#N/A,FALSE,"매출액";#N/A,#N/A,FALSE,"요약손익";#N/A,#N/A,FALSE,"요약대차";#N/A,#N/A,FALSE,"매출채권현황";#N/A,#N/A,FALSE,"매출채권명세"}</definedName>
    <definedName name="ㅚㅏㅗ" hidden="1">{#N/A,#N/A,FALSE,"손익표지";#N/A,#N/A,FALSE,"손익계산";#N/A,#N/A,FALSE,"일반관리비";#N/A,#N/A,FALSE,"영업외수익";#N/A,#N/A,FALSE,"영업외비용";#N/A,#N/A,FALSE,"매출액";#N/A,#N/A,FALSE,"요약손익";#N/A,#N/A,FALSE,"요약대차";#N/A,#N/A,FALSE,"매출채권현황";#N/A,#N/A,FALSE,"매출채권명세"}</definedName>
    <definedName name="ㅛ" localSheetId="12" hidden="1">{#N/A,#N/A,FALSE,"Sheet1"}</definedName>
    <definedName name="ㅛ" localSheetId="42" hidden="1">{#N/A,#N/A,FALSE,"UNIT";#N/A,#N/A,FALSE,"UNIT";#N/A,#N/A,FALSE,"계정"}</definedName>
    <definedName name="ㅛ" hidden="1">{#N/A,#N/A,FALSE,"UNIT";#N/A,#N/A,FALSE,"UNIT";#N/A,#N/A,FALSE,"계정"}</definedName>
    <definedName name="ㅛ섣" localSheetId="15" hidden="1">{#N/A,#N/A,FALSE,"손익표지";#N/A,#N/A,FALSE,"손익계산";#N/A,#N/A,FALSE,"일반관리비";#N/A,#N/A,FALSE,"영업외수익";#N/A,#N/A,FALSE,"영업외비용";#N/A,#N/A,FALSE,"매출액";#N/A,#N/A,FALSE,"요약손익";#N/A,#N/A,FALSE,"요약대차";#N/A,#N/A,FALSE,"매출채권현황";#N/A,#N/A,FALSE,"매출채권명세"}</definedName>
    <definedName name="ㅛ섣"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ㅛ섣" localSheetId="45" hidden="1">{#N/A,#N/A,FALSE,"손익표지";#N/A,#N/A,FALSE,"손익계산";#N/A,#N/A,FALSE,"일반관리비";#N/A,#N/A,FALSE,"영업외수익";#N/A,#N/A,FALSE,"영업외비용";#N/A,#N/A,FALSE,"매출액";#N/A,#N/A,FALSE,"요약손익";#N/A,#N/A,FALSE,"요약대차";#N/A,#N/A,FALSE,"매출채권현황";#N/A,#N/A,FALSE,"매출채권명세"}</definedName>
    <definedName name="ㅛ섣" localSheetId="42" hidden="1">{#N/A,#N/A,FALSE,"손익표지";#N/A,#N/A,FALSE,"손익계산";#N/A,#N/A,FALSE,"일반관리비";#N/A,#N/A,FALSE,"영업외수익";#N/A,#N/A,FALSE,"영업외비용";#N/A,#N/A,FALSE,"매출액";#N/A,#N/A,FALSE,"요약손익";#N/A,#N/A,FALSE,"요약대차";#N/A,#N/A,FALSE,"매출채권현황";#N/A,#N/A,FALSE,"매출채권명세"}</definedName>
    <definedName name="ㅛ섣" hidden="1">{#N/A,#N/A,FALSE,"손익표지";#N/A,#N/A,FALSE,"손익계산";#N/A,#N/A,FALSE,"일반관리비";#N/A,#N/A,FALSE,"영업외수익";#N/A,#N/A,FALSE,"영업외비용";#N/A,#N/A,FALSE,"매출액";#N/A,#N/A,FALSE,"요약손익";#N/A,#N/A,FALSE,"요약대차";#N/A,#N/A,FALSE,"매출채권현황";#N/A,#N/A,FALSE,"매출채권명세"}</definedName>
    <definedName name="ㅛㅛㅛ" localSheetId="12" hidden="1">{#N/A,#N/A,FALSE,"UNIT";#N/A,#N/A,FALSE,"UNIT";#N/A,#N/A,FALSE,"계정"}</definedName>
    <definedName name="ㅛㅛㅛ" localSheetId="42" hidden="1">{#N/A,#N/A,FALSE,"UNIT";#N/A,#N/A,FALSE,"UNIT";#N/A,#N/A,FALSE,"계정"}</definedName>
    <definedName name="ㅛㅛㅛ" hidden="1">{#N/A,#N/A,FALSE,"UNIT";#N/A,#N/A,FALSE,"UNIT";#N/A,#N/A,FALSE,"계정"}</definedName>
    <definedName name="ㅛㅛㅛㅛㅛㅛㅛㅛㅛㅛㅛㅛ" localSheetId="15" hidden="1">{#N/A,#N/A,FALSE,"정공"}</definedName>
    <definedName name="ㅛㅛㅛㅛㅛㅛㅛㅛㅛㅛㅛㅛ" localSheetId="6" hidden="1">{#N/A,#N/A,FALSE,"정공"}</definedName>
    <definedName name="ㅛㅛㅛㅛㅛㅛㅛㅛㅛㅛㅛㅛ" localSheetId="45" hidden="1">{#N/A,#N/A,FALSE,"정공"}</definedName>
    <definedName name="ㅛㅛㅛㅛㅛㅛㅛㅛㅛㅛㅛㅛ" localSheetId="42" hidden="1">{#N/A,#N/A,FALSE,"정공"}</definedName>
    <definedName name="ㅛㅛㅛㅛㅛㅛㅛㅛㅛㅛㅛㅛ" hidden="1">{#N/A,#N/A,FALSE,"정공"}</definedName>
    <definedName name="ㅜㅗㅛ" localSheetId="12" hidden="1">{#N/A,#N/A,FALSE,"Sheet1"}</definedName>
    <definedName name="ㅜㅗㅛ" localSheetId="42" hidden="1">{#N/A,#N/A,FALSE,"Sheet1"}</definedName>
    <definedName name="ㅜㅗㅛ" hidden="1">{#N/A,#N/A,FALSE,"Sheet1"}</definedName>
    <definedName name="ㅜㅜ" localSheetId="12" hidden="1">{#N/A,#N/A,FALSE,"UNIT";#N/A,#N/A,FALSE,"UNIT";#N/A,#N/A,FALSE,"계정"}</definedName>
    <definedName name="ㅜㅜ" localSheetId="42" hidden="1">{#N/A,#N/A,FALSE,"UNIT";#N/A,#N/A,FALSE,"UNIT";#N/A,#N/A,FALSE,"계정"}</definedName>
    <definedName name="ㅜㅜ" hidden="1">{#N/A,#N/A,FALSE,"UNIT";#N/A,#N/A,FALSE,"UNIT";#N/A,#N/A,FALSE,"계정"}</definedName>
    <definedName name="ㅜㅜㅜㅜ" localSheetId="12" hidden="1">{#N/A,#N/A,FALSE,"UNIT";#N/A,#N/A,FALSE,"UNIT";#N/A,#N/A,FALSE,"계정"}</definedName>
    <definedName name="ㅜㅜㅜㅜ" localSheetId="42" hidden="1">{#N/A,#N/A,FALSE,"UNIT";#N/A,#N/A,FALSE,"UNIT";#N/A,#N/A,FALSE,"계정"}</definedName>
    <definedName name="ㅜㅜㅜㅜ" hidden="1">{#N/A,#N/A,FALSE,"UNIT";#N/A,#N/A,FALSE,"UNIT";#N/A,#N/A,FALSE,"계정"}</definedName>
    <definedName name="ㅜㅜㅜㅜㅜㅜ" localSheetId="12" hidden="1">{#N/A,#N/A,FALSE,"UNIT";#N/A,#N/A,FALSE,"UNIT";#N/A,#N/A,FALSE,"계정"}</definedName>
    <definedName name="ㅜㅜㅜㅜㅜㅜ" localSheetId="42" hidden="1">{#N/A,#N/A,FALSE,"UNIT";#N/A,#N/A,FALSE,"UNIT";#N/A,#N/A,FALSE,"계정"}</definedName>
    <definedName name="ㅜㅜㅜㅜㅜㅜ" hidden="1">{#N/A,#N/A,FALSE,"UNIT";#N/A,#N/A,FALSE,"UNIT";#N/A,#N/A,FALSE,"계정"}</definedName>
    <definedName name="ㅜㅜㅜㅜㅜㅜㅜㅜㅜ" localSheetId="12" hidden="1">{#N/A,#N/A,FALSE,"Sheet1"}</definedName>
    <definedName name="ㅜㅜㅜㅜㅜㅜㅜㅜㅜ" localSheetId="42" hidden="1">{#N/A,#N/A,FALSE,"Sheet1"}</definedName>
    <definedName name="ㅜㅜㅜㅜㅜㅜㅜㅜㅜ" hidden="1">{#N/A,#N/A,FALSE,"Sheet1"}</definedName>
    <definedName name="ㅠ" localSheetId="12" hidden="1">{#N/A,#N/A,FALSE,"Aging Summary";#N/A,#N/A,FALSE,"Ratio Analysis";#N/A,#N/A,FALSE,"Test 120 Day Accts";#N/A,#N/A,FALSE,"Tickmarks"}</definedName>
    <definedName name="ㅠ" localSheetId="42" hidden="1">{#N/A,#N/A,FALSE,"UNIT";#N/A,#N/A,FALSE,"UNIT";#N/A,#N/A,FALSE,"계정"}</definedName>
    <definedName name="ㅠ" hidden="1">{#N/A,#N/A,FALSE,"UNIT";#N/A,#N/A,FALSE,"UNIT";#N/A,#N/A,FALSE,"계정"}</definedName>
    <definedName name="ㅠㅍ" localSheetId="12" hidden="1">{#N/A,#N/A,FALSE,"UNIT";#N/A,#N/A,FALSE,"UNIT";#N/A,#N/A,FALSE,"계정"}</definedName>
    <definedName name="ㅠㅍ" localSheetId="42" hidden="1">{#N/A,#N/A,FALSE,"UNIT";#N/A,#N/A,FALSE,"UNIT";#N/A,#N/A,FALSE,"계정"}</definedName>
    <definedName name="ㅠㅍ" hidden="1">{#N/A,#N/A,FALSE,"UNIT";#N/A,#N/A,FALSE,"UNIT";#N/A,#N/A,FALSE,"계정"}</definedName>
    <definedName name="ㅠㅠㅠ" localSheetId="12" hidden="1">{#N/A,#N/A,FALSE,"지침";#N/A,#N/A,FALSE,"환경분석";#N/A,#N/A,FALSE,"Sheet16"}</definedName>
    <definedName name="ㅠㅠㅠ" localSheetId="42" hidden="1">{#N/A,#N/A,FALSE,"지침";#N/A,#N/A,FALSE,"환경분석";#N/A,#N/A,FALSE,"Sheet16"}</definedName>
    <definedName name="ㅠㅠㅠ" hidden="1">{#N/A,#N/A,FALSE,"지침";#N/A,#N/A,FALSE,"환경분석";#N/A,#N/A,FALSE,"Sheet16"}</definedName>
    <definedName name="ㅠㅠㅠㅠㅠ" localSheetId="12" hidden="1">{#N/A,#N/A,FALSE,"UNIT";#N/A,#N/A,FALSE,"UNIT";#N/A,#N/A,FALSE,"계정"}</definedName>
    <definedName name="ㅠㅠㅠㅠㅠ" localSheetId="42" hidden="1">{#N/A,#N/A,FALSE,"UNIT";#N/A,#N/A,FALSE,"UNIT";#N/A,#N/A,FALSE,"계정"}</definedName>
    <definedName name="ㅠㅠㅠㅠㅠ" hidden="1">{#N/A,#N/A,FALSE,"UNIT";#N/A,#N/A,FALSE,"UNIT";#N/A,#N/A,FALSE,"계정"}</definedName>
    <definedName name="ㅠㅠㅠㅠㅠㅠ" localSheetId="12" hidden="1">{#N/A,#N/A,FALSE,"UNIT";#N/A,#N/A,FALSE,"UNIT";#N/A,#N/A,FALSE,"계정"}</definedName>
    <definedName name="ㅠㅠㅠㅠㅠㅠ" localSheetId="42" hidden="1">{#N/A,#N/A,FALSE,"UNIT";#N/A,#N/A,FALSE,"UNIT";#N/A,#N/A,FALSE,"계정"}</definedName>
    <definedName name="ㅠㅠㅠㅠㅠㅠ" hidden="1">{#N/A,#N/A,FALSE,"UNIT";#N/A,#N/A,FALSE,"UNIT";#N/A,#N/A,FALSE,"계정"}</definedName>
    <definedName name="ㅡ" localSheetId="12" hidden="1">{#N/A,#N/A,FALSE,"UNIT";#N/A,#N/A,FALSE,"UNIT";#N/A,#N/A,FALSE,"계정"}</definedName>
    <definedName name="ㅡ" localSheetId="42" hidden="1">{#N/A,#N/A,FALSE,"UNIT";#N/A,#N/A,FALSE,"UNIT";#N/A,#N/A,FALSE,"계정"}</definedName>
    <definedName name="ㅡ" hidden="1">{#N/A,#N/A,FALSE,"UNIT";#N/A,#N/A,FALSE,"UNIT";#N/A,#N/A,FALSE,"계정"}</definedName>
    <definedName name="ㅡㅡ" localSheetId="12" hidden="1">{#N/A,#N/A,FALSE,"UNIT";#N/A,#N/A,FALSE,"UNIT";#N/A,#N/A,FALSE,"계정"}</definedName>
    <definedName name="ㅡㅡ" localSheetId="42" hidden="1">{#N/A,#N/A,FALSE,"UNIT";#N/A,#N/A,FALSE,"UNIT";#N/A,#N/A,FALSE,"계정"}</definedName>
    <definedName name="ㅡㅡ" hidden="1">{#N/A,#N/A,FALSE,"UNIT";#N/A,#N/A,FALSE,"UNIT";#N/A,#N/A,FALSE,"계정"}</definedName>
    <definedName name="ㅡㅡㅡ" localSheetId="12" hidden="1">{#N/A,#N/A,FALSE,"지침";#N/A,#N/A,FALSE,"환경분석";#N/A,#N/A,FALSE,"Sheet16"}</definedName>
    <definedName name="ㅡㅡㅡ" localSheetId="42" hidden="1">{#N/A,#N/A,FALSE,"지침";#N/A,#N/A,FALSE,"환경분석";#N/A,#N/A,FALSE,"Sheet16"}</definedName>
    <definedName name="ㅡㅡㅡ" hidden="1">{#N/A,#N/A,FALSE,"지침";#N/A,#N/A,FALSE,"환경분석";#N/A,#N/A,FALSE,"Sheet16"}</definedName>
    <definedName name="ㅡㅡㅡㅡㅡ" localSheetId="12" hidden="1">{#N/A,#N/A,FALSE,"UNIT";#N/A,#N/A,FALSE,"UNIT";#N/A,#N/A,FALSE,"계정"}</definedName>
    <definedName name="ㅡㅡㅡㅡㅡ" localSheetId="42" hidden="1">{#N/A,#N/A,FALSE,"UNIT";#N/A,#N/A,FALSE,"UNIT";#N/A,#N/A,FALSE,"계정"}</definedName>
    <definedName name="ㅡㅡㅡㅡㅡ" hidden="1">{#N/A,#N/A,FALSE,"UNIT";#N/A,#N/A,FALSE,"UNIT";#N/A,#N/A,FALSE,"계정"}</definedName>
    <definedName name="ㅡㅡㅡㅡㅡㅡ" localSheetId="12" hidden="1">{#N/A,#N/A,FALSE,"UNIT";#N/A,#N/A,FALSE,"UNIT";#N/A,#N/A,FALSE,"계정"}</definedName>
    <definedName name="ㅡㅡㅡㅡㅡㅡ" localSheetId="42" hidden="1">{#N/A,#N/A,FALSE,"UNIT";#N/A,#N/A,FALSE,"UNIT";#N/A,#N/A,FALSE,"계정"}</definedName>
    <definedName name="ㅡㅡㅡㅡㅡㅡ" hidden="1">{#N/A,#N/A,FALSE,"UNIT";#N/A,#N/A,FALSE,"UNIT";#N/A,#N/A,FALSE,"계정"}</definedName>
    <definedName name="ㅡㅡㅡㅡㅡㅡㅡㅡ" localSheetId="15" hidden="1">{#N/A,#N/A,FALSE,"손익표지";#N/A,#N/A,FALSE,"손익계산";#N/A,#N/A,FALSE,"일반관리비";#N/A,#N/A,FALSE,"영업외수익";#N/A,#N/A,FALSE,"영업외비용";#N/A,#N/A,FALSE,"매출액";#N/A,#N/A,FALSE,"요약손익";#N/A,#N/A,FALSE,"요약대차";#N/A,#N/A,FALSE,"매출채권현황";#N/A,#N/A,FALSE,"매출채권명세"}</definedName>
    <definedName name="ㅡㅡㅡㅡㅡㅡㅡㅡ"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ㅡㅡㅡㅡㅡㅡㅡㅡ" localSheetId="45" hidden="1">{#N/A,#N/A,FALSE,"손익표지";#N/A,#N/A,FALSE,"손익계산";#N/A,#N/A,FALSE,"일반관리비";#N/A,#N/A,FALSE,"영업외수익";#N/A,#N/A,FALSE,"영업외비용";#N/A,#N/A,FALSE,"매출액";#N/A,#N/A,FALSE,"요약손익";#N/A,#N/A,FALSE,"요약대차";#N/A,#N/A,FALSE,"매출채권현황";#N/A,#N/A,FALSE,"매출채권명세"}</definedName>
    <definedName name="ㅡㅡㅡㅡㅡㅡㅡㅡ" localSheetId="42" hidden="1">{#N/A,#N/A,FALSE,"손익표지";#N/A,#N/A,FALSE,"손익계산";#N/A,#N/A,FALSE,"일반관리비";#N/A,#N/A,FALSE,"영업외수익";#N/A,#N/A,FALSE,"영업외비용";#N/A,#N/A,FALSE,"매출액";#N/A,#N/A,FALSE,"요약손익";#N/A,#N/A,FALSE,"요약대차";#N/A,#N/A,FALSE,"매출채권현황";#N/A,#N/A,FALSE,"매출채권명세"}</definedName>
    <definedName name="ㅡㅡㅡㅡㅡㅡㅡㅡ" hidden="1">{#N/A,#N/A,FALSE,"손익표지";#N/A,#N/A,FALSE,"손익계산";#N/A,#N/A,FALSE,"일반관리비";#N/A,#N/A,FALSE,"영업외수익";#N/A,#N/A,FALSE,"영업외비용";#N/A,#N/A,FALSE,"매출액";#N/A,#N/A,FALSE,"요약손익";#N/A,#N/A,FALSE,"요약대차";#N/A,#N/A,FALSE,"매출채권현황";#N/A,#N/A,FALSE,"매출채권명세"}</definedName>
    <definedName name="ㅣ" localSheetId="12" hidden="1">#REF!</definedName>
    <definedName name="ㅣ" localSheetId="42" hidden="1">{#N/A,#N/A,FALSE,"Sheet1"}</definedName>
    <definedName name="ㅣ" hidden="1">{#N/A,#N/A,FALSE,"Sheet1"}</definedName>
    <definedName name="ㅣㄴ" localSheetId="42" hidden="1">{#N/A,#N/A,FALSE,"BS";#N/A,#N/A,FALSE,"PL";#N/A,#N/A,FALSE,"처분";#N/A,#N/A,FALSE,"현금";#N/A,#N/A,FALSE,"매출";#N/A,#N/A,FALSE,"원가";#N/A,#N/A,FALSE,"경영"}</definedName>
    <definedName name="ㅣㄴ" hidden="1">{#N/A,#N/A,FALSE,"BS";#N/A,#N/A,FALSE,"PL";#N/A,#N/A,FALSE,"처분";#N/A,#N/A,FALSE,"현금";#N/A,#N/A,FALSE,"매출";#N/A,#N/A,FALSE,"원가";#N/A,#N/A,FALSE,"경영"}</definedName>
    <definedName name="ㅣㄴㅏㅇㄴㅣㅇ" localSheetId="42" hidden="1">{#N/A,#N/A,FALSE,"BS";#N/A,#N/A,FALSE,"PL";#N/A,#N/A,FALSE,"처분";#N/A,#N/A,FALSE,"현금";#N/A,#N/A,FALSE,"매출";#N/A,#N/A,FALSE,"원가";#N/A,#N/A,FALSE,"경영"}</definedName>
    <definedName name="ㅣㄴㅏㅇㄴㅣㅇ" hidden="1">{#N/A,#N/A,FALSE,"BS";#N/A,#N/A,FALSE,"PL";#N/A,#N/A,FALSE,"처분";#N/A,#N/A,FALSE,"현금";#N/A,#N/A,FALSE,"매출";#N/A,#N/A,FALSE,"원가";#N/A,#N/A,FALSE,"경영"}</definedName>
    <definedName name="ㅣㅏ" localSheetId="12" hidden="1">{#N/A,#N/A,FALSE,"Sheet1"}</definedName>
    <definedName name="ㅣㅏ" localSheetId="42" hidden="1">{#N/A,#N/A,FALSE,"Sheet1"}</definedName>
    <definedName name="ㅣㅏ" hidden="1">{#N/A,#N/A,FALSE,"Sheet1"}</definedName>
    <definedName name="ㅣㅣㅣㅣ" localSheetId="12" hidden="1">{#N/A,#N/A,FALSE,"UNIT";#N/A,#N/A,FALSE,"UNIT";#N/A,#N/A,FALSE,"계정"}</definedName>
    <definedName name="ㅣㅣㅣㅣ" localSheetId="42" hidden="1">{#N/A,#N/A,FALSE,"UNIT";#N/A,#N/A,FALSE,"UNIT";#N/A,#N/A,FALSE,"계정"}</definedName>
    <definedName name="ㅣㅣㅣㅣ" hidden="1">{#N/A,#N/A,FALSE,"UNIT";#N/A,#N/A,FALSE,"UNIT";#N/A,#N/A,FALSE,"계정"}</definedName>
    <definedName name="ㅣㅣㅣㅣㅣㅣㅣㅣㅣㅣㅣ" localSheetId="12" hidden="1">{#N/A,#N/A,FALSE,"Sheet1"}</definedName>
    <definedName name="ㅣㅣㅣㅣㅣㅣㅣㅣㅣㅣㅣ" localSheetId="42" hidden="1">{#N/A,#N/A,FALSE,"Sheet1"}</definedName>
    <definedName name="ㅣㅣㅣㅣㅣㅣㅣㅣㅣㅣㅣ" hidden="1">{#N/A,#N/A,FALSE,"Sheet1"}</definedName>
  </definedNames>
  <calcPr calcId="191029" calcMode="autoNoTable"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0" i="142" l="1"/>
  <c r="C51" i="142"/>
  <c r="J8" i="136"/>
  <c r="C40" i="142"/>
  <c r="C44" i="142"/>
  <c r="C35" i="142"/>
  <c r="C33" i="142"/>
  <c r="C24" i="142" s="1"/>
  <c r="C26" i="142"/>
  <c r="C32" i="142"/>
  <c r="C31" i="142"/>
  <c r="C30" i="142"/>
  <c r="C21" i="142"/>
  <c r="C22" i="142"/>
  <c r="C23" i="142"/>
  <c r="C20" i="142"/>
  <c r="C19" i="142"/>
  <c r="C18" i="142"/>
  <c r="C12" i="142"/>
  <c r="C10" i="142"/>
  <c r="C17" i="142"/>
  <c r="C16" i="142"/>
  <c r="C14" i="142"/>
  <c r="C11" i="142"/>
  <c r="C13" i="142"/>
  <c r="C9" i="142"/>
  <c r="C8" i="142"/>
  <c r="C41" i="142" s="1"/>
  <c r="C42" i="142" l="1"/>
  <c r="C45" i="142" s="1"/>
  <c r="C15" i="142"/>
  <c r="C25" i="142" l="1"/>
  <c r="C27" i="142" s="1"/>
  <c r="C36" i="142" s="1"/>
  <c r="D21" i="58" l="1"/>
  <c r="E21" i="58"/>
  <c r="E38" i="58"/>
  <c r="E46" i="58"/>
  <c r="C16" i="35" l="1"/>
  <c r="C15" i="35"/>
  <c r="D11" i="36"/>
  <c r="D14" i="36" s="1"/>
  <c r="D84" i="84"/>
  <c r="E71" i="84" s="1"/>
  <c r="C55" i="136" l="1"/>
  <c r="C52" i="136"/>
  <c r="C56" i="136" s="1"/>
  <c r="C57" i="136" s="1"/>
  <c r="C11" i="86"/>
  <c r="T184" i="73" l="1"/>
  <c r="D15" i="40"/>
  <c r="C15" i="40"/>
  <c r="E15" i="40"/>
  <c r="AF98" i="73"/>
  <c r="G50" i="58" l="1"/>
  <c r="C64" i="58"/>
  <c r="C63" i="58"/>
  <c r="D37" i="40" l="1"/>
  <c r="F27" i="40"/>
  <c r="E27" i="40"/>
  <c r="D27" i="40"/>
  <c r="C27" i="40"/>
  <c r="G26" i="40"/>
  <c r="H26" i="40" s="1"/>
  <c r="G24" i="40"/>
  <c r="H24" i="40" s="1"/>
  <c r="G22" i="40"/>
  <c r="H22" i="40" s="1"/>
  <c r="G21" i="40"/>
  <c r="H21" i="40" s="1"/>
  <c r="G20" i="40"/>
  <c r="D14" i="40"/>
  <c r="C14" i="40"/>
  <c r="D13" i="40"/>
  <c r="D12" i="40"/>
  <c r="C12" i="40"/>
  <c r="D11" i="40"/>
  <c r="D10" i="40"/>
  <c r="C10" i="40"/>
  <c r="D9" i="40"/>
  <c r="C9" i="40"/>
  <c r="D8" i="40"/>
  <c r="C8" i="40"/>
  <c r="E14" i="40"/>
  <c r="R8" i="40"/>
  <c r="R13" i="40"/>
  <c r="C13" i="40" s="1"/>
  <c r="E13" i="40" s="1"/>
  <c r="F9" i="141"/>
  <c r="G25" i="40" l="1"/>
  <c r="H25" i="40" s="1"/>
  <c r="E12" i="40"/>
  <c r="H20" i="40"/>
  <c r="F14" i="40"/>
  <c r="F12" i="40"/>
  <c r="F13" i="40"/>
  <c r="G205" i="47" l="1"/>
  <c r="G61" i="39"/>
  <c r="G60" i="39"/>
  <c r="G59" i="39"/>
  <c r="G58" i="39"/>
  <c r="G57" i="39"/>
  <c r="G56" i="39"/>
  <c r="G55" i="39"/>
  <c r="G54" i="39"/>
  <c r="G52" i="39"/>
  <c r="G30" i="39"/>
  <c r="G53" i="39"/>
  <c r="AC149" i="73" l="1"/>
  <c r="AC66" i="73"/>
  <c r="C18" i="47"/>
  <c r="D17" i="47"/>
  <c r="C17" i="47"/>
  <c r="E17" i="47" s="1"/>
  <c r="C16" i="47"/>
  <c r="C15" i="47"/>
  <c r="C11" i="47"/>
  <c r="D10" i="47"/>
  <c r="C14" i="47"/>
  <c r="C9" i="47"/>
  <c r="C8" i="47"/>
  <c r="C10" i="47"/>
  <c r="C186" i="47"/>
  <c r="D147" i="73"/>
  <c r="D146" i="73" s="1"/>
  <c r="C147" i="73"/>
  <c r="C146" i="73"/>
  <c r="A146" i="73"/>
  <c r="C145" i="73"/>
  <c r="D145" i="73"/>
  <c r="D144" i="73" s="1"/>
  <c r="C144" i="73"/>
  <c r="A144" i="73"/>
  <c r="AC84" i="73"/>
  <c r="D88" i="73"/>
  <c r="D86" i="73"/>
  <c r="C88" i="73"/>
  <c r="E31" i="39"/>
  <c r="AC72" i="73"/>
  <c r="E10" i="47" l="1"/>
  <c r="E9" i="51" l="1"/>
  <c r="Q65" i="73"/>
  <c r="H187" i="73"/>
  <c r="D51" i="73"/>
  <c r="C51" i="73"/>
  <c r="M51" i="73" s="1"/>
  <c r="C19" i="120"/>
  <c r="D19" i="120"/>
  <c r="I27" i="52"/>
  <c r="I36" i="52"/>
  <c r="I35" i="52"/>
  <c r="I34" i="52"/>
  <c r="I33" i="52"/>
  <c r="I32" i="52"/>
  <c r="I31" i="52"/>
  <c r="I30" i="52"/>
  <c r="I29" i="52"/>
  <c r="I28" i="52"/>
  <c r="I26" i="52"/>
  <c r="I37" i="52"/>
  <c r="I39" i="52"/>
  <c r="I61" i="39"/>
  <c r="H61" i="39"/>
  <c r="F61" i="39"/>
  <c r="E61" i="39"/>
  <c r="D61" i="39"/>
  <c r="C61" i="39"/>
  <c r="I60" i="39"/>
  <c r="H60" i="39"/>
  <c r="F60" i="39"/>
  <c r="E60" i="39"/>
  <c r="D60" i="39"/>
  <c r="C60" i="39"/>
  <c r="I59" i="39"/>
  <c r="H59" i="39"/>
  <c r="F59" i="39"/>
  <c r="E59" i="39"/>
  <c r="D59" i="39"/>
  <c r="C59" i="39"/>
  <c r="H58" i="39"/>
  <c r="F58" i="39"/>
  <c r="E58" i="39"/>
  <c r="D58" i="39"/>
  <c r="C58" i="39"/>
  <c r="H57" i="39"/>
  <c r="F57" i="39"/>
  <c r="E57" i="39"/>
  <c r="C57" i="39"/>
  <c r="I56" i="39"/>
  <c r="H56" i="39"/>
  <c r="F56" i="39"/>
  <c r="E56" i="39"/>
  <c r="D56" i="39"/>
  <c r="C56" i="39"/>
  <c r="I55" i="39"/>
  <c r="H55" i="39"/>
  <c r="F55" i="39"/>
  <c r="E55" i="39"/>
  <c r="D55" i="39"/>
  <c r="C55" i="39"/>
  <c r="I54" i="39"/>
  <c r="H54" i="39"/>
  <c r="F54" i="39"/>
  <c r="E54" i="39"/>
  <c r="D54" i="39"/>
  <c r="C54" i="39"/>
  <c r="I53" i="39"/>
  <c r="H53" i="39"/>
  <c r="F53" i="39"/>
  <c r="E53" i="39"/>
  <c r="D53" i="39"/>
  <c r="C53" i="39"/>
  <c r="I52" i="39"/>
  <c r="H52" i="39"/>
  <c r="F52" i="39"/>
  <c r="E52" i="39"/>
  <c r="D52" i="39"/>
  <c r="J146" i="39"/>
  <c r="C52" i="39"/>
  <c r="C23" i="46"/>
  <c r="F11" i="46"/>
  <c r="C21" i="84" l="1"/>
  <c r="I61" i="82" l="1"/>
  <c r="H69" i="82"/>
  <c r="H67" i="82"/>
  <c r="G33" i="87"/>
  <c r="G32" i="87"/>
  <c r="G31" i="87"/>
  <c r="G30" i="87"/>
  <c r="E103" i="109"/>
  <c r="C169" i="136" l="1"/>
  <c r="N10" i="136"/>
  <c r="K10" i="136"/>
  <c r="D10" i="136"/>
  <c r="E10" i="136" s="1"/>
  <c r="C23" i="140"/>
  <c r="C155" i="140"/>
  <c r="F75" i="11" s="1"/>
  <c r="L10" i="136" l="1"/>
  <c r="M10" i="136" l="1"/>
  <c r="E54" i="63" l="1"/>
  <c r="V10" i="63" s="1"/>
  <c r="C74" i="140"/>
  <c r="C49" i="140"/>
  <c r="C51" i="140" s="1"/>
  <c r="C45" i="140" s="1"/>
  <c r="C20" i="140"/>
  <c r="B82" i="140"/>
  <c r="B83" i="140" s="1"/>
  <c r="B84" i="140" s="1"/>
  <c r="B85" i="140" s="1"/>
  <c r="B86" i="140" s="1"/>
  <c r="B87" i="140" s="1"/>
  <c r="B88" i="140" s="1"/>
  <c r="B89" i="140" s="1"/>
  <c r="B90" i="140" s="1"/>
  <c r="B91" i="140" s="1"/>
  <c r="B92" i="140" s="1"/>
  <c r="B93" i="140" s="1"/>
  <c r="B94" i="140" s="1"/>
  <c r="B95" i="140" s="1"/>
  <c r="B96" i="140" s="1"/>
  <c r="B97" i="140" s="1"/>
  <c r="B98" i="140" s="1"/>
  <c r="B99" i="140" s="1"/>
  <c r="B100" i="140" s="1"/>
  <c r="B101" i="140" s="1"/>
  <c r="B102" i="140" s="1"/>
  <c r="B103" i="140" s="1"/>
  <c r="B104" i="140" s="1"/>
  <c r="B105" i="140" s="1"/>
  <c r="B106" i="140" s="1"/>
  <c r="B107" i="140" s="1"/>
  <c r="B108" i="140" s="1"/>
  <c r="B109" i="140" s="1"/>
  <c r="B110" i="140" s="1"/>
  <c r="B111" i="140" s="1"/>
  <c r="B112" i="140" s="1"/>
  <c r="B113" i="140" s="1"/>
  <c r="B114" i="140" s="1"/>
  <c r="B115" i="140" s="1"/>
  <c r="B116" i="140" s="1"/>
  <c r="B117" i="140" s="1"/>
  <c r="B118" i="140" s="1"/>
  <c r="B119" i="140" s="1"/>
  <c r="B120" i="140" s="1"/>
  <c r="B121" i="140" s="1"/>
  <c r="B122" i="140" s="1"/>
  <c r="B123" i="140" s="1"/>
  <c r="B124" i="140" s="1"/>
  <c r="B125" i="140" s="1"/>
  <c r="B126" i="140" s="1"/>
  <c r="B127" i="140" s="1"/>
  <c r="B128" i="140" s="1"/>
  <c r="B129" i="140" s="1"/>
  <c r="B130" i="140" s="1"/>
  <c r="B131" i="140" s="1"/>
  <c r="B132" i="140" s="1"/>
  <c r="B133" i="140" s="1"/>
  <c r="B134" i="140" s="1"/>
  <c r="B135" i="140" s="1"/>
  <c r="B136" i="140" s="1"/>
  <c r="B137" i="140" s="1"/>
  <c r="B138" i="140" s="1"/>
  <c r="F81" i="140"/>
  <c r="C33" i="140"/>
  <c r="C30" i="140"/>
  <c r="C21" i="140"/>
  <c r="I7" i="140"/>
  <c r="I15" i="140" s="1"/>
  <c r="H7" i="140"/>
  <c r="H15" i="140" s="1"/>
  <c r="G7" i="140"/>
  <c r="G15" i="140" s="1"/>
  <c r="F7" i="140"/>
  <c r="F15" i="140" s="1"/>
  <c r="K6" i="140"/>
  <c r="D55" i="63"/>
  <c r="N6" i="140" l="1"/>
  <c r="N7" i="140" s="1"/>
  <c r="E151" i="140"/>
  <c r="I71" i="11" s="1"/>
  <c r="C56" i="140"/>
  <c r="C62" i="140" s="1"/>
  <c r="C159" i="140" s="1"/>
  <c r="F79" i="11" s="1"/>
  <c r="B139" i="140"/>
  <c r="C44" i="140"/>
  <c r="C43" i="140"/>
  <c r="C34" i="140"/>
  <c r="C35" i="140" s="1"/>
  <c r="K7" i="140"/>
  <c r="J7" i="140"/>
  <c r="J15" i="140" s="1"/>
  <c r="K15" i="140" s="1"/>
  <c r="H81" i="140"/>
  <c r="C37" i="140"/>
  <c r="C46" i="140" l="1"/>
  <c r="C54" i="140"/>
  <c r="C60" i="140" s="1"/>
  <c r="C157" i="140" s="1"/>
  <c r="F77" i="11" s="1"/>
  <c r="C55" i="140"/>
  <c r="C39" i="140"/>
  <c r="C40" i="140" s="1"/>
  <c r="C69" i="140" s="1"/>
  <c r="C57" i="140" l="1"/>
  <c r="C61" i="140"/>
  <c r="C158" i="140" s="1"/>
  <c r="F78" i="11" s="1"/>
  <c r="C63" i="140"/>
  <c r="C70" i="140" s="1"/>
  <c r="E81" i="140" l="1"/>
  <c r="C77" i="140"/>
  <c r="C82" i="140" s="1"/>
  <c r="C126" i="140" l="1"/>
  <c r="F126" i="140" s="1"/>
  <c r="H126" i="140" s="1"/>
  <c r="C94" i="140"/>
  <c r="F94" i="140" s="1"/>
  <c r="H94" i="140" s="1"/>
  <c r="C121" i="140"/>
  <c r="F121" i="140" s="1"/>
  <c r="H121" i="140" s="1"/>
  <c r="C90" i="140"/>
  <c r="F90" i="140" s="1"/>
  <c r="H90" i="140" s="1"/>
  <c r="C120" i="140"/>
  <c r="F120" i="140" s="1"/>
  <c r="H120" i="140" s="1"/>
  <c r="C115" i="140"/>
  <c r="F115" i="140" s="1"/>
  <c r="H115" i="140" s="1"/>
  <c r="C86" i="140"/>
  <c r="F86" i="140" s="1"/>
  <c r="H86" i="140" s="1"/>
  <c r="C84" i="140"/>
  <c r="F84" i="140" s="1"/>
  <c r="H84" i="140" s="1"/>
  <c r="C95" i="140"/>
  <c r="F95" i="140" s="1"/>
  <c r="H95" i="140" s="1"/>
  <c r="C112" i="140"/>
  <c r="F112" i="140" s="1"/>
  <c r="H112" i="140" s="1"/>
  <c r="C110" i="140"/>
  <c r="F110" i="140" s="1"/>
  <c r="H110" i="140" s="1"/>
  <c r="C106" i="140"/>
  <c r="F106" i="140" s="1"/>
  <c r="H106" i="140" s="1"/>
  <c r="C104" i="140"/>
  <c r="F104" i="140" s="1"/>
  <c r="H104" i="140" s="1"/>
  <c r="C87" i="140"/>
  <c r="F87" i="140" s="1"/>
  <c r="H87" i="140" s="1"/>
  <c r="C127" i="140"/>
  <c r="F127" i="140" s="1"/>
  <c r="H127" i="140" s="1"/>
  <c r="C128" i="140"/>
  <c r="F128" i="140" s="1"/>
  <c r="H128" i="140" s="1"/>
  <c r="C139" i="140"/>
  <c r="F139" i="140" s="1"/>
  <c r="H139" i="140" s="1"/>
  <c r="C124" i="140"/>
  <c r="F124" i="140" s="1"/>
  <c r="H124" i="140" s="1"/>
  <c r="C92" i="140"/>
  <c r="F92" i="140" s="1"/>
  <c r="H92" i="140" s="1"/>
  <c r="C119" i="140"/>
  <c r="F119" i="140" s="1"/>
  <c r="H119" i="140" s="1"/>
  <c r="C117" i="140"/>
  <c r="F117" i="140" s="1"/>
  <c r="H117" i="140" s="1"/>
  <c r="C137" i="140"/>
  <c r="F137" i="140" s="1"/>
  <c r="H137" i="140" s="1"/>
  <c r="C88" i="140"/>
  <c r="F88" i="140" s="1"/>
  <c r="H88" i="140" s="1"/>
  <c r="C118" i="140"/>
  <c r="F118" i="140" s="1"/>
  <c r="H118" i="140" s="1"/>
  <c r="C113" i="140"/>
  <c r="F113" i="140" s="1"/>
  <c r="H113" i="140" s="1"/>
  <c r="C133" i="140"/>
  <c r="F133" i="140" s="1"/>
  <c r="H133" i="140" s="1"/>
  <c r="C111" i="140"/>
  <c r="F111" i="140" s="1"/>
  <c r="H111" i="140" s="1"/>
  <c r="C114" i="140"/>
  <c r="F114" i="140" s="1"/>
  <c r="H114" i="140" s="1"/>
  <c r="C131" i="140"/>
  <c r="F131" i="140" s="1"/>
  <c r="H131" i="140" s="1"/>
  <c r="C107" i="140"/>
  <c r="F107" i="140" s="1"/>
  <c r="H107" i="140" s="1"/>
  <c r="C93" i="140"/>
  <c r="F93" i="140" s="1"/>
  <c r="H93" i="140" s="1"/>
  <c r="C132" i="140"/>
  <c r="F132" i="140" s="1"/>
  <c r="H132" i="140" s="1"/>
  <c r="C83" i="140"/>
  <c r="D82" i="140"/>
  <c r="C97" i="140"/>
  <c r="F97" i="140" s="1"/>
  <c r="H97" i="140" s="1"/>
  <c r="C91" i="140"/>
  <c r="F91" i="140" s="1"/>
  <c r="H91" i="140" s="1"/>
  <c r="C129" i="140"/>
  <c r="F129" i="140" s="1"/>
  <c r="H129" i="140" s="1"/>
  <c r="C130" i="140"/>
  <c r="F130" i="140" s="1"/>
  <c r="H130" i="140" s="1"/>
  <c r="C123" i="140"/>
  <c r="F123" i="140" s="1"/>
  <c r="H123" i="140" s="1"/>
  <c r="C138" i="140"/>
  <c r="F138" i="140" s="1"/>
  <c r="H138" i="140" s="1"/>
  <c r="C122" i="140"/>
  <c r="F122" i="140" s="1"/>
  <c r="H122" i="140" s="1"/>
  <c r="C136" i="140"/>
  <c r="F136" i="140" s="1"/>
  <c r="H136" i="140" s="1"/>
  <c r="C116" i="140"/>
  <c r="F116" i="140" s="1"/>
  <c r="H116" i="140" s="1"/>
  <c r="C135" i="140"/>
  <c r="F135" i="140" s="1"/>
  <c r="H135" i="140" s="1"/>
  <c r="C109" i="140"/>
  <c r="F109" i="140" s="1"/>
  <c r="H109" i="140" s="1"/>
  <c r="C89" i="140"/>
  <c r="F89" i="140" s="1"/>
  <c r="H89" i="140" s="1"/>
  <c r="C134" i="140"/>
  <c r="F134" i="140" s="1"/>
  <c r="H134" i="140" s="1"/>
  <c r="C108" i="140"/>
  <c r="F108" i="140" s="1"/>
  <c r="H108" i="140" s="1"/>
  <c r="C103" i="140"/>
  <c r="F103" i="140" s="1"/>
  <c r="H103" i="140" s="1"/>
  <c r="C101" i="140"/>
  <c r="F101" i="140" s="1"/>
  <c r="H101" i="140" s="1"/>
  <c r="C99" i="140"/>
  <c r="F99" i="140" s="1"/>
  <c r="H99" i="140" s="1"/>
  <c r="C102" i="140"/>
  <c r="F102" i="140" s="1"/>
  <c r="H102" i="140" s="1"/>
  <c r="C85" i="140"/>
  <c r="F85" i="140" s="1"/>
  <c r="H85" i="140" s="1"/>
  <c r="C98" i="140"/>
  <c r="F98" i="140" s="1"/>
  <c r="H98" i="140" s="1"/>
  <c r="C125" i="140"/>
  <c r="F125" i="140" s="1"/>
  <c r="H125" i="140" s="1"/>
  <c r="C96" i="140"/>
  <c r="F96" i="140" s="1"/>
  <c r="H96" i="140" s="1"/>
  <c r="C105" i="140"/>
  <c r="F105" i="140" s="1"/>
  <c r="H105" i="140" s="1"/>
  <c r="C100" i="140"/>
  <c r="F100" i="140" s="1"/>
  <c r="H100" i="140" s="1"/>
  <c r="F82" i="140"/>
  <c r="H82" i="140" s="1"/>
  <c r="E82" i="140"/>
  <c r="D83" i="140" l="1"/>
  <c r="F83" i="140"/>
  <c r="E83" i="140" l="1"/>
  <c r="D84" i="140"/>
  <c r="H83" i="140"/>
  <c r="G81" i="140"/>
  <c r="C71" i="140"/>
  <c r="C72" i="140" s="1"/>
  <c r="C64" i="140" l="1"/>
  <c r="E157" i="140" s="1"/>
  <c r="I77" i="11" s="1"/>
  <c r="I81" i="140"/>
  <c r="G82" i="140"/>
  <c r="E84" i="140"/>
  <c r="D85" i="140"/>
  <c r="E85" i="140" l="1"/>
  <c r="D86" i="140"/>
  <c r="G83" i="140"/>
  <c r="I82" i="140"/>
  <c r="P6" i="140"/>
  <c r="P7" i="140" s="1"/>
  <c r="C65" i="140"/>
  <c r="D72" i="140" l="1"/>
  <c r="C156" i="140"/>
  <c r="F76" i="11" s="1"/>
  <c r="R11" i="40" s="1"/>
  <c r="I83" i="140"/>
  <c r="G84" i="140"/>
  <c r="D87" i="140"/>
  <c r="E86" i="140"/>
  <c r="G23" i="40" l="1"/>
  <c r="C11" i="40"/>
  <c r="E11" i="40" s="1"/>
  <c r="D88" i="140"/>
  <c r="E87" i="140"/>
  <c r="I84" i="140"/>
  <c r="G85" i="140"/>
  <c r="H23" i="40" l="1"/>
  <c r="F11" i="40" s="1"/>
  <c r="G27" i="40"/>
  <c r="H27" i="40" s="1"/>
  <c r="G86" i="140"/>
  <c r="I85" i="140"/>
  <c r="E88" i="140"/>
  <c r="D89" i="140"/>
  <c r="G87" i="140" l="1"/>
  <c r="I86" i="140"/>
  <c r="E89" i="140"/>
  <c r="D90" i="140"/>
  <c r="E90" i="140" l="1"/>
  <c r="D91" i="140"/>
  <c r="G88" i="140"/>
  <c r="I87" i="140"/>
  <c r="G89" i="140" l="1"/>
  <c r="I88" i="140"/>
  <c r="E91" i="140"/>
  <c r="D92" i="140"/>
  <c r="E92" i="140" l="1"/>
  <c r="D93" i="140"/>
  <c r="G90" i="140"/>
  <c r="I89" i="140"/>
  <c r="G91" i="140" l="1"/>
  <c r="I90" i="140"/>
  <c r="E93" i="140"/>
  <c r="D94" i="140"/>
  <c r="E94" i="140" l="1"/>
  <c r="D95" i="140"/>
  <c r="G92" i="140"/>
  <c r="I91" i="140"/>
  <c r="G93" i="140" l="1"/>
  <c r="I92" i="140"/>
  <c r="E95" i="140"/>
  <c r="D96" i="140"/>
  <c r="E96" i="140" l="1"/>
  <c r="D97" i="140"/>
  <c r="I93" i="140"/>
  <c r="G94" i="140"/>
  <c r="I94" i="140" l="1"/>
  <c r="G95" i="140"/>
  <c r="D98" i="140"/>
  <c r="E97" i="140"/>
  <c r="E98" i="140" l="1"/>
  <c r="D99" i="140"/>
  <c r="G96" i="140"/>
  <c r="I95" i="140"/>
  <c r="G97" i="140" l="1"/>
  <c r="I96" i="140"/>
  <c r="E99" i="140"/>
  <c r="D100" i="140"/>
  <c r="E100" i="140" l="1"/>
  <c r="D101" i="140"/>
  <c r="G98" i="140"/>
  <c r="I97" i="140"/>
  <c r="I98" i="140" l="1"/>
  <c r="G99" i="140"/>
  <c r="E101" i="140"/>
  <c r="D102" i="140"/>
  <c r="I99" i="140" l="1"/>
  <c r="G100" i="140"/>
  <c r="E102" i="140"/>
  <c r="D103" i="140"/>
  <c r="E103" i="140" l="1"/>
  <c r="D104" i="140"/>
  <c r="G101" i="140"/>
  <c r="I100" i="140"/>
  <c r="G102" i="140" l="1"/>
  <c r="I101" i="140"/>
  <c r="E104" i="140"/>
  <c r="D105" i="140"/>
  <c r="E105" i="140" l="1"/>
  <c r="D106" i="140"/>
  <c r="G103" i="140"/>
  <c r="I102" i="140"/>
  <c r="G104" i="140" l="1"/>
  <c r="I103" i="140"/>
  <c r="E106" i="140"/>
  <c r="D107" i="140"/>
  <c r="E107" i="140" l="1"/>
  <c r="D108" i="140"/>
  <c r="G105" i="140"/>
  <c r="I104" i="140"/>
  <c r="G106" i="140" l="1"/>
  <c r="I105" i="140"/>
  <c r="E108" i="140"/>
  <c r="D109" i="140"/>
  <c r="E109" i="140" l="1"/>
  <c r="D110" i="140"/>
  <c r="G107" i="140"/>
  <c r="I106" i="140"/>
  <c r="G108" i="140" l="1"/>
  <c r="I107" i="140"/>
  <c r="E110" i="140"/>
  <c r="D111" i="140"/>
  <c r="D112" i="140" l="1"/>
  <c r="E111" i="140"/>
  <c r="I108" i="140"/>
  <c r="G109" i="140"/>
  <c r="G110" i="140" l="1"/>
  <c r="I109" i="140"/>
  <c r="E112" i="140"/>
  <c r="D113" i="140"/>
  <c r="E113" i="140" l="1"/>
  <c r="D114" i="140"/>
  <c r="G111" i="140"/>
  <c r="I110" i="140"/>
  <c r="G112" i="140" l="1"/>
  <c r="I111" i="140"/>
  <c r="E114" i="140"/>
  <c r="D115" i="140"/>
  <c r="E115" i="140" l="1"/>
  <c r="D116" i="140"/>
  <c r="I112" i="140"/>
  <c r="G113" i="140"/>
  <c r="G114" i="140" l="1"/>
  <c r="I113" i="140"/>
  <c r="E116" i="140"/>
  <c r="D117" i="140"/>
  <c r="D118" i="140" l="1"/>
  <c r="E117" i="140"/>
  <c r="G115" i="140"/>
  <c r="I114" i="140"/>
  <c r="G116" i="140" l="1"/>
  <c r="I115" i="140"/>
  <c r="E118" i="140"/>
  <c r="D119" i="140"/>
  <c r="E119" i="140" l="1"/>
  <c r="D120" i="140"/>
  <c r="G117" i="140"/>
  <c r="I116" i="140"/>
  <c r="G118" i="140" l="1"/>
  <c r="I117" i="140"/>
  <c r="E120" i="140"/>
  <c r="D121" i="140"/>
  <c r="E121" i="140" l="1"/>
  <c r="D122" i="140"/>
  <c r="G119" i="140"/>
  <c r="I118" i="140"/>
  <c r="I119" i="140" l="1"/>
  <c r="G120" i="140"/>
  <c r="E122" i="140"/>
  <c r="D123" i="140"/>
  <c r="E123" i="140" l="1"/>
  <c r="D124" i="140"/>
  <c r="G121" i="140"/>
  <c r="I120" i="140"/>
  <c r="G122" i="140" l="1"/>
  <c r="I121" i="140"/>
  <c r="E124" i="140"/>
  <c r="D125" i="140"/>
  <c r="E125" i="140" l="1"/>
  <c r="D126" i="140"/>
  <c r="G123" i="140"/>
  <c r="I122" i="140"/>
  <c r="G124" i="140" l="1"/>
  <c r="I123" i="140"/>
  <c r="E126" i="140"/>
  <c r="D127" i="140"/>
  <c r="E127" i="140" l="1"/>
  <c r="D128" i="140"/>
  <c r="G125" i="140"/>
  <c r="I124" i="140"/>
  <c r="I125" i="140" l="1"/>
  <c r="G126" i="140"/>
  <c r="E128" i="140"/>
  <c r="D129" i="140"/>
  <c r="D130" i="140" l="1"/>
  <c r="E129" i="140"/>
  <c r="G127" i="140"/>
  <c r="I126" i="140"/>
  <c r="G128" i="140" l="1"/>
  <c r="I127" i="140"/>
  <c r="D131" i="140"/>
  <c r="E130" i="140"/>
  <c r="E131" i="140" l="1"/>
  <c r="D132" i="140"/>
  <c r="I128" i="140"/>
  <c r="G129" i="140"/>
  <c r="G130" i="140" l="1"/>
  <c r="I129" i="140"/>
  <c r="D133" i="140"/>
  <c r="E132" i="140"/>
  <c r="E133" i="140" l="1"/>
  <c r="D134" i="140"/>
  <c r="G131" i="140"/>
  <c r="I130" i="140"/>
  <c r="G132" i="140" l="1"/>
  <c r="I131" i="140"/>
  <c r="D135" i="140"/>
  <c r="E134" i="140"/>
  <c r="E135" i="140" l="1"/>
  <c r="D136" i="140"/>
  <c r="G133" i="140"/>
  <c r="I132" i="140"/>
  <c r="G134" i="140" l="1"/>
  <c r="I133" i="140"/>
  <c r="D137" i="140"/>
  <c r="E136" i="140"/>
  <c r="I134" i="140" l="1"/>
  <c r="G135" i="140"/>
  <c r="E137" i="140"/>
  <c r="D138" i="140"/>
  <c r="E138" i="140" s="1"/>
  <c r="I135" i="140" l="1"/>
  <c r="G136" i="140"/>
  <c r="D139" i="140"/>
  <c r="E139" i="140" s="1"/>
  <c r="G137" i="140" l="1"/>
  <c r="I136" i="140"/>
  <c r="G138" i="140" l="1"/>
  <c r="I138" i="140" s="1"/>
  <c r="I137" i="140"/>
  <c r="G139" i="140" l="1"/>
  <c r="I139" i="140" s="1"/>
  <c r="K12" i="136" l="1"/>
  <c r="K11" i="136"/>
  <c r="J43" i="20"/>
  <c r="I43" i="20"/>
  <c r="I44" i="20" s="1"/>
  <c r="I29" i="20"/>
  <c r="I34" i="20" s="1"/>
  <c r="I28" i="20"/>
  <c r="I30" i="20" s="1"/>
  <c r="J25" i="20"/>
  <c r="J28" i="20" s="1"/>
  <c r="I25" i="20"/>
  <c r="K40" i="20"/>
  <c r="J18" i="20"/>
  <c r="J20" i="20" s="1"/>
  <c r="I18" i="20"/>
  <c r="I20" i="20" s="1"/>
  <c r="I22" i="20" s="1"/>
  <c r="J11" i="20"/>
  <c r="E155" i="15"/>
  <c r="D155" i="15"/>
  <c r="C155" i="15"/>
  <c r="C163" i="15"/>
  <c r="D162" i="15"/>
  <c r="E162" i="15" s="1"/>
  <c r="C152" i="15" s="1"/>
  <c r="E152" i="15" s="1"/>
  <c r="E161" i="15"/>
  <c r="D160" i="15"/>
  <c r="E160" i="15" s="1"/>
  <c r="D159" i="15"/>
  <c r="E159" i="15" s="1"/>
  <c r="C150" i="15" s="1"/>
  <c r="E150" i="15" s="1"/>
  <c r="F150" i="15" s="1"/>
  <c r="G150" i="15" s="1"/>
  <c r="E158" i="15"/>
  <c r="C149" i="15" s="1"/>
  <c r="E149" i="15" s="1"/>
  <c r="F149" i="15" s="1"/>
  <c r="G149" i="15" s="1"/>
  <c r="E157" i="15"/>
  <c r="C148" i="15" s="1"/>
  <c r="E148" i="15" s="1"/>
  <c r="D156" i="15"/>
  <c r="D163" i="15" s="1"/>
  <c r="G152" i="15"/>
  <c r="G151" i="15"/>
  <c r="C151" i="15"/>
  <c r="E151" i="15" s="1"/>
  <c r="G148" i="15"/>
  <c r="I33" i="20" l="1"/>
  <c r="I35" i="20" s="1"/>
  <c r="G153" i="15"/>
  <c r="E163" i="15"/>
  <c r="E156" i="15"/>
  <c r="C147" i="15" s="1"/>
  <c r="C153" i="15" l="1"/>
  <c r="E147" i="15"/>
  <c r="E153" i="15" l="1"/>
  <c r="F147" i="15"/>
  <c r="F153" i="15" s="1"/>
  <c r="M107" i="3" l="1"/>
  <c r="L107" i="3"/>
  <c r="K107" i="3"/>
  <c r="J107" i="3"/>
  <c r="I107" i="3"/>
  <c r="H107" i="3"/>
  <c r="W118" i="3"/>
  <c r="V118" i="3"/>
  <c r="T118" i="3"/>
  <c r="S118" i="3"/>
  <c r="Q118" i="3"/>
  <c r="P118" i="3"/>
  <c r="N118" i="3"/>
  <c r="AC145" i="73" s="1"/>
  <c r="M118" i="3"/>
  <c r="L118" i="3"/>
  <c r="K118" i="3"/>
  <c r="J118" i="3"/>
  <c r="I118" i="3"/>
  <c r="H118" i="3"/>
  <c r="W117" i="3"/>
  <c r="V117" i="3"/>
  <c r="T117" i="3"/>
  <c r="S117" i="3"/>
  <c r="Q117" i="3"/>
  <c r="P117" i="3"/>
  <c r="N117" i="3"/>
  <c r="M117" i="3"/>
  <c r="L117" i="3"/>
  <c r="K117" i="3"/>
  <c r="J117" i="3"/>
  <c r="I117" i="3"/>
  <c r="H117" i="3"/>
  <c r="W116" i="3"/>
  <c r="V116" i="3"/>
  <c r="T116" i="3"/>
  <c r="S116" i="3"/>
  <c r="Q116" i="3"/>
  <c r="P116" i="3"/>
  <c r="M116" i="3"/>
  <c r="L116" i="3"/>
  <c r="K116" i="3"/>
  <c r="J116" i="3"/>
  <c r="I116" i="3"/>
  <c r="H116" i="3"/>
  <c r="I65" i="139"/>
  <c r="W81" i="3"/>
  <c r="V81" i="3"/>
  <c r="T81" i="3"/>
  <c r="S81" i="3"/>
  <c r="Q81" i="3"/>
  <c r="P81" i="3"/>
  <c r="M81" i="3"/>
  <c r="L81" i="3"/>
  <c r="K81" i="3"/>
  <c r="J81" i="3"/>
  <c r="I81" i="3"/>
  <c r="H81" i="3"/>
  <c r="W80" i="3"/>
  <c r="V80" i="3"/>
  <c r="T80" i="3"/>
  <c r="S80" i="3"/>
  <c r="Q80" i="3"/>
  <c r="P80" i="3"/>
  <c r="N80" i="3"/>
  <c r="M80" i="3"/>
  <c r="L80" i="3"/>
  <c r="K80" i="3"/>
  <c r="J80" i="3"/>
  <c r="I80" i="3"/>
  <c r="H80" i="3"/>
  <c r="N167" i="3"/>
  <c r="N160" i="3"/>
  <c r="N158" i="3"/>
  <c r="N156" i="3"/>
  <c r="W75" i="3"/>
  <c r="V75" i="3"/>
  <c r="T75" i="3"/>
  <c r="S75" i="3"/>
  <c r="Q75" i="3"/>
  <c r="P75" i="3"/>
  <c r="M75" i="3"/>
  <c r="L75" i="3"/>
  <c r="K75" i="3"/>
  <c r="J75" i="3"/>
  <c r="I75" i="3"/>
  <c r="H75" i="3"/>
  <c r="W74" i="3"/>
  <c r="V74" i="3"/>
  <c r="T74" i="3"/>
  <c r="S74" i="3"/>
  <c r="Q74" i="3"/>
  <c r="P74" i="3"/>
  <c r="M74" i="3"/>
  <c r="L74" i="3"/>
  <c r="K74" i="3"/>
  <c r="J74" i="3"/>
  <c r="I74" i="3"/>
  <c r="H74" i="3"/>
  <c r="I79" i="139"/>
  <c r="I80" i="139"/>
  <c r="N149" i="3"/>
  <c r="N168" i="3" s="1"/>
  <c r="N148" i="3"/>
  <c r="N147" i="3"/>
  <c r="N146" i="3"/>
  <c r="N145" i="3"/>
  <c r="N142" i="3"/>
  <c r="N141" i="3"/>
  <c r="N140" i="3"/>
  <c r="N139" i="3"/>
  <c r="N138" i="3"/>
  <c r="N137" i="3"/>
  <c r="N134" i="3"/>
  <c r="N133" i="3"/>
  <c r="N129" i="3"/>
  <c r="N128" i="3"/>
  <c r="N119" i="3"/>
  <c r="N115" i="3"/>
  <c r="N114" i="3"/>
  <c r="N112" i="3"/>
  <c r="N111" i="3"/>
  <c r="N110" i="3"/>
  <c r="N109" i="3"/>
  <c r="N108" i="3"/>
  <c r="N105" i="3"/>
  <c r="N104" i="3"/>
  <c r="N103" i="3"/>
  <c r="N101" i="3"/>
  <c r="N100" i="3"/>
  <c r="N99" i="3"/>
  <c r="N97" i="3"/>
  <c r="N96" i="3"/>
  <c r="N94" i="3"/>
  <c r="N93" i="3"/>
  <c r="N91" i="3"/>
  <c r="N87" i="3"/>
  <c r="N86" i="3"/>
  <c r="N85" i="3"/>
  <c r="N83" i="3"/>
  <c r="N82" i="3"/>
  <c r="N76" i="3"/>
  <c r="N73" i="3"/>
  <c r="N70" i="3"/>
  <c r="N67" i="3"/>
  <c r="N66" i="3"/>
  <c r="N65" i="3"/>
  <c r="N64" i="3"/>
  <c r="N61" i="3"/>
  <c r="N60" i="3"/>
  <c r="N57" i="3"/>
  <c r="N56" i="3"/>
  <c r="N55" i="3"/>
  <c r="N54" i="3"/>
  <c r="N51" i="3"/>
  <c r="N50" i="3"/>
  <c r="N49" i="3"/>
  <c r="N47" i="3"/>
  <c r="N46" i="3"/>
  <c r="N45" i="3"/>
  <c r="N44" i="3"/>
  <c r="N42" i="3"/>
  <c r="N41" i="3"/>
  <c r="N38" i="3"/>
  <c r="N37" i="3"/>
  <c r="N35" i="3"/>
  <c r="N32" i="3"/>
  <c r="N31" i="3"/>
  <c r="N28" i="3"/>
  <c r="N27" i="3"/>
  <c r="N26" i="3"/>
  <c r="N25" i="3"/>
  <c r="N23" i="3"/>
  <c r="N19" i="3"/>
  <c r="N16" i="3"/>
  <c r="N14" i="3"/>
  <c r="N12" i="3"/>
  <c r="I69" i="82" s="1"/>
  <c r="N11" i="3"/>
  <c r="I67" i="82" s="1"/>
  <c r="N9" i="3"/>
  <c r="N7" i="3"/>
  <c r="C24" i="46" l="1"/>
  <c r="C25" i="46" s="1"/>
  <c r="O118" i="3"/>
  <c r="R118" i="3" s="1"/>
  <c r="U118" i="3" s="1"/>
  <c r="X118" i="3" s="1"/>
  <c r="O117" i="3"/>
  <c r="R117" i="3" s="1"/>
  <c r="U117" i="3" s="1"/>
  <c r="X117" i="3" s="1"/>
  <c r="O80" i="3"/>
  <c r="R80" i="3" s="1"/>
  <c r="U80" i="3" s="1"/>
  <c r="X80" i="3" s="1"/>
  <c r="D95" i="109" l="1"/>
  <c r="D8" i="141"/>
  <c r="I66" i="139"/>
  <c r="I64" i="139"/>
  <c r="N116" i="3" s="1"/>
  <c r="I53" i="139"/>
  <c r="I52" i="139"/>
  <c r="I51" i="139"/>
  <c r="I50" i="139"/>
  <c r="I49" i="139"/>
  <c r="I48" i="139"/>
  <c r="N79" i="3" s="1"/>
  <c r="I46" i="139"/>
  <c r="I45" i="139"/>
  <c r="N78" i="3" s="1"/>
  <c r="I37" i="139"/>
  <c r="N63" i="3" s="1"/>
  <c r="I36" i="139"/>
  <c r="N62" i="3" s="1"/>
  <c r="I35" i="139"/>
  <c r="N59" i="3" s="1"/>
  <c r="I34" i="139"/>
  <c r="N58" i="3" s="1"/>
  <c r="I33" i="139"/>
  <c r="N53" i="3" s="1"/>
  <c r="I32" i="139"/>
  <c r="N52" i="3" s="1"/>
  <c r="I30" i="139"/>
  <c r="I28" i="139"/>
  <c r="N34" i="3" s="1"/>
  <c r="I27" i="139"/>
  <c r="N33" i="3" s="1"/>
  <c r="I26" i="139"/>
  <c r="N30" i="3" s="1"/>
  <c r="I25" i="139"/>
  <c r="N29" i="3" s="1"/>
  <c r="I19" i="139"/>
  <c r="N18" i="3" s="1"/>
  <c r="I18" i="139"/>
  <c r="N17" i="3" s="1"/>
  <c r="I15" i="139"/>
  <c r="N10" i="3" s="1"/>
  <c r="I85" i="139"/>
  <c r="I84" i="139"/>
  <c r="I83" i="139"/>
  <c r="I82" i="139"/>
  <c r="I81" i="139"/>
  <c r="I78" i="139"/>
  <c r="I77" i="139"/>
  <c r="I76" i="139"/>
  <c r="I75" i="139"/>
  <c r="N130" i="3" s="1"/>
  <c r="I74" i="139"/>
  <c r="N127" i="3" s="1"/>
  <c r="I73" i="139"/>
  <c r="I72" i="139"/>
  <c r="N124" i="3" s="1"/>
  <c r="I71" i="139"/>
  <c r="N123" i="3" s="1"/>
  <c r="I70" i="139"/>
  <c r="I68" i="139"/>
  <c r="I67" i="139"/>
  <c r="N113" i="3" s="1"/>
  <c r="AC136" i="73" s="1"/>
  <c r="I63" i="139"/>
  <c r="I62" i="139"/>
  <c r="N102" i="3" s="1"/>
  <c r="AC121" i="73" s="1"/>
  <c r="I61" i="139"/>
  <c r="N98" i="3" s="1"/>
  <c r="AC101" i="73" s="1"/>
  <c r="I60" i="139"/>
  <c r="I59" i="139"/>
  <c r="N95" i="3" s="1"/>
  <c r="AC111" i="73" s="1"/>
  <c r="I58" i="139"/>
  <c r="I57" i="139"/>
  <c r="N92" i="3" s="1"/>
  <c r="AC100" i="73" s="1"/>
  <c r="I56" i="139"/>
  <c r="I54" i="139"/>
  <c r="I47" i="139"/>
  <c r="N81" i="3" s="1"/>
  <c r="O81" i="3" s="1"/>
  <c r="R81" i="3" s="1"/>
  <c r="U81" i="3" s="1"/>
  <c r="X81" i="3" s="1"/>
  <c r="D72" i="109" s="1"/>
  <c r="D71" i="109" s="1"/>
  <c r="D15" i="36" s="1"/>
  <c r="I43" i="139"/>
  <c r="N74" i="3" s="1"/>
  <c r="O74" i="3" s="1"/>
  <c r="R74" i="3" s="1"/>
  <c r="U74" i="3" s="1"/>
  <c r="X74" i="3" s="1"/>
  <c r="D68" i="109" s="1"/>
  <c r="I42" i="139"/>
  <c r="N72" i="3" s="1"/>
  <c r="I41" i="139"/>
  <c r="N71" i="3" s="1"/>
  <c r="I40" i="139"/>
  <c r="N75" i="3" s="1"/>
  <c r="O75" i="3" s="1"/>
  <c r="R75" i="3" s="1"/>
  <c r="U75" i="3" s="1"/>
  <c r="X75" i="3" s="1"/>
  <c r="D70" i="109" s="1"/>
  <c r="I39" i="139"/>
  <c r="N69" i="3" s="1"/>
  <c r="I31" i="139"/>
  <c r="I23" i="139"/>
  <c r="N20" i="3" s="1"/>
  <c r="I22" i="139"/>
  <c r="N22" i="3" s="1"/>
  <c r="I21" i="139"/>
  <c r="N21" i="3" s="1"/>
  <c r="I20" i="139"/>
  <c r="I17" i="139"/>
  <c r="N15" i="3" s="1"/>
  <c r="I16" i="139"/>
  <c r="N13" i="3" s="1"/>
  <c r="I14" i="139"/>
  <c r="N8" i="3" s="1"/>
  <c r="AC12" i="73" s="1"/>
  <c r="Q11" i="73" s="1"/>
  <c r="N107" i="3" l="1"/>
  <c r="G21" i="87" s="1"/>
  <c r="AC147" i="73"/>
  <c r="O116" i="3"/>
  <c r="R116" i="3" s="1"/>
  <c r="U116" i="3" s="1"/>
  <c r="X116" i="3" s="1"/>
  <c r="E88" i="73"/>
  <c r="AH88" i="73" s="1"/>
  <c r="A88" i="73" s="1"/>
  <c r="I24" i="40"/>
  <c r="I26" i="40"/>
  <c r="D94" i="109"/>
  <c r="E145" i="73"/>
  <c r="D9" i="141"/>
  <c r="J113" i="10"/>
  <c r="J110" i="10"/>
  <c r="M113" i="10"/>
  <c r="C76" i="10"/>
  <c r="E64" i="10"/>
  <c r="E32" i="10"/>
  <c r="E18" i="10"/>
  <c r="D9" i="42" l="1"/>
  <c r="D12" i="42" s="1"/>
  <c r="D91" i="109"/>
  <c r="E147" i="73" s="1"/>
  <c r="AH145" i="73"/>
  <c r="A145" i="73" s="1"/>
  <c r="E144" i="73"/>
  <c r="F145" i="73"/>
  <c r="D57" i="105"/>
  <c r="C57" i="105"/>
  <c r="D53" i="125"/>
  <c r="H29" i="124"/>
  <c r="D81" i="124"/>
  <c r="D62" i="124"/>
  <c r="D29" i="99"/>
  <c r="H84" i="99"/>
  <c r="D48" i="100"/>
  <c r="D53" i="100"/>
  <c r="D33" i="100"/>
  <c r="D31" i="100"/>
  <c r="D30" i="100"/>
  <c r="D25" i="100"/>
  <c r="E32" i="99"/>
  <c r="D20" i="99"/>
  <c r="F147" i="73" l="1"/>
  <c r="E146" i="73"/>
  <c r="AH147" i="73"/>
  <c r="A147" i="73" s="1"/>
  <c r="D13" i="42"/>
  <c r="H76" i="127"/>
  <c r="H76" i="107"/>
  <c r="H29" i="126"/>
  <c r="H24" i="128" l="1"/>
  <c r="M61" i="114" l="1"/>
  <c r="M55" i="114"/>
  <c r="M46" i="114"/>
  <c r="M40" i="114"/>
  <c r="M27" i="114"/>
  <c r="M5" i="114"/>
  <c r="M54" i="114" l="1"/>
  <c r="M3" i="114"/>
  <c r="M2" i="114" s="1"/>
  <c r="M39" i="114"/>
  <c r="M66" i="114" l="1"/>
  <c r="M68" i="114" s="1"/>
  <c r="J189" i="95" l="1"/>
  <c r="C72" i="58" l="1"/>
  <c r="H240" i="47"/>
  <c r="H226" i="47"/>
  <c r="H223" i="47"/>
  <c r="H209" i="47"/>
  <c r="C205" i="47"/>
  <c r="I10" i="119"/>
  <c r="E10" i="51"/>
  <c r="D38" i="73"/>
  <c r="C10" i="48"/>
  <c r="AC49" i="73"/>
  <c r="C38" i="73"/>
  <c r="M38" i="73" s="1"/>
  <c r="AF71" i="73"/>
  <c r="M132" i="10"/>
  <c r="T140" i="3" s="1"/>
  <c r="Q91" i="10"/>
  <c r="P91" i="10"/>
  <c r="Q89" i="10"/>
  <c r="E89" i="10"/>
  <c r="M89" i="10" s="1"/>
  <c r="U119" i="5" l="1"/>
  <c r="J89" i="10"/>
  <c r="N89" i="10"/>
  <c r="J58" i="10"/>
  <c r="E1" i="110" l="1"/>
  <c r="C39" i="41" l="1"/>
  <c r="C38" i="41"/>
  <c r="C37" i="41"/>
  <c r="C28" i="41"/>
  <c r="C27" i="41"/>
  <c r="C25" i="41"/>
  <c r="C24" i="41"/>
  <c r="C36" i="41"/>
  <c r="H11" i="112"/>
  <c r="X46" i="5"/>
  <c r="W46" i="5"/>
  <c r="U46" i="5"/>
  <c r="T46" i="5"/>
  <c r="R46" i="5"/>
  <c r="Q46" i="5"/>
  <c r="J46" i="5"/>
  <c r="I46" i="5"/>
  <c r="J195" i="95"/>
  <c r="J194" i="95"/>
  <c r="J193" i="95"/>
  <c r="J192" i="95"/>
  <c r="J191" i="95"/>
  <c r="J190" i="95"/>
  <c r="J188" i="95"/>
  <c r="J187" i="95"/>
  <c r="J186" i="95"/>
  <c r="J185" i="95"/>
  <c r="J184" i="95"/>
  <c r="J183" i="95"/>
  <c r="J182" i="95"/>
  <c r="J181" i="95"/>
  <c r="J180" i="95"/>
  <c r="J179" i="95"/>
  <c r="J178" i="95"/>
  <c r="J177" i="95"/>
  <c r="J176" i="95"/>
  <c r="J175" i="95"/>
  <c r="J174" i="95"/>
  <c r="J173" i="95"/>
  <c r="J172" i="95"/>
  <c r="J171" i="95"/>
  <c r="J170" i="95"/>
  <c r="J169" i="95"/>
  <c r="J168" i="95"/>
  <c r="J167" i="95"/>
  <c r="J166" i="95"/>
  <c r="J165" i="95"/>
  <c r="J164" i="95"/>
  <c r="J163" i="95"/>
  <c r="J162" i="95"/>
  <c r="J161" i="95"/>
  <c r="J160" i="95"/>
  <c r="J159" i="95"/>
  <c r="J158" i="95"/>
  <c r="J157" i="95"/>
  <c r="J156" i="95"/>
  <c r="J155" i="95"/>
  <c r="J154" i="95"/>
  <c r="J153" i="95"/>
  <c r="J152" i="95"/>
  <c r="J151" i="95"/>
  <c r="J150" i="95"/>
  <c r="J149" i="95"/>
  <c r="J148" i="95"/>
  <c r="J147" i="95"/>
  <c r="J146" i="95"/>
  <c r="J145" i="95"/>
  <c r="J144" i="95"/>
  <c r="J143" i="95"/>
  <c r="J142" i="95"/>
  <c r="J141" i="95"/>
  <c r="J140" i="95"/>
  <c r="J139" i="95"/>
  <c r="J138" i="95"/>
  <c r="J137" i="95"/>
  <c r="J136" i="95"/>
  <c r="J135" i="95"/>
  <c r="J134" i="95"/>
  <c r="B106" i="95"/>
  <c r="J45" i="95"/>
  <c r="J48" i="95"/>
  <c r="J6" i="136" l="1"/>
  <c r="N6" i="136"/>
  <c r="C97" i="136"/>
  <c r="B105" i="136"/>
  <c r="B106" i="136" s="1"/>
  <c r="B107" i="136" s="1"/>
  <c r="B108" i="136" s="1"/>
  <c r="B109" i="136" s="1"/>
  <c r="B110" i="136" s="1"/>
  <c r="B111" i="136" s="1"/>
  <c r="B112" i="136" s="1"/>
  <c r="B113" i="136" s="1"/>
  <c r="B114" i="136" s="1"/>
  <c r="B115" i="136" s="1"/>
  <c r="B116" i="136" s="1"/>
  <c r="B117" i="136" s="1"/>
  <c r="B118" i="136" s="1"/>
  <c r="B119" i="136" s="1"/>
  <c r="B120" i="136" s="1"/>
  <c r="B121" i="136" s="1"/>
  <c r="B122" i="136" s="1"/>
  <c r="B123" i="136" s="1"/>
  <c r="B124" i="136" s="1"/>
  <c r="B125" i="136" s="1"/>
  <c r="B126" i="136" s="1"/>
  <c r="B127" i="136" s="1"/>
  <c r="B128" i="136" s="1"/>
  <c r="B129" i="136" s="1"/>
  <c r="B130" i="136" s="1"/>
  <c r="B131" i="136" s="1"/>
  <c r="B132" i="136" s="1"/>
  <c r="B133" i="136" s="1"/>
  <c r="B134" i="136" s="1"/>
  <c r="B135" i="136" s="1"/>
  <c r="B136" i="136" s="1"/>
  <c r="B137" i="136" s="1"/>
  <c r="B138" i="136" s="1"/>
  <c r="B139" i="136" s="1"/>
  <c r="B140" i="136" s="1"/>
  <c r="B141" i="136" s="1"/>
  <c r="B142" i="136" s="1"/>
  <c r="B143" i="136" s="1"/>
  <c r="B144" i="136" s="1"/>
  <c r="B145" i="136" s="1"/>
  <c r="B146" i="136" s="1"/>
  <c r="B147" i="136" s="1"/>
  <c r="B148" i="136" s="1"/>
  <c r="B149" i="136" s="1"/>
  <c r="B150" i="136" s="1"/>
  <c r="B151" i="136" s="1"/>
  <c r="B152" i="136" s="1"/>
  <c r="B153" i="136" s="1"/>
  <c r="B154" i="136" s="1"/>
  <c r="B155" i="136" s="1"/>
  <c r="B156" i="136" s="1"/>
  <c r="B157" i="136" s="1"/>
  <c r="B158" i="136" s="1"/>
  <c r="B159" i="136" s="1"/>
  <c r="B160" i="136" s="1"/>
  <c r="B161" i="136" s="1"/>
  <c r="B162" i="136" s="1"/>
  <c r="B163" i="136" s="1"/>
  <c r="B164" i="136" s="1"/>
  <c r="F104" i="136"/>
  <c r="K9" i="136"/>
  <c r="C22" i="136"/>
  <c r="C77" i="136" s="1"/>
  <c r="C73" i="136"/>
  <c r="C70" i="136"/>
  <c r="K8" i="136"/>
  <c r="H104" i="136" l="1"/>
  <c r="C74" i="136"/>
  <c r="C75" i="136" s="1"/>
  <c r="C79" i="136" l="1"/>
  <c r="C80" i="136" s="1"/>
  <c r="C92" i="136" s="1"/>
  <c r="C29" i="41" l="1"/>
  <c r="C26" i="41"/>
  <c r="C48" i="136"/>
  <c r="D6" i="136"/>
  <c r="C86" i="136"/>
  <c r="J7" i="136"/>
  <c r="I7" i="136"/>
  <c r="H7" i="136"/>
  <c r="G7" i="136"/>
  <c r="F7" i="136"/>
  <c r="N7" i="136"/>
  <c r="K6" i="136"/>
  <c r="I69" i="11"/>
  <c r="G140" i="108"/>
  <c r="G130" i="108"/>
  <c r="H130" i="108" s="1"/>
  <c r="G129" i="108"/>
  <c r="H129" i="108" s="1"/>
  <c r="H128" i="108"/>
  <c r="G128" i="108"/>
  <c r="G127" i="108"/>
  <c r="H127" i="108" s="1"/>
  <c r="E64" i="108"/>
  <c r="D64" i="108"/>
  <c r="E63" i="108"/>
  <c r="D63" i="108"/>
  <c r="I39" i="108"/>
  <c r="B39" i="108"/>
  <c r="B46" i="108" s="1"/>
  <c r="B63" i="108" s="1"/>
  <c r="D20" i="108"/>
  <c r="C20" i="108"/>
  <c r="D218" i="107"/>
  <c r="G217" i="107"/>
  <c r="G207" i="107"/>
  <c r="H207" i="107" s="1"/>
  <c r="G206" i="107"/>
  <c r="H206" i="107" s="1"/>
  <c r="G205" i="107"/>
  <c r="H205" i="107" s="1"/>
  <c r="H204" i="107"/>
  <c r="G204" i="107"/>
  <c r="E113" i="107"/>
  <c r="D113" i="107"/>
  <c r="F76" i="107" s="1"/>
  <c r="B113" i="107"/>
  <c r="B63" i="107"/>
  <c r="B76" i="107" s="1"/>
  <c r="D25" i="107"/>
  <c r="C25" i="107"/>
  <c r="F16" i="136" l="1"/>
  <c r="F13" i="136"/>
  <c r="G16" i="136"/>
  <c r="G13" i="136"/>
  <c r="J16" i="136"/>
  <c r="J13" i="136"/>
  <c r="I16" i="136"/>
  <c r="I13" i="136"/>
  <c r="H16" i="136"/>
  <c r="H13" i="136"/>
  <c r="D7" i="136"/>
  <c r="D8" i="136" s="1"/>
  <c r="E8" i="136" s="1"/>
  <c r="C93" i="136"/>
  <c r="K7" i="136"/>
  <c r="K13" i="136" s="1"/>
  <c r="E6" i="136"/>
  <c r="L6" i="136"/>
  <c r="F46" i="108"/>
  <c r="D46" i="108"/>
  <c r="G177" i="105"/>
  <c r="G168" i="105"/>
  <c r="H168" i="105" s="1"/>
  <c r="G167" i="105"/>
  <c r="H167" i="105" s="1"/>
  <c r="G166" i="105"/>
  <c r="H166" i="105" s="1"/>
  <c r="H165" i="105"/>
  <c r="G165" i="105"/>
  <c r="G180" i="105" s="1"/>
  <c r="F56" i="105"/>
  <c r="F55" i="105"/>
  <c r="E74" i="105"/>
  <c r="D74" i="105"/>
  <c r="B56" i="105"/>
  <c r="B74" i="105" s="1"/>
  <c r="B47" i="105"/>
  <c r="D27" i="105"/>
  <c r="C27" i="105"/>
  <c r="H326" i="67"/>
  <c r="G326" i="67"/>
  <c r="F326" i="67"/>
  <c r="F327" i="67" s="1"/>
  <c r="K326" i="67"/>
  <c r="J326" i="67"/>
  <c r="G336" i="67"/>
  <c r="G333" i="67"/>
  <c r="G356" i="67"/>
  <c r="G346" i="67"/>
  <c r="H346" i="67" s="1"/>
  <c r="H345" i="67"/>
  <c r="G345" i="67"/>
  <c r="E334" i="67"/>
  <c r="G327" i="67"/>
  <c r="K323" i="67"/>
  <c r="K327" i="67" s="1"/>
  <c r="H323" i="67"/>
  <c r="G323" i="67"/>
  <c r="F323" i="67"/>
  <c r="D323" i="67"/>
  <c r="F84" i="67"/>
  <c r="E123" i="67"/>
  <c r="D123" i="67"/>
  <c r="B70" i="67"/>
  <c r="B84" i="67" s="1"/>
  <c r="B123" i="67" s="1"/>
  <c r="K16" i="136" l="1"/>
  <c r="L8" i="136"/>
  <c r="M8" i="136" s="1"/>
  <c r="D9" i="136"/>
  <c r="E7" i="136"/>
  <c r="C31" i="41"/>
  <c r="C30" i="41"/>
  <c r="E335" i="67"/>
  <c r="E104" i="136"/>
  <c r="C100" i="136"/>
  <c r="C105" i="136" s="1"/>
  <c r="C164" i="136" s="1"/>
  <c r="F164" i="136" s="1"/>
  <c r="L9" i="136"/>
  <c r="M6" i="136"/>
  <c r="M7" i="136" s="1"/>
  <c r="L7" i="136"/>
  <c r="H327" i="67"/>
  <c r="D41" i="114"/>
  <c r="D27" i="67"/>
  <c r="C27" i="67"/>
  <c r="D49" i="100"/>
  <c r="C170" i="136" l="1"/>
  <c r="E9" i="136"/>
  <c r="D11" i="136"/>
  <c r="E102" i="10"/>
  <c r="E336" i="67"/>
  <c r="M9" i="136"/>
  <c r="N9" i="136"/>
  <c r="C152" i="136"/>
  <c r="C136" i="136"/>
  <c r="C120" i="136"/>
  <c r="C119" i="136"/>
  <c r="C149" i="136"/>
  <c r="C148" i="136"/>
  <c r="C137" i="136"/>
  <c r="C151" i="136"/>
  <c r="C135" i="136"/>
  <c r="C150" i="136"/>
  <c r="C134" i="136"/>
  <c r="C118" i="136"/>
  <c r="C133" i="136"/>
  <c r="C117" i="136"/>
  <c r="C116" i="136"/>
  <c r="F105" i="136"/>
  <c r="H105" i="136" s="1"/>
  <c r="C132" i="136"/>
  <c r="C163" i="136"/>
  <c r="C147" i="136"/>
  <c r="C131" i="136"/>
  <c r="C115" i="136"/>
  <c r="C159" i="136"/>
  <c r="C126" i="136"/>
  <c r="C141" i="136"/>
  <c r="C109" i="136"/>
  <c r="C162" i="136"/>
  <c r="C146" i="136"/>
  <c r="C130" i="136"/>
  <c r="C114" i="136"/>
  <c r="C127" i="136"/>
  <c r="C158" i="136"/>
  <c r="C125" i="136"/>
  <c r="C140" i="136"/>
  <c r="C108" i="136"/>
  <c r="C153" i="136"/>
  <c r="C161" i="136"/>
  <c r="C145" i="136"/>
  <c r="C129" i="136"/>
  <c r="C113" i="136"/>
  <c r="C111" i="136"/>
  <c r="C142" i="136"/>
  <c r="C138" i="136"/>
  <c r="C106" i="136"/>
  <c r="C160" i="136"/>
  <c r="C144" i="136"/>
  <c r="C128" i="136"/>
  <c r="C112" i="136"/>
  <c r="C143" i="136"/>
  <c r="C110" i="136"/>
  <c r="C157" i="136"/>
  <c r="C156" i="136"/>
  <c r="C124" i="136"/>
  <c r="C154" i="136"/>
  <c r="C122" i="136"/>
  <c r="C121" i="136"/>
  <c r="C155" i="136"/>
  <c r="C139" i="136"/>
  <c r="C123" i="136"/>
  <c r="C107" i="136"/>
  <c r="D105" i="136"/>
  <c r="E105" i="136" s="1"/>
  <c r="I323" i="67"/>
  <c r="D12" i="136" l="1"/>
  <c r="L11" i="136"/>
  <c r="E11" i="136"/>
  <c r="P8" i="136"/>
  <c r="C171" i="136" s="1"/>
  <c r="D181" i="136" s="1"/>
  <c r="F112" i="136"/>
  <c r="H112" i="136" s="1"/>
  <c r="F158" i="136"/>
  <c r="H158" i="136" s="1"/>
  <c r="F116" i="136"/>
  <c r="H116" i="136" s="1"/>
  <c r="F128" i="136"/>
  <c r="H128" i="136" s="1"/>
  <c r="F127" i="136"/>
  <c r="H127" i="136" s="1"/>
  <c r="F117" i="136"/>
  <c r="H117" i="136" s="1"/>
  <c r="F144" i="136"/>
  <c r="H144" i="136" s="1"/>
  <c r="F114" i="136"/>
  <c r="H114" i="136" s="1"/>
  <c r="F133" i="136"/>
  <c r="H133" i="136" s="1"/>
  <c r="F160" i="136"/>
  <c r="H160" i="136" s="1"/>
  <c r="F130" i="136"/>
  <c r="H130" i="136" s="1"/>
  <c r="F118" i="136"/>
  <c r="H118" i="136" s="1"/>
  <c r="F107" i="136"/>
  <c r="H107" i="136" s="1"/>
  <c r="F106" i="136"/>
  <c r="H106" i="136" s="1"/>
  <c r="D106" i="136"/>
  <c r="E106" i="136" s="1"/>
  <c r="F146" i="136"/>
  <c r="H146" i="136" s="1"/>
  <c r="F134" i="136"/>
  <c r="H134" i="136" s="1"/>
  <c r="F123" i="136"/>
  <c r="H123" i="136" s="1"/>
  <c r="F138" i="136"/>
  <c r="H138" i="136" s="1"/>
  <c r="F162" i="136"/>
  <c r="H162" i="136" s="1"/>
  <c r="F150" i="136"/>
  <c r="H150" i="136" s="1"/>
  <c r="F139" i="136"/>
  <c r="H139" i="136" s="1"/>
  <c r="F142" i="136"/>
  <c r="H142" i="136" s="1"/>
  <c r="F109" i="136"/>
  <c r="H109" i="136" s="1"/>
  <c r="F135" i="136"/>
  <c r="H135" i="136" s="1"/>
  <c r="F155" i="136"/>
  <c r="H155" i="136" s="1"/>
  <c r="F111" i="136"/>
  <c r="H111" i="136" s="1"/>
  <c r="F141" i="136"/>
  <c r="H141" i="136" s="1"/>
  <c r="F151" i="136"/>
  <c r="H151" i="136" s="1"/>
  <c r="F121" i="136"/>
  <c r="H121" i="136" s="1"/>
  <c r="F113" i="136"/>
  <c r="H113" i="136" s="1"/>
  <c r="F126" i="136"/>
  <c r="H126" i="136" s="1"/>
  <c r="F137" i="136"/>
  <c r="H137" i="136" s="1"/>
  <c r="F122" i="136"/>
  <c r="H122" i="136" s="1"/>
  <c r="F129" i="136"/>
  <c r="H129" i="136" s="1"/>
  <c r="F159" i="136"/>
  <c r="H159" i="136" s="1"/>
  <c r="F148" i="136"/>
  <c r="H148" i="136" s="1"/>
  <c r="F154" i="136"/>
  <c r="H154" i="136" s="1"/>
  <c r="F145" i="136"/>
  <c r="H145" i="136" s="1"/>
  <c r="F115" i="136"/>
  <c r="H115" i="136" s="1"/>
  <c r="F124" i="136"/>
  <c r="H124" i="136" s="1"/>
  <c r="F161" i="136"/>
  <c r="H161" i="136" s="1"/>
  <c r="F131" i="136"/>
  <c r="H131" i="136" s="1"/>
  <c r="F149" i="136"/>
  <c r="H149" i="136" s="1"/>
  <c r="F156" i="136"/>
  <c r="H156" i="136" s="1"/>
  <c r="F153" i="136"/>
  <c r="H153" i="136" s="1"/>
  <c r="F147" i="136"/>
  <c r="H147" i="136" s="1"/>
  <c r="F119" i="136"/>
  <c r="H119" i="136" s="1"/>
  <c r="F157" i="136"/>
  <c r="H157" i="136" s="1"/>
  <c r="F108" i="136"/>
  <c r="H108" i="136" s="1"/>
  <c r="F163" i="136"/>
  <c r="H163" i="136" s="1"/>
  <c r="F120" i="136"/>
  <c r="H120" i="136" s="1"/>
  <c r="F110" i="136"/>
  <c r="H110" i="136" s="1"/>
  <c r="F140" i="136"/>
  <c r="H140" i="136" s="1"/>
  <c r="F132" i="136"/>
  <c r="H132" i="136" s="1"/>
  <c r="F136" i="136"/>
  <c r="H136" i="136" s="1"/>
  <c r="F143" i="136"/>
  <c r="H143" i="136" s="1"/>
  <c r="F125" i="136"/>
  <c r="H125" i="136" s="1"/>
  <c r="F152" i="136"/>
  <c r="H152" i="136" s="1"/>
  <c r="N11" i="136" l="1"/>
  <c r="M11" i="136"/>
  <c r="L12" i="136"/>
  <c r="L13" i="136" s="1"/>
  <c r="E12" i="136"/>
  <c r="E13" i="136" s="1"/>
  <c r="D13" i="136"/>
  <c r="N8" i="136"/>
  <c r="C174" i="136"/>
  <c r="F84" i="104"/>
  <c r="I84" i="104" s="1"/>
  <c r="H164" i="136"/>
  <c r="C94" i="136"/>
  <c r="C95" i="136" s="1"/>
  <c r="G104" i="136"/>
  <c r="C87" i="136" s="1"/>
  <c r="D107" i="136"/>
  <c r="N12" i="136" l="1"/>
  <c r="N13" i="136" s="1"/>
  <c r="C144" i="140"/>
  <c r="C145" i="140" s="1"/>
  <c r="C160" i="140" s="1"/>
  <c r="C164" i="140" s="1"/>
  <c r="D174" i="136"/>
  <c r="M12" i="136"/>
  <c r="M13" i="136" s="1"/>
  <c r="F181" i="136"/>
  <c r="G105" i="136"/>
  <c r="I105" i="136" s="1"/>
  <c r="I104" i="136"/>
  <c r="E107" i="136"/>
  <c r="D108" i="136"/>
  <c r="F80" i="11" l="1"/>
  <c r="E160" i="140"/>
  <c r="I80" i="11" s="1"/>
  <c r="G106" i="136"/>
  <c r="I106" i="136" s="1"/>
  <c r="P6" i="136"/>
  <c r="C88" i="136"/>
  <c r="D95" i="136" s="1"/>
  <c r="E108" i="136"/>
  <c r="D109" i="136"/>
  <c r="G107" i="136" l="1"/>
  <c r="G108" i="136"/>
  <c r="I107" i="136"/>
  <c r="P7" i="136"/>
  <c r="O6" i="136"/>
  <c r="D88" i="136" s="1"/>
  <c r="E109" i="136"/>
  <c r="D110" i="136"/>
  <c r="P12" i="136" l="1"/>
  <c r="P13" i="136"/>
  <c r="G46" i="41" s="1"/>
  <c r="I108" i="136"/>
  <c r="G109" i="136"/>
  <c r="G110" i="136" s="1"/>
  <c r="G111" i="136" s="1"/>
  <c r="G112" i="136" s="1"/>
  <c r="G113" i="136" s="1"/>
  <c r="G114" i="136" s="1"/>
  <c r="G115" i="136" s="1"/>
  <c r="G116" i="136" s="1"/>
  <c r="G117" i="136" s="1"/>
  <c r="G118" i="136" s="1"/>
  <c r="G119" i="136" s="1"/>
  <c r="G120" i="136" s="1"/>
  <c r="G121" i="136" s="1"/>
  <c r="G122" i="136" s="1"/>
  <c r="G123" i="136" s="1"/>
  <c r="G124" i="136" s="1"/>
  <c r="G125" i="136" s="1"/>
  <c r="G126" i="136" s="1"/>
  <c r="G127" i="136" s="1"/>
  <c r="G128" i="136" s="1"/>
  <c r="G129" i="136" s="1"/>
  <c r="G130" i="136" s="1"/>
  <c r="G131" i="136" s="1"/>
  <c r="G132" i="136" s="1"/>
  <c r="G133" i="136" s="1"/>
  <c r="G134" i="136" s="1"/>
  <c r="G135" i="136" s="1"/>
  <c r="G136" i="136" s="1"/>
  <c r="G137" i="136" s="1"/>
  <c r="G138" i="136" s="1"/>
  <c r="G139" i="136" s="1"/>
  <c r="G140" i="136" s="1"/>
  <c r="G141" i="136" s="1"/>
  <c r="G142" i="136" s="1"/>
  <c r="G143" i="136" s="1"/>
  <c r="G144" i="136" s="1"/>
  <c r="G145" i="136" s="1"/>
  <c r="G146" i="136" s="1"/>
  <c r="G147" i="136" s="1"/>
  <c r="G148" i="136" s="1"/>
  <c r="G149" i="136" s="1"/>
  <c r="G150" i="136" s="1"/>
  <c r="G151" i="136" s="1"/>
  <c r="G152" i="136" s="1"/>
  <c r="G153" i="136" s="1"/>
  <c r="G154" i="136" s="1"/>
  <c r="G155" i="136" s="1"/>
  <c r="G156" i="136" s="1"/>
  <c r="G157" i="136" s="1"/>
  <c r="G158" i="136" s="1"/>
  <c r="G159" i="136" s="1"/>
  <c r="G160" i="136" s="1"/>
  <c r="G161" i="136" s="1"/>
  <c r="G162" i="136" s="1"/>
  <c r="G163" i="136" s="1"/>
  <c r="G164" i="136" s="1"/>
  <c r="O7" i="136"/>
  <c r="E110" i="136"/>
  <c r="I110" i="136" s="1"/>
  <c r="D111" i="136"/>
  <c r="O12" i="136" l="1"/>
  <c r="O13" i="136"/>
  <c r="F46" i="41" s="1"/>
  <c r="I109" i="136"/>
  <c r="E111" i="136"/>
  <c r="I111" i="136" s="1"/>
  <c r="D112" i="136"/>
  <c r="E112" i="136" l="1"/>
  <c r="I112" i="136" s="1"/>
  <c r="D113" i="136"/>
  <c r="E113" i="136" l="1"/>
  <c r="I113" i="136" s="1"/>
  <c r="D114" i="136"/>
  <c r="E114" i="136" l="1"/>
  <c r="I114" i="136" s="1"/>
  <c r="D115" i="136"/>
  <c r="E115" i="136" l="1"/>
  <c r="I115" i="136" s="1"/>
  <c r="D116" i="136"/>
  <c r="E116" i="136" l="1"/>
  <c r="I116" i="136" s="1"/>
  <c r="D117" i="136"/>
  <c r="E117" i="136" l="1"/>
  <c r="I117" i="136" s="1"/>
  <c r="D118" i="136"/>
  <c r="E118" i="136" l="1"/>
  <c r="I118" i="136" s="1"/>
  <c r="D119" i="136"/>
  <c r="E119" i="136" l="1"/>
  <c r="I119" i="136" s="1"/>
  <c r="D120" i="136"/>
  <c r="E120" i="136" l="1"/>
  <c r="I120" i="136" s="1"/>
  <c r="D121" i="136"/>
  <c r="E121" i="136" l="1"/>
  <c r="I121" i="136" s="1"/>
  <c r="D122" i="136"/>
  <c r="E122" i="136" l="1"/>
  <c r="I122" i="136" s="1"/>
  <c r="D123" i="136"/>
  <c r="E123" i="136" l="1"/>
  <c r="I123" i="136" s="1"/>
  <c r="D124" i="136"/>
  <c r="E124" i="136" l="1"/>
  <c r="I124" i="136" s="1"/>
  <c r="D125" i="136"/>
  <c r="E125" i="136" l="1"/>
  <c r="I125" i="136" s="1"/>
  <c r="D126" i="136"/>
  <c r="E126" i="136" l="1"/>
  <c r="I126" i="136" s="1"/>
  <c r="D127" i="136"/>
  <c r="E127" i="136" l="1"/>
  <c r="I127" i="136" s="1"/>
  <c r="D128" i="136"/>
  <c r="E128" i="136" l="1"/>
  <c r="I128" i="136" s="1"/>
  <c r="D129" i="136"/>
  <c r="E129" i="136" l="1"/>
  <c r="I129" i="136" s="1"/>
  <c r="D130" i="136"/>
  <c r="E130" i="136" l="1"/>
  <c r="I130" i="136" s="1"/>
  <c r="D131" i="136"/>
  <c r="E131" i="136" l="1"/>
  <c r="I131" i="136" s="1"/>
  <c r="D132" i="136"/>
  <c r="E132" i="136" l="1"/>
  <c r="I132" i="136" s="1"/>
  <c r="D133" i="136"/>
  <c r="E133" i="136" l="1"/>
  <c r="I133" i="136" s="1"/>
  <c r="D134" i="136"/>
  <c r="E134" i="136" l="1"/>
  <c r="I134" i="136" s="1"/>
  <c r="D135" i="136"/>
  <c r="E135" i="136" l="1"/>
  <c r="I135" i="136" s="1"/>
  <c r="D136" i="136"/>
  <c r="E136" i="136" l="1"/>
  <c r="I136" i="136" s="1"/>
  <c r="D137" i="136"/>
  <c r="E137" i="136" l="1"/>
  <c r="I137" i="136" s="1"/>
  <c r="D138" i="136"/>
  <c r="E138" i="136" l="1"/>
  <c r="I138" i="136" s="1"/>
  <c r="D139" i="136"/>
  <c r="E139" i="136" l="1"/>
  <c r="I139" i="136" s="1"/>
  <c r="D140" i="136"/>
  <c r="E140" i="136" l="1"/>
  <c r="I140" i="136" s="1"/>
  <c r="D141" i="136"/>
  <c r="E141" i="136" l="1"/>
  <c r="I141" i="136" s="1"/>
  <c r="D142" i="136"/>
  <c r="E142" i="136" l="1"/>
  <c r="I142" i="136" s="1"/>
  <c r="D143" i="136"/>
  <c r="E143" i="136" l="1"/>
  <c r="I143" i="136" s="1"/>
  <c r="D144" i="136"/>
  <c r="E144" i="136" l="1"/>
  <c r="I144" i="136" s="1"/>
  <c r="D145" i="136"/>
  <c r="E145" i="136" l="1"/>
  <c r="I145" i="136" s="1"/>
  <c r="D146" i="136"/>
  <c r="E146" i="136" l="1"/>
  <c r="I146" i="136" s="1"/>
  <c r="D147" i="136"/>
  <c r="E147" i="136" l="1"/>
  <c r="I147" i="136" s="1"/>
  <c r="D148" i="136"/>
  <c r="E148" i="136" l="1"/>
  <c r="I148" i="136" s="1"/>
  <c r="D149" i="136"/>
  <c r="E149" i="136" l="1"/>
  <c r="I149" i="136" s="1"/>
  <c r="D150" i="136"/>
  <c r="E150" i="136" l="1"/>
  <c r="I150" i="136" s="1"/>
  <c r="D151" i="136"/>
  <c r="E151" i="136" l="1"/>
  <c r="I151" i="136" s="1"/>
  <c r="D152" i="136"/>
  <c r="E152" i="136" l="1"/>
  <c r="I152" i="136" s="1"/>
  <c r="D153" i="136"/>
  <c r="E153" i="136" l="1"/>
  <c r="I153" i="136" s="1"/>
  <c r="D154" i="136"/>
  <c r="E154" i="136" l="1"/>
  <c r="I154" i="136" s="1"/>
  <c r="D155" i="136"/>
  <c r="E155" i="136" l="1"/>
  <c r="I155" i="136" s="1"/>
  <c r="D156" i="136"/>
  <c r="E156" i="136" l="1"/>
  <c r="I156" i="136" s="1"/>
  <c r="D157" i="136"/>
  <c r="E157" i="136" l="1"/>
  <c r="I157" i="136" s="1"/>
  <c r="D158" i="136"/>
  <c r="E158" i="136" l="1"/>
  <c r="I158" i="136" s="1"/>
  <c r="D159" i="136"/>
  <c r="E159" i="136" l="1"/>
  <c r="I159" i="136" s="1"/>
  <c r="D160" i="136"/>
  <c r="E160" i="136" l="1"/>
  <c r="I160" i="136" s="1"/>
  <c r="D161" i="136"/>
  <c r="E161" i="136" l="1"/>
  <c r="I161" i="136" s="1"/>
  <c r="D162" i="136"/>
  <c r="E162" i="136" l="1"/>
  <c r="I162" i="136" s="1"/>
  <c r="D163" i="136"/>
  <c r="E163" i="136" l="1"/>
  <c r="I163" i="136" s="1"/>
  <c r="D164" i="136"/>
  <c r="E164" i="136" s="1"/>
  <c r="I164" i="136" s="1"/>
  <c r="P12" i="99" l="1"/>
  <c r="D46" i="41" l="1"/>
  <c r="F30" i="51"/>
  <c r="E106" i="56"/>
  <c r="E107" i="56"/>
  <c r="D108" i="56"/>
  <c r="D109" i="56"/>
  <c r="D110" i="56"/>
  <c r="D38" i="56" s="1"/>
  <c r="E116" i="56"/>
  <c r="C46" i="56"/>
  <c r="C51" i="56"/>
  <c r="E51" i="48"/>
  <c r="F51" i="48" s="1"/>
  <c r="C26" i="48"/>
  <c r="C27" i="48" s="1"/>
  <c r="D51" i="76"/>
  <c r="C92" i="84"/>
  <c r="D48" i="114"/>
  <c r="D42" i="56"/>
  <c r="C42" i="56"/>
  <c r="D41" i="56"/>
  <c r="C41" i="56"/>
  <c r="D40" i="56"/>
  <c r="C40" i="56"/>
  <c r="E40" i="56" s="1"/>
  <c r="C9" i="56"/>
  <c r="E7" i="67"/>
  <c r="C7" i="67"/>
  <c r="B7" i="67"/>
  <c r="G35" i="84"/>
  <c r="G36" i="84" s="1"/>
  <c r="D32" i="84" s="1"/>
  <c r="E32" i="84" s="1"/>
  <c r="Q26" i="10"/>
  <c r="P26" i="10"/>
  <c r="M110" i="10"/>
  <c r="D53" i="57"/>
  <c r="E30" i="120"/>
  <c r="G30" i="120" s="1"/>
  <c r="H203" i="73"/>
  <c r="D55" i="114"/>
  <c r="AF160" i="73"/>
  <c r="F23" i="55"/>
  <c r="E23" i="55"/>
  <c r="E30" i="51"/>
  <c r="C33" i="49"/>
  <c r="E91" i="84"/>
  <c r="M26" i="10"/>
  <c r="J26" i="10" s="1"/>
  <c r="N26" i="10" s="1"/>
  <c r="D63" i="114"/>
  <c r="D67" i="114"/>
  <c r="D62" i="114"/>
  <c r="D61" i="114"/>
  <c r="D60" i="114"/>
  <c r="D58" i="114"/>
  <c r="D57" i="114"/>
  <c r="D56" i="114"/>
  <c r="D52" i="114"/>
  <c r="D51" i="114"/>
  <c r="D50" i="114"/>
  <c r="D49" i="114"/>
  <c r="D47" i="114"/>
  <c r="D45" i="114"/>
  <c r="D44" i="114"/>
  <c r="D43" i="114"/>
  <c r="D42" i="114"/>
  <c r="D38" i="114"/>
  <c r="D37" i="114"/>
  <c r="D36" i="114"/>
  <c r="D35" i="114"/>
  <c r="D34" i="114"/>
  <c r="D33" i="114"/>
  <c r="D32" i="114"/>
  <c r="D31" i="114"/>
  <c r="D30" i="114"/>
  <c r="D29" i="114"/>
  <c r="D28" i="114"/>
  <c r="D26" i="114"/>
  <c r="D25" i="114"/>
  <c r="D24" i="114"/>
  <c r="D23" i="57" s="1"/>
  <c r="D23" i="114"/>
  <c r="D22" i="114"/>
  <c r="D24" i="57" s="1"/>
  <c r="D21" i="114"/>
  <c r="D20" i="114"/>
  <c r="D19" i="114"/>
  <c r="D18" i="114"/>
  <c r="D17" i="114"/>
  <c r="D16" i="114"/>
  <c r="D15" i="114"/>
  <c r="D14" i="114"/>
  <c r="D13" i="114"/>
  <c r="D12" i="114"/>
  <c r="D11" i="114"/>
  <c r="D10" i="114"/>
  <c r="D9" i="114"/>
  <c r="D8" i="114"/>
  <c r="D7" i="114"/>
  <c r="D6" i="114"/>
  <c r="F62" i="11"/>
  <c r="J22" i="10"/>
  <c r="J23" i="10"/>
  <c r="J29" i="10"/>
  <c r="M29" i="10"/>
  <c r="J56" i="10"/>
  <c r="M56" i="10" s="1"/>
  <c r="J61" i="10"/>
  <c r="M61" i="10" s="1"/>
  <c r="D115" i="108"/>
  <c r="H113" i="128"/>
  <c r="D192" i="107"/>
  <c r="H113" i="126"/>
  <c r="D61" i="124"/>
  <c r="E7" i="51"/>
  <c r="E15" i="114" l="1"/>
  <c r="D52" i="76"/>
  <c r="M23" i="10"/>
  <c r="E42" i="56"/>
  <c r="E41" i="56"/>
  <c r="C46" i="76"/>
  <c r="D54" i="114"/>
  <c r="E6" i="52"/>
  <c r="E25" i="51"/>
  <c r="E20" i="52"/>
  <c r="E21" i="52" s="1"/>
  <c r="F20" i="52"/>
  <c r="F21" i="52" s="1"/>
  <c r="H46" i="41" l="1"/>
  <c r="C27" i="87"/>
  <c r="D5" i="87"/>
  <c r="H179" i="73" l="1"/>
  <c r="N172" i="73"/>
  <c r="K25" i="73"/>
  <c r="AC20" i="73"/>
  <c r="E55" i="120"/>
  <c r="F21" i="120"/>
  <c r="D33" i="49"/>
  <c r="G33" i="49"/>
  <c r="E23" i="49"/>
  <c r="E74" i="10"/>
  <c r="E73" i="10"/>
  <c r="E72" i="10"/>
  <c r="G27" i="82" s="1"/>
  <c r="E71" i="10"/>
  <c r="F27" i="82" s="1"/>
  <c r="E70" i="10"/>
  <c r="E27" i="82" s="1"/>
  <c r="E69" i="10"/>
  <c r="D27" i="82" s="1"/>
  <c r="E68" i="10"/>
  <c r="C75" i="10"/>
  <c r="D75" i="10" s="1"/>
  <c r="E75" i="10" l="1"/>
  <c r="E59" i="10" s="1"/>
  <c r="J57" i="10" s="1"/>
  <c r="M57" i="10" s="1"/>
  <c r="C27" i="82"/>
  <c r="B66" i="67"/>
  <c r="B83" i="67" s="1"/>
  <c r="C83" i="67" s="1"/>
  <c r="G52" i="51" l="1"/>
  <c r="H46" i="51" s="1"/>
  <c r="H45" i="51" l="1"/>
  <c r="H47" i="51" s="1"/>
  <c r="D19" i="82" l="1"/>
  <c r="E19" i="82"/>
  <c r="F19" i="82"/>
  <c r="G19" i="82"/>
  <c r="E13" i="55" l="1"/>
  <c r="E8" i="55"/>
  <c r="E17" i="55" s="1"/>
  <c r="F13" i="55"/>
  <c r="E21" i="54"/>
  <c r="I9" i="119" l="1"/>
  <c r="I11" i="119"/>
  <c r="I12" i="119"/>
  <c r="I13" i="119"/>
  <c r="I14" i="119"/>
  <c r="I15" i="119"/>
  <c r="I16" i="119"/>
  <c r="I17" i="119"/>
  <c r="I18" i="119"/>
  <c r="I19" i="119"/>
  <c r="I20" i="119"/>
  <c r="I21" i="119"/>
  <c r="I22" i="119"/>
  <c r="I23" i="119"/>
  <c r="I24" i="119"/>
  <c r="I25" i="119"/>
  <c r="I26" i="119"/>
  <c r="I27" i="119"/>
  <c r="I28" i="119"/>
  <c r="I29" i="119"/>
  <c r="I30" i="119"/>
  <c r="I31" i="119"/>
  <c r="I32" i="119"/>
  <c r="I33" i="119"/>
  <c r="I34" i="119"/>
  <c r="I35" i="119"/>
  <c r="I36" i="119"/>
  <c r="I37" i="119"/>
  <c r="I38" i="119"/>
  <c r="I8" i="119"/>
  <c r="C40" i="40" l="1"/>
  <c r="C201" i="47" s="1"/>
  <c r="C6" i="48" s="1"/>
  <c r="C25" i="48" l="1"/>
  <c r="C18" i="48"/>
  <c r="F24" i="55"/>
  <c r="E24" i="55"/>
  <c r="F14" i="55"/>
  <c r="E14" i="55"/>
  <c r="F9" i="51" l="1"/>
  <c r="F10" i="51" s="1"/>
  <c r="B120" i="67"/>
  <c r="E31" i="51" l="1"/>
  <c r="F31" i="51"/>
  <c r="H196" i="73" l="1"/>
  <c r="D4" i="115" l="1"/>
  <c r="D3" i="115"/>
  <c r="C4" i="115"/>
  <c r="C3" i="115"/>
  <c r="B4" i="115"/>
  <c r="B3" i="115"/>
  <c r="G50" i="51" s="1"/>
  <c r="E10" i="120"/>
  <c r="E12" i="120" s="1"/>
  <c r="F20" i="120"/>
  <c r="F19" i="120"/>
  <c r="E24" i="120"/>
  <c r="V99" i="39"/>
  <c r="V100" i="39"/>
  <c r="G51" i="51" l="1"/>
  <c r="G204" i="47"/>
  <c r="C204" i="47" s="1"/>
  <c r="C82" i="58"/>
  <c r="C76" i="58" s="1"/>
  <c r="J46" i="51"/>
  <c r="I46" i="51"/>
  <c r="I45" i="51"/>
  <c r="J45" i="51"/>
  <c r="L45" i="51"/>
  <c r="L46" i="51"/>
  <c r="G20" i="120"/>
  <c r="E19" i="120"/>
  <c r="G19" i="120" s="1"/>
  <c r="C62" i="58" l="1"/>
  <c r="C65" i="58" s="1"/>
  <c r="K46" i="51"/>
  <c r="M46" i="51" s="1"/>
  <c r="I47" i="51"/>
  <c r="J47" i="51"/>
  <c r="C44" i="51" s="1"/>
  <c r="L47" i="51"/>
  <c r="K45" i="51"/>
  <c r="M45" i="51" l="1"/>
  <c r="K47" i="51"/>
  <c r="M47" i="51" s="1"/>
  <c r="D1" i="109" l="1"/>
  <c r="D49" i="125" l="1"/>
  <c r="J133" i="95" l="1"/>
  <c r="J132" i="95"/>
  <c r="J131" i="95"/>
  <c r="J130" i="95"/>
  <c r="J129" i="95"/>
  <c r="J128" i="95"/>
  <c r="J127" i="95"/>
  <c r="J126" i="95"/>
  <c r="J125" i="95"/>
  <c r="J124" i="95"/>
  <c r="J123" i="95"/>
  <c r="J122" i="95"/>
  <c r="J121" i="95"/>
  <c r="J120" i="95"/>
  <c r="J119" i="95"/>
  <c r="J118" i="95"/>
  <c r="J117" i="95"/>
  <c r="J116" i="95"/>
  <c r="J115" i="95"/>
  <c r="J114" i="95"/>
  <c r="J113" i="95"/>
  <c r="J112" i="95"/>
  <c r="J111" i="95"/>
  <c r="J110" i="95"/>
  <c r="J109" i="95"/>
  <c r="J108" i="95"/>
  <c r="J107" i="95"/>
  <c r="J105" i="95"/>
  <c r="J104" i="95"/>
  <c r="J103" i="95"/>
  <c r="J102" i="95"/>
  <c r="J101" i="95"/>
  <c r="J100" i="95"/>
  <c r="J99" i="95"/>
  <c r="J98" i="95"/>
  <c r="J97" i="95"/>
  <c r="J96" i="95"/>
  <c r="J95" i="95"/>
  <c r="J94" i="95"/>
  <c r="J93" i="95"/>
  <c r="J92" i="95"/>
  <c r="J91" i="95"/>
  <c r="J90" i="95"/>
  <c r="J89" i="95"/>
  <c r="J88" i="95"/>
  <c r="J87" i="95"/>
  <c r="J86" i="95"/>
  <c r="J85" i="95"/>
  <c r="J84" i="95"/>
  <c r="J83" i="95"/>
  <c r="J82" i="95"/>
  <c r="J81" i="95"/>
  <c r="J80" i="95"/>
  <c r="J79" i="95"/>
  <c r="J78" i="95"/>
  <c r="J77" i="95"/>
  <c r="J76" i="95"/>
  <c r="J75" i="95"/>
  <c r="J74" i="95"/>
  <c r="J73" i="95"/>
  <c r="J72" i="95"/>
  <c r="J71" i="95"/>
  <c r="J70" i="95"/>
  <c r="J69" i="95"/>
  <c r="J68" i="95"/>
  <c r="J67" i="95"/>
  <c r="J66" i="95"/>
  <c r="J65" i="95"/>
  <c r="J64" i="95"/>
  <c r="J63" i="95"/>
  <c r="J62" i="95"/>
  <c r="J61" i="95"/>
  <c r="J60" i="95"/>
  <c r="J59" i="95"/>
  <c r="J58" i="95"/>
  <c r="J57" i="95"/>
  <c r="J56" i="95"/>
  <c r="J55" i="95"/>
  <c r="J54" i="95"/>
  <c r="J53" i="95"/>
  <c r="J52" i="95"/>
  <c r="J51" i="95"/>
  <c r="J50" i="95"/>
  <c r="J49" i="95"/>
  <c r="J47" i="95"/>
  <c r="J46" i="95"/>
  <c r="J44" i="95"/>
  <c r="J43" i="95"/>
  <c r="J42" i="95"/>
  <c r="J41" i="95"/>
  <c r="J40" i="95"/>
  <c r="J39" i="95"/>
  <c r="J38" i="95"/>
  <c r="J37" i="95"/>
  <c r="J36" i="95"/>
  <c r="J35" i="95"/>
  <c r="J34" i="95"/>
  <c r="J33" i="95"/>
  <c r="J32" i="95"/>
  <c r="J31" i="95"/>
  <c r="J30" i="95"/>
  <c r="J29" i="95"/>
  <c r="J28" i="95"/>
  <c r="J27" i="95"/>
  <c r="J26" i="95"/>
  <c r="J25" i="95"/>
  <c r="J24" i="95"/>
  <c r="J23" i="95"/>
  <c r="J22" i="95"/>
  <c r="J21" i="95"/>
  <c r="J20" i="95"/>
  <c r="J19" i="95"/>
  <c r="J18" i="95"/>
  <c r="J17" i="95"/>
  <c r="J16" i="95"/>
  <c r="J15" i="95"/>
  <c r="J14" i="95"/>
  <c r="J13" i="95"/>
  <c r="J12" i="95"/>
  <c r="J11" i="95"/>
  <c r="J10" i="95"/>
  <c r="J9" i="95"/>
  <c r="J8" i="95"/>
  <c r="J7" i="95"/>
  <c r="J6" i="95"/>
  <c r="J5" i="95"/>
  <c r="J4" i="95"/>
  <c r="C9" i="135" l="1"/>
  <c r="D2" i="135"/>
  <c r="B8" i="135" s="1"/>
  <c r="B9" i="135" s="1"/>
  <c r="C16" i="114" l="1"/>
  <c r="C21" i="114"/>
  <c r="C22" i="114"/>
  <c r="H210" i="73"/>
  <c r="C26" i="114" s="1"/>
  <c r="C25" i="57" s="1"/>
  <c r="E9" i="43"/>
  <c r="E8" i="43"/>
  <c r="F10" i="43"/>
  <c r="F11" i="43" s="1"/>
  <c r="F12" i="43" s="1"/>
  <c r="E11" i="43" l="1"/>
  <c r="E12" i="43" s="1"/>
  <c r="C24" i="57"/>
  <c r="D10" i="86"/>
  <c r="D9" i="86"/>
  <c r="K39" i="116"/>
  <c r="C9" i="114"/>
  <c r="D12" i="86" l="1"/>
  <c r="D13" i="86" s="1"/>
  <c r="D14" i="35"/>
  <c r="D13" i="35"/>
  <c r="D12" i="35"/>
  <c r="D11" i="35"/>
  <c r="D10" i="35"/>
  <c r="D9" i="35"/>
  <c r="D8" i="35"/>
  <c r="D7" i="35"/>
  <c r="D30" i="47"/>
  <c r="I88" i="47"/>
  <c r="I97" i="47"/>
  <c r="I95" i="47"/>
  <c r="D59" i="47"/>
  <c r="C59" i="47"/>
  <c r="C57" i="47"/>
  <c r="D57" i="47"/>
  <c r="E56" i="47"/>
  <c r="E54" i="47"/>
  <c r="E53" i="47"/>
  <c r="E52" i="47"/>
  <c r="E47" i="47"/>
  <c r="E49" i="47"/>
  <c r="E46" i="47"/>
  <c r="H33" i="82"/>
  <c r="H31" i="82"/>
  <c r="D17" i="35" l="1"/>
  <c r="D18" i="35" s="1"/>
  <c r="E50" i="47"/>
  <c r="D60" i="47"/>
  <c r="C60" i="47"/>
  <c r="E59" i="47"/>
  <c r="I98" i="47"/>
  <c r="E57" i="47"/>
  <c r="E60" i="47" l="1"/>
  <c r="D106" i="84"/>
  <c r="D108" i="84"/>
  <c r="D107" i="84"/>
  <c r="D109" i="84" l="1"/>
  <c r="E52" i="120"/>
  <c r="E54" i="120" s="1"/>
  <c r="F35" i="120"/>
  <c r="E35" i="120"/>
  <c r="F10" i="120"/>
  <c r="E11" i="42"/>
  <c r="E10" i="42"/>
  <c r="E9" i="42"/>
  <c r="E8" i="42"/>
  <c r="G21" i="120" l="1"/>
  <c r="G24" i="120" s="1"/>
  <c r="G25" i="120" s="1"/>
  <c r="C11" i="120" s="1"/>
  <c r="C55" i="120" s="1"/>
  <c r="F24" i="120"/>
  <c r="F44" i="120"/>
  <c r="F12" i="120"/>
  <c r="F52" i="120"/>
  <c r="F54" i="120" s="1"/>
  <c r="E44" i="120"/>
  <c r="E57" i="120"/>
  <c r="E58" i="120" s="1"/>
  <c r="E60" i="120" s="1"/>
  <c r="E45" i="120" s="1"/>
  <c r="G35" i="120"/>
  <c r="G36" i="120" s="1"/>
  <c r="D11" i="120" s="1"/>
  <c r="D55" i="120" s="1"/>
  <c r="F55" i="120" l="1"/>
  <c r="F57" i="120" s="1"/>
  <c r="F58" i="120" s="1"/>
  <c r="E46" i="120"/>
  <c r="F60" i="120" l="1"/>
  <c r="F45" i="120" s="1"/>
  <c r="F46" i="120" s="1"/>
  <c r="F47" i="120" s="1"/>
  <c r="V102" i="39"/>
  <c r="C24" i="39" l="1"/>
  <c r="D24" i="39"/>
  <c r="E24" i="39"/>
  <c r="F24" i="39"/>
  <c r="G24" i="39"/>
  <c r="H24" i="39"/>
  <c r="I24" i="39"/>
  <c r="J76" i="39"/>
  <c r="J24" i="39" l="1"/>
  <c r="D8" i="33" l="1"/>
  <c r="D9" i="33" s="1"/>
  <c r="E12" i="36"/>
  <c r="E11" i="36"/>
  <c r="E10" i="36"/>
  <c r="E9" i="36"/>
  <c r="D20" i="86"/>
  <c r="D19" i="86"/>
  <c r="E14" i="36" l="1"/>
  <c r="E15" i="36" s="1"/>
  <c r="D21" i="86"/>
  <c r="D22" i="86" s="1"/>
  <c r="E9" i="40"/>
  <c r="F9" i="40" s="1"/>
  <c r="E10" i="40"/>
  <c r="F10" i="40" s="1"/>
  <c r="E8" i="40"/>
  <c r="D7" i="44"/>
  <c r="F7" i="44" s="1"/>
  <c r="G15" i="46"/>
  <c r="I15" i="46" s="1"/>
  <c r="G11" i="46"/>
  <c r="I11" i="46" s="1"/>
  <c r="G9" i="46"/>
  <c r="I9" i="46" s="1"/>
  <c r="D7" i="116"/>
  <c r="D6" i="44" s="1"/>
  <c r="G6" i="46" s="1"/>
  <c r="D26" i="116"/>
  <c r="D24" i="116"/>
  <c r="D23" i="116"/>
  <c r="D22" i="116"/>
  <c r="D16" i="116"/>
  <c r="D13" i="116"/>
  <c r="D12" i="116"/>
  <c r="D11" i="116"/>
  <c r="D10" i="116"/>
  <c r="D9" i="116"/>
  <c r="E22" i="76"/>
  <c r="E21" i="76"/>
  <c r="E20" i="76"/>
  <c r="E19" i="76"/>
  <c r="E16" i="76"/>
  <c r="D53" i="76" s="1"/>
  <c r="E15" i="76"/>
  <c r="E14" i="76"/>
  <c r="E13" i="76"/>
  <c r="E12" i="76"/>
  <c r="E11" i="76"/>
  <c r="C31" i="116"/>
  <c r="C11" i="50" s="1"/>
  <c r="C8" i="54" s="1"/>
  <c r="B70" i="84"/>
  <c r="C106" i="84" s="1"/>
  <c r="C15" i="87"/>
  <c r="C8" i="76" s="1"/>
  <c r="Q20" i="123"/>
  <c r="Q99" i="10"/>
  <c r="Q108" i="10"/>
  <c r="P108" i="10"/>
  <c r="J107" i="10"/>
  <c r="Q106" i="10"/>
  <c r="Q105" i="10"/>
  <c r="P105" i="10"/>
  <c r="F31" i="86" l="1"/>
  <c r="F16" i="76"/>
  <c r="E39" i="76" s="1"/>
  <c r="F39" i="76" s="1"/>
  <c r="F23" i="116"/>
  <c r="F13" i="116"/>
  <c r="F11" i="116"/>
  <c r="F22" i="116"/>
  <c r="C8" i="55"/>
  <c r="C17" i="55" s="1"/>
  <c r="C7" i="51"/>
  <c r="F26" i="116"/>
  <c r="F24" i="116"/>
  <c r="D14" i="116"/>
  <c r="D17" i="116" s="1"/>
  <c r="F10" i="116"/>
  <c r="D27" i="116"/>
  <c r="C8" i="120"/>
  <c r="C42" i="120" s="1"/>
  <c r="C6" i="57" s="1"/>
  <c r="C30" i="57" s="1"/>
  <c r="C43" i="57" s="1"/>
  <c r="C21" i="54"/>
  <c r="E42" i="120" s="1"/>
  <c r="F16" i="116"/>
  <c r="C7" i="116"/>
  <c r="D6" i="49"/>
  <c r="E17" i="49" s="1"/>
  <c r="C6" i="40"/>
  <c r="D20" i="116"/>
  <c r="D8" i="86"/>
  <c r="D38" i="51"/>
  <c r="D18" i="86"/>
  <c r="E7" i="36"/>
  <c r="D210" i="47" s="1"/>
  <c r="D7" i="33"/>
  <c r="D6" i="35" s="1"/>
  <c r="F9" i="116"/>
  <c r="F15" i="40"/>
  <c r="E23" i="76"/>
  <c r="E17" i="76"/>
  <c r="E284" i="67"/>
  <c r="G31" i="86" l="1"/>
  <c r="G32" i="86" s="1"/>
  <c r="G33" i="86" s="1"/>
  <c r="F32" i="86"/>
  <c r="E6" i="42"/>
  <c r="F29" i="86"/>
  <c r="F17" i="116"/>
  <c r="C6" i="52"/>
  <c r="C25" i="51"/>
  <c r="F27" i="116"/>
  <c r="E50" i="120"/>
  <c r="D6" i="57"/>
  <c r="D30" i="57" s="1"/>
  <c r="C50" i="120"/>
  <c r="D6" i="119"/>
  <c r="C20" i="116"/>
  <c r="C6" i="50" s="1"/>
  <c r="C8" i="86"/>
  <c r="C7" i="36"/>
  <c r="C210" i="47" s="1"/>
  <c r="C38" i="51"/>
  <c r="C18" i="86"/>
  <c r="C7" i="33"/>
  <c r="C6" i="44"/>
  <c r="F6" i="46" s="1"/>
  <c r="C181" i="47" s="1"/>
  <c r="G102" i="108"/>
  <c r="H102" i="108" s="1"/>
  <c r="G101" i="108"/>
  <c r="H101" i="108" s="1"/>
  <c r="G179" i="107"/>
  <c r="H179" i="107" s="1"/>
  <c r="G178" i="107"/>
  <c r="H178" i="107" s="1"/>
  <c r="F242" i="67"/>
  <c r="E6" i="43" l="1"/>
  <c r="E12" i="42"/>
  <c r="E13" i="42" s="1"/>
  <c r="C6" i="42"/>
  <c r="C6" i="43" s="1"/>
  <c r="D29" i="86"/>
  <c r="C7" i="82"/>
  <c r="C6" i="35"/>
  <c r="I62" i="11"/>
  <c r="R119" i="5"/>
  <c r="I56" i="11"/>
  <c r="H14" i="112" l="1"/>
  <c r="B35" i="108" l="1"/>
  <c r="B45" i="108" s="1"/>
  <c r="B59" i="108" s="1"/>
  <c r="B59" i="107"/>
  <c r="B75" i="107" s="1"/>
  <c r="B109" i="107" s="1"/>
  <c r="G141" i="105"/>
  <c r="H141" i="105" s="1"/>
  <c r="G140" i="105"/>
  <c r="B55" i="105"/>
  <c r="B71" i="105" s="1"/>
  <c r="B44" i="105"/>
  <c r="D22" i="125"/>
  <c r="D307" i="67"/>
  <c r="G276" i="67"/>
  <c r="K273" i="67"/>
  <c r="J273" i="67"/>
  <c r="G273" i="67"/>
  <c r="F273" i="67"/>
  <c r="D273" i="67"/>
  <c r="H82" i="67"/>
  <c r="G277" i="67" l="1"/>
  <c r="H140" i="105"/>
  <c r="H273" i="67" l="1"/>
  <c r="X94" i="5" l="1"/>
  <c r="W94" i="5"/>
  <c r="U94" i="5"/>
  <c r="T94" i="5"/>
  <c r="R94" i="5"/>
  <c r="Q94" i="5"/>
  <c r="N94" i="5"/>
  <c r="M94" i="5"/>
  <c r="L94" i="5"/>
  <c r="K94" i="5"/>
  <c r="J94" i="5"/>
  <c r="X75" i="5"/>
  <c r="W75" i="5"/>
  <c r="U75" i="5"/>
  <c r="T75" i="5"/>
  <c r="R75" i="5"/>
  <c r="Q75" i="5"/>
  <c r="J75" i="5"/>
  <c r="I75" i="5"/>
  <c r="W51" i="3"/>
  <c r="V51" i="3"/>
  <c r="T51" i="3"/>
  <c r="S51" i="3"/>
  <c r="Q51" i="3"/>
  <c r="P51" i="3"/>
  <c r="W50" i="3"/>
  <c r="V50" i="3"/>
  <c r="T50" i="3"/>
  <c r="S50" i="3"/>
  <c r="Q50" i="3"/>
  <c r="P50" i="3"/>
  <c r="M51" i="3"/>
  <c r="L51" i="3"/>
  <c r="K51" i="3"/>
  <c r="J51" i="3"/>
  <c r="I51" i="3"/>
  <c r="M50" i="3"/>
  <c r="L50" i="3"/>
  <c r="K50" i="3"/>
  <c r="J50" i="3"/>
  <c r="I50" i="3"/>
  <c r="H51" i="3"/>
  <c r="H50" i="3"/>
  <c r="O51" i="3" l="1"/>
  <c r="R51" i="3" s="1"/>
  <c r="U51" i="3" s="1"/>
  <c r="X51" i="3" s="1"/>
  <c r="D46" i="109" s="1"/>
  <c r="D9" i="39" s="1"/>
  <c r="O50" i="3"/>
  <c r="R50" i="3" s="1"/>
  <c r="U50" i="3" s="1"/>
  <c r="X50" i="3" s="1"/>
  <c r="D45" i="109" s="1"/>
  <c r="C9" i="39" s="1"/>
  <c r="E9" i="39" l="1"/>
  <c r="F9" i="39" l="1"/>
  <c r="K24" i="39"/>
  <c r="C50" i="56" l="1"/>
  <c r="D46" i="56"/>
  <c r="E46" i="56" s="1"/>
  <c r="C52" i="56" l="1"/>
  <c r="D91" i="84"/>
  <c r="D92" i="84" s="1"/>
  <c r="G91" i="84"/>
  <c r="G92" i="84" s="1"/>
  <c r="F91" i="84"/>
  <c r="F92" i="84" s="1"/>
  <c r="E92" i="84"/>
  <c r="H90" i="84"/>
  <c r="H89" i="84"/>
  <c r="H88" i="84"/>
  <c r="H87" i="84"/>
  <c r="H91" i="84" l="1"/>
  <c r="H92" i="84" s="1"/>
  <c r="D40" i="51" l="1"/>
  <c r="C27" i="56"/>
  <c r="D27" i="56"/>
  <c r="C28" i="56"/>
  <c r="D28" i="56"/>
  <c r="C29" i="56"/>
  <c r="D29" i="56"/>
  <c r="C30" i="56"/>
  <c r="D30" i="56"/>
  <c r="C31" i="56"/>
  <c r="D31" i="56"/>
  <c r="C32" i="56"/>
  <c r="D32" i="56"/>
  <c r="C33" i="56"/>
  <c r="D33" i="56"/>
  <c r="C34" i="56"/>
  <c r="D34" i="56"/>
  <c r="C35" i="56"/>
  <c r="D35" i="56"/>
  <c r="C36" i="56"/>
  <c r="C37" i="56"/>
  <c r="C38" i="56"/>
  <c r="E38" i="56" s="1"/>
  <c r="C39" i="56"/>
  <c r="D39" i="56"/>
  <c r="C43" i="56"/>
  <c r="E35" i="56" l="1"/>
  <c r="C45" i="56"/>
  <c r="C47" i="56" s="1"/>
  <c r="C48" i="56" s="1"/>
  <c r="E29" i="56"/>
  <c r="E28" i="56"/>
  <c r="E34" i="56"/>
  <c r="E32" i="56"/>
  <c r="E33" i="56"/>
  <c r="E39" i="56"/>
  <c r="E30" i="56"/>
  <c r="E27" i="56"/>
  <c r="E31" i="56"/>
  <c r="I76" i="104" l="1"/>
  <c r="C78" i="82" l="1"/>
  <c r="F78" i="82" s="1"/>
  <c r="C53" i="57" l="1"/>
  <c r="C52" i="57"/>
  <c r="C51" i="57"/>
  <c r="C50" i="57"/>
  <c r="C49" i="57"/>
  <c r="C54" i="57" l="1"/>
  <c r="K89" i="134" l="1"/>
  <c r="C52" i="134"/>
  <c r="C41" i="134" s="1"/>
  <c r="D26" i="134"/>
  <c r="C34" i="134" s="1"/>
  <c r="H11" i="134"/>
  <c r="H13" i="134" s="1"/>
  <c r="G11" i="134"/>
  <c r="G13" i="134" s="1"/>
  <c r="E11" i="134"/>
  <c r="D10" i="134"/>
  <c r="D9" i="134"/>
  <c r="F8" i="134"/>
  <c r="F11" i="134" s="1"/>
  <c r="D7" i="134"/>
  <c r="F6" i="134"/>
  <c r="D6" i="134" s="1"/>
  <c r="E6" i="134"/>
  <c r="E13" i="134" l="1"/>
  <c r="D41" i="134"/>
  <c r="F12" i="134"/>
  <c r="D8" i="134"/>
  <c r="C53" i="134"/>
  <c r="D11" i="134"/>
  <c r="D12" i="134" l="1"/>
  <c r="F13" i="134"/>
  <c r="D13" i="134" s="1"/>
  <c r="F60" i="11"/>
  <c r="D45" i="73" l="1"/>
  <c r="C45" i="73"/>
  <c r="M45" i="73" s="1"/>
  <c r="F59" i="11"/>
  <c r="X85" i="5"/>
  <c r="W85" i="5"/>
  <c r="U85" i="5"/>
  <c r="T85" i="5"/>
  <c r="R85" i="5"/>
  <c r="Q85" i="5"/>
  <c r="N85" i="5"/>
  <c r="M85" i="5"/>
  <c r="L85" i="5"/>
  <c r="K85" i="5"/>
  <c r="J85" i="5"/>
  <c r="I85" i="5"/>
  <c r="D36" i="57"/>
  <c r="D37" i="57"/>
  <c r="D35" i="57"/>
  <c r="D34" i="57"/>
  <c r="D33" i="57"/>
  <c r="D32" i="57"/>
  <c r="D31" i="57"/>
  <c r="D25" i="57"/>
  <c r="D21" i="57"/>
  <c r="D8" i="57"/>
  <c r="D22" i="57"/>
  <c r="D20" i="57"/>
  <c r="D19" i="57"/>
  <c r="D18" i="57"/>
  <c r="D17" i="57"/>
  <c r="D16" i="57"/>
  <c r="D15" i="57"/>
  <c r="D14" i="57"/>
  <c r="D13" i="57"/>
  <c r="D12" i="57"/>
  <c r="D11" i="57"/>
  <c r="D10" i="57"/>
  <c r="D9" i="57"/>
  <c r="D7" i="57"/>
  <c r="D4" i="114"/>
  <c r="N4" i="114" s="1"/>
  <c r="D38" i="57" l="1"/>
  <c r="P85" i="5"/>
  <c r="S85" i="5" s="1"/>
  <c r="V85" i="5" s="1"/>
  <c r="Y85" i="5" s="1"/>
  <c r="D15" i="54" s="1"/>
  <c r="C15" i="54" s="1"/>
  <c r="D40" i="114"/>
  <c r="D59" i="114"/>
  <c r="D46" i="114"/>
  <c r="D27" i="114"/>
  <c r="D5" i="114"/>
  <c r="N5" i="114" s="1"/>
  <c r="D39" i="57" l="1"/>
  <c r="D53" i="114"/>
  <c r="N53" i="114" s="1"/>
  <c r="D3" i="114"/>
  <c r="N3" i="114" s="1"/>
  <c r="D39" i="114"/>
  <c r="N39" i="114" s="1"/>
  <c r="D2" i="114" l="1"/>
  <c r="N2" i="114" s="1"/>
  <c r="D64" i="114" l="1"/>
  <c r="D66" i="114" s="1"/>
  <c r="D69" i="114" s="1"/>
  <c r="AC62" i="73" l="1"/>
  <c r="D108" i="73"/>
  <c r="D68" i="114"/>
  <c r="C7" i="56"/>
  <c r="E118" i="109" l="1"/>
  <c r="C28" i="48"/>
  <c r="I74" i="104"/>
  <c r="C21" i="48" l="1"/>
  <c r="K152" i="73" s="1"/>
  <c r="P11" i="10"/>
  <c r="D21" i="48" l="1"/>
  <c r="E11" i="114"/>
  <c r="N87" i="47" l="1"/>
  <c r="N85" i="47"/>
  <c r="N84" i="47"/>
  <c r="D90" i="47" s="1"/>
  <c r="D14" i="47" s="1"/>
  <c r="D92" i="47" l="1"/>
  <c r="D16" i="47" s="1"/>
  <c r="D85" i="47"/>
  <c r="D9" i="47" s="1"/>
  <c r="D91" i="47"/>
  <c r="D15" i="47" s="1"/>
  <c r="D95" i="47"/>
  <c r="D88" i="47"/>
  <c r="C12" i="47"/>
  <c r="C19" i="47"/>
  <c r="D84" i="47"/>
  <c r="D8" i="47" s="1"/>
  <c r="D94" i="47" l="1"/>
  <c r="D37" i="47"/>
  <c r="D18" i="47" s="1"/>
  <c r="D97" i="47"/>
  <c r="E18" i="47" l="1"/>
  <c r="D19" i="47"/>
  <c r="E31" i="121"/>
  <c r="F31" i="121" s="1"/>
  <c r="F30" i="121"/>
  <c r="F29" i="121"/>
  <c r="C21" i="35"/>
  <c r="H186" i="73"/>
  <c r="I75" i="104"/>
  <c r="D31" i="84" l="1"/>
  <c r="D29" i="84"/>
  <c r="D28" i="84"/>
  <c r="E28" i="84" s="1"/>
  <c r="D27" i="84"/>
  <c r="E27" i="84" s="1"/>
  <c r="D26" i="84"/>
  <c r="D30" i="84"/>
  <c r="E30" i="84" s="1"/>
  <c r="E29" i="84" l="1"/>
  <c r="D36" i="84"/>
  <c r="F30" i="39" l="1"/>
  <c r="F29" i="39"/>
  <c r="F32" i="39" l="1"/>
  <c r="AF102" i="73" s="1"/>
  <c r="F31" i="39"/>
  <c r="F28" i="39"/>
  <c r="F27" i="39"/>
  <c r="F26" i="39"/>
  <c r="F25" i="39"/>
  <c r="F23" i="39"/>
  <c r="F33" i="39" l="1"/>
  <c r="C57" i="120"/>
  <c r="E12" i="49"/>
  <c r="D12" i="49"/>
  <c r="F9" i="46"/>
  <c r="F15" i="46"/>
  <c r="F73" i="104" l="1"/>
  <c r="F8" i="11" l="1"/>
  <c r="F14" i="11"/>
  <c r="I14" i="11" s="1"/>
  <c r="I16" i="11"/>
  <c r="F22" i="11"/>
  <c r="I22" i="11" s="1"/>
  <c r="I24" i="11"/>
  <c r="F30" i="11"/>
  <c r="I30" i="11" s="1"/>
  <c r="I32" i="11"/>
  <c r="F35" i="11"/>
  <c r="I35" i="11" s="1"/>
  <c r="I37" i="11"/>
  <c r="I40" i="11"/>
  <c r="F41" i="11"/>
  <c r="I41" i="11" s="1"/>
  <c r="I43" i="11"/>
  <c r="F46" i="11"/>
  <c r="I46" i="11" s="1"/>
  <c r="I48" i="11"/>
  <c r="F49" i="11"/>
  <c r="I49" i="11" s="1"/>
  <c r="F85" i="11" l="1"/>
  <c r="I8" i="11"/>
  <c r="F61" i="104" l="1"/>
  <c r="F62" i="104"/>
  <c r="F55" i="104"/>
  <c r="F56" i="104"/>
  <c r="J10" i="10"/>
  <c r="M10" i="10" s="1"/>
  <c r="N10" i="10" s="1"/>
  <c r="P10" i="10"/>
  <c r="Q10" i="10"/>
  <c r="N11" i="10"/>
  <c r="Q11" i="10"/>
  <c r="J12" i="10"/>
  <c r="M12" i="10" s="1"/>
  <c r="P12" i="10"/>
  <c r="Q12" i="10"/>
  <c r="P13" i="10"/>
  <c r="Q13" i="10"/>
  <c r="P14" i="10"/>
  <c r="Q14" i="10"/>
  <c r="P15" i="10"/>
  <c r="Q15" i="10"/>
  <c r="J16" i="10"/>
  <c r="M16" i="10" s="1"/>
  <c r="N16" i="10" s="1"/>
  <c r="P16" i="10"/>
  <c r="Q16" i="10"/>
  <c r="N17" i="10"/>
  <c r="P17" i="10"/>
  <c r="Q17" i="10"/>
  <c r="P18" i="10"/>
  <c r="Q18" i="10"/>
  <c r="P19" i="10"/>
  <c r="Q19" i="10"/>
  <c r="P20" i="10"/>
  <c r="Q20" i="10"/>
  <c r="P21" i="10"/>
  <c r="Q21" i="10"/>
  <c r="N22" i="10"/>
  <c r="P22" i="10"/>
  <c r="Q22" i="10"/>
  <c r="P23" i="10"/>
  <c r="Q23" i="10"/>
  <c r="N24" i="10"/>
  <c r="P24" i="10"/>
  <c r="Q24" i="10"/>
  <c r="N25" i="10"/>
  <c r="P25" i="10"/>
  <c r="Q25" i="10"/>
  <c r="P27" i="10"/>
  <c r="Q27" i="10"/>
  <c r="P28" i="10"/>
  <c r="Q28" i="10"/>
  <c r="P29" i="10"/>
  <c r="Q29" i="10"/>
  <c r="P30" i="10"/>
  <c r="Q30" i="10"/>
  <c r="N31" i="10"/>
  <c r="P31" i="10"/>
  <c r="Q31" i="10"/>
  <c r="N32" i="10"/>
  <c r="P32" i="10"/>
  <c r="Q32" i="10"/>
  <c r="P33" i="10"/>
  <c r="Q33" i="10"/>
  <c r="C35" i="10"/>
  <c r="C36" i="10"/>
  <c r="M43" i="10"/>
  <c r="J43" i="10" s="1"/>
  <c r="M44" i="10"/>
  <c r="J44" i="10" s="1"/>
  <c r="P46" i="10"/>
  <c r="Q46" i="10"/>
  <c r="P47" i="10"/>
  <c r="Q47" i="10"/>
  <c r="P48" i="10"/>
  <c r="Q48" i="10"/>
  <c r="P49" i="10"/>
  <c r="Q49" i="10"/>
  <c r="N52" i="10"/>
  <c r="P52" i="10"/>
  <c r="Q52" i="10"/>
  <c r="P53" i="10"/>
  <c r="Q53" i="10"/>
  <c r="P54" i="10"/>
  <c r="Q54" i="10"/>
  <c r="P55" i="10"/>
  <c r="Q55" i="10"/>
  <c r="N57" i="10"/>
  <c r="Q57" i="10"/>
  <c r="P58" i="10"/>
  <c r="Q58" i="10"/>
  <c r="P59" i="10"/>
  <c r="Q59" i="10"/>
  <c r="P60" i="10"/>
  <c r="Q60" i="10"/>
  <c r="P63" i="10"/>
  <c r="Q63" i="10"/>
  <c r="P64" i="10"/>
  <c r="Q64" i="10"/>
  <c r="P65" i="10"/>
  <c r="Q65" i="10"/>
  <c r="E85" i="10"/>
  <c r="M85" i="10" s="1"/>
  <c r="Q85" i="10"/>
  <c r="P87" i="10"/>
  <c r="Q87" i="10"/>
  <c r="P92" i="10"/>
  <c r="Q92" i="10"/>
  <c r="M93" i="10"/>
  <c r="J93" i="10" s="1"/>
  <c r="J94" i="10"/>
  <c r="M94" i="10" s="1"/>
  <c r="N95" i="10"/>
  <c r="P95" i="10"/>
  <c r="Q95" i="10"/>
  <c r="P96" i="10"/>
  <c r="Q96" i="10"/>
  <c r="P97" i="10"/>
  <c r="Q97" i="10"/>
  <c r="P98" i="10"/>
  <c r="Q98" i="10"/>
  <c r="P99" i="10"/>
  <c r="Q100" i="10"/>
  <c r="P102" i="10"/>
  <c r="Q102" i="10"/>
  <c r="P103" i="10"/>
  <c r="Q103" i="10"/>
  <c r="Q110" i="10"/>
  <c r="P113" i="10"/>
  <c r="Q113" i="10"/>
  <c r="P115" i="10"/>
  <c r="J116" i="10"/>
  <c r="Q116" i="10"/>
  <c r="I94" i="5"/>
  <c r="P94" i="5" s="1"/>
  <c r="S94" i="5" s="1"/>
  <c r="V94" i="5" s="1"/>
  <c r="Y94" i="5" s="1"/>
  <c r="J112" i="10" l="1"/>
  <c r="J18" i="10"/>
  <c r="M18" i="10" s="1"/>
  <c r="N18" i="10" s="1"/>
  <c r="J30" i="10"/>
  <c r="G43" i="39"/>
  <c r="M62" i="10"/>
  <c r="J62" i="10" s="1"/>
  <c r="L19" i="121"/>
  <c r="E285" i="67"/>
  <c r="J45" i="10"/>
  <c r="M45" i="10" s="1"/>
  <c r="N23" i="10"/>
  <c r="N12" i="10"/>
  <c r="J132" i="10" l="1"/>
  <c r="S140" i="3" s="1"/>
  <c r="M30" i="10"/>
  <c r="L20" i="121"/>
  <c r="E286" i="67"/>
  <c r="N30" i="10"/>
  <c r="N29" i="10"/>
  <c r="T119" i="5" l="1"/>
  <c r="N110" i="10"/>
  <c r="J101" i="10"/>
  <c r="D1" i="95"/>
  <c r="E13" i="112" l="1"/>
  <c r="F13" i="112"/>
  <c r="D65" i="105"/>
  <c r="D68" i="105" s="1"/>
  <c r="D71" i="105" s="1"/>
  <c r="E65" i="105"/>
  <c r="E68" i="105" s="1"/>
  <c r="E71" i="105" s="1"/>
  <c r="C13" i="112" l="1"/>
  <c r="D13" i="112"/>
  <c r="H136" i="124" l="1"/>
  <c r="D257" i="67" l="1"/>
  <c r="D28" i="124" l="1"/>
  <c r="D23" i="124" s="1"/>
  <c r="D132" i="124"/>
  <c r="D19" i="124"/>
  <c r="X93" i="5" l="1"/>
  <c r="W93" i="5"/>
  <c r="U93" i="5"/>
  <c r="T93" i="5"/>
  <c r="R93" i="5"/>
  <c r="Q93" i="5"/>
  <c r="N93" i="5"/>
  <c r="M93" i="5"/>
  <c r="L93" i="5"/>
  <c r="K93" i="5"/>
  <c r="J93" i="5"/>
  <c r="I93" i="5"/>
  <c r="P93" i="5" l="1"/>
  <c r="S93" i="5" s="1"/>
  <c r="V93" i="5" s="1"/>
  <c r="Y93" i="5" s="1"/>
  <c r="AF93" i="5" l="1"/>
  <c r="D28" i="54"/>
  <c r="C28" i="54" s="1"/>
  <c r="E79" i="82"/>
  <c r="F37" i="116"/>
  <c r="G75" i="84" l="1"/>
  <c r="F75" i="84"/>
  <c r="E75" i="84"/>
  <c r="D75" i="84"/>
  <c r="H21" i="112"/>
  <c r="Z160" i="73" s="1"/>
  <c r="H20" i="112"/>
  <c r="Z159" i="73" s="1"/>
  <c r="Z183" i="73" s="1"/>
  <c r="C55" i="114" s="1"/>
  <c r="G16" i="112"/>
  <c r="G13" i="112"/>
  <c r="H12" i="112"/>
  <c r="H10" i="112"/>
  <c r="H7" i="112"/>
  <c r="H8" i="112"/>
  <c r="H6" i="112"/>
  <c r="H4" i="112"/>
  <c r="J4" i="112" s="1"/>
  <c r="K86" i="129" l="1"/>
  <c r="K86" i="127"/>
  <c r="K86" i="125"/>
  <c r="H3" i="99"/>
  <c r="H3" i="100" s="1"/>
  <c r="H3" i="124" s="1"/>
  <c r="H3" i="125" l="1"/>
  <c r="H3" i="126" s="1"/>
  <c r="K3" i="124"/>
  <c r="K3" i="99"/>
  <c r="Z168" i="73"/>
  <c r="H3" i="127" l="1"/>
  <c r="H3" i="128" s="1"/>
  <c r="K3" i="126"/>
  <c r="K3" i="128" l="1"/>
  <c r="H3" i="129"/>
  <c r="D166" i="107"/>
  <c r="G153" i="107"/>
  <c r="H153" i="107" s="1"/>
  <c r="G152" i="107"/>
  <c r="H152" i="107" s="1"/>
  <c r="G116" i="105"/>
  <c r="H116" i="105" s="1"/>
  <c r="G115" i="105"/>
  <c r="H115" i="105" l="1"/>
  <c r="H198" i="73" l="1"/>
  <c r="C23" i="114" s="1"/>
  <c r="H32" i="39"/>
  <c r="H31" i="39"/>
  <c r="H30" i="39"/>
  <c r="H28" i="39"/>
  <c r="H27" i="39"/>
  <c r="H26" i="39"/>
  <c r="H25" i="39"/>
  <c r="H23" i="39"/>
  <c r="H29" i="39"/>
  <c r="G32" i="39"/>
  <c r="E32" i="39"/>
  <c r="D32" i="39"/>
  <c r="C32" i="39"/>
  <c r="I30" i="39"/>
  <c r="E30" i="39"/>
  <c r="D30" i="39"/>
  <c r="C30" i="39"/>
  <c r="I23" i="39"/>
  <c r="G23" i="39"/>
  <c r="E23" i="39"/>
  <c r="D23" i="39"/>
  <c r="C23" i="39"/>
  <c r="Z182" i="73"/>
  <c r="C58" i="114" s="1"/>
  <c r="C65" i="114"/>
  <c r="C14" i="48"/>
  <c r="D7" i="48"/>
  <c r="AF133" i="73"/>
  <c r="J30" i="39" l="1"/>
  <c r="H33" i="39"/>
  <c r="J32" i="39"/>
  <c r="J23" i="39"/>
  <c r="N152" i="73"/>
  <c r="D49" i="73" l="1"/>
  <c r="D43" i="73"/>
  <c r="C49" i="73"/>
  <c r="C43" i="73"/>
  <c r="M99" i="39"/>
  <c r="G100" i="39" s="1"/>
  <c r="M98" i="39"/>
  <c r="P184" i="47" s="1"/>
  <c r="H188" i="47" s="1"/>
  <c r="M97" i="39"/>
  <c r="G29" i="39" l="1"/>
  <c r="E99" i="39"/>
  <c r="H189" i="47"/>
  <c r="C99" i="39"/>
  <c r="P183" i="47"/>
  <c r="H182" i="47" s="1"/>
  <c r="E100" i="39"/>
  <c r="P185" i="47"/>
  <c r="C100" i="39"/>
  <c r="C102" i="39"/>
  <c r="D96" i="39"/>
  <c r="E96" i="39"/>
  <c r="D102" i="39"/>
  <c r="G102" i="39"/>
  <c r="E102" i="39"/>
  <c r="G96" i="39"/>
  <c r="D97" i="39"/>
  <c r="E97" i="39"/>
  <c r="G97" i="39"/>
  <c r="D98" i="39"/>
  <c r="G98" i="39"/>
  <c r="D99" i="39"/>
  <c r="D57" i="39" s="1"/>
  <c r="E98" i="39"/>
  <c r="C96" i="39"/>
  <c r="C97" i="39"/>
  <c r="G99" i="39"/>
  <c r="D100" i="39"/>
  <c r="C98" i="39"/>
  <c r="C104" i="39" l="1"/>
  <c r="H185" i="47"/>
  <c r="H183" i="47"/>
  <c r="H184" i="47"/>
  <c r="H187" i="47" l="1"/>
  <c r="C187" i="47" s="1"/>
  <c r="AF121" i="73" s="1"/>
  <c r="E52" i="57" s="1"/>
  <c r="G51" i="67"/>
  <c r="G48" i="67"/>
  <c r="G45" i="67"/>
  <c r="X20" i="5"/>
  <c r="W20" i="5"/>
  <c r="U20" i="5"/>
  <c r="T20" i="5"/>
  <c r="R20" i="5"/>
  <c r="Q20" i="5"/>
  <c r="X27" i="5"/>
  <c r="W27" i="5"/>
  <c r="U27" i="5"/>
  <c r="T27" i="5"/>
  <c r="R27" i="5"/>
  <c r="Q27" i="5"/>
  <c r="U87" i="115"/>
  <c r="T87" i="115"/>
  <c r="S87" i="115"/>
  <c r="R87" i="115"/>
  <c r="U86" i="115"/>
  <c r="T86" i="115"/>
  <c r="S86" i="115"/>
  <c r="R86" i="115"/>
  <c r="U85" i="115"/>
  <c r="T85" i="115"/>
  <c r="S85" i="115"/>
  <c r="R85" i="115"/>
  <c r="U84" i="115"/>
  <c r="T84" i="115"/>
  <c r="S84" i="115"/>
  <c r="R84" i="115"/>
  <c r="U83" i="115"/>
  <c r="T83" i="115"/>
  <c r="S83" i="115"/>
  <c r="R83" i="115"/>
  <c r="U82" i="115"/>
  <c r="T82" i="115"/>
  <c r="S82" i="115"/>
  <c r="R82" i="115"/>
  <c r="U81" i="115"/>
  <c r="T81" i="115"/>
  <c r="S81" i="115"/>
  <c r="R81" i="115"/>
  <c r="U80" i="115"/>
  <c r="T80" i="115"/>
  <c r="S80" i="115"/>
  <c r="R80" i="115"/>
  <c r="U78" i="115"/>
  <c r="T78" i="115"/>
  <c r="S78" i="115"/>
  <c r="R78" i="115"/>
  <c r="U77" i="115"/>
  <c r="T77" i="115"/>
  <c r="S77" i="115"/>
  <c r="R77" i="115"/>
  <c r="U76" i="115"/>
  <c r="T76" i="115"/>
  <c r="S76" i="115"/>
  <c r="R76" i="115"/>
  <c r="U74" i="115"/>
  <c r="T74" i="115"/>
  <c r="S74" i="115"/>
  <c r="R74" i="115"/>
  <c r="U73" i="115"/>
  <c r="T73" i="115"/>
  <c r="S73" i="115"/>
  <c r="R73" i="115"/>
  <c r="U71" i="115"/>
  <c r="T71" i="115"/>
  <c r="S71" i="115"/>
  <c r="R71" i="115"/>
  <c r="U67" i="115"/>
  <c r="T67" i="115"/>
  <c r="S67" i="115"/>
  <c r="R67" i="115"/>
  <c r="U66" i="115"/>
  <c r="T66" i="115"/>
  <c r="S66" i="115"/>
  <c r="R66" i="115"/>
  <c r="U65" i="115"/>
  <c r="T65" i="115"/>
  <c r="S65" i="115"/>
  <c r="R65" i="115"/>
  <c r="U62" i="115"/>
  <c r="T62" i="115"/>
  <c r="S62" i="115"/>
  <c r="R62" i="115"/>
  <c r="U61" i="115"/>
  <c r="T61" i="115"/>
  <c r="S61" i="115"/>
  <c r="R61" i="115"/>
  <c r="U60" i="115"/>
  <c r="T60" i="115"/>
  <c r="S60" i="115"/>
  <c r="R60" i="115"/>
  <c r="U59" i="115"/>
  <c r="T59" i="115"/>
  <c r="S59" i="115"/>
  <c r="R59" i="115"/>
  <c r="U58" i="115"/>
  <c r="T58" i="115"/>
  <c r="S58" i="115"/>
  <c r="R58" i="115"/>
  <c r="U51" i="115"/>
  <c r="T51" i="115"/>
  <c r="S51" i="115"/>
  <c r="R51" i="115"/>
  <c r="U50" i="115"/>
  <c r="T50" i="115"/>
  <c r="S50" i="115"/>
  <c r="R50" i="115"/>
  <c r="U49" i="115"/>
  <c r="T49" i="115"/>
  <c r="S49" i="115"/>
  <c r="R49" i="115"/>
  <c r="U48" i="115"/>
  <c r="T48" i="115"/>
  <c r="S48" i="115"/>
  <c r="R48" i="115"/>
  <c r="U47" i="115"/>
  <c r="T47" i="115"/>
  <c r="S47" i="115"/>
  <c r="R47" i="115"/>
  <c r="U46" i="115"/>
  <c r="T46" i="115"/>
  <c r="S46" i="115"/>
  <c r="R46" i="115"/>
  <c r="U45" i="115"/>
  <c r="T45" i="115"/>
  <c r="S45" i="115"/>
  <c r="R45" i="115"/>
  <c r="U43" i="115"/>
  <c r="T43" i="115"/>
  <c r="S43" i="115"/>
  <c r="R43" i="115"/>
  <c r="U42" i="115"/>
  <c r="T42" i="115"/>
  <c r="S42" i="115"/>
  <c r="R42" i="115"/>
  <c r="U41" i="115"/>
  <c r="T41" i="115"/>
  <c r="S41" i="115"/>
  <c r="R41" i="115"/>
  <c r="U40" i="115"/>
  <c r="T40" i="115"/>
  <c r="S40" i="115"/>
  <c r="R40" i="115"/>
  <c r="U39" i="115"/>
  <c r="T39" i="115"/>
  <c r="S39" i="115"/>
  <c r="R39" i="115"/>
  <c r="U31" i="115"/>
  <c r="T31" i="115"/>
  <c r="U30" i="115"/>
  <c r="T30" i="115"/>
  <c r="S30" i="115"/>
  <c r="R30" i="115"/>
  <c r="U29" i="115"/>
  <c r="T29" i="115"/>
  <c r="S29" i="115"/>
  <c r="R29" i="115"/>
  <c r="S28" i="115"/>
  <c r="R28" i="115"/>
  <c r="U27" i="115"/>
  <c r="T27" i="115"/>
  <c r="S27" i="115"/>
  <c r="R27" i="115"/>
  <c r="U25" i="115"/>
  <c r="T25" i="115"/>
  <c r="S25" i="115"/>
  <c r="R25" i="115"/>
  <c r="T24" i="115"/>
  <c r="S24" i="115"/>
  <c r="R24" i="115"/>
  <c r="U23" i="115"/>
  <c r="T23" i="115"/>
  <c r="S23" i="115"/>
  <c r="R23" i="115"/>
  <c r="U22" i="115"/>
  <c r="T22" i="115"/>
  <c r="S22" i="115"/>
  <c r="R22" i="115"/>
  <c r="U19" i="115"/>
  <c r="T19" i="115"/>
  <c r="S19" i="115"/>
  <c r="R19" i="115"/>
  <c r="Q87" i="115"/>
  <c r="P87" i="115"/>
  <c r="Q86" i="115"/>
  <c r="P86" i="115"/>
  <c r="Q85" i="115"/>
  <c r="P85" i="115"/>
  <c r="Q84" i="115"/>
  <c r="P84" i="115"/>
  <c r="Q83" i="115"/>
  <c r="P83" i="115"/>
  <c r="Q82" i="115"/>
  <c r="P82" i="115"/>
  <c r="Q81" i="115"/>
  <c r="P81" i="115"/>
  <c r="Q80" i="115"/>
  <c r="P80" i="115"/>
  <c r="Q78" i="115"/>
  <c r="P78" i="115"/>
  <c r="Q77" i="115"/>
  <c r="P77" i="115"/>
  <c r="Q76" i="115"/>
  <c r="P76" i="115"/>
  <c r="Q74" i="115"/>
  <c r="P74" i="115"/>
  <c r="Q73" i="115"/>
  <c r="P73" i="115"/>
  <c r="Q71" i="115"/>
  <c r="P71" i="115"/>
  <c r="Q67" i="115"/>
  <c r="P67" i="115"/>
  <c r="Q66" i="115"/>
  <c r="P66" i="115"/>
  <c r="Q65" i="115"/>
  <c r="P65" i="115"/>
  <c r="Q62" i="115"/>
  <c r="P62" i="115"/>
  <c r="Q61" i="115"/>
  <c r="P61" i="115"/>
  <c r="Q60" i="115"/>
  <c r="P60" i="115"/>
  <c r="Q59" i="115"/>
  <c r="P59" i="115"/>
  <c r="Q58" i="115"/>
  <c r="P58" i="115"/>
  <c r="Q51" i="115"/>
  <c r="P51" i="115"/>
  <c r="Q50" i="115"/>
  <c r="P50" i="115"/>
  <c r="Q49" i="115"/>
  <c r="P49" i="115"/>
  <c r="Q48" i="115"/>
  <c r="P48" i="115"/>
  <c r="Q47" i="115"/>
  <c r="P47" i="115"/>
  <c r="Q46" i="115"/>
  <c r="P46" i="115"/>
  <c r="Q45" i="115"/>
  <c r="P45" i="115"/>
  <c r="Q43" i="115"/>
  <c r="P43" i="115"/>
  <c r="Q42" i="115"/>
  <c r="P42" i="115"/>
  <c r="Q41" i="115"/>
  <c r="P41" i="115"/>
  <c r="Q40" i="115"/>
  <c r="P40" i="115"/>
  <c r="Q39" i="115"/>
  <c r="P39" i="115"/>
  <c r="Q31" i="115"/>
  <c r="P31" i="115"/>
  <c r="Q30" i="115"/>
  <c r="P30" i="115"/>
  <c r="Q29" i="115"/>
  <c r="P29" i="115"/>
  <c r="Q28" i="115"/>
  <c r="P28" i="115"/>
  <c r="Q27" i="115"/>
  <c r="P27" i="115"/>
  <c r="Q25" i="115"/>
  <c r="P25" i="115"/>
  <c r="Q24" i="115"/>
  <c r="P24" i="115"/>
  <c r="Q23" i="115"/>
  <c r="P23" i="115"/>
  <c r="Q22" i="115"/>
  <c r="P22" i="115"/>
  <c r="Q19" i="115"/>
  <c r="P19" i="115"/>
  <c r="M64" i="130"/>
  <c r="E64" i="130"/>
  <c r="I58" i="104" s="1"/>
  <c r="N63" i="130"/>
  <c r="N62" i="130"/>
  <c r="N61" i="130"/>
  <c r="N60" i="130"/>
  <c r="N59" i="130"/>
  <c r="N58" i="130"/>
  <c r="N57" i="130"/>
  <c r="N56" i="130"/>
  <c r="C56" i="130"/>
  <c r="N55" i="130"/>
  <c r="N54" i="130"/>
  <c r="C54" i="130"/>
  <c r="E65" i="130" s="1"/>
  <c r="C65" i="130" s="1"/>
  <c r="N53" i="130"/>
  <c r="N52" i="130"/>
  <c r="C52" i="130"/>
  <c r="N51" i="130"/>
  <c r="N50" i="130"/>
  <c r="N49" i="130"/>
  <c r="N48" i="130"/>
  <c r="N47" i="130"/>
  <c r="N46" i="130"/>
  <c r="C46" i="130"/>
  <c r="N45" i="130"/>
  <c r="N44" i="130"/>
  <c r="N43" i="130"/>
  <c r="N42" i="130"/>
  <c r="N41" i="130"/>
  <c r="N40" i="130"/>
  <c r="N39" i="130"/>
  <c r="N38" i="130"/>
  <c r="N37" i="130"/>
  <c r="N36" i="130"/>
  <c r="N35" i="130"/>
  <c r="E35" i="130"/>
  <c r="I42" i="104" s="1"/>
  <c r="N34" i="130"/>
  <c r="N33" i="130"/>
  <c r="N32" i="130"/>
  <c r="N31" i="130"/>
  <c r="N30" i="130"/>
  <c r="N29" i="130"/>
  <c r="C25" i="130"/>
  <c r="E36" i="130" s="1"/>
  <c r="C23" i="130"/>
  <c r="E17" i="130"/>
  <c r="I9" i="104" s="1"/>
  <c r="J12" i="130"/>
  <c r="C10" i="130"/>
  <c r="K8" i="130"/>
  <c r="J8" i="130"/>
  <c r="C8" i="130"/>
  <c r="L7" i="130"/>
  <c r="L6" i="130"/>
  <c r="J3" i="130"/>
  <c r="L8" i="130" l="1"/>
  <c r="C28" i="130" s="1"/>
  <c r="C29" i="130" s="1"/>
  <c r="C30" i="130" s="1"/>
  <c r="E34" i="130" s="1"/>
  <c r="C34" i="130" s="1"/>
  <c r="C17" i="130"/>
  <c r="F9" i="104" s="1"/>
  <c r="C35" i="130"/>
  <c r="F42" i="104" s="1"/>
  <c r="C36" i="130"/>
  <c r="F43" i="104" s="1"/>
  <c r="I43" i="104"/>
  <c r="E37" i="130"/>
  <c r="C64" i="130"/>
  <c r="F58" i="104" s="1"/>
  <c r="M6" i="130"/>
  <c r="N64" i="130"/>
  <c r="C44" i="130" s="1"/>
  <c r="C45" i="130" s="1"/>
  <c r="C48" i="130" s="1"/>
  <c r="C11" i="130"/>
  <c r="C12" i="130" s="1"/>
  <c r="C13" i="130" s="1"/>
  <c r="E16" i="130" s="1"/>
  <c r="I8" i="104" s="1"/>
  <c r="C57" i="130"/>
  <c r="C58" i="130" s="1"/>
  <c r="C59" i="130" s="1"/>
  <c r="E63" i="130" s="1"/>
  <c r="C63" i="130" s="1"/>
  <c r="I91" i="104" l="1"/>
  <c r="C19" i="130"/>
  <c r="D19" i="130" s="1"/>
  <c r="C16" i="130"/>
  <c r="F8" i="104" s="1"/>
  <c r="F91" i="104" s="1"/>
  <c r="I92" i="104" l="1"/>
  <c r="C39" i="130"/>
  <c r="D39" i="130" s="1"/>
  <c r="N118" i="5" l="1"/>
  <c r="N117" i="5"/>
  <c r="N110" i="5"/>
  <c r="N109" i="5"/>
  <c r="N107" i="5"/>
  <c r="N106" i="5"/>
  <c r="N101" i="5"/>
  <c r="N100" i="5"/>
  <c r="N95" i="5"/>
  <c r="N90" i="5"/>
  <c r="N89" i="5"/>
  <c r="N86" i="5"/>
  <c r="N84" i="5"/>
  <c r="N82" i="5"/>
  <c r="N81" i="5"/>
  <c r="N80" i="5"/>
  <c r="N77" i="5"/>
  <c r="N76" i="5"/>
  <c r="N53" i="5"/>
  <c r="N41" i="5"/>
  <c r="N40" i="5"/>
  <c r="N39" i="5"/>
  <c r="N37" i="5"/>
  <c r="N36" i="5"/>
  <c r="N34" i="5"/>
  <c r="N33" i="5"/>
  <c r="N31" i="5"/>
  <c r="N30" i="5"/>
  <c r="N27" i="5"/>
  <c r="N20" i="5"/>
  <c r="N19" i="5"/>
  <c r="N12" i="5"/>
  <c r="N11" i="5"/>
  <c r="N10" i="5"/>
  <c r="M148" i="3"/>
  <c r="M147" i="3"/>
  <c r="M146" i="3"/>
  <c r="M145" i="3"/>
  <c r="M142" i="3"/>
  <c r="M141" i="3"/>
  <c r="M139" i="3"/>
  <c r="M138" i="3"/>
  <c r="M137" i="3"/>
  <c r="M134" i="3"/>
  <c r="M133" i="3"/>
  <c r="M130" i="3"/>
  <c r="M129" i="3"/>
  <c r="M128" i="3"/>
  <c r="M127" i="3"/>
  <c r="M124" i="3"/>
  <c r="M119" i="3"/>
  <c r="M115" i="3"/>
  <c r="M114" i="3"/>
  <c r="M113" i="3"/>
  <c r="M112" i="3"/>
  <c r="M111" i="3"/>
  <c r="M110" i="3"/>
  <c r="M109" i="3"/>
  <c r="M108" i="3"/>
  <c r="M105" i="3"/>
  <c r="M104" i="3"/>
  <c r="M103" i="3"/>
  <c r="M101" i="3"/>
  <c r="M100" i="3"/>
  <c r="M99" i="3"/>
  <c r="M97" i="3"/>
  <c r="M96" i="3"/>
  <c r="M94" i="3"/>
  <c r="M87" i="3"/>
  <c r="M86" i="3"/>
  <c r="M85" i="3"/>
  <c r="M83" i="3"/>
  <c r="M82" i="3"/>
  <c r="M76" i="3"/>
  <c r="M73" i="3"/>
  <c r="M72" i="3"/>
  <c r="M71" i="3"/>
  <c r="M70" i="3"/>
  <c r="M69" i="3"/>
  <c r="M67" i="3"/>
  <c r="M66" i="3"/>
  <c r="M63" i="3"/>
  <c r="M62" i="3"/>
  <c r="M57" i="3"/>
  <c r="M56" i="3"/>
  <c r="M55" i="3"/>
  <c r="M54" i="3"/>
  <c r="M53" i="3"/>
  <c r="M52" i="3"/>
  <c r="M49" i="3"/>
  <c r="M47" i="3"/>
  <c r="M46" i="3"/>
  <c r="M44" i="3"/>
  <c r="M42" i="3"/>
  <c r="M41" i="3"/>
  <c r="M38" i="3"/>
  <c r="M35" i="3"/>
  <c r="M34" i="3"/>
  <c r="M33" i="3"/>
  <c r="M32" i="3"/>
  <c r="M31" i="3"/>
  <c r="M23" i="3"/>
  <c r="M22" i="3"/>
  <c r="M21" i="3"/>
  <c r="M20" i="3"/>
  <c r="M18" i="3"/>
  <c r="M16" i="3"/>
  <c r="M14" i="3"/>
  <c r="M13" i="3"/>
  <c r="M10" i="3"/>
  <c r="D89" i="108"/>
  <c r="G4" i="129" l="1"/>
  <c r="G4" i="128"/>
  <c r="W63" i="3"/>
  <c r="V63" i="3"/>
  <c r="T63" i="3"/>
  <c r="S63" i="3"/>
  <c r="W62" i="3"/>
  <c r="V62" i="3"/>
  <c r="T62" i="3"/>
  <c r="S62" i="3"/>
  <c r="M118" i="5"/>
  <c r="M117" i="5"/>
  <c r="M110" i="5"/>
  <c r="M109" i="5"/>
  <c r="M107" i="5"/>
  <c r="M106" i="5"/>
  <c r="M105" i="5"/>
  <c r="M101" i="5"/>
  <c r="M100" i="5"/>
  <c r="M95" i="5"/>
  <c r="M90" i="5"/>
  <c r="M89" i="5"/>
  <c r="M86" i="5"/>
  <c r="M84" i="5"/>
  <c r="M82" i="5"/>
  <c r="M81" i="5"/>
  <c r="M80" i="5"/>
  <c r="M77" i="5"/>
  <c r="M76" i="5"/>
  <c r="M53" i="5"/>
  <c r="M41" i="5"/>
  <c r="M40" i="5"/>
  <c r="M39" i="5"/>
  <c r="M37" i="5"/>
  <c r="M36" i="5"/>
  <c r="M34" i="5"/>
  <c r="M33" i="5"/>
  <c r="M31" i="5"/>
  <c r="M30" i="5"/>
  <c r="J27" i="5"/>
  <c r="L27" i="5"/>
  <c r="M27" i="5"/>
  <c r="J20" i="5"/>
  <c r="L20" i="5"/>
  <c r="M20" i="5"/>
  <c r="M19" i="5"/>
  <c r="M12" i="5"/>
  <c r="M11" i="5"/>
  <c r="M10" i="5"/>
  <c r="L148" i="3"/>
  <c r="L147" i="3"/>
  <c r="L146" i="3"/>
  <c r="L145" i="3"/>
  <c r="L142" i="3"/>
  <c r="L141" i="3"/>
  <c r="L139" i="3"/>
  <c r="L138" i="3"/>
  <c r="L137" i="3"/>
  <c r="L134" i="3"/>
  <c r="L133" i="3"/>
  <c r="L130" i="3"/>
  <c r="L129" i="3"/>
  <c r="L128" i="3"/>
  <c r="L127" i="3"/>
  <c r="L124" i="3"/>
  <c r="L119" i="3"/>
  <c r="L115" i="3"/>
  <c r="L114" i="3"/>
  <c r="L113" i="3"/>
  <c r="L112" i="3"/>
  <c r="L111" i="3"/>
  <c r="L110" i="3"/>
  <c r="L109" i="3"/>
  <c r="L108" i="3"/>
  <c r="L105" i="3"/>
  <c r="L104" i="3"/>
  <c r="L103" i="3"/>
  <c r="L101" i="3"/>
  <c r="L100" i="3"/>
  <c r="L99" i="3"/>
  <c r="L97" i="3"/>
  <c r="L96" i="3"/>
  <c r="L94" i="3"/>
  <c r="L87" i="3"/>
  <c r="L86" i="3"/>
  <c r="L85" i="3"/>
  <c r="L83" i="3"/>
  <c r="L82" i="3"/>
  <c r="L76" i="3"/>
  <c r="L73" i="3"/>
  <c r="L72" i="3"/>
  <c r="L71" i="3"/>
  <c r="L70" i="3"/>
  <c r="L69" i="3"/>
  <c r="L67" i="3"/>
  <c r="L66" i="3"/>
  <c r="L63" i="3"/>
  <c r="L62" i="3"/>
  <c r="L57" i="3"/>
  <c r="L56" i="3"/>
  <c r="L55" i="3"/>
  <c r="L54" i="3"/>
  <c r="L53" i="3"/>
  <c r="L52" i="3"/>
  <c r="L49" i="3"/>
  <c r="L47" i="3"/>
  <c r="L46" i="3"/>
  <c r="L44" i="3"/>
  <c r="L42" i="3"/>
  <c r="L41" i="3"/>
  <c r="L38" i="3"/>
  <c r="L35" i="3"/>
  <c r="L34" i="3"/>
  <c r="L33" i="3"/>
  <c r="L32" i="3"/>
  <c r="L31" i="3"/>
  <c r="L23" i="3"/>
  <c r="L21" i="3"/>
  <c r="L20" i="3"/>
  <c r="L19" i="3"/>
  <c r="L18" i="3"/>
  <c r="L16" i="3"/>
  <c r="L15" i="3"/>
  <c r="L14" i="3"/>
  <c r="L13" i="3"/>
  <c r="L10" i="3"/>
  <c r="G4" i="127"/>
  <c r="G4" i="126"/>
  <c r="H81" i="128" l="1"/>
  <c r="J90" i="129"/>
  <c r="J128" i="128" s="1"/>
  <c r="J129" i="128" s="1"/>
  <c r="I90" i="129"/>
  <c r="I128" i="128" s="1"/>
  <c r="I129" i="128" s="1"/>
  <c r="F90" i="129"/>
  <c r="E90" i="129"/>
  <c r="G87" i="129"/>
  <c r="G86" i="129"/>
  <c r="G85" i="129" s="1"/>
  <c r="D85" i="129"/>
  <c r="L84" i="129"/>
  <c r="L83" i="129"/>
  <c r="G83" i="129"/>
  <c r="H83" i="129" s="1"/>
  <c r="D82" i="129"/>
  <c r="L81" i="129"/>
  <c r="G80" i="129"/>
  <c r="H80" i="129" s="1"/>
  <c r="K80" i="129" s="1"/>
  <c r="G79" i="129"/>
  <c r="L78" i="129"/>
  <c r="G78" i="129"/>
  <c r="H78" i="129" s="1"/>
  <c r="K78" i="129" s="1"/>
  <c r="G77" i="129"/>
  <c r="H77" i="129" s="1"/>
  <c r="K77" i="129" s="1"/>
  <c r="N88" i="5" s="1"/>
  <c r="L76" i="129"/>
  <c r="G76" i="129"/>
  <c r="H76" i="129" s="1"/>
  <c r="K76" i="129" s="1"/>
  <c r="N92" i="5" s="1"/>
  <c r="G75" i="129"/>
  <c r="H75" i="129" s="1"/>
  <c r="K75" i="129" s="1"/>
  <c r="L74" i="129"/>
  <c r="G74" i="129"/>
  <c r="L73" i="129"/>
  <c r="G73" i="129"/>
  <c r="H73" i="129" s="1"/>
  <c r="K73" i="129" s="1"/>
  <c r="N105" i="5" s="1"/>
  <c r="L72" i="129"/>
  <c r="G72" i="129"/>
  <c r="L71" i="129"/>
  <c r="G71" i="129"/>
  <c r="H71" i="129" s="1"/>
  <c r="K71" i="129" s="1"/>
  <c r="N103" i="5" s="1"/>
  <c r="L70" i="129"/>
  <c r="D70" i="129"/>
  <c r="L69" i="129"/>
  <c r="G69" i="129"/>
  <c r="H69" i="129" s="1"/>
  <c r="K69" i="129" s="1"/>
  <c r="G68" i="129"/>
  <c r="H68" i="129" s="1"/>
  <c r="K68" i="129" s="1"/>
  <c r="G67" i="129"/>
  <c r="H67" i="129" s="1"/>
  <c r="K67" i="129" s="1"/>
  <c r="L66" i="129"/>
  <c r="G66" i="129"/>
  <c r="H66" i="129" s="1"/>
  <c r="K66" i="129" s="1"/>
  <c r="L65" i="129"/>
  <c r="G65" i="129"/>
  <c r="L64" i="129"/>
  <c r="G64" i="129"/>
  <c r="H64" i="129" s="1"/>
  <c r="K64" i="129" s="1"/>
  <c r="L63" i="129"/>
  <c r="G63" i="129"/>
  <c r="H63" i="129" s="1"/>
  <c r="K63" i="129" s="1"/>
  <c r="N99" i="5" s="1"/>
  <c r="L62" i="129"/>
  <c r="G62" i="129"/>
  <c r="H62" i="129" s="1"/>
  <c r="K62" i="129" s="1"/>
  <c r="N98" i="5" s="1"/>
  <c r="L61" i="129"/>
  <c r="G61" i="129"/>
  <c r="L60" i="129"/>
  <c r="G60" i="129"/>
  <c r="H60" i="129" s="1"/>
  <c r="L59" i="129"/>
  <c r="D59" i="129"/>
  <c r="L58" i="129"/>
  <c r="L57" i="129"/>
  <c r="G57" i="129"/>
  <c r="H57" i="129" s="1"/>
  <c r="K57" i="129" s="1"/>
  <c r="N75" i="5" s="1"/>
  <c r="L56" i="129"/>
  <c r="G56" i="129"/>
  <c r="H56" i="129" s="1"/>
  <c r="K56" i="129" s="1"/>
  <c r="N74" i="5" s="1"/>
  <c r="L55" i="129"/>
  <c r="G55" i="129"/>
  <c r="H55" i="129" s="1"/>
  <c r="K55" i="129" s="1"/>
  <c r="N73" i="5" s="1"/>
  <c r="L54" i="129"/>
  <c r="G54" i="129"/>
  <c r="H54" i="129" s="1"/>
  <c r="K54" i="129" s="1"/>
  <c r="N72" i="5" s="1"/>
  <c r="L53" i="129"/>
  <c r="G53" i="129"/>
  <c r="H53" i="129" s="1"/>
  <c r="K53" i="129" s="1"/>
  <c r="N71" i="5" s="1"/>
  <c r="L52" i="129"/>
  <c r="G52" i="129"/>
  <c r="H52" i="129" s="1"/>
  <c r="K52" i="129" s="1"/>
  <c r="N70" i="5" s="1"/>
  <c r="L51" i="129"/>
  <c r="G51" i="129"/>
  <c r="H51" i="129" s="1"/>
  <c r="K51" i="129" s="1"/>
  <c r="N69" i="5" s="1"/>
  <c r="L50" i="129"/>
  <c r="G50" i="129"/>
  <c r="H50" i="129" s="1"/>
  <c r="K50" i="129" s="1"/>
  <c r="N68" i="5" s="1"/>
  <c r="L49" i="129"/>
  <c r="G49" i="129"/>
  <c r="H49" i="129" s="1"/>
  <c r="K49" i="129" s="1"/>
  <c r="N67" i="5" s="1"/>
  <c r="L48" i="129"/>
  <c r="G48" i="129"/>
  <c r="H48" i="129" s="1"/>
  <c r="K48" i="129" s="1"/>
  <c r="N66" i="5" s="1"/>
  <c r="L47" i="129"/>
  <c r="G47" i="129"/>
  <c r="H47" i="129" s="1"/>
  <c r="K47" i="129" s="1"/>
  <c r="N65" i="5" s="1"/>
  <c r="L46" i="129"/>
  <c r="G46" i="129"/>
  <c r="H46" i="129" s="1"/>
  <c r="K46" i="129" s="1"/>
  <c r="N64" i="5" s="1"/>
  <c r="L45" i="129"/>
  <c r="G45" i="129"/>
  <c r="H45" i="129" s="1"/>
  <c r="K45" i="129" s="1"/>
  <c r="N63" i="5" s="1"/>
  <c r="L44" i="129"/>
  <c r="G44" i="129"/>
  <c r="H44" i="129" s="1"/>
  <c r="K44" i="129" s="1"/>
  <c r="N62" i="5" s="1"/>
  <c r="G43" i="129"/>
  <c r="H43" i="129" s="1"/>
  <c r="K43" i="129" s="1"/>
  <c r="N46" i="5" s="1"/>
  <c r="L42" i="129"/>
  <c r="G42" i="129"/>
  <c r="L41" i="129"/>
  <c r="G41" i="129"/>
  <c r="H41" i="129" s="1"/>
  <c r="K41" i="129" s="1"/>
  <c r="N60" i="5" s="1"/>
  <c r="L40" i="129"/>
  <c r="G40" i="129"/>
  <c r="H40" i="129" s="1"/>
  <c r="K40" i="129" s="1"/>
  <c r="N59" i="5" s="1"/>
  <c r="L39" i="129"/>
  <c r="G39" i="129"/>
  <c r="H39" i="129" s="1"/>
  <c r="K39" i="129" s="1"/>
  <c r="N58" i="5" s="1"/>
  <c r="L38" i="129"/>
  <c r="G38" i="129"/>
  <c r="L37" i="129"/>
  <c r="G37" i="129"/>
  <c r="H37" i="129" s="1"/>
  <c r="K37" i="129" s="1"/>
  <c r="N56" i="5" s="1"/>
  <c r="L36" i="129"/>
  <c r="G36" i="129"/>
  <c r="H36" i="129" s="1"/>
  <c r="K36" i="129" s="1"/>
  <c r="N55" i="5" s="1"/>
  <c r="L35" i="129"/>
  <c r="G35" i="129"/>
  <c r="H35" i="129" s="1"/>
  <c r="K35" i="129" s="1"/>
  <c r="N54" i="5" s="1"/>
  <c r="L34" i="129"/>
  <c r="G34" i="129"/>
  <c r="L33" i="129"/>
  <c r="G33" i="129"/>
  <c r="H33" i="129" s="1"/>
  <c r="K33" i="129" s="1"/>
  <c r="N51" i="5" s="1"/>
  <c r="L32" i="129"/>
  <c r="G32" i="129"/>
  <c r="H32" i="129" s="1"/>
  <c r="K32" i="129" s="1"/>
  <c r="N50" i="5" s="1"/>
  <c r="L31" i="129"/>
  <c r="G31" i="129"/>
  <c r="H31" i="129" s="1"/>
  <c r="K31" i="129" s="1"/>
  <c r="N49" i="5" s="1"/>
  <c r="L30" i="129"/>
  <c r="G30" i="129"/>
  <c r="L29" i="129"/>
  <c r="G29" i="129"/>
  <c r="H29" i="129" s="1"/>
  <c r="K29" i="129" s="1"/>
  <c r="L28" i="129"/>
  <c r="G28" i="129"/>
  <c r="H28" i="129" s="1"/>
  <c r="K28" i="129" s="1"/>
  <c r="L27" i="129"/>
  <c r="G27" i="129"/>
  <c r="H27" i="129" s="1"/>
  <c r="K27" i="129" s="1"/>
  <c r="N47" i="5" s="1"/>
  <c r="L26" i="129"/>
  <c r="G26" i="129"/>
  <c r="L25" i="129"/>
  <c r="G25" i="129"/>
  <c r="L24" i="129"/>
  <c r="D24" i="129"/>
  <c r="L23" i="129"/>
  <c r="L22" i="129"/>
  <c r="G22" i="129"/>
  <c r="H22" i="129" s="1"/>
  <c r="K22" i="129" s="1"/>
  <c r="N28" i="5" s="1"/>
  <c r="G21" i="129"/>
  <c r="H21" i="129" s="1"/>
  <c r="K21" i="129" s="1"/>
  <c r="N26" i="5" s="1"/>
  <c r="L20" i="129"/>
  <c r="G20" i="129"/>
  <c r="L19" i="129"/>
  <c r="K19" i="129"/>
  <c r="N23" i="5" s="1"/>
  <c r="G19" i="129"/>
  <c r="L18" i="129"/>
  <c r="D18" i="129"/>
  <c r="D11" i="129" s="1"/>
  <c r="G17" i="129"/>
  <c r="H17" i="129" s="1"/>
  <c r="K17" i="129" s="1"/>
  <c r="N21" i="5" s="1"/>
  <c r="H15" i="129"/>
  <c r="L14" i="129"/>
  <c r="G14" i="129"/>
  <c r="H14" i="129" s="1"/>
  <c r="K14" i="129" s="1"/>
  <c r="N17" i="5" s="1"/>
  <c r="L13" i="129"/>
  <c r="G13" i="129"/>
  <c r="L12" i="129"/>
  <c r="L11" i="129"/>
  <c r="L10" i="129"/>
  <c r="G10" i="129"/>
  <c r="H10" i="129" s="1"/>
  <c r="L9" i="129"/>
  <c r="D9" i="129"/>
  <c r="L8" i="129"/>
  <c r="G8" i="129"/>
  <c r="H8" i="129" s="1"/>
  <c r="L7" i="129"/>
  <c r="G7" i="129"/>
  <c r="L6" i="129"/>
  <c r="D6" i="129"/>
  <c r="L5" i="129"/>
  <c r="H16" i="129"/>
  <c r="K3" i="129"/>
  <c r="D132" i="128"/>
  <c r="L128" i="128"/>
  <c r="F128" i="128"/>
  <c r="L127" i="128"/>
  <c r="K127" i="128"/>
  <c r="G127" i="128"/>
  <c r="L126" i="128"/>
  <c r="K126" i="128"/>
  <c r="G126" i="128"/>
  <c r="L125" i="128"/>
  <c r="G125" i="128"/>
  <c r="L124" i="128"/>
  <c r="D124" i="128"/>
  <c r="D123" i="128" s="1"/>
  <c r="L123" i="128"/>
  <c r="L122" i="128"/>
  <c r="G122" i="128"/>
  <c r="L121" i="128"/>
  <c r="K121" i="128"/>
  <c r="G121" i="128"/>
  <c r="L120" i="128"/>
  <c r="D120" i="128"/>
  <c r="L118" i="128"/>
  <c r="K118" i="128"/>
  <c r="H118" i="128"/>
  <c r="G118" i="128"/>
  <c r="D118" i="128"/>
  <c r="L117" i="128"/>
  <c r="K117" i="128"/>
  <c r="G117" i="128"/>
  <c r="L116" i="128"/>
  <c r="K116" i="128"/>
  <c r="G116" i="128"/>
  <c r="L115" i="128"/>
  <c r="H115" i="128"/>
  <c r="D115" i="128"/>
  <c r="L114" i="128"/>
  <c r="K114" i="128"/>
  <c r="G114" i="128"/>
  <c r="L113" i="128"/>
  <c r="K113" i="128"/>
  <c r="G113" i="128"/>
  <c r="L112" i="128"/>
  <c r="H112" i="128"/>
  <c r="D112" i="128"/>
  <c r="L111" i="128"/>
  <c r="G110" i="128"/>
  <c r="H110" i="128" s="1"/>
  <c r="K110" i="128" s="1"/>
  <c r="L109" i="128"/>
  <c r="G109" i="128"/>
  <c r="H109" i="128" s="1"/>
  <c r="K109" i="128" s="1"/>
  <c r="D108" i="128"/>
  <c r="G107" i="128"/>
  <c r="H107" i="128" s="1"/>
  <c r="K107" i="128" s="1"/>
  <c r="G106" i="128"/>
  <c r="H106" i="128" s="1"/>
  <c r="K106" i="128" s="1"/>
  <c r="G105" i="128"/>
  <c r="G104" i="128"/>
  <c r="H104" i="128" s="1"/>
  <c r="K104" i="128" s="1"/>
  <c r="G103" i="128"/>
  <c r="H103" i="128" s="1"/>
  <c r="L102" i="128"/>
  <c r="D102" i="128"/>
  <c r="L101" i="128"/>
  <c r="G101" i="128"/>
  <c r="H101" i="128" s="1"/>
  <c r="K101" i="128" s="1"/>
  <c r="L100" i="128"/>
  <c r="G100" i="128"/>
  <c r="H100" i="128" s="1"/>
  <c r="K100" i="128" s="1"/>
  <c r="L99" i="128"/>
  <c r="D99" i="128"/>
  <c r="L98" i="128"/>
  <c r="K97" i="128"/>
  <c r="G97" i="128"/>
  <c r="L93" i="128"/>
  <c r="G93" i="128"/>
  <c r="H93" i="128" s="1"/>
  <c r="K93" i="128" s="1"/>
  <c r="L92" i="128"/>
  <c r="G92" i="128"/>
  <c r="H92" i="128" s="1"/>
  <c r="K92" i="128" s="1"/>
  <c r="L91" i="128"/>
  <c r="G91" i="128"/>
  <c r="H91" i="128" s="1"/>
  <c r="K91" i="128" s="1"/>
  <c r="L90" i="128"/>
  <c r="G90" i="128"/>
  <c r="T79" i="115" s="1"/>
  <c r="L89" i="128"/>
  <c r="G89" i="128"/>
  <c r="T70" i="115" s="1"/>
  <c r="L88" i="128"/>
  <c r="G88" i="128"/>
  <c r="L87" i="128"/>
  <c r="D87" i="128"/>
  <c r="L86" i="128"/>
  <c r="K86" i="128"/>
  <c r="G86" i="128"/>
  <c r="L85" i="128"/>
  <c r="K85" i="128"/>
  <c r="G85" i="128"/>
  <c r="L84" i="128"/>
  <c r="G84" i="128"/>
  <c r="T75" i="115" s="1"/>
  <c r="L83" i="128"/>
  <c r="G83" i="128"/>
  <c r="L82" i="128"/>
  <c r="D82" i="128"/>
  <c r="L81" i="128"/>
  <c r="G81" i="128"/>
  <c r="T68" i="115" s="1"/>
  <c r="L80" i="128"/>
  <c r="D80" i="128"/>
  <c r="G79" i="128"/>
  <c r="H79" i="128" s="1"/>
  <c r="K79" i="128" s="1"/>
  <c r="L78" i="128"/>
  <c r="G78" i="128"/>
  <c r="H78" i="128" s="1"/>
  <c r="K78" i="128" s="1"/>
  <c r="L77" i="128"/>
  <c r="G77" i="128"/>
  <c r="H77" i="128" s="1"/>
  <c r="L76" i="128"/>
  <c r="L75" i="128"/>
  <c r="L74" i="128"/>
  <c r="H73" i="128"/>
  <c r="G72" i="128"/>
  <c r="H72" i="128" s="1"/>
  <c r="K72" i="128" s="1"/>
  <c r="L71" i="128"/>
  <c r="G71" i="128"/>
  <c r="H71" i="128" s="1"/>
  <c r="K71" i="128" s="1"/>
  <c r="L70" i="128"/>
  <c r="G70" i="128"/>
  <c r="L69" i="128"/>
  <c r="D69" i="128"/>
  <c r="D65" i="128" s="1"/>
  <c r="G68" i="128"/>
  <c r="H68" i="128" s="1"/>
  <c r="K68" i="128" s="1"/>
  <c r="L67" i="128"/>
  <c r="G67" i="128"/>
  <c r="H67" i="128" s="1"/>
  <c r="K67" i="128" s="1"/>
  <c r="L66" i="128"/>
  <c r="G66" i="128"/>
  <c r="L65" i="128"/>
  <c r="L64" i="128"/>
  <c r="G64" i="128"/>
  <c r="L63" i="128"/>
  <c r="G63" i="128"/>
  <c r="L62" i="128"/>
  <c r="G62" i="128"/>
  <c r="T55" i="115" s="1"/>
  <c r="L61" i="128"/>
  <c r="G61" i="128"/>
  <c r="T54" i="115" s="1"/>
  <c r="L60" i="128"/>
  <c r="G60" i="128"/>
  <c r="H60" i="128" s="1"/>
  <c r="K60" i="128" s="1"/>
  <c r="L59" i="128"/>
  <c r="G59" i="128"/>
  <c r="L58" i="128"/>
  <c r="G58" i="128"/>
  <c r="T52" i="115" s="1"/>
  <c r="L57" i="128"/>
  <c r="G57" i="128"/>
  <c r="H57" i="128" s="1"/>
  <c r="K57" i="128" s="1"/>
  <c r="L56" i="128"/>
  <c r="G56" i="128"/>
  <c r="H56" i="128" s="1"/>
  <c r="K56" i="128" s="1"/>
  <c r="L55" i="128"/>
  <c r="G55" i="128"/>
  <c r="H55" i="128" s="1"/>
  <c r="K55" i="128" s="1"/>
  <c r="L54" i="128"/>
  <c r="G54" i="128"/>
  <c r="H54" i="128" s="1"/>
  <c r="K54" i="128" s="1"/>
  <c r="L53" i="128"/>
  <c r="G53" i="128"/>
  <c r="H53" i="128" s="1"/>
  <c r="K53" i="128" s="1"/>
  <c r="L52" i="128"/>
  <c r="G52" i="128"/>
  <c r="H52" i="128" s="1"/>
  <c r="L51" i="128"/>
  <c r="D51" i="128"/>
  <c r="L50" i="128"/>
  <c r="G50" i="128"/>
  <c r="H50" i="128" s="1"/>
  <c r="L49" i="128"/>
  <c r="D49" i="128"/>
  <c r="L48" i="128"/>
  <c r="G48" i="128"/>
  <c r="L47" i="128"/>
  <c r="G47" i="128"/>
  <c r="T64" i="115" s="1"/>
  <c r="L46" i="128"/>
  <c r="G46" i="128"/>
  <c r="L45" i="128"/>
  <c r="D45" i="128"/>
  <c r="D44" i="128" s="1"/>
  <c r="L43" i="128"/>
  <c r="G43" i="128"/>
  <c r="L42" i="128"/>
  <c r="D42" i="128"/>
  <c r="L41" i="128"/>
  <c r="G40" i="128"/>
  <c r="H40" i="128" s="1"/>
  <c r="K40" i="128" s="1"/>
  <c r="G39" i="128"/>
  <c r="L38" i="128"/>
  <c r="G38" i="128"/>
  <c r="T37" i="115" s="1"/>
  <c r="L37" i="128"/>
  <c r="G37" i="128"/>
  <c r="T36" i="115" s="1"/>
  <c r="L36" i="128"/>
  <c r="G36" i="128"/>
  <c r="L35" i="128"/>
  <c r="G35" i="128"/>
  <c r="L34" i="128"/>
  <c r="G34" i="128"/>
  <c r="L33" i="128"/>
  <c r="D33" i="128"/>
  <c r="L32" i="128"/>
  <c r="G32" i="128"/>
  <c r="H32" i="128" s="1"/>
  <c r="K32" i="128" s="1"/>
  <c r="L31" i="128"/>
  <c r="G31" i="128"/>
  <c r="T32" i="115" s="1"/>
  <c r="L30" i="128"/>
  <c r="G30" i="128"/>
  <c r="L29" i="128"/>
  <c r="G29" i="128"/>
  <c r="L28" i="128"/>
  <c r="D28" i="128"/>
  <c r="D23" i="128" s="1"/>
  <c r="L27" i="128"/>
  <c r="G27" i="128"/>
  <c r="H27" i="128" s="1"/>
  <c r="K27" i="128" s="1"/>
  <c r="L26" i="128"/>
  <c r="G26" i="128"/>
  <c r="H26" i="128" s="1"/>
  <c r="K26" i="128" s="1"/>
  <c r="L25" i="128"/>
  <c r="G25" i="128"/>
  <c r="H25" i="128" s="1"/>
  <c r="K25" i="128" s="1"/>
  <c r="L24" i="128"/>
  <c r="G24" i="128"/>
  <c r="L23" i="128"/>
  <c r="L22" i="128"/>
  <c r="G22" i="128"/>
  <c r="L21" i="128"/>
  <c r="G21" i="128"/>
  <c r="T21" i="115" s="1"/>
  <c r="L20" i="128"/>
  <c r="G20" i="128"/>
  <c r="T20" i="115" s="1"/>
  <c r="L19" i="128"/>
  <c r="D19" i="128"/>
  <c r="L18" i="128"/>
  <c r="G18" i="128"/>
  <c r="H18" i="128" s="1"/>
  <c r="K18" i="128" s="1"/>
  <c r="L17" i="128"/>
  <c r="G17" i="128"/>
  <c r="H17" i="128" s="1"/>
  <c r="K17" i="128" s="1"/>
  <c r="L16" i="128"/>
  <c r="G16" i="128"/>
  <c r="H16" i="128" s="1"/>
  <c r="K16" i="128" s="1"/>
  <c r="L15" i="128"/>
  <c r="G15" i="128"/>
  <c r="L14" i="128"/>
  <c r="G14" i="128"/>
  <c r="H14" i="128" s="1"/>
  <c r="K14" i="128" s="1"/>
  <c r="L13" i="128"/>
  <c r="D13" i="128"/>
  <c r="L12" i="128"/>
  <c r="G12" i="128"/>
  <c r="T18" i="115" s="1"/>
  <c r="G11" i="128"/>
  <c r="H11" i="128" s="1"/>
  <c r="K11" i="128" s="1"/>
  <c r="L10" i="128"/>
  <c r="G10" i="128"/>
  <c r="L9" i="128"/>
  <c r="G9" i="128"/>
  <c r="L8" i="128"/>
  <c r="D8" i="128"/>
  <c r="L7" i="128"/>
  <c r="L6" i="128"/>
  <c r="L5" i="128"/>
  <c r="J90" i="127"/>
  <c r="J128" i="126" s="1"/>
  <c r="J129" i="126" s="1"/>
  <c r="I90" i="127"/>
  <c r="I128" i="126" s="1"/>
  <c r="I129" i="126" s="1"/>
  <c r="F90" i="127"/>
  <c r="E90" i="127"/>
  <c r="E128" i="126" s="1"/>
  <c r="G87" i="127"/>
  <c r="G86" i="127"/>
  <c r="G85" i="127" s="1"/>
  <c r="D85" i="127"/>
  <c r="L84" i="127"/>
  <c r="L83" i="127"/>
  <c r="G83" i="127"/>
  <c r="H83" i="127" s="1"/>
  <c r="D82" i="127"/>
  <c r="L81" i="127"/>
  <c r="G80" i="127"/>
  <c r="H80" i="127" s="1"/>
  <c r="K80" i="127" s="1"/>
  <c r="G79" i="127"/>
  <c r="L78" i="127"/>
  <c r="G78" i="127"/>
  <c r="G77" i="127"/>
  <c r="L76" i="127"/>
  <c r="G76" i="127"/>
  <c r="G75" i="127"/>
  <c r="H75" i="127" s="1"/>
  <c r="K75" i="127" s="1"/>
  <c r="L74" i="127"/>
  <c r="G74" i="127"/>
  <c r="L73" i="127"/>
  <c r="G73" i="127"/>
  <c r="H73" i="127" s="1"/>
  <c r="K73" i="127" s="1"/>
  <c r="L72" i="127"/>
  <c r="G72" i="127"/>
  <c r="H72" i="127" s="1"/>
  <c r="K72" i="127" s="1"/>
  <c r="M104" i="5" s="1"/>
  <c r="L71" i="127"/>
  <c r="G71" i="127"/>
  <c r="H71" i="127" s="1"/>
  <c r="L70" i="127"/>
  <c r="D70" i="127"/>
  <c r="L69" i="127"/>
  <c r="G69" i="127"/>
  <c r="G68" i="127"/>
  <c r="H68" i="127" s="1"/>
  <c r="K68" i="127" s="1"/>
  <c r="G67" i="127"/>
  <c r="H67" i="127" s="1"/>
  <c r="K67" i="127" s="1"/>
  <c r="L66" i="127"/>
  <c r="G66" i="127"/>
  <c r="H66" i="127" s="1"/>
  <c r="K66" i="127" s="1"/>
  <c r="L65" i="127"/>
  <c r="G65" i="127"/>
  <c r="H65" i="127" s="1"/>
  <c r="K65" i="127" s="1"/>
  <c r="M83" i="5" s="1"/>
  <c r="L64" i="127"/>
  <c r="G64" i="127"/>
  <c r="H64" i="127" s="1"/>
  <c r="K64" i="127" s="1"/>
  <c r="L63" i="127"/>
  <c r="G63" i="127"/>
  <c r="H63" i="127" s="1"/>
  <c r="K63" i="127" s="1"/>
  <c r="M99" i="5" s="1"/>
  <c r="L62" i="127"/>
  <c r="G62" i="127"/>
  <c r="H62" i="127" s="1"/>
  <c r="K62" i="127" s="1"/>
  <c r="M98" i="5" s="1"/>
  <c r="L61" i="127"/>
  <c r="G61" i="127"/>
  <c r="H61" i="127" s="1"/>
  <c r="K61" i="127" s="1"/>
  <c r="L60" i="127"/>
  <c r="G60" i="127"/>
  <c r="H60" i="127" s="1"/>
  <c r="L59" i="127"/>
  <c r="D59" i="127"/>
  <c r="L58" i="127"/>
  <c r="L57" i="127"/>
  <c r="G57" i="127"/>
  <c r="L56" i="127"/>
  <c r="G56" i="127"/>
  <c r="L55" i="127"/>
  <c r="G55" i="127"/>
  <c r="H55" i="127" s="1"/>
  <c r="K55" i="127" s="1"/>
  <c r="M73" i="5" s="1"/>
  <c r="L54" i="127"/>
  <c r="G54" i="127"/>
  <c r="H54" i="127" s="1"/>
  <c r="K54" i="127" s="1"/>
  <c r="M72" i="5" s="1"/>
  <c r="L53" i="127"/>
  <c r="G53" i="127"/>
  <c r="L52" i="127"/>
  <c r="G52" i="127"/>
  <c r="L51" i="127"/>
  <c r="G51" i="127"/>
  <c r="H51" i="127" s="1"/>
  <c r="K51" i="127" s="1"/>
  <c r="M69" i="5" s="1"/>
  <c r="L50" i="127"/>
  <c r="G50" i="127"/>
  <c r="H50" i="127" s="1"/>
  <c r="K50" i="127" s="1"/>
  <c r="M68" i="5" s="1"/>
  <c r="L49" i="127"/>
  <c r="G49" i="127"/>
  <c r="H49" i="127" s="1"/>
  <c r="K49" i="127" s="1"/>
  <c r="M67" i="5" s="1"/>
  <c r="L48" i="127"/>
  <c r="G48" i="127"/>
  <c r="L47" i="127"/>
  <c r="G47" i="127"/>
  <c r="H47" i="127" s="1"/>
  <c r="K47" i="127" s="1"/>
  <c r="M65" i="5" s="1"/>
  <c r="L46" i="127"/>
  <c r="G46" i="127"/>
  <c r="H46" i="127" s="1"/>
  <c r="K46" i="127" s="1"/>
  <c r="M64" i="5" s="1"/>
  <c r="L45" i="127"/>
  <c r="G45" i="127"/>
  <c r="L44" i="127"/>
  <c r="G44" i="127"/>
  <c r="G43" i="127"/>
  <c r="H43" i="127" s="1"/>
  <c r="K43" i="127" s="1"/>
  <c r="M46" i="5" s="1"/>
  <c r="L42" i="127"/>
  <c r="G42" i="127"/>
  <c r="H42" i="127" s="1"/>
  <c r="K42" i="127" s="1"/>
  <c r="M61" i="5" s="1"/>
  <c r="L41" i="127"/>
  <c r="G41" i="127"/>
  <c r="H41" i="127" s="1"/>
  <c r="K41" i="127" s="1"/>
  <c r="M60" i="5" s="1"/>
  <c r="L40" i="127"/>
  <c r="G40" i="127"/>
  <c r="H40" i="127" s="1"/>
  <c r="K40" i="127" s="1"/>
  <c r="M59" i="5" s="1"/>
  <c r="L39" i="127"/>
  <c r="G39" i="127"/>
  <c r="H39" i="127" s="1"/>
  <c r="K39" i="127" s="1"/>
  <c r="M58" i="5" s="1"/>
  <c r="L38" i="127"/>
  <c r="G38" i="127"/>
  <c r="H38" i="127" s="1"/>
  <c r="K38" i="127" s="1"/>
  <c r="M57" i="5" s="1"/>
  <c r="L37" i="127"/>
  <c r="G37" i="127"/>
  <c r="H37" i="127" s="1"/>
  <c r="K37" i="127" s="1"/>
  <c r="M56" i="5" s="1"/>
  <c r="L36" i="127"/>
  <c r="G36" i="127"/>
  <c r="H36" i="127" s="1"/>
  <c r="K36" i="127" s="1"/>
  <c r="M55" i="5" s="1"/>
  <c r="L35" i="127"/>
  <c r="G35" i="127"/>
  <c r="H35" i="127" s="1"/>
  <c r="K35" i="127" s="1"/>
  <c r="M54" i="5" s="1"/>
  <c r="L34" i="127"/>
  <c r="G34" i="127"/>
  <c r="H34" i="127" s="1"/>
  <c r="K34" i="127" s="1"/>
  <c r="M52" i="5" s="1"/>
  <c r="L33" i="127"/>
  <c r="G33" i="127"/>
  <c r="H33" i="127" s="1"/>
  <c r="K33" i="127" s="1"/>
  <c r="M51" i="5" s="1"/>
  <c r="L32" i="127"/>
  <c r="G32" i="127"/>
  <c r="H32" i="127" s="1"/>
  <c r="K32" i="127" s="1"/>
  <c r="M50" i="5" s="1"/>
  <c r="L31" i="127"/>
  <c r="G31" i="127"/>
  <c r="H31" i="127" s="1"/>
  <c r="K31" i="127" s="1"/>
  <c r="M49" i="5" s="1"/>
  <c r="L30" i="127"/>
  <c r="G30" i="127"/>
  <c r="H30" i="127" s="1"/>
  <c r="K30" i="127" s="1"/>
  <c r="M48" i="5" s="1"/>
  <c r="L29" i="127"/>
  <c r="G29" i="127"/>
  <c r="L28" i="127"/>
  <c r="G28" i="127"/>
  <c r="L27" i="127"/>
  <c r="G27" i="127"/>
  <c r="H27" i="127" s="1"/>
  <c r="K27" i="127" s="1"/>
  <c r="M47" i="5" s="1"/>
  <c r="L26" i="127"/>
  <c r="G26" i="127"/>
  <c r="H26" i="127" s="1"/>
  <c r="K26" i="127" s="1"/>
  <c r="M44" i="5" s="1"/>
  <c r="L25" i="127"/>
  <c r="G25" i="127"/>
  <c r="H25" i="127" s="1"/>
  <c r="L24" i="127"/>
  <c r="D24" i="127"/>
  <c r="L23" i="127"/>
  <c r="L22" i="127"/>
  <c r="G22" i="127"/>
  <c r="G21" i="127"/>
  <c r="L20" i="127"/>
  <c r="G20" i="127"/>
  <c r="H20" i="127" s="1"/>
  <c r="L19" i="127"/>
  <c r="K19" i="127"/>
  <c r="M23" i="5" s="1"/>
  <c r="G19" i="127"/>
  <c r="L18" i="127"/>
  <c r="D18" i="127"/>
  <c r="D11" i="127" s="1"/>
  <c r="G17" i="127"/>
  <c r="H15" i="127"/>
  <c r="L14" i="127"/>
  <c r="G14" i="127"/>
  <c r="H14" i="127" s="1"/>
  <c r="K14" i="127" s="1"/>
  <c r="M17" i="5" s="1"/>
  <c r="L13" i="127"/>
  <c r="G13" i="127"/>
  <c r="H13" i="127" s="1"/>
  <c r="L12" i="127"/>
  <c r="L11" i="127"/>
  <c r="L10" i="127"/>
  <c r="G10" i="127"/>
  <c r="H10" i="127" s="1"/>
  <c r="L9" i="127"/>
  <c r="D9" i="127"/>
  <c r="L8" i="127"/>
  <c r="G8" i="127"/>
  <c r="L7" i="127"/>
  <c r="G7" i="127"/>
  <c r="L6" i="127"/>
  <c r="D6" i="127"/>
  <c r="L5" i="127"/>
  <c r="K3" i="127"/>
  <c r="G3" i="127"/>
  <c r="D132" i="126"/>
  <c r="L128" i="126"/>
  <c r="L127" i="126"/>
  <c r="K127" i="126"/>
  <c r="G127" i="126"/>
  <c r="L126" i="126"/>
  <c r="K126" i="126"/>
  <c r="G126" i="126"/>
  <c r="L125" i="126"/>
  <c r="G125" i="126"/>
  <c r="L124" i="126"/>
  <c r="D124" i="126"/>
  <c r="D123" i="126" s="1"/>
  <c r="L123" i="126"/>
  <c r="L122" i="126"/>
  <c r="G122" i="126"/>
  <c r="L121" i="126"/>
  <c r="K121" i="126"/>
  <c r="G121" i="126"/>
  <c r="L120" i="126"/>
  <c r="D120" i="126"/>
  <c r="L118" i="126"/>
  <c r="K118" i="126"/>
  <c r="H118" i="126"/>
  <c r="G118" i="126"/>
  <c r="D118" i="126"/>
  <c r="L117" i="126"/>
  <c r="K117" i="126"/>
  <c r="G117" i="126"/>
  <c r="L116" i="126"/>
  <c r="K116" i="126"/>
  <c r="G116" i="126"/>
  <c r="L115" i="126"/>
  <c r="H115" i="126"/>
  <c r="D115" i="126"/>
  <c r="L114" i="126"/>
  <c r="K114" i="126"/>
  <c r="G114" i="126"/>
  <c r="L113" i="126"/>
  <c r="K113" i="126"/>
  <c r="G113" i="126"/>
  <c r="L112" i="126"/>
  <c r="H112" i="126"/>
  <c r="D112" i="126"/>
  <c r="L111" i="126"/>
  <c r="G110" i="126"/>
  <c r="L109" i="126"/>
  <c r="G109" i="126"/>
  <c r="H109" i="126" s="1"/>
  <c r="K109" i="126" s="1"/>
  <c r="D108" i="126"/>
  <c r="G107" i="126"/>
  <c r="H107" i="126" s="1"/>
  <c r="K107" i="126" s="1"/>
  <c r="G106" i="126"/>
  <c r="H106" i="126" s="1"/>
  <c r="K106" i="126" s="1"/>
  <c r="G105" i="126"/>
  <c r="H105" i="126" s="1"/>
  <c r="K105" i="126" s="1"/>
  <c r="G104" i="126"/>
  <c r="H104" i="126" s="1"/>
  <c r="K104" i="126" s="1"/>
  <c r="G103" i="126"/>
  <c r="H103" i="126" s="1"/>
  <c r="L102" i="126"/>
  <c r="D102" i="126"/>
  <c r="L101" i="126"/>
  <c r="G101" i="126"/>
  <c r="L100" i="126"/>
  <c r="G100" i="126"/>
  <c r="L99" i="126"/>
  <c r="D99" i="126"/>
  <c r="L98" i="126"/>
  <c r="K97" i="126"/>
  <c r="G97" i="126"/>
  <c r="L93" i="126"/>
  <c r="G93" i="126"/>
  <c r="H93" i="126" s="1"/>
  <c r="K93" i="126" s="1"/>
  <c r="L92" i="126"/>
  <c r="G92" i="126"/>
  <c r="H92" i="126" s="1"/>
  <c r="K92" i="126" s="1"/>
  <c r="L91" i="126"/>
  <c r="G91" i="126"/>
  <c r="H91" i="126" s="1"/>
  <c r="K91" i="126" s="1"/>
  <c r="L90" i="126"/>
  <c r="G90" i="126"/>
  <c r="R79" i="115" s="1"/>
  <c r="L89" i="126"/>
  <c r="G89" i="126"/>
  <c r="H89" i="126" s="1"/>
  <c r="K89" i="126" s="1"/>
  <c r="L88" i="126"/>
  <c r="G88" i="126"/>
  <c r="L87" i="126"/>
  <c r="D87" i="126"/>
  <c r="L86" i="126"/>
  <c r="G86" i="126"/>
  <c r="H86" i="126" s="1"/>
  <c r="K86" i="126" s="1"/>
  <c r="L85" i="126"/>
  <c r="K85" i="126"/>
  <c r="G85" i="126"/>
  <c r="L84" i="126"/>
  <c r="G84" i="126"/>
  <c r="L83" i="126"/>
  <c r="G83" i="126"/>
  <c r="R69" i="115" s="1"/>
  <c r="L82" i="126"/>
  <c r="D82" i="126"/>
  <c r="L81" i="126"/>
  <c r="G81" i="126"/>
  <c r="D80" i="126"/>
  <c r="L80" i="126"/>
  <c r="G79" i="126"/>
  <c r="H79" i="126" s="1"/>
  <c r="K79" i="126" s="1"/>
  <c r="L78" i="126"/>
  <c r="G78" i="126"/>
  <c r="H78" i="126" s="1"/>
  <c r="K78" i="126" s="1"/>
  <c r="L77" i="126"/>
  <c r="G77" i="126"/>
  <c r="H77" i="126" s="1"/>
  <c r="K77" i="126" s="1"/>
  <c r="L76" i="126"/>
  <c r="L75" i="126"/>
  <c r="L74" i="126"/>
  <c r="H73" i="126"/>
  <c r="G72" i="126"/>
  <c r="H72" i="126" s="1"/>
  <c r="K72" i="126" s="1"/>
  <c r="L71" i="126"/>
  <c r="G71" i="126"/>
  <c r="H71" i="126" s="1"/>
  <c r="K71" i="126" s="1"/>
  <c r="L70" i="126"/>
  <c r="G70" i="126"/>
  <c r="L69" i="126"/>
  <c r="D69" i="126"/>
  <c r="D65" i="126" s="1"/>
  <c r="G68" i="126"/>
  <c r="H68" i="126" s="1"/>
  <c r="K68" i="126" s="1"/>
  <c r="L67" i="126"/>
  <c r="G67" i="126"/>
  <c r="H67" i="126" s="1"/>
  <c r="K67" i="126" s="1"/>
  <c r="L66" i="126"/>
  <c r="G66" i="126"/>
  <c r="L65" i="126"/>
  <c r="L64" i="126"/>
  <c r="G64" i="126"/>
  <c r="R57" i="115" s="1"/>
  <c r="L63" i="126"/>
  <c r="G63" i="126"/>
  <c r="R56" i="115" s="1"/>
  <c r="L62" i="126"/>
  <c r="G62" i="126"/>
  <c r="R55" i="115" s="1"/>
  <c r="L61" i="126"/>
  <c r="G61" i="126"/>
  <c r="L60" i="126"/>
  <c r="G60" i="126"/>
  <c r="H60" i="126" s="1"/>
  <c r="K60" i="126" s="1"/>
  <c r="L59" i="126"/>
  <c r="G59" i="126"/>
  <c r="L58" i="126"/>
  <c r="G58" i="126"/>
  <c r="R52" i="115" s="1"/>
  <c r="L57" i="126"/>
  <c r="G57" i="126"/>
  <c r="H57" i="126" s="1"/>
  <c r="K57" i="126" s="1"/>
  <c r="L56" i="126"/>
  <c r="G56" i="126"/>
  <c r="H56" i="126" s="1"/>
  <c r="K56" i="126" s="1"/>
  <c r="L55" i="126"/>
  <c r="G55" i="126"/>
  <c r="H55" i="126" s="1"/>
  <c r="K55" i="126" s="1"/>
  <c r="L54" i="126"/>
  <c r="G54" i="126"/>
  <c r="L53" i="126"/>
  <c r="G53" i="126"/>
  <c r="H53" i="126" s="1"/>
  <c r="K53" i="126" s="1"/>
  <c r="L52" i="126"/>
  <c r="G52" i="126"/>
  <c r="H52" i="126" s="1"/>
  <c r="K52" i="126" s="1"/>
  <c r="L51" i="126"/>
  <c r="D51" i="126"/>
  <c r="L50" i="126"/>
  <c r="G50" i="126"/>
  <c r="H50" i="126" s="1"/>
  <c r="L49" i="126"/>
  <c r="D49" i="126"/>
  <c r="L48" i="126"/>
  <c r="G48" i="126"/>
  <c r="L47" i="126"/>
  <c r="G47" i="126"/>
  <c r="L46" i="126"/>
  <c r="G46" i="126"/>
  <c r="R63" i="115" s="1"/>
  <c r="L45" i="126"/>
  <c r="D45" i="126"/>
  <c r="D44" i="126" s="1"/>
  <c r="L43" i="126"/>
  <c r="G43" i="126"/>
  <c r="L42" i="126"/>
  <c r="D42" i="126"/>
  <c r="L41" i="126"/>
  <c r="G40" i="126"/>
  <c r="H40" i="126" s="1"/>
  <c r="K40" i="126" s="1"/>
  <c r="G39" i="126"/>
  <c r="R38" i="115" s="1"/>
  <c r="L38" i="126"/>
  <c r="G38" i="126"/>
  <c r="R37" i="115" s="1"/>
  <c r="L37" i="126"/>
  <c r="G37" i="126"/>
  <c r="R36" i="115" s="1"/>
  <c r="L36" i="126"/>
  <c r="G36" i="126"/>
  <c r="L35" i="126"/>
  <c r="G35" i="126"/>
  <c r="R34" i="115" s="1"/>
  <c r="L34" i="126"/>
  <c r="G34" i="126"/>
  <c r="R33" i="115" s="1"/>
  <c r="L33" i="126"/>
  <c r="D33" i="126"/>
  <c r="L32" i="126"/>
  <c r="G32" i="126"/>
  <c r="L31" i="126"/>
  <c r="G31" i="126"/>
  <c r="L30" i="126"/>
  <c r="G30" i="126"/>
  <c r="H30" i="126" s="1"/>
  <c r="K30" i="126" s="1"/>
  <c r="L29" i="126"/>
  <c r="G29" i="126"/>
  <c r="L28" i="126"/>
  <c r="D28" i="126"/>
  <c r="D23" i="126" s="1"/>
  <c r="L27" i="126"/>
  <c r="G27" i="126"/>
  <c r="H27" i="126" s="1"/>
  <c r="K27" i="126" s="1"/>
  <c r="L26" i="126"/>
  <c r="G26" i="126"/>
  <c r="L25" i="126"/>
  <c r="G25" i="126"/>
  <c r="H25" i="126" s="1"/>
  <c r="K25" i="126" s="1"/>
  <c r="L24" i="126"/>
  <c r="G24" i="126"/>
  <c r="H24" i="126" s="1"/>
  <c r="L23" i="126"/>
  <c r="L22" i="126"/>
  <c r="G22" i="126"/>
  <c r="H22" i="126" s="1"/>
  <c r="K22" i="126" s="1"/>
  <c r="L21" i="126"/>
  <c r="G21" i="126"/>
  <c r="R21" i="115" s="1"/>
  <c r="L20" i="126"/>
  <c r="G20" i="126"/>
  <c r="L19" i="126"/>
  <c r="D19" i="126"/>
  <c r="L18" i="126"/>
  <c r="G18" i="126"/>
  <c r="H18" i="126" s="1"/>
  <c r="K18" i="126" s="1"/>
  <c r="L17" i="126"/>
  <c r="G17" i="126"/>
  <c r="H17" i="126" s="1"/>
  <c r="K17" i="126" s="1"/>
  <c r="L16" i="126"/>
  <c r="G16" i="126"/>
  <c r="H16" i="126" s="1"/>
  <c r="K16" i="126" s="1"/>
  <c r="L15" i="126"/>
  <c r="G15" i="126"/>
  <c r="L14" i="126"/>
  <c r="G14" i="126"/>
  <c r="H14" i="126" s="1"/>
  <c r="L13" i="126"/>
  <c r="D13" i="126"/>
  <c r="L12" i="126"/>
  <c r="G12" i="126"/>
  <c r="G11" i="126"/>
  <c r="L10" i="126"/>
  <c r="G10" i="126"/>
  <c r="L9" i="126"/>
  <c r="G9" i="126"/>
  <c r="L8" i="126"/>
  <c r="D8" i="126"/>
  <c r="L7" i="126"/>
  <c r="L6" i="126"/>
  <c r="L5" i="126"/>
  <c r="L118" i="5"/>
  <c r="L117" i="5"/>
  <c r="L110" i="5"/>
  <c r="L109" i="5"/>
  <c r="L107" i="5"/>
  <c r="L106" i="5"/>
  <c r="L105" i="5"/>
  <c r="L101" i="5"/>
  <c r="L100" i="5"/>
  <c r="L95" i="5"/>
  <c r="L90" i="5"/>
  <c r="L86" i="5"/>
  <c r="L84" i="5"/>
  <c r="L82" i="5"/>
  <c r="L81" i="5"/>
  <c r="L80" i="5"/>
  <c r="L77" i="5"/>
  <c r="L76" i="5"/>
  <c r="L53" i="5"/>
  <c r="L41" i="5"/>
  <c r="L40" i="5"/>
  <c r="L39" i="5"/>
  <c r="L37" i="5"/>
  <c r="L36" i="5"/>
  <c r="L34" i="5"/>
  <c r="L33" i="5"/>
  <c r="L31" i="5"/>
  <c r="L30" i="5"/>
  <c r="L19" i="5"/>
  <c r="L12" i="5"/>
  <c r="L11" i="5"/>
  <c r="L10" i="5"/>
  <c r="H12" i="128" l="1"/>
  <c r="F91" i="129"/>
  <c r="G82" i="129"/>
  <c r="H28" i="126"/>
  <c r="G115" i="128"/>
  <c r="G49" i="126"/>
  <c r="G6" i="129"/>
  <c r="D5" i="129"/>
  <c r="D23" i="129" s="1"/>
  <c r="D58" i="129" s="1"/>
  <c r="D81" i="129" s="1"/>
  <c r="D84" i="129" s="1"/>
  <c r="D88" i="129" s="1"/>
  <c r="G69" i="126"/>
  <c r="G65" i="126" s="1"/>
  <c r="G6" i="127"/>
  <c r="H84" i="128"/>
  <c r="K84" i="128" s="1"/>
  <c r="U75" i="115" s="1"/>
  <c r="K115" i="126"/>
  <c r="G28" i="128"/>
  <c r="H28" i="128" s="1"/>
  <c r="G108" i="128"/>
  <c r="K115" i="128"/>
  <c r="G13" i="128"/>
  <c r="H37" i="128"/>
  <c r="K37" i="128" s="1"/>
  <c r="U36" i="115" s="1"/>
  <c r="D98" i="126"/>
  <c r="G49" i="128"/>
  <c r="H7" i="129"/>
  <c r="K7" i="129" s="1"/>
  <c r="G19" i="128"/>
  <c r="H30" i="128"/>
  <c r="K30" i="128" s="1"/>
  <c r="H61" i="128"/>
  <c r="K61" i="128" s="1"/>
  <c r="M60" i="3" s="1"/>
  <c r="G102" i="128"/>
  <c r="G69" i="128"/>
  <c r="G65" i="128" s="1"/>
  <c r="G120" i="128"/>
  <c r="G45" i="126"/>
  <c r="G44" i="126" s="1"/>
  <c r="G18" i="129"/>
  <c r="H46" i="126"/>
  <c r="K46" i="126" s="1"/>
  <c r="S63" i="115" s="1"/>
  <c r="H70" i="126"/>
  <c r="H69" i="126" s="1"/>
  <c r="G115" i="126"/>
  <c r="H89" i="128"/>
  <c r="K89" i="128" s="1"/>
  <c r="U70" i="115" s="1"/>
  <c r="G99" i="126"/>
  <c r="H58" i="128"/>
  <c r="K58" i="128" s="1"/>
  <c r="U52" i="115" s="1"/>
  <c r="K12" i="128"/>
  <c r="M9" i="3" s="1"/>
  <c r="G102" i="126"/>
  <c r="G70" i="129"/>
  <c r="H10" i="128"/>
  <c r="K10" i="128" s="1"/>
  <c r="T17" i="115"/>
  <c r="H46" i="128"/>
  <c r="K46" i="128" s="1"/>
  <c r="T63" i="115"/>
  <c r="G51" i="128"/>
  <c r="D76" i="126"/>
  <c r="H31" i="128"/>
  <c r="K31" i="128" s="1"/>
  <c r="H12" i="126"/>
  <c r="K12" i="126" s="1"/>
  <c r="R18" i="115"/>
  <c r="D41" i="126"/>
  <c r="H35" i="126"/>
  <c r="K35" i="126" s="1"/>
  <c r="G42" i="126"/>
  <c r="R44" i="115"/>
  <c r="H64" i="126"/>
  <c r="K64" i="126" s="1"/>
  <c r="G80" i="126"/>
  <c r="R68" i="115"/>
  <c r="H88" i="126"/>
  <c r="K88" i="126" s="1"/>
  <c r="R72" i="115"/>
  <c r="H38" i="128"/>
  <c r="K38" i="128" s="1"/>
  <c r="H47" i="128"/>
  <c r="K47" i="128" s="1"/>
  <c r="H90" i="128"/>
  <c r="K90" i="128" s="1"/>
  <c r="H59" i="128"/>
  <c r="K59" i="128" s="1"/>
  <c r="T53" i="115"/>
  <c r="H83" i="128"/>
  <c r="T69" i="115"/>
  <c r="G19" i="126"/>
  <c r="R20" i="115"/>
  <c r="H20" i="126"/>
  <c r="H43" i="126"/>
  <c r="H42" i="126" s="1"/>
  <c r="G120" i="126"/>
  <c r="G99" i="128"/>
  <c r="G13" i="126"/>
  <c r="K29" i="126"/>
  <c r="R26" i="115"/>
  <c r="H36" i="126"/>
  <c r="K36" i="126" s="1"/>
  <c r="R35" i="115"/>
  <c r="G87" i="126"/>
  <c r="R70" i="115"/>
  <c r="G108" i="126"/>
  <c r="H39" i="128"/>
  <c r="K39" i="128" s="1"/>
  <c r="T38" i="115"/>
  <c r="S70" i="115"/>
  <c r="L93" i="3"/>
  <c r="U54" i="115"/>
  <c r="D98" i="128"/>
  <c r="H37" i="126"/>
  <c r="K37" i="126" s="1"/>
  <c r="H59" i="126"/>
  <c r="K59" i="126" s="1"/>
  <c r="R53" i="115"/>
  <c r="H66" i="126"/>
  <c r="K66" i="126" s="1"/>
  <c r="H100" i="126"/>
  <c r="K100" i="126" s="1"/>
  <c r="G33" i="128"/>
  <c r="T33" i="115"/>
  <c r="D41" i="128"/>
  <c r="D111" i="128"/>
  <c r="H20" i="129"/>
  <c r="K20" i="129" s="1"/>
  <c r="N24" i="5" s="1"/>
  <c r="H31" i="126"/>
  <c r="K31" i="126" s="1"/>
  <c r="R32" i="115"/>
  <c r="H84" i="126"/>
  <c r="K84" i="126" s="1"/>
  <c r="R75" i="115"/>
  <c r="H34" i="128"/>
  <c r="K34" i="128" s="1"/>
  <c r="H62" i="128"/>
  <c r="K62" i="128" s="1"/>
  <c r="G42" i="128"/>
  <c r="T44" i="115"/>
  <c r="N45" i="5"/>
  <c r="H32" i="126"/>
  <c r="K32" i="126" s="1"/>
  <c r="R31" i="115"/>
  <c r="H29" i="128"/>
  <c r="K29" i="128" s="1"/>
  <c r="T26" i="115"/>
  <c r="H35" i="128"/>
  <c r="T34" i="115"/>
  <c r="H63" i="128"/>
  <c r="K63" i="128" s="1"/>
  <c r="T56" i="115"/>
  <c r="D76" i="128"/>
  <c r="G112" i="128"/>
  <c r="H47" i="126"/>
  <c r="R64" i="115"/>
  <c r="H61" i="126"/>
  <c r="K61" i="126" s="1"/>
  <c r="R54" i="115"/>
  <c r="K112" i="128"/>
  <c r="M123" i="3"/>
  <c r="H9" i="126"/>
  <c r="K9" i="126" s="1"/>
  <c r="R16" i="115"/>
  <c r="H39" i="126"/>
  <c r="K39" i="126" s="1"/>
  <c r="G112" i="126"/>
  <c r="H15" i="128"/>
  <c r="K15" i="128" s="1"/>
  <c r="K13" i="128" s="1"/>
  <c r="H22" i="128"/>
  <c r="K22" i="128" s="1"/>
  <c r="T28" i="115"/>
  <c r="H36" i="128"/>
  <c r="K36" i="128" s="1"/>
  <c r="T35" i="115"/>
  <c r="H64" i="128"/>
  <c r="K64" i="128" s="1"/>
  <c r="T57" i="115"/>
  <c r="H88" i="128"/>
  <c r="K88" i="128" s="1"/>
  <c r="T72" i="115"/>
  <c r="H105" i="128"/>
  <c r="J130" i="128"/>
  <c r="H10" i="126"/>
  <c r="K10" i="126" s="1"/>
  <c r="R17" i="115"/>
  <c r="G33" i="126"/>
  <c r="K112" i="126"/>
  <c r="L123" i="3"/>
  <c r="D114" i="107" s="1"/>
  <c r="H9" i="128"/>
  <c r="K9" i="128" s="1"/>
  <c r="T16" i="115"/>
  <c r="G45" i="128"/>
  <c r="G44" i="128" s="1"/>
  <c r="H20" i="128"/>
  <c r="K20" i="128" s="1"/>
  <c r="G87" i="128"/>
  <c r="G82" i="128"/>
  <c r="G8" i="128"/>
  <c r="D7" i="128"/>
  <c r="D6" i="128" s="1"/>
  <c r="H72" i="129"/>
  <c r="K72" i="129" s="1"/>
  <c r="N104" i="5" s="1"/>
  <c r="G24" i="129"/>
  <c r="K108" i="128"/>
  <c r="H81" i="126"/>
  <c r="K81" i="126" s="1"/>
  <c r="G23" i="128"/>
  <c r="K77" i="128"/>
  <c r="K60" i="129"/>
  <c r="N97" i="5" s="1"/>
  <c r="K83" i="129"/>
  <c r="H82" i="129"/>
  <c r="K99" i="128"/>
  <c r="K10" i="129"/>
  <c r="H9" i="129"/>
  <c r="H49" i="128"/>
  <c r="K50" i="128"/>
  <c r="K49" i="128" s="1"/>
  <c r="K8" i="129"/>
  <c r="K52" i="128"/>
  <c r="K103" i="128"/>
  <c r="G80" i="128"/>
  <c r="H43" i="128"/>
  <c r="H66" i="128"/>
  <c r="H70" i="128"/>
  <c r="H25" i="129"/>
  <c r="G12" i="129"/>
  <c r="H61" i="129"/>
  <c r="K61" i="129" s="1"/>
  <c r="H65" i="129"/>
  <c r="K65" i="129" s="1"/>
  <c r="N83" i="5" s="1"/>
  <c r="H99" i="128"/>
  <c r="G9" i="129"/>
  <c r="G5" i="129" s="1"/>
  <c r="H26" i="129"/>
  <c r="K26" i="129" s="1"/>
  <c r="N44" i="5" s="1"/>
  <c r="H30" i="129"/>
  <c r="K30" i="129" s="1"/>
  <c r="N48" i="5" s="1"/>
  <c r="H34" i="129"/>
  <c r="K34" i="129" s="1"/>
  <c r="N52" i="5" s="1"/>
  <c r="H38" i="129"/>
  <c r="K38" i="129" s="1"/>
  <c r="N57" i="5" s="1"/>
  <c r="H42" i="129"/>
  <c r="K42" i="129" s="1"/>
  <c r="N61" i="5" s="1"/>
  <c r="H74" i="129"/>
  <c r="K74" i="129" s="1"/>
  <c r="H21" i="128"/>
  <c r="K21" i="128" s="1"/>
  <c r="H48" i="128"/>
  <c r="K48" i="128" s="1"/>
  <c r="H108" i="128"/>
  <c r="H13" i="129"/>
  <c r="H79" i="129"/>
  <c r="K79" i="129" s="1"/>
  <c r="G59" i="129"/>
  <c r="E128" i="128"/>
  <c r="G128" i="128" s="1"/>
  <c r="G124" i="128" s="1"/>
  <c r="G123" i="128" s="1"/>
  <c r="F91" i="127"/>
  <c r="F128" i="126"/>
  <c r="G128" i="126" s="1"/>
  <c r="G124" i="126" s="1"/>
  <c r="G123" i="126" s="1"/>
  <c r="H21" i="127"/>
  <c r="K21" i="127" s="1"/>
  <c r="M26" i="5" s="1"/>
  <c r="G18" i="127"/>
  <c r="D5" i="127"/>
  <c r="D23" i="127" s="1"/>
  <c r="D58" i="127" s="1"/>
  <c r="D81" i="127" s="1"/>
  <c r="D84" i="127" s="1"/>
  <c r="D88" i="127" s="1"/>
  <c r="D111" i="126"/>
  <c r="G82" i="126"/>
  <c r="G28" i="126"/>
  <c r="D7" i="126"/>
  <c r="D6" i="126" s="1"/>
  <c r="G8" i="126"/>
  <c r="K50" i="126"/>
  <c r="K49" i="126" s="1"/>
  <c r="H49" i="126"/>
  <c r="K83" i="127"/>
  <c r="H82" i="127"/>
  <c r="K10" i="127"/>
  <c r="H9" i="127"/>
  <c r="K20" i="127"/>
  <c r="M24" i="5" s="1"/>
  <c r="K24" i="126"/>
  <c r="J130" i="126"/>
  <c r="K103" i="126"/>
  <c r="K102" i="126" s="1"/>
  <c r="H102" i="126"/>
  <c r="K13" i="127"/>
  <c r="M16" i="5" s="1"/>
  <c r="K60" i="127"/>
  <c r="M97" i="5" s="1"/>
  <c r="G24" i="127"/>
  <c r="K71" i="127"/>
  <c r="M103" i="5" s="1"/>
  <c r="H69" i="127"/>
  <c r="K69" i="127" s="1"/>
  <c r="H77" i="127"/>
  <c r="K77" i="127" s="1"/>
  <c r="M88" i="5" s="1"/>
  <c r="H83" i="126"/>
  <c r="G12" i="127"/>
  <c r="K25" i="127"/>
  <c r="M43" i="5" s="1"/>
  <c r="K14" i="126"/>
  <c r="G59" i="127"/>
  <c r="H8" i="127"/>
  <c r="K8" i="127" s="1"/>
  <c r="H17" i="127"/>
  <c r="K17" i="127" s="1"/>
  <c r="M21" i="5" s="1"/>
  <c r="H29" i="127"/>
  <c r="K29" i="127" s="1"/>
  <c r="H45" i="127"/>
  <c r="K45" i="127" s="1"/>
  <c r="M63" i="5" s="1"/>
  <c r="H53" i="127"/>
  <c r="K53" i="127" s="1"/>
  <c r="M71" i="5" s="1"/>
  <c r="H57" i="127"/>
  <c r="K57" i="127" s="1"/>
  <c r="M75" i="5" s="1"/>
  <c r="G51" i="126"/>
  <c r="H22" i="127"/>
  <c r="K22" i="127" s="1"/>
  <c r="M28" i="5" s="1"/>
  <c r="G82" i="127"/>
  <c r="H63" i="126"/>
  <c r="K63" i="126" s="1"/>
  <c r="H78" i="127"/>
  <c r="K78" i="127" s="1"/>
  <c r="G9" i="127"/>
  <c r="G5" i="127" s="1"/>
  <c r="G70" i="127"/>
  <c r="H21" i="126"/>
  <c r="K21" i="126" s="1"/>
  <c r="H48" i="126"/>
  <c r="K48" i="126" s="1"/>
  <c r="H74" i="127"/>
  <c r="K74" i="127" s="1"/>
  <c r="H79" i="127"/>
  <c r="K79" i="127" s="1"/>
  <c r="M91" i="5" s="1"/>
  <c r="H26" i="126"/>
  <c r="K26" i="126" s="1"/>
  <c r="H11" i="126"/>
  <c r="K11" i="126" s="1"/>
  <c r="H15" i="126"/>
  <c r="K15" i="126" s="1"/>
  <c r="H34" i="126"/>
  <c r="H38" i="126"/>
  <c r="K38" i="126" s="1"/>
  <c r="H90" i="126"/>
  <c r="K90" i="126" s="1"/>
  <c r="H101" i="126"/>
  <c r="K101" i="126" s="1"/>
  <c r="H110" i="126"/>
  <c r="K110" i="126" s="1"/>
  <c r="K108" i="126" s="1"/>
  <c r="H7" i="127"/>
  <c r="H28" i="127"/>
  <c r="K28" i="127" s="1"/>
  <c r="H44" i="127"/>
  <c r="K44" i="127" s="1"/>
  <c r="M62" i="5" s="1"/>
  <c r="H48" i="127"/>
  <c r="K48" i="127" s="1"/>
  <c r="M66" i="5" s="1"/>
  <c r="H52" i="127"/>
  <c r="K52" i="127" s="1"/>
  <c r="M70" i="5" s="1"/>
  <c r="H56" i="127"/>
  <c r="K56" i="127" s="1"/>
  <c r="M74" i="5" s="1"/>
  <c r="K76" i="127"/>
  <c r="M92" i="5" s="1"/>
  <c r="H16" i="127"/>
  <c r="H54" i="126"/>
  <c r="K54" i="126" s="1"/>
  <c r="H58" i="126"/>
  <c r="K58" i="126" s="1"/>
  <c r="H62" i="126"/>
  <c r="K62" i="126" s="1"/>
  <c r="K148" i="3"/>
  <c r="K147" i="3"/>
  <c r="K146" i="3"/>
  <c r="K145" i="3"/>
  <c r="K142" i="3"/>
  <c r="K141" i="3"/>
  <c r="K139" i="3"/>
  <c r="K138" i="3"/>
  <c r="K137" i="3"/>
  <c r="K134" i="3"/>
  <c r="K133" i="3"/>
  <c r="K130" i="3"/>
  <c r="K129" i="3"/>
  <c r="K128" i="3"/>
  <c r="K127" i="3"/>
  <c r="K124" i="3"/>
  <c r="K119" i="3"/>
  <c r="K115" i="3"/>
  <c r="K114" i="3"/>
  <c r="K113" i="3"/>
  <c r="K112" i="3"/>
  <c r="K111" i="3"/>
  <c r="K110" i="3"/>
  <c r="K109" i="3"/>
  <c r="K108" i="3"/>
  <c r="K105" i="3"/>
  <c r="K104" i="3"/>
  <c r="K103" i="3"/>
  <c r="K101" i="3"/>
  <c r="K100" i="3"/>
  <c r="K99" i="3"/>
  <c r="K97" i="3"/>
  <c r="K96" i="3"/>
  <c r="K94" i="3"/>
  <c r="K87" i="3"/>
  <c r="K86" i="3"/>
  <c r="K85" i="3"/>
  <c r="K83" i="3"/>
  <c r="K82" i="3"/>
  <c r="K76" i="3"/>
  <c r="K73" i="3"/>
  <c r="K72" i="3"/>
  <c r="K71" i="3"/>
  <c r="K70" i="3"/>
  <c r="K69" i="3"/>
  <c r="K67" i="3"/>
  <c r="K66" i="3"/>
  <c r="K63" i="3"/>
  <c r="K62" i="3"/>
  <c r="K57" i="3"/>
  <c r="K56" i="3"/>
  <c r="K55" i="3"/>
  <c r="K54" i="3"/>
  <c r="K53" i="3"/>
  <c r="K52" i="3"/>
  <c r="K49" i="3"/>
  <c r="K47" i="3"/>
  <c r="K46" i="3"/>
  <c r="K44" i="3"/>
  <c r="K42" i="3"/>
  <c r="K41" i="3"/>
  <c r="K38" i="3"/>
  <c r="K35" i="3"/>
  <c r="K34" i="3"/>
  <c r="K33" i="3"/>
  <c r="K32" i="3"/>
  <c r="K31" i="3"/>
  <c r="K23" i="3"/>
  <c r="K22" i="3"/>
  <c r="K21" i="3"/>
  <c r="K20" i="3"/>
  <c r="K19" i="3"/>
  <c r="K18" i="3"/>
  <c r="K16" i="3"/>
  <c r="K15" i="3"/>
  <c r="K14" i="3"/>
  <c r="K13" i="3"/>
  <c r="K10" i="3"/>
  <c r="G81" i="124"/>
  <c r="G14" i="124"/>
  <c r="D8" i="124"/>
  <c r="J90" i="125"/>
  <c r="J128" i="124" s="1"/>
  <c r="J129" i="124" s="1"/>
  <c r="I90" i="125"/>
  <c r="I128" i="124" s="1"/>
  <c r="I129" i="124" s="1"/>
  <c r="F90" i="125"/>
  <c r="G87" i="125"/>
  <c r="G86" i="125"/>
  <c r="G85" i="125" s="1"/>
  <c r="D85" i="125"/>
  <c r="L84" i="125"/>
  <c r="L83" i="125"/>
  <c r="G83" i="125"/>
  <c r="G82" i="125" s="1"/>
  <c r="D82" i="125"/>
  <c r="L81" i="125"/>
  <c r="G80" i="125"/>
  <c r="G79" i="125"/>
  <c r="L78" i="125"/>
  <c r="G78" i="125"/>
  <c r="G77" i="125"/>
  <c r="L76" i="125"/>
  <c r="G76" i="125"/>
  <c r="G75" i="125"/>
  <c r="L74" i="125"/>
  <c r="G74" i="125"/>
  <c r="L73" i="125"/>
  <c r="G73" i="125"/>
  <c r="L72" i="125"/>
  <c r="G72" i="125"/>
  <c r="L71" i="125"/>
  <c r="G71" i="125"/>
  <c r="L70" i="125"/>
  <c r="D70" i="125"/>
  <c r="L69" i="125"/>
  <c r="G69" i="125"/>
  <c r="G68" i="125"/>
  <c r="G67" i="125"/>
  <c r="L66" i="125"/>
  <c r="G66" i="125"/>
  <c r="L65" i="125"/>
  <c r="G65" i="125"/>
  <c r="L64" i="125"/>
  <c r="G64" i="125"/>
  <c r="L63" i="125"/>
  <c r="G63" i="125"/>
  <c r="L62" i="125"/>
  <c r="G62" i="125"/>
  <c r="L61" i="125"/>
  <c r="G61" i="125"/>
  <c r="L60" i="125"/>
  <c r="G60" i="125"/>
  <c r="L59" i="125"/>
  <c r="D59" i="125"/>
  <c r="L58" i="125"/>
  <c r="L57" i="125"/>
  <c r="G57" i="125"/>
  <c r="L56" i="125"/>
  <c r="G56" i="125"/>
  <c r="L55" i="125"/>
  <c r="G55" i="125"/>
  <c r="L54" i="125"/>
  <c r="G54" i="125"/>
  <c r="L53" i="125"/>
  <c r="G53" i="125"/>
  <c r="L52" i="125"/>
  <c r="G52" i="125"/>
  <c r="L51" i="125"/>
  <c r="G51" i="125"/>
  <c r="L50" i="125"/>
  <c r="G50" i="125"/>
  <c r="L49" i="125"/>
  <c r="G49" i="125"/>
  <c r="L48" i="125"/>
  <c r="G48" i="125"/>
  <c r="L47" i="125"/>
  <c r="G47" i="125"/>
  <c r="L46" i="125"/>
  <c r="G46" i="125"/>
  <c r="L45" i="125"/>
  <c r="G45" i="125"/>
  <c r="L44" i="125"/>
  <c r="G44" i="125"/>
  <c r="G43" i="125"/>
  <c r="L42" i="125"/>
  <c r="G42" i="125"/>
  <c r="L41" i="125"/>
  <c r="G41" i="125"/>
  <c r="L40" i="125"/>
  <c r="G40" i="125"/>
  <c r="L39" i="125"/>
  <c r="G39" i="125"/>
  <c r="L38" i="125"/>
  <c r="G38" i="125"/>
  <c r="L37" i="125"/>
  <c r="G37" i="125"/>
  <c r="L36" i="125"/>
  <c r="G36" i="125"/>
  <c r="L35" i="125"/>
  <c r="G35" i="125"/>
  <c r="L34" i="125"/>
  <c r="G34" i="125"/>
  <c r="L33" i="125"/>
  <c r="G33" i="125"/>
  <c r="L32" i="125"/>
  <c r="G32" i="125"/>
  <c r="L31" i="125"/>
  <c r="G31" i="125"/>
  <c r="L30" i="125"/>
  <c r="G30" i="125"/>
  <c r="L29" i="125"/>
  <c r="G29" i="125"/>
  <c r="L28" i="125"/>
  <c r="G28" i="125"/>
  <c r="L27" i="125"/>
  <c r="G27" i="125"/>
  <c r="L26" i="125"/>
  <c r="L25" i="125"/>
  <c r="G25" i="125"/>
  <c r="L24" i="125"/>
  <c r="D24" i="125"/>
  <c r="G26" i="125" s="1"/>
  <c r="L23" i="125"/>
  <c r="L22" i="125"/>
  <c r="D18" i="125"/>
  <c r="D11" i="125" s="1"/>
  <c r="G21" i="125"/>
  <c r="L20" i="125"/>
  <c r="G20" i="125"/>
  <c r="L19" i="125"/>
  <c r="K19" i="125"/>
  <c r="L23" i="5" s="1"/>
  <c r="G19" i="125"/>
  <c r="L18" i="125"/>
  <c r="G17" i="125"/>
  <c r="L14" i="125"/>
  <c r="G14" i="125"/>
  <c r="L13" i="125"/>
  <c r="G13" i="125"/>
  <c r="L12" i="125"/>
  <c r="L11" i="125"/>
  <c r="L10" i="125"/>
  <c r="G10" i="125"/>
  <c r="L9" i="125"/>
  <c r="D9" i="125"/>
  <c r="L8" i="125"/>
  <c r="G8" i="125"/>
  <c r="L7" i="125"/>
  <c r="G7" i="125"/>
  <c r="L6" i="125"/>
  <c r="D6" i="125"/>
  <c r="L5" i="125"/>
  <c r="G4" i="125"/>
  <c r="K3" i="125"/>
  <c r="G3" i="125"/>
  <c r="L128" i="124"/>
  <c r="L127" i="124"/>
  <c r="K127" i="124"/>
  <c r="G127" i="124"/>
  <c r="L126" i="124"/>
  <c r="K126" i="124"/>
  <c r="G126" i="124"/>
  <c r="L125" i="124"/>
  <c r="G125" i="124"/>
  <c r="L124" i="124"/>
  <c r="L123" i="124"/>
  <c r="L122" i="124"/>
  <c r="G122" i="124"/>
  <c r="L121" i="124"/>
  <c r="K121" i="124"/>
  <c r="G121" i="124"/>
  <c r="L120" i="124"/>
  <c r="D120" i="124"/>
  <c r="L118" i="124"/>
  <c r="K118" i="124"/>
  <c r="H118" i="124"/>
  <c r="G118" i="124"/>
  <c r="D118" i="124"/>
  <c r="L117" i="124"/>
  <c r="K117" i="124"/>
  <c r="G117" i="124"/>
  <c r="L116" i="124"/>
  <c r="K116" i="124"/>
  <c r="G116" i="124"/>
  <c r="L115" i="124"/>
  <c r="H115" i="124"/>
  <c r="D115" i="124"/>
  <c r="L114" i="124"/>
  <c r="K114" i="124"/>
  <c r="G114" i="124"/>
  <c r="L113" i="124"/>
  <c r="K113" i="124"/>
  <c r="G113" i="124"/>
  <c r="L112" i="124"/>
  <c r="H112" i="124"/>
  <c r="D112" i="124"/>
  <c r="L111" i="124"/>
  <c r="G110" i="124"/>
  <c r="L109" i="124"/>
  <c r="G109" i="124"/>
  <c r="D108" i="124"/>
  <c r="G107" i="124"/>
  <c r="G106" i="124"/>
  <c r="G105" i="124"/>
  <c r="G104" i="124"/>
  <c r="G103" i="124"/>
  <c r="L102" i="124"/>
  <c r="D102" i="124"/>
  <c r="L101" i="124"/>
  <c r="G101" i="124"/>
  <c r="L100" i="124"/>
  <c r="G100" i="124"/>
  <c r="L99" i="124"/>
  <c r="D99" i="124"/>
  <c r="L98" i="124"/>
  <c r="K97" i="124"/>
  <c r="G97" i="124"/>
  <c r="L93" i="124"/>
  <c r="G93" i="124"/>
  <c r="L92" i="124"/>
  <c r="G92" i="124"/>
  <c r="L91" i="124"/>
  <c r="G91" i="124"/>
  <c r="L90" i="124"/>
  <c r="G90" i="124"/>
  <c r="L89" i="124"/>
  <c r="G89" i="124"/>
  <c r="L88" i="124"/>
  <c r="G88" i="124"/>
  <c r="P72" i="115" s="1"/>
  <c r="L87" i="124"/>
  <c r="D87" i="124"/>
  <c r="L86" i="124"/>
  <c r="K86" i="124"/>
  <c r="G86" i="124"/>
  <c r="L85" i="124"/>
  <c r="K85" i="124"/>
  <c r="G85" i="124"/>
  <c r="L84" i="124"/>
  <c r="G84" i="124"/>
  <c r="L83" i="124"/>
  <c r="G83" i="124"/>
  <c r="P69" i="115" s="1"/>
  <c r="L82" i="124"/>
  <c r="L81" i="124"/>
  <c r="L80" i="124"/>
  <c r="D80" i="124"/>
  <c r="G79" i="124"/>
  <c r="L78" i="124"/>
  <c r="G78" i="124"/>
  <c r="L77" i="124"/>
  <c r="G77" i="124"/>
  <c r="L76" i="124"/>
  <c r="L75" i="124"/>
  <c r="L74" i="124"/>
  <c r="G72" i="124"/>
  <c r="L71" i="124"/>
  <c r="G71" i="124"/>
  <c r="L70" i="124"/>
  <c r="G70" i="124"/>
  <c r="L69" i="124"/>
  <c r="D69" i="124"/>
  <c r="D65" i="124" s="1"/>
  <c r="G68" i="124"/>
  <c r="L67" i="124"/>
  <c r="G67" i="124"/>
  <c r="L66" i="124"/>
  <c r="G66" i="124"/>
  <c r="L65" i="124"/>
  <c r="L64" i="124"/>
  <c r="G64" i="124"/>
  <c r="L63" i="124"/>
  <c r="G63" i="124"/>
  <c r="L62" i="124"/>
  <c r="G62" i="124"/>
  <c r="L61" i="124"/>
  <c r="G61" i="124"/>
  <c r="L60" i="124"/>
  <c r="G60" i="124"/>
  <c r="L59" i="124"/>
  <c r="G59" i="124"/>
  <c r="L58" i="124"/>
  <c r="G58" i="124"/>
  <c r="L57" i="124"/>
  <c r="G57" i="124"/>
  <c r="L56" i="124"/>
  <c r="G56" i="124"/>
  <c r="L55" i="124"/>
  <c r="G55" i="124"/>
  <c r="L54" i="124"/>
  <c r="G54" i="124"/>
  <c r="L53" i="124"/>
  <c r="G53" i="124"/>
  <c r="L52" i="124"/>
  <c r="G52" i="124"/>
  <c r="L51" i="124"/>
  <c r="D51" i="124"/>
  <c r="L50" i="124"/>
  <c r="G50" i="124"/>
  <c r="L49" i="124"/>
  <c r="D49" i="124"/>
  <c r="L48" i="124"/>
  <c r="G48" i="124"/>
  <c r="L47" i="124"/>
  <c r="G47" i="124"/>
  <c r="P64" i="115" s="1"/>
  <c r="L46" i="124"/>
  <c r="G46" i="124"/>
  <c r="P63" i="115" s="1"/>
  <c r="L45" i="124"/>
  <c r="D45" i="124"/>
  <c r="D44" i="124" s="1"/>
  <c r="L43" i="124"/>
  <c r="G43" i="124"/>
  <c r="L42" i="124"/>
  <c r="D42" i="124"/>
  <c r="L41" i="124"/>
  <c r="G40" i="124"/>
  <c r="G39" i="124"/>
  <c r="L38" i="124"/>
  <c r="G38" i="124"/>
  <c r="L37" i="124"/>
  <c r="G37" i="124"/>
  <c r="L36" i="124"/>
  <c r="G36" i="124"/>
  <c r="P35" i="115" s="1"/>
  <c r="L35" i="124"/>
  <c r="G35" i="124"/>
  <c r="L34" i="124"/>
  <c r="G34" i="124"/>
  <c r="L33" i="124"/>
  <c r="D33" i="124"/>
  <c r="L32" i="124"/>
  <c r="G32" i="124"/>
  <c r="L31" i="124"/>
  <c r="G31" i="124"/>
  <c r="L30" i="124"/>
  <c r="G30" i="124"/>
  <c r="L29" i="124"/>
  <c r="G29" i="124"/>
  <c r="L28" i="124"/>
  <c r="L27" i="124"/>
  <c r="G27" i="124"/>
  <c r="L26" i="124"/>
  <c r="G26" i="124"/>
  <c r="L25" i="124"/>
  <c r="G25" i="124"/>
  <c r="L24" i="124"/>
  <c r="G24" i="124"/>
  <c r="L23" i="124"/>
  <c r="L22" i="124"/>
  <c r="G22" i="124"/>
  <c r="L21" i="124"/>
  <c r="G21" i="124"/>
  <c r="L20" i="124"/>
  <c r="L19" i="124"/>
  <c r="L18" i="124"/>
  <c r="G18" i="124"/>
  <c r="L17" i="124"/>
  <c r="G17" i="124"/>
  <c r="L16" i="124"/>
  <c r="G16" i="124"/>
  <c r="L15" i="124"/>
  <c r="G15" i="124"/>
  <c r="L14" i="124"/>
  <c r="L13" i="124"/>
  <c r="L12" i="124"/>
  <c r="G12" i="124"/>
  <c r="G11" i="124"/>
  <c r="L10" i="124"/>
  <c r="G10" i="124"/>
  <c r="L9" i="124"/>
  <c r="G9" i="124"/>
  <c r="P16" i="115" s="1"/>
  <c r="L8" i="124"/>
  <c r="L7" i="124"/>
  <c r="L6" i="124"/>
  <c r="L5" i="124"/>
  <c r="G4" i="124"/>
  <c r="F90" i="100"/>
  <c r="E90" i="100"/>
  <c r="G4" i="100"/>
  <c r="G87" i="100"/>
  <c r="G86" i="100"/>
  <c r="G85" i="100" s="1"/>
  <c r="G83" i="100"/>
  <c r="G82" i="100" s="1"/>
  <c r="G80" i="100"/>
  <c r="G79" i="100"/>
  <c r="G78" i="100"/>
  <c r="G77" i="100"/>
  <c r="G76" i="100"/>
  <c r="G75" i="100"/>
  <c r="G74" i="100"/>
  <c r="G73" i="100"/>
  <c r="G72" i="100"/>
  <c r="G71" i="100"/>
  <c r="G69" i="100"/>
  <c r="G68" i="100"/>
  <c r="G67" i="100"/>
  <c r="G66" i="100"/>
  <c r="G65" i="100"/>
  <c r="G64" i="100"/>
  <c r="G63" i="100"/>
  <c r="G62" i="100"/>
  <c r="G61" i="100"/>
  <c r="G60" i="100"/>
  <c r="G57" i="100"/>
  <c r="G56" i="100"/>
  <c r="G55" i="100"/>
  <c r="G54" i="100"/>
  <c r="G53" i="100"/>
  <c r="G52" i="100"/>
  <c r="G51" i="100"/>
  <c r="G50" i="100"/>
  <c r="G48" i="100"/>
  <c r="G47" i="100"/>
  <c r="G46" i="100"/>
  <c r="G45" i="100"/>
  <c r="G44" i="100"/>
  <c r="G43" i="100"/>
  <c r="G42" i="100"/>
  <c r="G41" i="100"/>
  <c r="G40" i="100"/>
  <c r="G39" i="100"/>
  <c r="G38" i="100"/>
  <c r="G37" i="100"/>
  <c r="G36" i="100"/>
  <c r="G35" i="100"/>
  <c r="G34" i="100"/>
  <c r="G33" i="100"/>
  <c r="G32" i="100"/>
  <c r="G31" i="100"/>
  <c r="G29" i="100"/>
  <c r="G28" i="100"/>
  <c r="G27" i="100"/>
  <c r="G26" i="100"/>
  <c r="G21" i="100"/>
  <c r="G20" i="100"/>
  <c r="G19" i="100"/>
  <c r="G17" i="100"/>
  <c r="G14" i="100"/>
  <c r="G13" i="100"/>
  <c r="G10" i="100"/>
  <c r="G9" i="100" s="1"/>
  <c r="G8" i="100"/>
  <c r="G7" i="100"/>
  <c r="G3" i="100"/>
  <c r="G127" i="99"/>
  <c r="G126" i="99"/>
  <c r="G122" i="99"/>
  <c r="G121" i="99"/>
  <c r="G118" i="99"/>
  <c r="G117" i="99"/>
  <c r="G116" i="99"/>
  <c r="G114" i="99"/>
  <c r="G113" i="99"/>
  <c r="G110" i="99"/>
  <c r="G109" i="99"/>
  <c r="G107" i="99"/>
  <c r="G106" i="99"/>
  <c r="G105" i="99"/>
  <c r="G104" i="99"/>
  <c r="G103" i="99"/>
  <c r="G101" i="99"/>
  <c r="G100" i="99"/>
  <c r="G97" i="99"/>
  <c r="G93" i="99"/>
  <c r="G92" i="99"/>
  <c r="G91" i="99"/>
  <c r="G90" i="99"/>
  <c r="G89" i="99"/>
  <c r="G88" i="99"/>
  <c r="G86" i="99"/>
  <c r="G85" i="99"/>
  <c r="G83" i="99"/>
  <c r="G81" i="99"/>
  <c r="G80" i="99" s="1"/>
  <c r="G79" i="99"/>
  <c r="G78" i="99"/>
  <c r="G77" i="99"/>
  <c r="G72" i="99"/>
  <c r="G71" i="99"/>
  <c r="G70" i="99"/>
  <c r="G68" i="99"/>
  <c r="G67" i="99"/>
  <c r="G66" i="99"/>
  <c r="G64" i="99"/>
  <c r="G63" i="99"/>
  <c r="G62" i="99"/>
  <c r="G61" i="99"/>
  <c r="G60" i="99"/>
  <c r="G59" i="99"/>
  <c r="G58" i="99"/>
  <c r="G57" i="99"/>
  <c r="G56" i="99"/>
  <c r="G55" i="99"/>
  <c r="G54" i="99"/>
  <c r="G53" i="99"/>
  <c r="G52" i="99"/>
  <c r="G50" i="99"/>
  <c r="G49" i="99" s="1"/>
  <c r="G48" i="99"/>
  <c r="G47" i="99"/>
  <c r="G46" i="99"/>
  <c r="G43" i="99"/>
  <c r="G42" i="99" s="1"/>
  <c r="G40" i="99"/>
  <c r="G39" i="99"/>
  <c r="G38" i="99"/>
  <c r="G37" i="99"/>
  <c r="G36" i="99"/>
  <c r="G35" i="99"/>
  <c r="G34" i="99"/>
  <c r="G32" i="99"/>
  <c r="G31" i="99"/>
  <c r="G30" i="99"/>
  <c r="G29" i="99"/>
  <c r="H29" i="99" s="1"/>
  <c r="G27" i="99"/>
  <c r="G26" i="99"/>
  <c r="G25" i="99"/>
  <c r="G24" i="99"/>
  <c r="G22" i="99"/>
  <c r="G21" i="99"/>
  <c r="G18" i="99"/>
  <c r="G17" i="99"/>
  <c r="G16" i="99"/>
  <c r="G15" i="99"/>
  <c r="G14" i="99"/>
  <c r="G12" i="99"/>
  <c r="G11" i="99"/>
  <c r="G10" i="99"/>
  <c r="G9" i="99"/>
  <c r="G4" i="99"/>
  <c r="D85" i="100"/>
  <c r="D82" i="100"/>
  <c r="D70" i="100"/>
  <c r="D59" i="100"/>
  <c r="D24" i="100"/>
  <c r="G30" i="100"/>
  <c r="G25" i="100"/>
  <c r="D22" i="100"/>
  <c r="D18" i="100" s="1"/>
  <c r="D11" i="100" s="1"/>
  <c r="D9" i="100"/>
  <c r="D6" i="100"/>
  <c r="D132" i="99"/>
  <c r="D120" i="99"/>
  <c r="D118" i="99"/>
  <c r="D115" i="99"/>
  <c r="D112" i="99"/>
  <c r="D108" i="99"/>
  <c r="D102" i="99"/>
  <c r="D99" i="99"/>
  <c r="D87" i="99"/>
  <c r="G84" i="99"/>
  <c r="D82" i="99"/>
  <c r="D80" i="99"/>
  <c r="D69" i="99"/>
  <c r="D65" i="99" s="1"/>
  <c r="D51" i="99"/>
  <c r="D49" i="99"/>
  <c r="D45" i="99"/>
  <c r="D44" i="99" s="1"/>
  <c r="D42" i="99"/>
  <c r="D33" i="99"/>
  <c r="D28" i="99"/>
  <c r="D23" i="99" s="1"/>
  <c r="G20" i="99"/>
  <c r="D13" i="99"/>
  <c r="D8" i="99"/>
  <c r="K105" i="128" l="1"/>
  <c r="H102" i="128"/>
  <c r="H98" i="128" s="1"/>
  <c r="K70" i="126"/>
  <c r="K69" i="126" s="1"/>
  <c r="H65" i="126"/>
  <c r="G11" i="129"/>
  <c r="G111" i="128"/>
  <c r="F128" i="124"/>
  <c r="M98" i="3"/>
  <c r="N32" i="115"/>
  <c r="H31" i="99"/>
  <c r="K29" i="124"/>
  <c r="H82" i="128"/>
  <c r="H53" i="124"/>
  <c r="K53" i="124" s="1"/>
  <c r="D75" i="128"/>
  <c r="G45" i="99"/>
  <c r="G44" i="99" s="1"/>
  <c r="H11" i="124"/>
  <c r="K11" i="124" s="1"/>
  <c r="H57" i="124"/>
  <c r="K57" i="124" s="1"/>
  <c r="H107" i="124"/>
  <c r="K107" i="124" s="1"/>
  <c r="H50" i="124"/>
  <c r="H32" i="124"/>
  <c r="K32" i="124" s="1"/>
  <c r="H68" i="124"/>
  <c r="K68" i="124" s="1"/>
  <c r="G98" i="126"/>
  <c r="H52" i="124"/>
  <c r="K52" i="124" s="1"/>
  <c r="H60" i="124"/>
  <c r="K60" i="124" s="1"/>
  <c r="H100" i="124"/>
  <c r="K100" i="124" s="1"/>
  <c r="G41" i="126"/>
  <c r="M93" i="3"/>
  <c r="H36" i="125"/>
  <c r="K36" i="125" s="1"/>
  <c r="L55" i="5" s="1"/>
  <c r="U18" i="115"/>
  <c r="H20" i="99"/>
  <c r="K6" i="129"/>
  <c r="L78" i="3"/>
  <c r="H6" i="129"/>
  <c r="H5" i="129" s="1"/>
  <c r="H45" i="126"/>
  <c r="M28" i="3"/>
  <c r="H85" i="99"/>
  <c r="G108" i="99"/>
  <c r="G98" i="128"/>
  <c r="H101" i="124"/>
  <c r="K101" i="124" s="1"/>
  <c r="H17" i="124"/>
  <c r="K17" i="124" s="1"/>
  <c r="H86" i="99"/>
  <c r="H18" i="124"/>
  <c r="K18" i="124" s="1"/>
  <c r="D5" i="126"/>
  <c r="D98" i="99"/>
  <c r="K43" i="126"/>
  <c r="K42" i="126" s="1"/>
  <c r="F91" i="100"/>
  <c r="F128" i="99" s="1"/>
  <c r="G7" i="128"/>
  <c r="G6" i="128" s="1"/>
  <c r="G5" i="128" s="1"/>
  <c r="H39" i="108" s="1"/>
  <c r="G69" i="124"/>
  <c r="G112" i="124"/>
  <c r="K18" i="129"/>
  <c r="D75" i="126"/>
  <c r="D76" i="99"/>
  <c r="G23" i="129"/>
  <c r="G58" i="129" s="1"/>
  <c r="G81" i="129" s="1"/>
  <c r="G84" i="129" s="1"/>
  <c r="D5" i="128"/>
  <c r="G120" i="124"/>
  <c r="G76" i="126"/>
  <c r="H45" i="128"/>
  <c r="H44" i="128" s="1"/>
  <c r="K83" i="128"/>
  <c r="H8" i="128"/>
  <c r="H33" i="128"/>
  <c r="H80" i="126"/>
  <c r="H27" i="124"/>
  <c r="K27" i="124" s="1"/>
  <c r="G6" i="125"/>
  <c r="H13" i="128"/>
  <c r="G115" i="99"/>
  <c r="H54" i="124"/>
  <c r="K54" i="124" s="1"/>
  <c r="H71" i="124"/>
  <c r="K71" i="124" s="1"/>
  <c r="H8" i="126"/>
  <c r="H48" i="124"/>
  <c r="K48" i="124" s="1"/>
  <c r="D5" i="125"/>
  <c r="D23" i="125" s="1"/>
  <c r="D58" i="125" s="1"/>
  <c r="D81" i="125" s="1"/>
  <c r="D84" i="125" s="1"/>
  <c r="D88" i="125" s="1"/>
  <c r="H108" i="126"/>
  <c r="G28" i="99"/>
  <c r="G23" i="99" s="1"/>
  <c r="G8" i="99"/>
  <c r="G69" i="99"/>
  <c r="G65" i="99" s="1"/>
  <c r="G49" i="124"/>
  <c r="G41" i="128"/>
  <c r="G99" i="99"/>
  <c r="G13" i="99"/>
  <c r="H24" i="124"/>
  <c r="K24" i="124" s="1"/>
  <c r="M58" i="3"/>
  <c r="G115" i="124"/>
  <c r="K115" i="124"/>
  <c r="G111" i="126"/>
  <c r="E90" i="125"/>
  <c r="E128" i="124" s="1"/>
  <c r="H91" i="124"/>
  <c r="K91" i="124" s="1"/>
  <c r="D41" i="124"/>
  <c r="K51" i="128"/>
  <c r="H18" i="129"/>
  <c r="K47" i="126"/>
  <c r="L79" i="3" s="1"/>
  <c r="H15" i="124"/>
  <c r="K15" i="124" s="1"/>
  <c r="H78" i="124"/>
  <c r="K78" i="124" s="1"/>
  <c r="H109" i="124"/>
  <c r="K109" i="124" s="1"/>
  <c r="H25" i="124"/>
  <c r="K25" i="124" s="1"/>
  <c r="H79" i="124"/>
  <c r="K79" i="124" s="1"/>
  <c r="H110" i="124"/>
  <c r="K110" i="124" s="1"/>
  <c r="H30" i="124"/>
  <c r="K30" i="124" s="1"/>
  <c r="H22" i="124"/>
  <c r="K22" i="124" s="1"/>
  <c r="H56" i="124"/>
  <c r="K56" i="124" s="1"/>
  <c r="H40" i="124"/>
  <c r="K40" i="124" s="1"/>
  <c r="H14" i="125"/>
  <c r="K14" i="125" s="1"/>
  <c r="L17" i="5" s="1"/>
  <c r="H63" i="125"/>
  <c r="K63" i="125" s="1"/>
  <c r="L99" i="5" s="1"/>
  <c r="H21" i="125"/>
  <c r="K21" i="125" s="1"/>
  <c r="L26" i="5" s="1"/>
  <c r="H10" i="125"/>
  <c r="H55" i="125"/>
  <c r="K55" i="125" s="1"/>
  <c r="L73" i="5" s="1"/>
  <c r="H72" i="125"/>
  <c r="K72" i="125" s="1"/>
  <c r="L104" i="5" s="1"/>
  <c r="H39" i="125"/>
  <c r="K39" i="125" s="1"/>
  <c r="L58" i="5" s="1"/>
  <c r="H64" i="125"/>
  <c r="K64" i="125" s="1"/>
  <c r="H73" i="125"/>
  <c r="K73" i="125" s="1"/>
  <c r="H48" i="125"/>
  <c r="K48" i="125" s="1"/>
  <c r="L66" i="5" s="1"/>
  <c r="K87" i="128"/>
  <c r="U72" i="115"/>
  <c r="M95" i="3"/>
  <c r="G19" i="99"/>
  <c r="K8" i="126"/>
  <c r="S16" i="115"/>
  <c r="L7" i="3"/>
  <c r="H62" i="124"/>
  <c r="K62" i="124" s="1"/>
  <c r="P55" i="115"/>
  <c r="H89" i="124"/>
  <c r="K89" i="124" s="1"/>
  <c r="P70" i="115"/>
  <c r="G12" i="125"/>
  <c r="H49" i="125"/>
  <c r="K49" i="125" s="1"/>
  <c r="L67" i="5" s="1"/>
  <c r="H57" i="125"/>
  <c r="K57" i="125" s="1"/>
  <c r="L75" i="5" s="1"/>
  <c r="K82" i="127"/>
  <c r="M112" i="5"/>
  <c r="K82" i="129"/>
  <c r="N112" i="5"/>
  <c r="U53" i="115"/>
  <c r="M59" i="3"/>
  <c r="U32" i="115"/>
  <c r="K32" i="115" s="1"/>
  <c r="L32" i="115" s="1"/>
  <c r="M37" i="3"/>
  <c r="G108" i="124"/>
  <c r="D19" i="99"/>
  <c r="D7" i="99" s="1"/>
  <c r="D6" i="99" s="1"/>
  <c r="G33" i="99"/>
  <c r="H76" i="125"/>
  <c r="K76" i="125" s="1"/>
  <c r="L92" i="5" s="1"/>
  <c r="H33" i="125"/>
  <c r="K33" i="125" s="1"/>
  <c r="L51" i="5" s="1"/>
  <c r="H41" i="125"/>
  <c r="K41" i="125" s="1"/>
  <c r="L60" i="5" s="1"/>
  <c r="H75" i="125"/>
  <c r="K75" i="125" s="1"/>
  <c r="L89" i="5" s="1"/>
  <c r="S21" i="115"/>
  <c r="L12" i="3"/>
  <c r="S54" i="115"/>
  <c r="L60" i="3"/>
  <c r="H90" i="124"/>
  <c r="K90" i="124" s="1"/>
  <c r="P79" i="115"/>
  <c r="H16" i="124"/>
  <c r="K16" i="124" s="1"/>
  <c r="H72" i="124"/>
  <c r="K72" i="124" s="1"/>
  <c r="H67" i="125"/>
  <c r="K67" i="125" s="1"/>
  <c r="M45" i="5"/>
  <c r="K13" i="126"/>
  <c r="S72" i="115"/>
  <c r="L95" i="3"/>
  <c r="K8" i="128"/>
  <c r="U16" i="115"/>
  <c r="M7" i="3"/>
  <c r="U57" i="115"/>
  <c r="M65" i="3"/>
  <c r="U55" i="115"/>
  <c r="M61" i="3"/>
  <c r="S53" i="115"/>
  <c r="L59" i="3"/>
  <c r="U64" i="115"/>
  <c r="M79" i="3"/>
  <c r="H61" i="124"/>
  <c r="K61" i="124" s="1"/>
  <c r="P54" i="115"/>
  <c r="H43" i="124"/>
  <c r="K43" i="124" s="1"/>
  <c r="P44" i="115"/>
  <c r="K70" i="129"/>
  <c r="N91" i="5"/>
  <c r="S35" i="115"/>
  <c r="L27" i="3"/>
  <c r="U79" i="115"/>
  <c r="M102" i="3"/>
  <c r="H34" i="124"/>
  <c r="K34" i="124" s="1"/>
  <c r="E106" i="10" s="1"/>
  <c r="M105" i="10" s="1"/>
  <c r="P33" i="115"/>
  <c r="G120" i="99"/>
  <c r="G22" i="100"/>
  <c r="H26" i="124"/>
  <c r="K26" i="124" s="1"/>
  <c r="H64" i="124"/>
  <c r="K64" i="124" s="1"/>
  <c r="P57" i="115"/>
  <c r="H73" i="124"/>
  <c r="H84" i="124"/>
  <c r="K84" i="124" s="1"/>
  <c r="P75" i="115"/>
  <c r="H17" i="125"/>
  <c r="K17" i="125" s="1"/>
  <c r="L21" i="5" s="1"/>
  <c r="H68" i="125"/>
  <c r="K68" i="125" s="1"/>
  <c r="H77" i="125"/>
  <c r="K77" i="125" s="1"/>
  <c r="L88" i="5" s="1"/>
  <c r="H59" i="127"/>
  <c r="U69" i="115"/>
  <c r="K35" i="128"/>
  <c r="U33" i="115"/>
  <c r="M25" i="3"/>
  <c r="S36" i="115"/>
  <c r="L28" i="3"/>
  <c r="K28" i="126"/>
  <c r="K23" i="126" s="1"/>
  <c r="S26" i="115"/>
  <c r="L17" i="3"/>
  <c r="U37" i="115"/>
  <c r="M29" i="3"/>
  <c r="H63" i="124"/>
  <c r="K63" i="124" s="1"/>
  <c r="P56" i="115"/>
  <c r="H43" i="125"/>
  <c r="K43" i="125" s="1"/>
  <c r="L46" i="5" s="1"/>
  <c r="H60" i="125"/>
  <c r="K60" i="125" s="1"/>
  <c r="L97" i="5" s="1"/>
  <c r="H69" i="125"/>
  <c r="K69" i="125" s="1"/>
  <c r="K19" i="128"/>
  <c r="U20" i="115"/>
  <c r="M11" i="3"/>
  <c r="H87" i="128"/>
  <c r="U35" i="115"/>
  <c r="M27" i="3"/>
  <c r="H47" i="124"/>
  <c r="K47" i="124" s="1"/>
  <c r="G102" i="99"/>
  <c r="G125" i="99"/>
  <c r="H92" i="124"/>
  <c r="K92" i="124" s="1"/>
  <c r="H103" i="124"/>
  <c r="K103" i="124" s="1"/>
  <c r="H44" i="125"/>
  <c r="K44" i="125" s="1"/>
  <c r="L62" i="5" s="1"/>
  <c r="S56" i="115"/>
  <c r="L64" i="3"/>
  <c r="S75" i="115"/>
  <c r="L98" i="3"/>
  <c r="N9" i="5"/>
  <c r="H28" i="125"/>
  <c r="K28" i="125" s="1"/>
  <c r="H61" i="125"/>
  <c r="K61" i="125" s="1"/>
  <c r="S79" i="115"/>
  <c r="L102" i="3"/>
  <c r="H23" i="126"/>
  <c r="U28" i="115"/>
  <c r="M19" i="3"/>
  <c r="U56" i="115"/>
  <c r="M64" i="3"/>
  <c r="H35" i="124"/>
  <c r="K35" i="124" s="1"/>
  <c r="P34" i="115"/>
  <c r="G45" i="124"/>
  <c r="G44" i="124" s="1"/>
  <c r="H58" i="124"/>
  <c r="K58" i="124" s="1"/>
  <c r="P52" i="115"/>
  <c r="H104" i="124"/>
  <c r="K104" i="124" s="1"/>
  <c r="D41" i="99"/>
  <c r="G82" i="99"/>
  <c r="H66" i="124"/>
  <c r="K66" i="124" s="1"/>
  <c r="H93" i="124"/>
  <c r="K93" i="124" s="1"/>
  <c r="H105" i="124"/>
  <c r="K105" i="124" s="1"/>
  <c r="K112" i="124"/>
  <c r="H53" i="125"/>
  <c r="K53" i="125" s="1"/>
  <c r="L71" i="5" s="1"/>
  <c r="H80" i="125"/>
  <c r="K80" i="125" s="1"/>
  <c r="S37" i="115"/>
  <c r="L29" i="3"/>
  <c r="U21" i="115"/>
  <c r="M12" i="3"/>
  <c r="K45" i="128"/>
  <c r="K44" i="128" s="1"/>
  <c r="U63" i="115"/>
  <c r="M78" i="3"/>
  <c r="S32" i="115"/>
  <c r="I32" i="115" s="1"/>
  <c r="J32" i="115" s="1"/>
  <c r="L37" i="3"/>
  <c r="P26" i="115"/>
  <c r="H37" i="124"/>
  <c r="K37" i="124" s="1"/>
  <c r="P36" i="115"/>
  <c r="H59" i="124"/>
  <c r="K59" i="124" s="1"/>
  <c r="P53" i="115"/>
  <c r="H77" i="124"/>
  <c r="K77" i="124" s="1"/>
  <c r="H37" i="125"/>
  <c r="K37" i="125" s="1"/>
  <c r="L56" i="5" s="1"/>
  <c r="G70" i="125"/>
  <c r="G75" i="126"/>
  <c r="S44" i="115"/>
  <c r="L45" i="3"/>
  <c r="K80" i="126"/>
  <c r="S68" i="115"/>
  <c r="L91" i="3"/>
  <c r="S57" i="115"/>
  <c r="L65" i="3"/>
  <c r="D5" i="100"/>
  <c r="D23" i="100" s="1"/>
  <c r="D58" i="100" s="1"/>
  <c r="D81" i="100" s="1"/>
  <c r="D84" i="100" s="1"/>
  <c r="D88" i="100" s="1"/>
  <c r="G6" i="100"/>
  <c r="G5" i="100" s="1"/>
  <c r="H10" i="124"/>
  <c r="K10" i="124" s="1"/>
  <c r="P17" i="115"/>
  <c r="H67" i="124"/>
  <c r="K67" i="124" s="1"/>
  <c r="H106" i="124"/>
  <c r="K106" i="124" s="1"/>
  <c r="H14" i="124"/>
  <c r="K14" i="124" s="1"/>
  <c r="S55" i="115"/>
  <c r="L61" i="3"/>
  <c r="G76" i="128"/>
  <c r="S38" i="115"/>
  <c r="L30" i="3"/>
  <c r="U17" i="115"/>
  <c r="M8" i="3"/>
  <c r="G80" i="124"/>
  <c r="P68" i="115"/>
  <c r="S52" i="115"/>
  <c r="L58" i="3"/>
  <c r="K28" i="128"/>
  <c r="U26" i="115"/>
  <c r="M17" i="3"/>
  <c r="U38" i="115"/>
  <c r="M30" i="3"/>
  <c r="S34" i="115"/>
  <c r="L26" i="3"/>
  <c r="G12" i="100"/>
  <c r="G49" i="100"/>
  <c r="G24" i="100" s="1"/>
  <c r="H12" i="124"/>
  <c r="K12" i="124" s="1"/>
  <c r="P18" i="115"/>
  <c r="H31" i="124"/>
  <c r="K31" i="124" s="1"/>
  <c r="P32" i="115"/>
  <c r="H39" i="124"/>
  <c r="K39" i="124" s="1"/>
  <c r="P38" i="115"/>
  <c r="D98" i="124"/>
  <c r="H12" i="127"/>
  <c r="H13" i="126"/>
  <c r="K102" i="128"/>
  <c r="K98" i="128" s="1"/>
  <c r="K9" i="129"/>
  <c r="N8" i="5"/>
  <c r="S17" i="115"/>
  <c r="L8" i="3"/>
  <c r="S31" i="115"/>
  <c r="L22" i="3"/>
  <c r="H21" i="124"/>
  <c r="K21" i="124" s="1"/>
  <c r="P21" i="115"/>
  <c r="H38" i="124"/>
  <c r="K38" i="124" s="1"/>
  <c r="P37" i="115"/>
  <c r="G99" i="124"/>
  <c r="K9" i="127"/>
  <c r="M8" i="5"/>
  <c r="H51" i="128"/>
  <c r="G112" i="99"/>
  <c r="S18" i="115"/>
  <c r="L9" i="3"/>
  <c r="G87" i="99"/>
  <c r="G59" i="100"/>
  <c r="H19" i="128"/>
  <c r="H44" i="126"/>
  <c r="H24" i="129"/>
  <c r="K25" i="129"/>
  <c r="H69" i="128"/>
  <c r="H65" i="128" s="1"/>
  <c r="K70" i="128"/>
  <c r="K69" i="128" s="1"/>
  <c r="H23" i="128"/>
  <c r="K24" i="128"/>
  <c r="K66" i="128"/>
  <c r="H59" i="129"/>
  <c r="H42" i="128"/>
  <c r="K43" i="128"/>
  <c r="K59" i="129"/>
  <c r="H70" i="129"/>
  <c r="K81" i="128"/>
  <c r="H80" i="128"/>
  <c r="K13" i="129"/>
  <c r="H12" i="129"/>
  <c r="G11" i="127"/>
  <c r="G23" i="127" s="1"/>
  <c r="G58" i="127" s="1"/>
  <c r="G81" i="127" s="1"/>
  <c r="G84" i="127" s="1"/>
  <c r="K18" i="127"/>
  <c r="K51" i="126"/>
  <c r="G23" i="126"/>
  <c r="G7" i="126" s="1"/>
  <c r="G6" i="126" s="1"/>
  <c r="K12" i="127"/>
  <c r="H70" i="127"/>
  <c r="H19" i="126"/>
  <c r="K20" i="126"/>
  <c r="K70" i="127"/>
  <c r="K99" i="126"/>
  <c r="K98" i="126" s="1"/>
  <c r="K34" i="126"/>
  <c r="H33" i="126"/>
  <c r="K65" i="126"/>
  <c r="K87" i="126"/>
  <c r="K7" i="127"/>
  <c r="H6" i="127"/>
  <c r="H5" i="127" s="1"/>
  <c r="K24" i="127"/>
  <c r="H24" i="127"/>
  <c r="H82" i="126"/>
  <c r="K83" i="126"/>
  <c r="H18" i="127"/>
  <c r="H87" i="126"/>
  <c r="H99" i="126"/>
  <c r="H98" i="126" s="1"/>
  <c r="K59" i="127"/>
  <c r="H51" i="126"/>
  <c r="J130" i="124"/>
  <c r="K123" i="3"/>
  <c r="D75" i="105" s="1"/>
  <c r="G87" i="124"/>
  <c r="H81" i="124"/>
  <c r="G51" i="124"/>
  <c r="G22" i="125"/>
  <c r="H22" i="125" s="1"/>
  <c r="G33" i="124"/>
  <c r="D7" i="124"/>
  <c r="D6" i="124" s="1"/>
  <c r="G20" i="124"/>
  <c r="H20" i="124" s="1"/>
  <c r="G13" i="124"/>
  <c r="G28" i="124"/>
  <c r="G23" i="124" s="1"/>
  <c r="G8" i="124"/>
  <c r="H9" i="124"/>
  <c r="K9" i="124" s="1"/>
  <c r="G24" i="125"/>
  <c r="H25" i="125"/>
  <c r="G59" i="125"/>
  <c r="H65" i="125"/>
  <c r="K65" i="125" s="1"/>
  <c r="L83" i="5" s="1"/>
  <c r="G82" i="124"/>
  <c r="H31" i="125"/>
  <c r="K31" i="125" s="1"/>
  <c r="L49" i="5" s="1"/>
  <c r="H35" i="125"/>
  <c r="K35" i="125" s="1"/>
  <c r="L54" i="5" s="1"/>
  <c r="H36" i="124"/>
  <c r="K36" i="124" s="1"/>
  <c r="H88" i="124"/>
  <c r="G42" i="124"/>
  <c r="G65" i="124"/>
  <c r="H45" i="125"/>
  <c r="K45" i="125" s="1"/>
  <c r="L63" i="5" s="1"/>
  <c r="D82" i="124"/>
  <c r="D76" i="124" s="1"/>
  <c r="H51" i="125"/>
  <c r="K51" i="125" s="1"/>
  <c r="L69" i="5" s="1"/>
  <c r="H29" i="125"/>
  <c r="K29" i="125" s="1"/>
  <c r="H46" i="124"/>
  <c r="H26" i="125"/>
  <c r="K26" i="125" s="1"/>
  <c r="L44" i="5" s="1"/>
  <c r="H46" i="125"/>
  <c r="K46" i="125" s="1"/>
  <c r="L64" i="5" s="1"/>
  <c r="H71" i="125"/>
  <c r="H34" i="125"/>
  <c r="K34" i="125" s="1"/>
  <c r="L52" i="5" s="1"/>
  <c r="H42" i="125"/>
  <c r="K42" i="125" s="1"/>
  <c r="L61" i="5" s="1"/>
  <c r="H50" i="125"/>
  <c r="K50" i="125" s="1"/>
  <c r="L68" i="5" s="1"/>
  <c r="H78" i="125"/>
  <c r="K78" i="125" s="1"/>
  <c r="D124" i="124"/>
  <c r="D123" i="124" s="1"/>
  <c r="D111" i="124" s="1"/>
  <c r="H79" i="125"/>
  <c r="K79" i="125" s="1"/>
  <c r="L91" i="5" s="1"/>
  <c r="H55" i="124"/>
  <c r="K55" i="124" s="1"/>
  <c r="G9" i="125"/>
  <c r="G5" i="125" s="1"/>
  <c r="H30" i="125"/>
  <c r="K30" i="125" s="1"/>
  <c r="L48" i="5" s="1"/>
  <c r="H38" i="125"/>
  <c r="K38" i="125" s="1"/>
  <c r="L57" i="5" s="1"/>
  <c r="H54" i="125"/>
  <c r="K54" i="125" s="1"/>
  <c r="L72" i="5" s="1"/>
  <c r="H70" i="124"/>
  <c r="H83" i="124"/>
  <c r="G102" i="124"/>
  <c r="H15" i="125"/>
  <c r="H20" i="125"/>
  <c r="H62" i="125"/>
  <c r="K62" i="125" s="1"/>
  <c r="L98" i="5" s="1"/>
  <c r="H74" i="125"/>
  <c r="K74" i="125" s="1"/>
  <c r="H7" i="125"/>
  <c r="H16" i="125"/>
  <c r="H27" i="125"/>
  <c r="K27" i="125" s="1"/>
  <c r="L47" i="5" s="1"/>
  <c r="H47" i="125"/>
  <c r="K47" i="125" s="1"/>
  <c r="L65" i="5" s="1"/>
  <c r="H66" i="125"/>
  <c r="K66" i="125" s="1"/>
  <c r="H83" i="125"/>
  <c r="H13" i="125"/>
  <c r="H32" i="125"/>
  <c r="K32" i="125" s="1"/>
  <c r="L50" i="5" s="1"/>
  <c r="H40" i="125"/>
  <c r="K40" i="125" s="1"/>
  <c r="L59" i="5" s="1"/>
  <c r="H52" i="125"/>
  <c r="K52" i="125" s="1"/>
  <c r="L70" i="5" s="1"/>
  <c r="H56" i="125"/>
  <c r="K56" i="125" s="1"/>
  <c r="L74" i="5" s="1"/>
  <c r="H8" i="125"/>
  <c r="K8" i="125" s="1"/>
  <c r="G70" i="100"/>
  <c r="G51" i="99"/>
  <c r="D124" i="99"/>
  <c r="D123" i="99" s="1"/>
  <c r="D111" i="99" s="1"/>
  <c r="D75" i="107" l="1"/>
  <c r="I63" i="107"/>
  <c r="D76" i="107" s="1"/>
  <c r="H75" i="107"/>
  <c r="G106" i="107" s="1"/>
  <c r="G60" i="107"/>
  <c r="G110" i="107" s="1"/>
  <c r="F203" i="107" s="1"/>
  <c r="C46" i="108"/>
  <c r="E46" i="108" s="1"/>
  <c r="H63" i="108" s="1"/>
  <c r="G139" i="108" s="1"/>
  <c r="G141" i="108" s="1"/>
  <c r="J39" i="108"/>
  <c r="H45" i="108"/>
  <c r="G56" i="108" s="1"/>
  <c r="G36" i="108"/>
  <c r="H46" i="108" s="1"/>
  <c r="G60" i="108" s="1"/>
  <c r="F126" i="108" s="1"/>
  <c r="U24" i="115"/>
  <c r="M15" i="3"/>
  <c r="F100" i="108"/>
  <c r="F105" i="108" s="1"/>
  <c r="F177" i="107"/>
  <c r="F182" i="107" s="1"/>
  <c r="M92" i="3"/>
  <c r="K82" i="128"/>
  <c r="K50" i="124"/>
  <c r="K49" i="124" s="1"/>
  <c r="H49" i="124"/>
  <c r="K108" i="124"/>
  <c r="K13" i="124"/>
  <c r="K5" i="129"/>
  <c r="K10" i="125"/>
  <c r="H9" i="125"/>
  <c r="D129" i="128"/>
  <c r="F91" i="125"/>
  <c r="H11" i="127"/>
  <c r="H23" i="127" s="1"/>
  <c r="H58" i="127" s="1"/>
  <c r="H81" i="127" s="1"/>
  <c r="H84" i="127" s="1"/>
  <c r="D75" i="99"/>
  <c r="H108" i="124"/>
  <c r="D5" i="124"/>
  <c r="G129" i="128"/>
  <c r="D129" i="126"/>
  <c r="G128" i="124"/>
  <c r="G124" i="124" s="1"/>
  <c r="G123" i="124" s="1"/>
  <c r="G111" i="124" s="1"/>
  <c r="H11" i="129"/>
  <c r="H23" i="129" s="1"/>
  <c r="H58" i="129" s="1"/>
  <c r="H81" i="129" s="1"/>
  <c r="H84" i="129" s="1"/>
  <c r="G5" i="126"/>
  <c r="G98" i="124"/>
  <c r="D75" i="124"/>
  <c r="K99" i="124"/>
  <c r="H99" i="124"/>
  <c r="H76" i="128"/>
  <c r="H75" i="128" s="1"/>
  <c r="G98" i="99"/>
  <c r="G75" i="128"/>
  <c r="D45" i="108" s="1"/>
  <c r="G88" i="129"/>
  <c r="G41" i="99"/>
  <c r="C45" i="108"/>
  <c r="H42" i="124"/>
  <c r="H102" i="124"/>
  <c r="S64" i="115"/>
  <c r="K45" i="126"/>
  <c r="K44" i="126" s="1"/>
  <c r="K41" i="126" s="1"/>
  <c r="G18" i="100"/>
  <c r="G11" i="100" s="1"/>
  <c r="H22" i="100"/>
  <c r="H41" i="126"/>
  <c r="D5" i="99"/>
  <c r="H7" i="126"/>
  <c r="H6" i="126" s="1"/>
  <c r="G7" i="99"/>
  <c r="G6" i="99" s="1"/>
  <c r="H28" i="124"/>
  <c r="H23" i="124" s="1"/>
  <c r="K51" i="124"/>
  <c r="H8" i="124"/>
  <c r="G76" i="99"/>
  <c r="K23" i="128"/>
  <c r="K7" i="128" s="1"/>
  <c r="H33" i="124"/>
  <c r="H13" i="124"/>
  <c r="K42" i="128"/>
  <c r="U44" i="115"/>
  <c r="M45" i="3"/>
  <c r="L45" i="5"/>
  <c r="U34" i="115"/>
  <c r="M26" i="3"/>
  <c r="K33" i="128"/>
  <c r="Q55" i="115"/>
  <c r="K61" i="3"/>
  <c r="K28" i="124"/>
  <c r="K23" i="124" s="1"/>
  <c r="Q26" i="115"/>
  <c r="K17" i="3"/>
  <c r="Q35" i="115"/>
  <c r="K27" i="3"/>
  <c r="Q79" i="115"/>
  <c r="K102" i="3"/>
  <c r="Q52" i="115"/>
  <c r="K58" i="3"/>
  <c r="K65" i="128"/>
  <c r="K22" i="125"/>
  <c r="L28" i="5" s="1"/>
  <c r="K102" i="124"/>
  <c r="K33" i="124"/>
  <c r="Q33" i="115"/>
  <c r="K25" i="3"/>
  <c r="K6" i="127"/>
  <c r="K5" i="127" s="1"/>
  <c r="M9" i="5"/>
  <c r="Q34" i="115"/>
  <c r="K26" i="3"/>
  <c r="Q56" i="115"/>
  <c r="K64" i="3"/>
  <c r="K82" i="126"/>
  <c r="K76" i="126" s="1"/>
  <c r="K75" i="126" s="1"/>
  <c r="L158" i="3" s="1"/>
  <c r="S69" i="115"/>
  <c r="S8" i="115" s="1"/>
  <c r="L92" i="3"/>
  <c r="H7" i="128"/>
  <c r="H6" i="128" s="1"/>
  <c r="P20" i="115"/>
  <c r="Q17" i="115"/>
  <c r="K8" i="3"/>
  <c r="Q75" i="115"/>
  <c r="K98" i="3"/>
  <c r="K42" i="124"/>
  <c r="Q44" i="115"/>
  <c r="K45" i="3"/>
  <c r="K33" i="126"/>
  <c r="S33" i="115"/>
  <c r="L25" i="3"/>
  <c r="K12" i="129"/>
  <c r="K11" i="129" s="1"/>
  <c r="N16" i="5"/>
  <c r="K24" i="129"/>
  <c r="N43" i="5"/>
  <c r="Q38" i="115"/>
  <c r="K30" i="3"/>
  <c r="Q53" i="115"/>
  <c r="K59" i="3"/>
  <c r="Q64" i="115"/>
  <c r="K79" i="3"/>
  <c r="Q54" i="115"/>
  <c r="K60" i="3"/>
  <c r="G19" i="124"/>
  <c r="G7" i="124" s="1"/>
  <c r="G6" i="124" s="1"/>
  <c r="G76" i="124"/>
  <c r="G75" i="124" s="1"/>
  <c r="Q37" i="115"/>
  <c r="K29" i="3"/>
  <c r="Q32" i="115"/>
  <c r="G32" i="115" s="1"/>
  <c r="H32" i="115" s="1"/>
  <c r="K37" i="3"/>
  <c r="Q57" i="115"/>
  <c r="K65" i="3"/>
  <c r="K9" i="125"/>
  <c r="L8" i="5"/>
  <c r="K8" i="124"/>
  <c r="Q16" i="115"/>
  <c r="K7" i="3"/>
  <c r="K19" i="126"/>
  <c r="K7" i="126" s="1"/>
  <c r="S20" i="115"/>
  <c r="L11" i="3"/>
  <c r="K80" i="128"/>
  <c r="K76" i="128" s="1"/>
  <c r="K75" i="128" s="1"/>
  <c r="M158" i="3" s="1"/>
  <c r="U68" i="115"/>
  <c r="U8" i="115" s="1"/>
  <c r="M91" i="3"/>
  <c r="Q36" i="115"/>
  <c r="K28" i="3"/>
  <c r="Q21" i="115"/>
  <c r="K12" i="3"/>
  <c r="Q18" i="115"/>
  <c r="K9" i="3"/>
  <c r="Q70" i="115"/>
  <c r="K93" i="3"/>
  <c r="H41" i="128"/>
  <c r="G88" i="127"/>
  <c r="K11" i="127"/>
  <c r="H76" i="126"/>
  <c r="H75" i="126" s="1"/>
  <c r="G18" i="125"/>
  <c r="G11" i="125" s="1"/>
  <c r="G23" i="125" s="1"/>
  <c r="G58" i="125" s="1"/>
  <c r="G81" i="125" s="1"/>
  <c r="G84" i="125" s="1"/>
  <c r="G45" i="105" s="1"/>
  <c r="K81" i="124"/>
  <c r="H80" i="124"/>
  <c r="H6" i="125"/>
  <c r="K7" i="125"/>
  <c r="K70" i="124"/>
  <c r="K69" i="124" s="1"/>
  <c r="K65" i="124" s="1"/>
  <c r="H69" i="124"/>
  <c r="H65" i="124" s="1"/>
  <c r="K13" i="125"/>
  <c r="H12" i="125"/>
  <c r="K71" i="125"/>
  <c r="H70" i="125"/>
  <c r="K83" i="124"/>
  <c r="H82" i="124"/>
  <c r="H82" i="125"/>
  <c r="K83" i="125"/>
  <c r="K46" i="124"/>
  <c r="H45" i="124"/>
  <c r="H44" i="124" s="1"/>
  <c r="H51" i="124"/>
  <c r="K20" i="124"/>
  <c r="Q20" i="115" s="1"/>
  <c r="H19" i="124"/>
  <c r="K88" i="124"/>
  <c r="H87" i="124"/>
  <c r="H59" i="125"/>
  <c r="H18" i="125"/>
  <c r="K20" i="125"/>
  <c r="G41" i="124"/>
  <c r="H24" i="125"/>
  <c r="K25" i="125"/>
  <c r="K59" i="125"/>
  <c r="G128" i="99"/>
  <c r="G124" i="99" s="1"/>
  <c r="G123" i="99" s="1"/>
  <c r="D55" i="105" l="1"/>
  <c r="I47" i="105"/>
  <c r="D56" i="105" s="1"/>
  <c r="J59" i="107"/>
  <c r="H63" i="107"/>
  <c r="F208" i="107"/>
  <c r="G203" i="107"/>
  <c r="G208" i="107" s="1"/>
  <c r="D219" i="107" s="1"/>
  <c r="D100" i="15" s="1"/>
  <c r="F131" i="108"/>
  <c r="G126" i="108"/>
  <c r="G131" i="108" s="1"/>
  <c r="D142" i="108" s="1"/>
  <c r="D128" i="15" s="1"/>
  <c r="K23" i="129"/>
  <c r="D129" i="99"/>
  <c r="D129" i="124"/>
  <c r="K98" i="124"/>
  <c r="H5" i="125"/>
  <c r="C75" i="107"/>
  <c r="E75" i="107" s="1"/>
  <c r="H109" i="107" s="1"/>
  <c r="G190" i="107" s="1"/>
  <c r="G129" i="126"/>
  <c r="H5" i="126"/>
  <c r="H98" i="124"/>
  <c r="K6" i="128"/>
  <c r="G75" i="99"/>
  <c r="I70" i="67" s="1"/>
  <c r="D84" i="67" s="1"/>
  <c r="E45" i="108"/>
  <c r="H59" i="108" s="1"/>
  <c r="G113" i="108" s="1"/>
  <c r="J35" i="108"/>
  <c r="G23" i="100"/>
  <c r="G58" i="100" s="1"/>
  <c r="G81" i="100" s="1"/>
  <c r="G84" i="100" s="1"/>
  <c r="G88" i="100" s="1"/>
  <c r="G67" i="67" s="1"/>
  <c r="E107" i="10"/>
  <c r="K6" i="126"/>
  <c r="K5" i="126" s="1"/>
  <c r="L156" i="3" s="1"/>
  <c r="G5" i="99"/>
  <c r="H70" i="67" s="1"/>
  <c r="K58" i="129"/>
  <c r="K81" i="129" s="1"/>
  <c r="K84" i="129" s="1"/>
  <c r="H128" i="128" s="1"/>
  <c r="H7" i="124"/>
  <c r="H6" i="124" s="1"/>
  <c r="K23" i="127"/>
  <c r="K58" i="127" s="1"/>
  <c r="K81" i="127" s="1"/>
  <c r="K84" i="127" s="1"/>
  <c r="H128" i="126" s="1"/>
  <c r="K128" i="126" s="1"/>
  <c r="K41" i="128"/>
  <c r="G5" i="124"/>
  <c r="U7" i="115"/>
  <c r="H5" i="128"/>
  <c r="T8" i="115"/>
  <c r="S7" i="115"/>
  <c r="K87" i="124"/>
  <c r="Q72" i="115"/>
  <c r="K95" i="3"/>
  <c r="V8" i="115"/>
  <c r="K6" i="125"/>
  <c r="K5" i="125" s="1"/>
  <c r="L9" i="5"/>
  <c r="H41" i="124"/>
  <c r="K70" i="125"/>
  <c r="L103" i="5"/>
  <c r="K45" i="124"/>
  <c r="K44" i="124" s="1"/>
  <c r="K41" i="124" s="1"/>
  <c r="Q63" i="115"/>
  <c r="Q7" i="115" s="1"/>
  <c r="K78" i="3"/>
  <c r="K82" i="125"/>
  <c r="L112" i="5"/>
  <c r="K12" i="125"/>
  <c r="L16" i="5"/>
  <c r="K80" i="124"/>
  <c r="Q68" i="115"/>
  <c r="K91" i="3"/>
  <c r="G88" i="125"/>
  <c r="K24" i="125"/>
  <c r="L43" i="5"/>
  <c r="K82" i="124"/>
  <c r="Q69" i="115"/>
  <c r="K92" i="3"/>
  <c r="K18" i="125"/>
  <c r="L24" i="5"/>
  <c r="G111" i="99"/>
  <c r="K19" i="124"/>
  <c r="K7" i="124" s="1"/>
  <c r="K6" i="124" s="1"/>
  <c r="K11" i="3"/>
  <c r="C49" i="82" s="1"/>
  <c r="H11" i="125"/>
  <c r="H76" i="124"/>
  <c r="H75" i="124" s="1"/>
  <c r="C55" i="105" l="1"/>
  <c r="E55" i="105" s="1"/>
  <c r="H71" i="105" s="1"/>
  <c r="G151" i="105" s="1"/>
  <c r="H47" i="105"/>
  <c r="J70" i="67"/>
  <c r="C84" i="67"/>
  <c r="E84" i="67" s="1"/>
  <c r="H123" i="67" s="1"/>
  <c r="G355" i="67" s="1"/>
  <c r="G357" i="67" s="1"/>
  <c r="J63" i="107"/>
  <c r="C76" i="107"/>
  <c r="E76" i="107" s="1"/>
  <c r="H113" i="107" s="1"/>
  <c r="G216" i="107" s="1"/>
  <c r="G218" i="107" s="1"/>
  <c r="H203" i="107"/>
  <c r="H208" i="107" s="1"/>
  <c r="H126" i="108"/>
  <c r="H131" i="108" s="1"/>
  <c r="F75" i="99"/>
  <c r="H23" i="125"/>
  <c r="H58" i="125" s="1"/>
  <c r="H81" i="125" s="1"/>
  <c r="H84" i="125" s="1"/>
  <c r="G129" i="124"/>
  <c r="G129" i="99"/>
  <c r="K5" i="128"/>
  <c r="N114" i="5"/>
  <c r="T7" i="115"/>
  <c r="M114" i="5"/>
  <c r="J106" i="10"/>
  <c r="J105" i="10" s="1"/>
  <c r="N105" i="10" s="1"/>
  <c r="E105" i="10"/>
  <c r="H5" i="124"/>
  <c r="K11" i="125"/>
  <c r="K23" i="125" s="1"/>
  <c r="K58" i="125" s="1"/>
  <c r="K81" i="125" s="1"/>
  <c r="K84" i="125" s="1"/>
  <c r="L114" i="5" s="1"/>
  <c r="K76" i="124"/>
  <c r="K75" i="124" s="1"/>
  <c r="K158" i="3" s="1"/>
  <c r="K5" i="124"/>
  <c r="K156" i="3" s="1"/>
  <c r="Q8" i="115"/>
  <c r="K128" i="128"/>
  <c r="J47" i="105" l="1"/>
  <c r="C56" i="105"/>
  <c r="E56" i="105" s="1"/>
  <c r="H74" i="105" s="1"/>
  <c r="G176" i="105" s="1"/>
  <c r="G178" i="105" s="1"/>
  <c r="G69" i="105"/>
  <c r="H56" i="105"/>
  <c r="G72" i="105" s="1"/>
  <c r="F164" i="105" s="1"/>
  <c r="F139" i="105"/>
  <c r="M156" i="3"/>
  <c r="V7" i="115"/>
  <c r="D83" i="67"/>
  <c r="E83" i="67" s="1"/>
  <c r="H120" i="67" s="1"/>
  <c r="G305" i="67" s="1"/>
  <c r="J66" i="67"/>
  <c r="R8" i="115"/>
  <c r="H128" i="124"/>
  <c r="K128" i="124" s="1"/>
  <c r="R7" i="115"/>
  <c r="F169" i="105" l="1"/>
  <c r="G164" i="105"/>
  <c r="G169" i="105" s="1"/>
  <c r="D179" i="105" s="1"/>
  <c r="D73" i="15" s="1"/>
  <c r="G132" i="99"/>
  <c r="J62" i="67"/>
  <c r="K20" i="5"/>
  <c r="K27" i="5"/>
  <c r="K110" i="5"/>
  <c r="K109" i="5"/>
  <c r="K107" i="5"/>
  <c r="K106" i="5"/>
  <c r="K101" i="5"/>
  <c r="K100" i="5"/>
  <c r="K95" i="5"/>
  <c r="K90" i="5"/>
  <c r="K86" i="5"/>
  <c r="K84" i="5"/>
  <c r="K82" i="5"/>
  <c r="K81" i="5"/>
  <c r="K80" i="5"/>
  <c r="K77" i="5"/>
  <c r="K76" i="5"/>
  <c r="K53" i="5"/>
  <c r="K41" i="5"/>
  <c r="K40" i="5"/>
  <c r="K39" i="5"/>
  <c r="K37" i="5"/>
  <c r="K36" i="5"/>
  <c r="K34" i="5"/>
  <c r="K33" i="5"/>
  <c r="K31" i="5"/>
  <c r="K30" i="5"/>
  <c r="K19" i="5"/>
  <c r="K12" i="5"/>
  <c r="K11" i="5"/>
  <c r="K10" i="5"/>
  <c r="H76" i="100"/>
  <c r="H164" i="105" l="1"/>
  <c r="H169" i="105" s="1"/>
  <c r="K230" i="67"/>
  <c r="K276" i="67" s="1"/>
  <c r="K277" i="67" s="1"/>
  <c r="J230" i="67"/>
  <c r="J276" i="67" s="1"/>
  <c r="J277" i="67" s="1"/>
  <c r="I230" i="67"/>
  <c r="I276" i="67" s="1"/>
  <c r="H230" i="67"/>
  <c r="F230" i="67"/>
  <c r="F276" i="67" s="1"/>
  <c r="F277" i="67" s="1"/>
  <c r="K227" i="67"/>
  <c r="J227" i="67"/>
  <c r="I227" i="67"/>
  <c r="F227" i="67"/>
  <c r="D227" i="67"/>
  <c r="K86" i="100"/>
  <c r="K19" i="100"/>
  <c r="K23" i="5" s="1"/>
  <c r="G227" i="67" l="1"/>
  <c r="J90" i="100"/>
  <c r="J128" i="99" s="1"/>
  <c r="J231" i="67"/>
  <c r="I231" i="67"/>
  <c r="K231" i="67"/>
  <c r="F231" i="67"/>
  <c r="I90" i="100" l="1"/>
  <c r="I128" i="99" s="1"/>
  <c r="H21" i="100" l="1"/>
  <c r="K21" i="100" s="1"/>
  <c r="K26" i="5" s="1"/>
  <c r="H20" i="100"/>
  <c r="K20" i="100" s="1"/>
  <c r="K24" i="5" s="1"/>
  <c r="H49" i="100"/>
  <c r="K49" i="100" s="1"/>
  <c r="K67" i="5" s="1"/>
  <c r="H25" i="100"/>
  <c r="K25" i="100" s="1"/>
  <c r="K43" i="5" s="1"/>
  <c r="H83" i="100"/>
  <c r="K83" i="100" s="1"/>
  <c r="K112" i="5" s="1"/>
  <c r="F8" i="56" s="1"/>
  <c r="F10" i="56" s="1"/>
  <c r="H80" i="100"/>
  <c r="K80" i="100" s="1"/>
  <c r="H79" i="100"/>
  <c r="K79" i="100" s="1"/>
  <c r="K91" i="5" s="1"/>
  <c r="H78" i="100"/>
  <c r="K78" i="100" s="1"/>
  <c r="H77" i="100"/>
  <c r="K77" i="100" s="1"/>
  <c r="K88" i="5" s="1"/>
  <c r="K76" i="100"/>
  <c r="K92" i="5" s="1"/>
  <c r="H75" i="100"/>
  <c r="K75" i="100" s="1"/>
  <c r="K89" i="5" s="1"/>
  <c r="H74" i="100"/>
  <c r="K74" i="100" s="1"/>
  <c r="H73" i="100"/>
  <c r="K73" i="100" s="1"/>
  <c r="K105" i="5" s="1"/>
  <c r="H72" i="100"/>
  <c r="K72" i="100" s="1"/>
  <c r="K104" i="5" s="1"/>
  <c r="H71" i="100"/>
  <c r="K71" i="100" s="1"/>
  <c r="K103" i="5" s="1"/>
  <c r="H69" i="100"/>
  <c r="H68" i="100"/>
  <c r="H67" i="100"/>
  <c r="H66" i="100"/>
  <c r="H64" i="100"/>
  <c r="H63" i="100"/>
  <c r="H62" i="100"/>
  <c r="H61" i="100"/>
  <c r="H60" i="100"/>
  <c r="H57" i="100"/>
  <c r="K57" i="100" s="1"/>
  <c r="K75" i="5" s="1"/>
  <c r="P75" i="5" s="1"/>
  <c r="S75" i="5" s="1"/>
  <c r="V75" i="5" s="1"/>
  <c r="Y75" i="5" s="1"/>
  <c r="H56" i="100"/>
  <c r="K56" i="100" s="1"/>
  <c r="K74" i="5" s="1"/>
  <c r="H55" i="100"/>
  <c r="K55" i="100" s="1"/>
  <c r="K73" i="5" s="1"/>
  <c r="H54" i="100"/>
  <c r="K54" i="100" s="1"/>
  <c r="K72" i="5" s="1"/>
  <c r="H53" i="100"/>
  <c r="K53" i="100" s="1"/>
  <c r="K71" i="5" s="1"/>
  <c r="H52" i="100"/>
  <c r="K52" i="100" s="1"/>
  <c r="K70" i="5" s="1"/>
  <c r="H51" i="100"/>
  <c r="K51" i="100" s="1"/>
  <c r="K69" i="5" s="1"/>
  <c r="H50" i="100"/>
  <c r="K50" i="100" s="1"/>
  <c r="K68" i="5" s="1"/>
  <c r="H48" i="100"/>
  <c r="K48" i="100" s="1"/>
  <c r="K66" i="5" s="1"/>
  <c r="H47" i="100"/>
  <c r="K47" i="100" s="1"/>
  <c r="K65" i="5" s="1"/>
  <c r="H46" i="100"/>
  <c r="K46" i="100" s="1"/>
  <c r="K64" i="5" s="1"/>
  <c r="H45" i="100"/>
  <c r="K45" i="100" s="1"/>
  <c r="K63" i="5" s="1"/>
  <c r="H44" i="100"/>
  <c r="K44" i="100" s="1"/>
  <c r="K62" i="5" s="1"/>
  <c r="H43" i="100"/>
  <c r="K43" i="100" s="1"/>
  <c r="K46" i="5" s="1"/>
  <c r="P46" i="5" s="1"/>
  <c r="S46" i="5" s="1"/>
  <c r="V46" i="5" s="1"/>
  <c r="H42" i="100"/>
  <c r="K42" i="100" s="1"/>
  <c r="K61" i="5" s="1"/>
  <c r="H41" i="100"/>
  <c r="K41" i="100" s="1"/>
  <c r="K60" i="5" s="1"/>
  <c r="H40" i="100"/>
  <c r="K40" i="100" s="1"/>
  <c r="K59" i="5" s="1"/>
  <c r="H39" i="100"/>
  <c r="K39" i="100" s="1"/>
  <c r="K58" i="5" s="1"/>
  <c r="H38" i="100"/>
  <c r="K38" i="100" s="1"/>
  <c r="K57" i="5" s="1"/>
  <c r="H37" i="100"/>
  <c r="K37" i="100" s="1"/>
  <c r="K56" i="5" s="1"/>
  <c r="H36" i="100"/>
  <c r="K36" i="100" s="1"/>
  <c r="G106" i="39" s="1"/>
  <c r="H35" i="100"/>
  <c r="K35" i="100" s="1"/>
  <c r="K54" i="5" s="1"/>
  <c r="H34" i="100"/>
  <c r="K34" i="100" s="1"/>
  <c r="K52" i="5" s="1"/>
  <c r="H33" i="100"/>
  <c r="K33" i="100" s="1"/>
  <c r="K51" i="5" s="1"/>
  <c r="H32" i="100"/>
  <c r="K32" i="100" s="1"/>
  <c r="K50" i="5" s="1"/>
  <c r="H29" i="100"/>
  <c r="K29" i="100" s="1"/>
  <c r="H28" i="100"/>
  <c r="K28" i="100" s="1"/>
  <c r="H27" i="100"/>
  <c r="K27" i="100" s="1"/>
  <c r="K47" i="5" s="1"/>
  <c r="H26" i="100"/>
  <c r="K26" i="100" s="1"/>
  <c r="K44" i="5" s="1"/>
  <c r="H17" i="100"/>
  <c r="H16" i="100"/>
  <c r="H15" i="100"/>
  <c r="H14" i="100"/>
  <c r="H13" i="100"/>
  <c r="H8" i="100"/>
  <c r="K8" i="100" s="1"/>
  <c r="H7" i="100"/>
  <c r="H10" i="100"/>
  <c r="H9" i="100" s="1"/>
  <c r="B62" i="67"/>
  <c r="B82" i="67" s="1"/>
  <c r="K84" i="99"/>
  <c r="D324" i="67" s="1"/>
  <c r="K127" i="99"/>
  <c r="K126" i="99"/>
  <c r="K121" i="99"/>
  <c r="K117" i="99"/>
  <c r="K116" i="99"/>
  <c r="K114" i="99"/>
  <c r="K113" i="99"/>
  <c r="K97" i="99"/>
  <c r="K86" i="99"/>
  <c r="K85" i="99"/>
  <c r="H105" i="99"/>
  <c r="K105" i="99" s="1"/>
  <c r="H52" i="99"/>
  <c r="K52" i="99" s="1"/>
  <c r="J148" i="3"/>
  <c r="J147" i="3"/>
  <c r="J146" i="3"/>
  <c r="J145" i="3"/>
  <c r="J142" i="3"/>
  <c r="J141" i="3"/>
  <c r="J139" i="3"/>
  <c r="J138" i="3"/>
  <c r="J137" i="3"/>
  <c r="J134" i="3"/>
  <c r="J133" i="3"/>
  <c r="J130" i="3"/>
  <c r="J129" i="3"/>
  <c r="J128" i="3"/>
  <c r="J127" i="3"/>
  <c r="J124" i="3"/>
  <c r="J119" i="3"/>
  <c r="J115" i="3"/>
  <c r="J114" i="3"/>
  <c r="J113" i="3"/>
  <c r="J112" i="3"/>
  <c r="J111" i="3"/>
  <c r="J110" i="3"/>
  <c r="J109" i="3"/>
  <c r="J108" i="3"/>
  <c r="J105" i="3"/>
  <c r="J104" i="3"/>
  <c r="J103" i="3"/>
  <c r="J101" i="3"/>
  <c r="J100" i="3"/>
  <c r="J99" i="3"/>
  <c r="J97" i="3"/>
  <c r="J96" i="3"/>
  <c r="J94" i="3"/>
  <c r="J87" i="3"/>
  <c r="J86" i="3"/>
  <c r="J85" i="3"/>
  <c r="J83" i="3"/>
  <c r="J82" i="3"/>
  <c r="J76" i="3"/>
  <c r="J73" i="3"/>
  <c r="J72" i="3"/>
  <c r="J71" i="3"/>
  <c r="J70" i="3"/>
  <c r="J69" i="3"/>
  <c r="I53" i="3"/>
  <c r="I52" i="3"/>
  <c r="J67" i="3"/>
  <c r="J66" i="3"/>
  <c r="J63" i="3"/>
  <c r="J62" i="3"/>
  <c r="J57" i="3"/>
  <c r="J56" i="3"/>
  <c r="J55" i="3"/>
  <c r="J54" i="3"/>
  <c r="J53" i="3"/>
  <c r="J52" i="3"/>
  <c r="J49" i="3"/>
  <c r="J47" i="3"/>
  <c r="J46" i="3"/>
  <c r="J44" i="3"/>
  <c r="J42" i="3"/>
  <c r="J41" i="3"/>
  <c r="J38" i="3"/>
  <c r="J35" i="3"/>
  <c r="J34" i="3"/>
  <c r="J33" i="3"/>
  <c r="J32" i="3"/>
  <c r="J31" i="3"/>
  <c r="J23" i="3"/>
  <c r="J21" i="3"/>
  <c r="J20" i="3"/>
  <c r="J19" i="3"/>
  <c r="J18" i="3"/>
  <c r="J16" i="3"/>
  <c r="J14" i="3"/>
  <c r="J13" i="3"/>
  <c r="J10" i="3"/>
  <c r="K118" i="99"/>
  <c r="H118" i="99"/>
  <c r="H115" i="99"/>
  <c r="H112" i="99"/>
  <c r="Y46" i="5" l="1"/>
  <c r="G10" i="119"/>
  <c r="K45" i="5"/>
  <c r="G105" i="39"/>
  <c r="J97" i="39"/>
  <c r="K55" i="5"/>
  <c r="K115" i="99"/>
  <c r="J96" i="39"/>
  <c r="J98" i="39"/>
  <c r="H6" i="100"/>
  <c r="H5" i="100" s="1"/>
  <c r="H12" i="100"/>
  <c r="H12" i="99"/>
  <c r="K12" i="99" s="1"/>
  <c r="J9" i="3" s="1"/>
  <c r="H107" i="99"/>
  <c r="K107" i="99" s="1"/>
  <c r="H56" i="99"/>
  <c r="K56" i="99" s="1"/>
  <c r="H93" i="99"/>
  <c r="K93" i="99" s="1"/>
  <c r="H100" i="99"/>
  <c r="K100" i="99" s="1"/>
  <c r="H110" i="99"/>
  <c r="K110" i="99" s="1"/>
  <c r="K112" i="99"/>
  <c r="D82" i="67"/>
  <c r="H34" i="99"/>
  <c r="H37" i="99"/>
  <c r="K37" i="99" s="1"/>
  <c r="J28" i="3" s="1"/>
  <c r="H38" i="99"/>
  <c r="K38" i="99" s="1"/>
  <c r="J29" i="3" s="1"/>
  <c r="H39" i="99"/>
  <c r="K39" i="99" s="1"/>
  <c r="J30" i="3" s="1"/>
  <c r="H50" i="99"/>
  <c r="H49" i="99" s="1"/>
  <c r="H59" i="99"/>
  <c r="K59" i="99" s="1"/>
  <c r="J59" i="3" s="1"/>
  <c r="H60" i="99"/>
  <c r="K60" i="99" s="1"/>
  <c r="H9" i="99"/>
  <c r="K9" i="99" s="1"/>
  <c r="J7" i="3" s="1"/>
  <c r="H61" i="99"/>
  <c r="K61" i="99" s="1"/>
  <c r="J60" i="3" s="1"/>
  <c r="H10" i="99"/>
  <c r="K10" i="99" s="1"/>
  <c r="J8" i="3" s="1"/>
  <c r="H68" i="99"/>
  <c r="K68" i="99" s="1"/>
  <c r="H15" i="99"/>
  <c r="K15" i="99" s="1"/>
  <c r="H70" i="99"/>
  <c r="K70" i="99" s="1"/>
  <c r="H18" i="99"/>
  <c r="K18" i="99" s="1"/>
  <c r="H77" i="99"/>
  <c r="K77" i="99" s="1"/>
  <c r="H21" i="99"/>
  <c r="K21" i="99" s="1"/>
  <c r="J12" i="3" s="1"/>
  <c r="H81" i="99"/>
  <c r="H80" i="99" s="1"/>
  <c r="H83" i="99"/>
  <c r="H82" i="99" s="1"/>
  <c r="K29" i="99"/>
  <c r="J17" i="3" s="1"/>
  <c r="H109" i="99"/>
  <c r="J123" i="3"/>
  <c r="D124" i="67" s="1"/>
  <c r="H22" i="99"/>
  <c r="K22" i="99" s="1"/>
  <c r="H40" i="99"/>
  <c r="K40" i="99" s="1"/>
  <c r="H62" i="99"/>
  <c r="K62" i="99" s="1"/>
  <c r="J61" i="3" s="1"/>
  <c r="H88" i="99"/>
  <c r="K88" i="99" s="1"/>
  <c r="H24" i="99"/>
  <c r="K24" i="99" s="1"/>
  <c r="J15" i="3" s="1"/>
  <c r="H43" i="99"/>
  <c r="H63" i="99"/>
  <c r="H89" i="99"/>
  <c r="K89" i="99" s="1"/>
  <c r="J93" i="3" s="1"/>
  <c r="H25" i="99"/>
  <c r="K25" i="99" s="1"/>
  <c r="H46" i="99"/>
  <c r="H64" i="99"/>
  <c r="H90" i="99"/>
  <c r="H26" i="99"/>
  <c r="K26" i="99" s="1"/>
  <c r="H47" i="99"/>
  <c r="K47" i="99" s="1"/>
  <c r="J79" i="3" s="1"/>
  <c r="H66" i="99"/>
  <c r="K66" i="99" s="1"/>
  <c r="H91" i="99"/>
  <c r="K91" i="99" s="1"/>
  <c r="H27" i="99"/>
  <c r="K27" i="99" s="1"/>
  <c r="H48" i="99"/>
  <c r="K48" i="99" s="1"/>
  <c r="H67" i="99"/>
  <c r="K67" i="99" s="1"/>
  <c r="H92" i="99"/>
  <c r="K92" i="99" s="1"/>
  <c r="H11" i="99"/>
  <c r="K11" i="99" s="1"/>
  <c r="H30" i="99"/>
  <c r="H53" i="99"/>
  <c r="K53" i="99" s="1"/>
  <c r="H71" i="99"/>
  <c r="K71" i="99" s="1"/>
  <c r="H101" i="99"/>
  <c r="H54" i="99"/>
  <c r="K54" i="99" s="1"/>
  <c r="H72" i="99"/>
  <c r="K72" i="99" s="1"/>
  <c r="H103" i="99"/>
  <c r="H14" i="99"/>
  <c r="H32" i="99"/>
  <c r="H55" i="99"/>
  <c r="K55" i="99" s="1"/>
  <c r="H73" i="99"/>
  <c r="H104" i="99"/>
  <c r="K104" i="99" s="1"/>
  <c r="H16" i="99"/>
  <c r="K16" i="99" s="1"/>
  <c r="H35" i="99"/>
  <c r="K35" i="99" s="1"/>
  <c r="J26" i="3" s="1"/>
  <c r="H57" i="99"/>
  <c r="K57" i="99" s="1"/>
  <c r="H78" i="99"/>
  <c r="K78" i="99" s="1"/>
  <c r="H106" i="99"/>
  <c r="K106" i="99" s="1"/>
  <c r="H17" i="99"/>
  <c r="K17" i="99" s="1"/>
  <c r="H36" i="99"/>
  <c r="K36" i="99" s="1"/>
  <c r="J27" i="3" s="1"/>
  <c r="H58" i="99"/>
  <c r="K58" i="99" s="1"/>
  <c r="J58" i="3" s="1"/>
  <c r="H79" i="99"/>
  <c r="K79" i="99" s="1"/>
  <c r="H82" i="100"/>
  <c r="H31" i="100"/>
  <c r="K31" i="100" s="1"/>
  <c r="K49" i="5" s="1"/>
  <c r="H30" i="100"/>
  <c r="H70" i="100"/>
  <c r="H65" i="100"/>
  <c r="H59" i="100" s="1"/>
  <c r="K7" i="100"/>
  <c r="K9" i="5" s="1"/>
  <c r="K10" i="100"/>
  <c r="K8" i="5" s="1"/>
  <c r="J98" i="3"/>
  <c r="AF46" i="5" l="1"/>
  <c r="D38" i="110"/>
  <c r="E10" i="119" s="1"/>
  <c r="D10" i="119" s="1"/>
  <c r="K30" i="99"/>
  <c r="K28" i="99" s="1"/>
  <c r="H28" i="99"/>
  <c r="H23" i="99" s="1"/>
  <c r="K34" i="99"/>
  <c r="E331" i="67" s="1"/>
  <c r="K31" i="99"/>
  <c r="J37" i="3" s="1"/>
  <c r="O32" i="115"/>
  <c r="E32" i="115" s="1"/>
  <c r="F32" i="115" s="1"/>
  <c r="D32" i="115" s="1"/>
  <c r="J100" i="39"/>
  <c r="I100" i="39" s="1"/>
  <c r="I58" i="39" s="1"/>
  <c r="J99" i="39"/>
  <c r="I99" i="39" s="1"/>
  <c r="I57" i="39" s="1"/>
  <c r="K81" i="99"/>
  <c r="K22" i="100"/>
  <c r="H18" i="100"/>
  <c r="H11" i="100" s="1"/>
  <c r="H23" i="100" s="1"/>
  <c r="I129" i="99"/>
  <c r="K50" i="99"/>
  <c r="K49" i="99" s="1"/>
  <c r="K90" i="99"/>
  <c r="J102" i="3" s="1"/>
  <c r="H51" i="99"/>
  <c r="K8" i="99"/>
  <c r="K83" i="99"/>
  <c r="K69" i="99"/>
  <c r="K65" i="99" s="1"/>
  <c r="H13" i="99"/>
  <c r="K14" i="99"/>
  <c r="K13" i="99" s="1"/>
  <c r="H102" i="99"/>
  <c r="K103" i="99"/>
  <c r="K102" i="99" s="1"/>
  <c r="H108" i="99"/>
  <c r="K109" i="99"/>
  <c r="K108" i="99" s="1"/>
  <c r="H87" i="99"/>
  <c r="H76" i="99" s="1"/>
  <c r="K32" i="99"/>
  <c r="J22" i="3" s="1"/>
  <c r="H99" i="99"/>
  <c r="K101" i="99"/>
  <c r="K99" i="99" s="1"/>
  <c r="K46" i="99"/>
  <c r="H45" i="99"/>
  <c r="H44" i="99" s="1"/>
  <c r="K20" i="99"/>
  <c r="H19" i="99"/>
  <c r="H33" i="99"/>
  <c r="H42" i="99"/>
  <c r="K43" i="99"/>
  <c r="H69" i="99"/>
  <c r="H65" i="99" s="1"/>
  <c r="H24" i="100"/>
  <c r="K30" i="100"/>
  <c r="K48" i="5" s="1"/>
  <c r="J95" i="3"/>
  <c r="L48" i="51" s="1"/>
  <c r="I28" i="39" l="1"/>
  <c r="E100" i="10"/>
  <c r="E332" i="67"/>
  <c r="E324" i="67" s="1"/>
  <c r="H10" i="119"/>
  <c r="K80" i="99"/>
  <c r="J91" i="3"/>
  <c r="K33" i="99"/>
  <c r="J25" i="3"/>
  <c r="D274" i="67"/>
  <c r="H98" i="99"/>
  <c r="H75" i="99" s="1"/>
  <c r="K87" i="99"/>
  <c r="K28" i="5"/>
  <c r="K18" i="100"/>
  <c r="K63" i="99"/>
  <c r="J129" i="99"/>
  <c r="J130" i="99" s="1"/>
  <c r="K82" i="99"/>
  <c r="J92" i="3"/>
  <c r="K64" i="99"/>
  <c r="J65" i="3" s="1"/>
  <c r="K98" i="99"/>
  <c r="H41" i="99"/>
  <c r="K19" i="99"/>
  <c r="J11" i="3"/>
  <c r="C43" i="82" s="1"/>
  <c r="K23" i="99"/>
  <c r="K45" i="99"/>
  <c r="K44" i="99" s="1"/>
  <c r="J78" i="3"/>
  <c r="K42" i="99"/>
  <c r="J45" i="3"/>
  <c r="H58" i="100"/>
  <c r="H81" i="100" s="1"/>
  <c r="H84" i="100" s="1"/>
  <c r="J324" i="67" l="1"/>
  <c r="J323" i="67" s="1"/>
  <c r="J327" i="67" s="1"/>
  <c r="E323" i="67"/>
  <c r="F343" i="67" s="1"/>
  <c r="E333" i="67"/>
  <c r="E101" i="10"/>
  <c r="K76" i="99"/>
  <c r="K75" i="99" s="1"/>
  <c r="E282" i="67"/>
  <c r="M99" i="10"/>
  <c r="K7" i="99"/>
  <c r="K6" i="99" s="1"/>
  <c r="J64" i="3"/>
  <c r="J102" i="39" s="1"/>
  <c r="I102" i="39" s="1"/>
  <c r="K51" i="99"/>
  <c r="K41" i="99" s="1"/>
  <c r="G343" i="67" l="1"/>
  <c r="G359" i="67" s="1"/>
  <c r="H343" i="67"/>
  <c r="E274" i="67"/>
  <c r="I274" i="67" s="1"/>
  <c r="E283" i="67"/>
  <c r="J158" i="3"/>
  <c r="D85" i="67"/>
  <c r="D86" i="67" s="1"/>
  <c r="K5" i="99"/>
  <c r="C85" i="67" s="1"/>
  <c r="C86" i="67" s="1"/>
  <c r="I273" i="67" l="1"/>
  <c r="I277" i="67" s="1"/>
  <c r="I326" i="67"/>
  <c r="E273" i="67"/>
  <c r="F293" i="67" s="1"/>
  <c r="G293" i="67" s="1"/>
  <c r="H293" i="67" s="1"/>
  <c r="J100" i="10"/>
  <c r="J99" i="10" s="1"/>
  <c r="E99" i="10"/>
  <c r="J156" i="3"/>
  <c r="N36" i="3"/>
  <c r="M36" i="3"/>
  <c r="I27" i="5"/>
  <c r="I20" i="5"/>
  <c r="H63" i="3"/>
  <c r="O63" i="3" s="1"/>
  <c r="R63" i="3" s="1"/>
  <c r="U63" i="3" s="1"/>
  <c r="X63" i="3" s="1"/>
  <c r="D58" i="109" s="1"/>
  <c r="D15" i="39" s="1"/>
  <c r="H62" i="3"/>
  <c r="O62" i="3" s="1"/>
  <c r="R62" i="3" s="1"/>
  <c r="F344" i="67" l="1"/>
  <c r="G344" i="67" s="1"/>
  <c r="H344" i="67" s="1"/>
  <c r="I327" i="67"/>
  <c r="P20" i="5"/>
  <c r="S20" i="5" s="1"/>
  <c r="V20" i="5" s="1"/>
  <c r="Y20" i="5" s="1"/>
  <c r="P27" i="5"/>
  <c r="S27" i="5" s="1"/>
  <c r="V27" i="5" s="1"/>
  <c r="Y27" i="5" s="1"/>
  <c r="U62" i="3"/>
  <c r="J55" i="5"/>
  <c r="W55" i="5"/>
  <c r="D20" i="110" l="1"/>
  <c r="AF27" i="5"/>
  <c r="D13" i="110"/>
  <c r="AF20" i="5"/>
  <c r="X62" i="3"/>
  <c r="D57" i="109" s="1"/>
  <c r="C15" i="39" s="1"/>
  <c r="E15" i="39" s="1"/>
  <c r="F15" i="39" l="1"/>
  <c r="K30" i="39"/>
  <c r="C32" i="114"/>
  <c r="H189" i="73"/>
  <c r="H185" i="73"/>
  <c r="H184" i="73"/>
  <c r="H183" i="73"/>
  <c r="H181" i="73"/>
  <c r="H180" i="73"/>
  <c r="H197" i="73"/>
  <c r="H195" i="73"/>
  <c r="H194" i="73"/>
  <c r="H191" i="73"/>
  <c r="H190" i="73"/>
  <c r="K108" i="73"/>
  <c r="Z181" i="73"/>
  <c r="Z180" i="73"/>
  <c r="C57" i="114" s="1"/>
  <c r="D51" i="57" s="1"/>
  <c r="Z179" i="73"/>
  <c r="C56" i="114" s="1"/>
  <c r="W184" i="73"/>
  <c r="W183" i="73"/>
  <c r="W182" i="73"/>
  <c r="W181" i="73"/>
  <c r="C62" i="114" s="1"/>
  <c r="D50" i="57" s="1"/>
  <c r="W180" i="73"/>
  <c r="C60" i="114" s="1"/>
  <c r="T185" i="73"/>
  <c r="C44" i="114" s="1"/>
  <c r="T183" i="73"/>
  <c r="T181" i="73"/>
  <c r="T180" i="73"/>
  <c r="C41" i="114" s="1"/>
  <c r="T179" i="73"/>
  <c r="C42" i="114" s="1"/>
  <c r="Q185" i="73"/>
  <c r="C48" i="114" s="1"/>
  <c r="Q184" i="73"/>
  <c r="C49" i="114" s="1"/>
  <c r="Q181" i="73"/>
  <c r="Q180" i="73"/>
  <c r="C52" i="114" s="1"/>
  <c r="Q179" i="73"/>
  <c r="G31" i="39"/>
  <c r="C54" i="114" l="1"/>
  <c r="C18" i="114"/>
  <c r="C19" i="57" s="1"/>
  <c r="C10" i="114"/>
  <c r="C8" i="57"/>
  <c r="D49" i="57"/>
  <c r="F49" i="57" s="1"/>
  <c r="C11" i="57"/>
  <c r="Z186" i="73"/>
  <c r="C12" i="57" l="1"/>
  <c r="C117" i="56"/>
  <c r="E105" i="56"/>
  <c r="E104" i="56"/>
  <c r="E103" i="56"/>
  <c r="E102" i="56"/>
  <c r="E101" i="56"/>
  <c r="E100" i="56"/>
  <c r="E99" i="56"/>
  <c r="E81" i="56"/>
  <c r="C95" i="56"/>
  <c r="E94" i="56"/>
  <c r="E93" i="56"/>
  <c r="E88" i="56"/>
  <c r="E87" i="56"/>
  <c r="E86" i="56"/>
  <c r="E85" i="56"/>
  <c r="E84" i="56"/>
  <c r="E83" i="56"/>
  <c r="E82" i="56"/>
  <c r="E80" i="56"/>
  <c r="E79" i="56"/>
  <c r="E78" i="56"/>
  <c r="E77" i="56"/>
  <c r="D73" i="56"/>
  <c r="C73" i="56"/>
  <c r="D95" i="56" l="1"/>
  <c r="E95" i="56"/>
  <c r="E73" i="56"/>
  <c r="AC137" i="73" l="1"/>
  <c r="C10" i="73"/>
  <c r="C11" i="73"/>
  <c r="AF128" i="73"/>
  <c r="E50" i="57" s="1"/>
  <c r="D126" i="73"/>
  <c r="C127" i="73"/>
  <c r="C126" i="73"/>
  <c r="A125" i="73"/>
  <c r="C125" i="73"/>
  <c r="E51" i="57" l="1"/>
  <c r="F51" i="57" s="1"/>
  <c r="F50" i="57"/>
  <c r="H207" i="73"/>
  <c r="O86" i="115"/>
  <c r="N86" i="115"/>
  <c r="K86" i="115"/>
  <c r="L86" i="115" s="1"/>
  <c r="D149" i="73"/>
  <c r="D148" i="73" s="1"/>
  <c r="C149" i="73"/>
  <c r="C148" i="73"/>
  <c r="A148" i="73"/>
  <c r="B34" i="15"/>
  <c r="B115" i="15"/>
  <c r="D50" i="15"/>
  <c r="C11" i="114" l="1"/>
  <c r="F11" i="114" s="1"/>
  <c r="E86" i="115"/>
  <c r="F86" i="115" s="1"/>
  <c r="I86" i="115"/>
  <c r="J86" i="115" s="1"/>
  <c r="G86" i="115"/>
  <c r="H86" i="115" s="1"/>
  <c r="D60" i="15"/>
  <c r="B60" i="15" s="1"/>
  <c r="C13" i="57" l="1"/>
  <c r="D86" i="115"/>
  <c r="C173" i="115" l="1"/>
  <c r="AF149" i="73"/>
  <c r="C190" i="47" l="1"/>
  <c r="C189" i="47"/>
  <c r="C185" i="47"/>
  <c r="W121" i="73" s="1"/>
  <c r="C184" i="47"/>
  <c r="C183" i="47"/>
  <c r="C182" i="47"/>
  <c r="D46" i="58"/>
  <c r="D38" i="58"/>
  <c r="D37" i="84"/>
  <c r="D35" i="84"/>
  <c r="D34" i="84"/>
  <c r="D33" i="84"/>
  <c r="E36" i="84"/>
  <c r="D49" i="84" s="1"/>
  <c r="D50" i="84" s="1"/>
  <c r="E31" i="84"/>
  <c r="E37" i="84"/>
  <c r="D51" i="84" s="1"/>
  <c r="D52" i="84" s="1"/>
  <c r="E35" i="84"/>
  <c r="D47" i="84" s="1"/>
  <c r="D48" i="84" s="1"/>
  <c r="H75" i="84"/>
  <c r="H74" i="84"/>
  <c r="G76" i="84"/>
  <c r="F76" i="84"/>
  <c r="E76" i="84"/>
  <c r="D196" i="47"/>
  <c r="C196" i="47"/>
  <c r="D52" i="57" l="1"/>
  <c r="E34" i="84"/>
  <c r="D43" i="84" s="1"/>
  <c r="D44" i="84" s="1"/>
  <c r="C188" i="47"/>
  <c r="D188" i="47" s="1"/>
  <c r="E26" i="84"/>
  <c r="E33" i="84" s="1"/>
  <c r="D45" i="84" s="1"/>
  <c r="D46" i="84" s="1"/>
  <c r="W179" i="73"/>
  <c r="C61" i="114" s="1"/>
  <c r="W168" i="73"/>
  <c r="D182" i="47"/>
  <c r="C207" i="47"/>
  <c r="E196" i="47"/>
  <c r="F38" i="116" l="1"/>
  <c r="F42" i="116" s="1"/>
  <c r="F52" i="57"/>
  <c r="D54" i="57"/>
  <c r="W186" i="73"/>
  <c r="G21" i="82"/>
  <c r="F21" i="82"/>
  <c r="E21" i="82"/>
  <c r="H63" i="82"/>
  <c r="I63" i="82" s="1"/>
  <c r="H61" i="82"/>
  <c r="H57" i="82"/>
  <c r="H55" i="82"/>
  <c r="H51" i="82"/>
  <c r="H49" i="82"/>
  <c r="H45" i="82"/>
  <c r="H43" i="82"/>
  <c r="H39" i="82"/>
  <c r="H37" i="82"/>
  <c r="J32" i="52"/>
  <c r="J26" i="52"/>
  <c r="K78" i="73"/>
  <c r="H205" i="73" s="1"/>
  <c r="Q78" i="73"/>
  <c r="Q183" i="73" s="1"/>
  <c r="D26" i="52"/>
  <c r="E26" i="52"/>
  <c r="C15" i="114" l="1"/>
  <c r="F15" i="114" s="1"/>
  <c r="F20" i="82"/>
  <c r="E16" i="47"/>
  <c r="C203" i="47" s="1"/>
  <c r="G20" i="82"/>
  <c r="E20" i="82"/>
  <c r="C28" i="40"/>
  <c r="F8" i="40"/>
  <c r="E9" i="47"/>
  <c r="C51" i="114"/>
  <c r="E15" i="47"/>
  <c r="E8" i="47"/>
  <c r="D21" i="47"/>
  <c r="D211" i="47" s="1"/>
  <c r="E14" i="47"/>
  <c r="F14" i="47" s="1"/>
  <c r="C21" i="47"/>
  <c r="D212" i="47" s="1"/>
  <c r="F29" i="40" l="1"/>
  <c r="C17" i="57"/>
  <c r="D213" i="47"/>
  <c r="F8" i="47"/>
  <c r="E19" i="47"/>
  <c r="D28" i="40"/>
  <c r="C22" i="47"/>
  <c r="C212" i="47" s="1"/>
  <c r="E21" i="47"/>
  <c r="G28" i="39"/>
  <c r="G26" i="39"/>
  <c r="G27" i="39"/>
  <c r="I31" i="39"/>
  <c r="D31" i="39"/>
  <c r="AC70" i="73" s="1"/>
  <c r="C31" i="39"/>
  <c r="I29" i="39"/>
  <c r="E29" i="39"/>
  <c r="D29" i="39"/>
  <c r="E28" i="39"/>
  <c r="I27" i="39"/>
  <c r="E27" i="39"/>
  <c r="D27" i="39"/>
  <c r="C27" i="39"/>
  <c r="I26" i="39"/>
  <c r="E26" i="39"/>
  <c r="D26" i="39"/>
  <c r="C26" i="39"/>
  <c r="I25" i="39"/>
  <c r="E25" i="39"/>
  <c r="D25" i="39"/>
  <c r="C25" i="39"/>
  <c r="E29" i="58"/>
  <c r="D29" i="58"/>
  <c r="J29" i="39" l="1"/>
  <c r="E33" i="39"/>
  <c r="D203" i="47"/>
  <c r="C33" i="39"/>
  <c r="C34" i="39" s="1"/>
  <c r="D28" i="39"/>
  <c r="J90" i="39"/>
  <c r="G25" i="39"/>
  <c r="J27" i="39"/>
  <c r="J31" i="39"/>
  <c r="J26" i="39"/>
  <c r="D57" i="120" l="1"/>
  <c r="D33" i="39"/>
  <c r="Q69" i="73" s="1"/>
  <c r="Q168" i="73" s="1"/>
  <c r="G33" i="39"/>
  <c r="J25" i="39"/>
  <c r="C12" i="50"/>
  <c r="C77" i="82"/>
  <c r="C76" i="82"/>
  <c r="E37" i="116"/>
  <c r="K71" i="73" l="1"/>
  <c r="H204" i="73" s="1"/>
  <c r="C14" i="114" s="1"/>
  <c r="C16" i="57" s="1"/>
  <c r="C79" i="82"/>
  <c r="Q182" i="73"/>
  <c r="G34" i="39"/>
  <c r="G35" i="39" s="1"/>
  <c r="C33" i="46"/>
  <c r="D33" i="46" s="1"/>
  <c r="F77" i="82"/>
  <c r="C77" i="73"/>
  <c r="AF19" i="73"/>
  <c r="E15" i="115"/>
  <c r="G15" i="115"/>
  <c r="I15" i="115"/>
  <c r="K15" i="115"/>
  <c r="O87" i="115"/>
  <c r="O85" i="115"/>
  <c r="O84" i="115"/>
  <c r="O83" i="115"/>
  <c r="O82" i="115"/>
  <c r="O81" i="115"/>
  <c r="O80" i="115"/>
  <c r="O79" i="115"/>
  <c r="O78" i="115"/>
  <c r="O77" i="115"/>
  <c r="O76" i="115"/>
  <c r="O75" i="115"/>
  <c r="O74" i="115"/>
  <c r="O73" i="115"/>
  <c r="O72" i="115"/>
  <c r="O71" i="115"/>
  <c r="O70" i="115"/>
  <c r="O69" i="115"/>
  <c r="O68" i="115"/>
  <c r="O67" i="115"/>
  <c r="O66" i="115"/>
  <c r="O65" i="115"/>
  <c r="O64" i="115"/>
  <c r="O63" i="115"/>
  <c r="O62" i="115"/>
  <c r="O61" i="115"/>
  <c r="O60" i="115"/>
  <c r="O59" i="115"/>
  <c r="O58" i="115"/>
  <c r="O57" i="115"/>
  <c r="O56" i="115"/>
  <c r="O55" i="115"/>
  <c r="O54" i="115"/>
  <c r="O53" i="115"/>
  <c r="O52" i="115"/>
  <c r="O51" i="115"/>
  <c r="O50" i="115"/>
  <c r="O49" i="115"/>
  <c r="O48" i="115"/>
  <c r="O47" i="115"/>
  <c r="O46" i="115"/>
  <c r="O45" i="115"/>
  <c r="O44" i="115"/>
  <c r="O43" i="115"/>
  <c r="O42" i="115"/>
  <c r="O41" i="115"/>
  <c r="O40" i="115"/>
  <c r="O39" i="115"/>
  <c r="O38" i="115"/>
  <c r="O37" i="115"/>
  <c r="O36" i="115"/>
  <c r="O35" i="115"/>
  <c r="O34" i="115"/>
  <c r="O33" i="115"/>
  <c r="O31" i="115"/>
  <c r="O30" i="115"/>
  <c r="O29" i="115"/>
  <c r="O28" i="115"/>
  <c r="O27" i="115"/>
  <c r="O26" i="115"/>
  <c r="O25" i="115"/>
  <c r="O24" i="115"/>
  <c r="O23" i="115"/>
  <c r="O22" i="115"/>
  <c r="O21" i="115"/>
  <c r="O20" i="115"/>
  <c r="O19" i="115"/>
  <c r="O17" i="115"/>
  <c r="O16" i="115"/>
  <c r="N87" i="115"/>
  <c r="N85" i="115"/>
  <c r="N84" i="115"/>
  <c r="N83" i="115"/>
  <c r="N82" i="115"/>
  <c r="N81" i="115"/>
  <c r="N80" i="115"/>
  <c r="N79" i="115"/>
  <c r="N78" i="115"/>
  <c r="N77" i="115"/>
  <c r="N76" i="115"/>
  <c r="N75" i="115"/>
  <c r="N74" i="115"/>
  <c r="N73" i="115"/>
  <c r="N72" i="115"/>
  <c r="N71" i="115"/>
  <c r="N70" i="115"/>
  <c r="N69" i="115"/>
  <c r="N68" i="115"/>
  <c r="N67" i="115"/>
  <c r="N66" i="115"/>
  <c r="N65" i="115"/>
  <c r="N64" i="115"/>
  <c r="N63" i="115"/>
  <c r="N62" i="115"/>
  <c r="N61" i="115"/>
  <c r="N60" i="115"/>
  <c r="N59" i="115"/>
  <c r="N58" i="115"/>
  <c r="N57" i="115"/>
  <c r="N56" i="115"/>
  <c r="N55" i="115"/>
  <c r="N54" i="115"/>
  <c r="N53" i="115"/>
  <c r="N52" i="115"/>
  <c r="N51" i="115"/>
  <c r="N50" i="115"/>
  <c r="N49" i="115"/>
  <c r="N48" i="115"/>
  <c r="N47" i="115"/>
  <c r="N46" i="115"/>
  <c r="N45" i="115"/>
  <c r="N44" i="115"/>
  <c r="N43" i="115"/>
  <c r="N42" i="115"/>
  <c r="N41" i="115"/>
  <c r="N40" i="115"/>
  <c r="N39" i="115"/>
  <c r="N38" i="115"/>
  <c r="N37" i="115"/>
  <c r="N36" i="115"/>
  <c r="N35" i="115"/>
  <c r="N34" i="115"/>
  <c r="N33" i="115"/>
  <c r="N31" i="115"/>
  <c r="N30" i="115"/>
  <c r="N29" i="115"/>
  <c r="N28" i="115"/>
  <c r="N27" i="115"/>
  <c r="N26" i="115"/>
  <c r="N25" i="115"/>
  <c r="N24" i="115"/>
  <c r="N23" i="115"/>
  <c r="N22" i="115"/>
  <c r="N21" i="115"/>
  <c r="N20" i="115"/>
  <c r="N19" i="115"/>
  <c r="N18" i="115"/>
  <c r="N17" i="115"/>
  <c r="N16" i="115"/>
  <c r="C50" i="114" l="1"/>
  <c r="Q186" i="73"/>
  <c r="Q187" i="73" s="1"/>
  <c r="O8" i="115"/>
  <c r="P8" i="115" s="1"/>
  <c r="L15" i="115"/>
  <c r="J15" i="115"/>
  <c r="H15" i="115"/>
  <c r="F15" i="115"/>
  <c r="G27" i="115"/>
  <c r="H27" i="115" s="1"/>
  <c r="G38" i="115"/>
  <c r="H38" i="115" s="1"/>
  <c r="G40" i="115"/>
  <c r="H40" i="115" s="1"/>
  <c r="K23" i="115"/>
  <c r="L23" i="115" s="1"/>
  <c r="K29" i="115"/>
  <c r="L29" i="115" s="1"/>
  <c r="K40" i="115"/>
  <c r="L40" i="115" s="1"/>
  <c r="E41" i="115"/>
  <c r="F41" i="115" s="1"/>
  <c r="G39" i="115"/>
  <c r="H39" i="115" s="1"/>
  <c r="E42" i="115"/>
  <c r="F42" i="115" s="1"/>
  <c r="E50" i="115"/>
  <c r="F50" i="115" s="1"/>
  <c r="E52" i="115"/>
  <c r="F52" i="115" s="1"/>
  <c r="E64" i="115"/>
  <c r="F64" i="115" s="1"/>
  <c r="K37" i="115"/>
  <c r="L37" i="115" s="1"/>
  <c r="G37" i="115"/>
  <c r="H37" i="115" s="1"/>
  <c r="I23" i="115"/>
  <c r="J23" i="115" s="1"/>
  <c r="G42" i="115"/>
  <c r="H42" i="115" s="1"/>
  <c r="G23" i="115"/>
  <c r="H23" i="115" s="1"/>
  <c r="G67" i="115"/>
  <c r="H67" i="115" s="1"/>
  <c r="G69" i="115"/>
  <c r="H69" i="115" s="1"/>
  <c r="G77" i="115"/>
  <c r="H77" i="115" s="1"/>
  <c r="G16" i="115"/>
  <c r="H16" i="115" s="1"/>
  <c r="G22" i="115"/>
  <c r="H22" i="115" s="1"/>
  <c r="I43" i="115"/>
  <c r="J43" i="115" s="1"/>
  <c r="I47" i="115"/>
  <c r="J47" i="115" s="1"/>
  <c r="G72" i="115"/>
  <c r="H72" i="115" s="1"/>
  <c r="K45" i="115"/>
  <c r="L45" i="115" s="1"/>
  <c r="K25" i="115"/>
  <c r="L25" i="115" s="1"/>
  <c r="I18" i="115"/>
  <c r="J18" i="115" s="1"/>
  <c r="E27" i="115"/>
  <c r="F27" i="115" s="1"/>
  <c r="G17" i="115"/>
  <c r="H17" i="115" s="1"/>
  <c r="K48" i="115"/>
  <c r="L48" i="115" s="1"/>
  <c r="K81" i="115"/>
  <c r="L81" i="115" s="1"/>
  <c r="E84" i="115"/>
  <c r="F84" i="115" s="1"/>
  <c r="E87" i="115"/>
  <c r="F87" i="115" s="1"/>
  <c r="E43" i="115"/>
  <c r="F43" i="115" s="1"/>
  <c r="E65" i="115"/>
  <c r="F65" i="115" s="1"/>
  <c r="K18" i="115"/>
  <c r="L18" i="115" s="1"/>
  <c r="I35" i="115"/>
  <c r="J35" i="115" s="1"/>
  <c r="G43" i="115"/>
  <c r="H43" i="115" s="1"/>
  <c r="G55" i="115"/>
  <c r="H55" i="115" s="1"/>
  <c r="G63" i="115"/>
  <c r="H63" i="115" s="1"/>
  <c r="I67" i="115"/>
  <c r="J67" i="115" s="1"/>
  <c r="K30" i="115"/>
  <c r="L30" i="115" s="1"/>
  <c r="K49" i="115"/>
  <c r="L49" i="115" s="1"/>
  <c r="K51" i="115"/>
  <c r="L51" i="115" s="1"/>
  <c r="K65" i="115"/>
  <c r="L65" i="115" s="1"/>
  <c r="G81" i="115"/>
  <c r="H81" i="115" s="1"/>
  <c r="G80" i="115"/>
  <c r="H80" i="115" s="1"/>
  <c r="G87" i="115"/>
  <c r="H87" i="115" s="1"/>
  <c r="E34" i="115"/>
  <c r="F34" i="115" s="1"/>
  <c r="K41" i="115"/>
  <c r="L41" i="115" s="1"/>
  <c r="K54" i="115"/>
  <c r="L54" i="115" s="1"/>
  <c r="I19" i="115"/>
  <c r="J19" i="115" s="1"/>
  <c r="G34" i="115"/>
  <c r="H34" i="115" s="1"/>
  <c r="G36" i="115"/>
  <c r="H36" i="115" s="1"/>
  <c r="E45" i="115"/>
  <c r="F45" i="115" s="1"/>
  <c r="E47" i="115"/>
  <c r="F47" i="115" s="1"/>
  <c r="I80" i="115"/>
  <c r="J80" i="115" s="1"/>
  <c r="I84" i="115"/>
  <c r="J84" i="115" s="1"/>
  <c r="E53" i="115"/>
  <c r="F53" i="115" s="1"/>
  <c r="K19" i="115"/>
  <c r="L19" i="115" s="1"/>
  <c r="K21" i="115"/>
  <c r="L21" i="115" s="1"/>
  <c r="E55" i="115"/>
  <c r="F55" i="115" s="1"/>
  <c r="E57" i="115"/>
  <c r="F57" i="115" s="1"/>
  <c r="E59" i="115"/>
  <c r="F59" i="115" s="1"/>
  <c r="K64" i="115"/>
  <c r="L64" i="115" s="1"/>
  <c r="E35" i="115"/>
  <c r="F35" i="115" s="1"/>
  <c r="I57" i="115"/>
  <c r="J57" i="115" s="1"/>
  <c r="I59" i="115"/>
  <c r="J59" i="115" s="1"/>
  <c r="I61" i="115"/>
  <c r="J61" i="115" s="1"/>
  <c r="I74" i="115"/>
  <c r="J74" i="115" s="1"/>
  <c r="I76" i="115"/>
  <c r="J76" i="115" s="1"/>
  <c r="I78" i="115"/>
  <c r="J78" i="115" s="1"/>
  <c r="G28" i="115"/>
  <c r="H28" i="115" s="1"/>
  <c r="E44" i="115"/>
  <c r="F44" i="115" s="1"/>
  <c r="K72" i="115"/>
  <c r="L72" i="115" s="1"/>
  <c r="G54" i="115"/>
  <c r="H54" i="115" s="1"/>
  <c r="G41" i="115"/>
  <c r="H41" i="115" s="1"/>
  <c r="E49" i="115"/>
  <c r="F49" i="115" s="1"/>
  <c r="K62" i="115"/>
  <c r="L62" i="115" s="1"/>
  <c r="G18" i="115"/>
  <c r="H18" i="115" s="1"/>
  <c r="E26" i="115"/>
  <c r="F26" i="115" s="1"/>
  <c r="G47" i="115"/>
  <c r="H47" i="115" s="1"/>
  <c r="G66" i="115"/>
  <c r="H66" i="115" s="1"/>
  <c r="E68" i="115"/>
  <c r="F68" i="115" s="1"/>
  <c r="E72" i="115"/>
  <c r="F72" i="115" s="1"/>
  <c r="K80" i="115"/>
  <c r="L80" i="115" s="1"/>
  <c r="K82" i="115"/>
  <c r="L82" i="115" s="1"/>
  <c r="G76" i="115"/>
  <c r="H76" i="115" s="1"/>
  <c r="I22" i="115"/>
  <c r="J22" i="115" s="1"/>
  <c r="E28" i="115"/>
  <c r="F28" i="115" s="1"/>
  <c r="E40" i="115"/>
  <c r="F40" i="115" s="1"/>
  <c r="K43" i="115"/>
  <c r="L43" i="115" s="1"/>
  <c r="I49" i="115"/>
  <c r="J49" i="115" s="1"/>
  <c r="I51" i="115"/>
  <c r="J51" i="115" s="1"/>
  <c r="G57" i="115"/>
  <c r="H57" i="115" s="1"/>
  <c r="G59" i="115"/>
  <c r="H59" i="115" s="1"/>
  <c r="K20" i="115"/>
  <c r="L20" i="115" s="1"/>
  <c r="I38" i="115"/>
  <c r="J38" i="115" s="1"/>
  <c r="G30" i="115"/>
  <c r="H30" i="115" s="1"/>
  <c r="G33" i="115"/>
  <c r="H33" i="115" s="1"/>
  <c r="K36" i="115"/>
  <c r="L36" i="115" s="1"/>
  <c r="I68" i="115"/>
  <c r="J68" i="115" s="1"/>
  <c r="E17" i="115"/>
  <c r="F17" i="115" s="1"/>
  <c r="E21" i="115"/>
  <c r="F21" i="115" s="1"/>
  <c r="I28" i="115"/>
  <c r="J28" i="115" s="1"/>
  <c r="K38" i="115"/>
  <c r="L38" i="115" s="1"/>
  <c r="E25" i="115"/>
  <c r="F25" i="115" s="1"/>
  <c r="K28" i="115"/>
  <c r="L28" i="115" s="1"/>
  <c r="E37" i="115"/>
  <c r="F37" i="115" s="1"/>
  <c r="E67" i="115"/>
  <c r="F67" i="115" s="1"/>
  <c r="E75" i="115"/>
  <c r="F75" i="115" s="1"/>
  <c r="E56" i="115"/>
  <c r="F56" i="115" s="1"/>
  <c r="E60" i="115"/>
  <c r="F60" i="115" s="1"/>
  <c r="E62" i="115"/>
  <c r="F62" i="115" s="1"/>
  <c r="E16" i="115"/>
  <c r="F16" i="115" s="1"/>
  <c r="K17" i="115"/>
  <c r="L17" i="115" s="1"/>
  <c r="E29" i="115"/>
  <c r="F29" i="115" s="1"/>
  <c r="E31" i="115"/>
  <c r="F31" i="115" s="1"/>
  <c r="G56" i="115"/>
  <c r="H56" i="115" s="1"/>
  <c r="G58" i="115"/>
  <c r="H58" i="115" s="1"/>
  <c r="G31" i="115"/>
  <c r="H31" i="115" s="1"/>
  <c r="I37" i="115"/>
  <c r="J37" i="115" s="1"/>
  <c r="K50" i="115"/>
  <c r="L50" i="115" s="1"/>
  <c r="I56" i="115"/>
  <c r="J56" i="115" s="1"/>
  <c r="I58" i="115"/>
  <c r="J58" i="115" s="1"/>
  <c r="I60" i="115"/>
  <c r="J60" i="115" s="1"/>
  <c r="I62" i="115"/>
  <c r="J62" i="115" s="1"/>
  <c r="I69" i="115"/>
  <c r="J69" i="115" s="1"/>
  <c r="I71" i="115"/>
  <c r="J71" i="115" s="1"/>
  <c r="K69" i="115"/>
  <c r="L69" i="115" s="1"/>
  <c r="K71" i="115"/>
  <c r="L71" i="115" s="1"/>
  <c r="K75" i="115"/>
  <c r="L75" i="115" s="1"/>
  <c r="K77" i="115"/>
  <c r="L77" i="115" s="1"/>
  <c r="G35" i="115"/>
  <c r="H35" i="115" s="1"/>
  <c r="K33" i="115"/>
  <c r="L33" i="115" s="1"/>
  <c r="E48" i="115"/>
  <c r="F48" i="115" s="1"/>
  <c r="K53" i="115"/>
  <c r="L53" i="115" s="1"/>
  <c r="E71" i="115"/>
  <c r="F71" i="115" s="1"/>
  <c r="K76" i="115"/>
  <c r="L76" i="115" s="1"/>
  <c r="I33" i="115"/>
  <c r="J33" i="115" s="1"/>
  <c r="I29" i="115"/>
  <c r="J29" i="115" s="1"/>
  <c r="I17" i="115"/>
  <c r="J17" i="115" s="1"/>
  <c r="I24" i="115"/>
  <c r="J24" i="115" s="1"/>
  <c r="I39" i="115"/>
  <c r="J39" i="115" s="1"/>
  <c r="K55" i="115"/>
  <c r="L55" i="115" s="1"/>
  <c r="K78" i="115"/>
  <c r="L78" i="115" s="1"/>
  <c r="E30" i="115"/>
  <c r="F30" i="115" s="1"/>
  <c r="K39" i="115"/>
  <c r="L39" i="115" s="1"/>
  <c r="K42" i="115"/>
  <c r="L42" i="115" s="1"/>
  <c r="G50" i="115"/>
  <c r="H50" i="115" s="1"/>
  <c r="K59" i="115"/>
  <c r="L59" i="115" s="1"/>
  <c r="K61" i="115"/>
  <c r="L61" i="115" s="1"/>
  <c r="E66" i="115"/>
  <c r="F66" i="115" s="1"/>
  <c r="G75" i="115"/>
  <c r="H75" i="115" s="1"/>
  <c r="E77" i="115"/>
  <c r="F77" i="115" s="1"/>
  <c r="K34" i="115"/>
  <c r="L34" i="115" s="1"/>
  <c r="I48" i="115"/>
  <c r="J48" i="115" s="1"/>
  <c r="K63" i="115"/>
  <c r="L63" i="115" s="1"/>
  <c r="I65" i="115"/>
  <c r="J65" i="115" s="1"/>
  <c r="I73" i="115"/>
  <c r="J73" i="115" s="1"/>
  <c r="K85" i="115"/>
  <c r="L85" i="115" s="1"/>
  <c r="G68" i="115"/>
  <c r="H68" i="115" s="1"/>
  <c r="E70" i="115"/>
  <c r="F70" i="115" s="1"/>
  <c r="G70" i="115"/>
  <c r="H70" i="115" s="1"/>
  <c r="K79" i="115"/>
  <c r="L79" i="115" s="1"/>
  <c r="G82" i="115"/>
  <c r="H82" i="115" s="1"/>
  <c r="I36" i="115"/>
  <c r="J36" i="115" s="1"/>
  <c r="I87" i="115"/>
  <c r="J87" i="115" s="1"/>
  <c r="I40" i="115"/>
  <c r="J40" i="115" s="1"/>
  <c r="K68" i="115"/>
  <c r="L68" i="115" s="1"/>
  <c r="I72" i="115"/>
  <c r="J72" i="115" s="1"/>
  <c r="K87" i="115"/>
  <c r="L87" i="115" s="1"/>
  <c r="K16" i="115"/>
  <c r="L16" i="115" s="1"/>
  <c r="E24" i="115"/>
  <c r="F24" i="115" s="1"/>
  <c r="I53" i="115"/>
  <c r="J53" i="115" s="1"/>
  <c r="E63" i="115"/>
  <c r="F63" i="115" s="1"/>
  <c r="K74" i="115"/>
  <c r="L74" i="115" s="1"/>
  <c r="G24" i="115"/>
  <c r="H24" i="115" s="1"/>
  <c r="I30" i="115"/>
  <c r="J30" i="115" s="1"/>
  <c r="I55" i="115"/>
  <c r="J55" i="115" s="1"/>
  <c r="K57" i="115"/>
  <c r="L57" i="115" s="1"/>
  <c r="G62" i="115"/>
  <c r="H62" i="115" s="1"/>
  <c r="I64" i="115"/>
  <c r="J64" i="115" s="1"/>
  <c r="K70" i="115"/>
  <c r="L70" i="115" s="1"/>
  <c r="K83" i="115"/>
  <c r="L83" i="115" s="1"/>
  <c r="I20" i="115"/>
  <c r="J20" i="115" s="1"/>
  <c r="K26" i="115"/>
  <c r="L26" i="115" s="1"/>
  <c r="I41" i="115"/>
  <c r="J41" i="115" s="1"/>
  <c r="I44" i="115"/>
  <c r="J44" i="115" s="1"/>
  <c r="G51" i="115"/>
  <c r="H51" i="115" s="1"/>
  <c r="I81" i="115"/>
  <c r="J81" i="115" s="1"/>
  <c r="E69" i="115"/>
  <c r="F69" i="115" s="1"/>
  <c r="G71" i="115"/>
  <c r="H71" i="115" s="1"/>
  <c r="E82" i="115"/>
  <c r="F82" i="115" s="1"/>
  <c r="K24" i="115"/>
  <c r="L24" i="115" s="1"/>
  <c r="E38" i="115"/>
  <c r="F38" i="115" s="1"/>
  <c r="K35" i="115"/>
  <c r="L35" i="115" s="1"/>
  <c r="G49" i="115"/>
  <c r="H49" i="115" s="1"/>
  <c r="G21" i="115"/>
  <c r="H21" i="115" s="1"/>
  <c r="E23" i="115"/>
  <c r="F23" i="115" s="1"/>
  <c r="G25" i="115"/>
  <c r="H25" i="115" s="1"/>
  <c r="E36" i="115"/>
  <c r="F36" i="115" s="1"/>
  <c r="K58" i="115"/>
  <c r="L58" i="115" s="1"/>
  <c r="E19" i="115"/>
  <c r="F19" i="115" s="1"/>
  <c r="I27" i="115"/>
  <c r="J27" i="115" s="1"/>
  <c r="G29" i="115"/>
  <c r="H29" i="115" s="1"/>
  <c r="I45" i="115"/>
  <c r="J45" i="115" s="1"/>
  <c r="E61" i="115"/>
  <c r="F61" i="115" s="1"/>
  <c r="E80" i="115"/>
  <c r="F80" i="115" s="1"/>
  <c r="K84" i="115"/>
  <c r="L84" i="115" s="1"/>
  <c r="E85" i="115"/>
  <c r="F85" i="115" s="1"/>
  <c r="I21" i="115"/>
  <c r="J21" i="115" s="1"/>
  <c r="I25" i="115"/>
  <c r="J25" i="115" s="1"/>
  <c r="K31" i="115"/>
  <c r="L31" i="115" s="1"/>
  <c r="K67" i="115"/>
  <c r="L67" i="115" s="1"/>
  <c r="E76" i="115"/>
  <c r="F76" i="115" s="1"/>
  <c r="G19" i="115"/>
  <c r="H19" i="115" s="1"/>
  <c r="K27" i="115"/>
  <c r="L27" i="115" s="1"/>
  <c r="I52" i="115"/>
  <c r="J52" i="115" s="1"/>
  <c r="I54" i="115"/>
  <c r="J54" i="115" s="1"/>
  <c r="G61" i="115"/>
  <c r="H61" i="115" s="1"/>
  <c r="I63" i="115"/>
  <c r="J63" i="115" s="1"/>
  <c r="E78" i="115"/>
  <c r="F78" i="115" s="1"/>
  <c r="G48" i="115"/>
  <c r="H48" i="115" s="1"/>
  <c r="E39" i="115"/>
  <c r="F39" i="115" s="1"/>
  <c r="E22" i="115"/>
  <c r="F22" i="115" s="1"/>
  <c r="I66" i="115"/>
  <c r="J66" i="115" s="1"/>
  <c r="I70" i="115"/>
  <c r="J70" i="115" s="1"/>
  <c r="I83" i="115"/>
  <c r="J83" i="115" s="1"/>
  <c r="G20" i="115"/>
  <c r="H20" i="115" s="1"/>
  <c r="I26" i="115"/>
  <c r="J26" i="115" s="1"/>
  <c r="E51" i="115"/>
  <c r="F51" i="115" s="1"/>
  <c r="G53" i="115"/>
  <c r="H53" i="115" s="1"/>
  <c r="I16" i="115"/>
  <c r="J16" i="115" s="1"/>
  <c r="E20" i="115"/>
  <c r="F20" i="115" s="1"/>
  <c r="I31" i="115"/>
  <c r="J31" i="115" s="1"/>
  <c r="I34" i="115"/>
  <c r="J34" i="115" s="1"/>
  <c r="E33" i="115"/>
  <c r="F33" i="115" s="1"/>
  <c r="K22" i="115"/>
  <c r="L22" i="115" s="1"/>
  <c r="G26" i="115"/>
  <c r="H26" i="115" s="1"/>
  <c r="I42" i="115"/>
  <c r="J42" i="115" s="1"/>
  <c r="I46" i="115"/>
  <c r="J46" i="115" s="1"/>
  <c r="G45" i="115"/>
  <c r="H45" i="115" s="1"/>
  <c r="K47" i="115"/>
  <c r="L47" i="115" s="1"/>
  <c r="G44" i="115"/>
  <c r="H44" i="115" s="1"/>
  <c r="I50" i="115"/>
  <c r="J50" i="115" s="1"/>
  <c r="K52" i="115"/>
  <c r="L52" i="115" s="1"/>
  <c r="E54" i="115"/>
  <c r="F54" i="115" s="1"/>
  <c r="G46" i="115"/>
  <c r="H46" i="115" s="1"/>
  <c r="E46" i="115"/>
  <c r="F46" i="115" s="1"/>
  <c r="K44" i="115"/>
  <c r="L44" i="115" s="1"/>
  <c r="K46" i="115"/>
  <c r="L46" i="115" s="1"/>
  <c r="G52" i="115"/>
  <c r="H52" i="115" s="1"/>
  <c r="K56" i="115"/>
  <c r="L56" i="115" s="1"/>
  <c r="G60" i="115"/>
  <c r="H60" i="115" s="1"/>
  <c r="G65" i="115"/>
  <c r="H65" i="115" s="1"/>
  <c r="E58" i="115"/>
  <c r="F58" i="115" s="1"/>
  <c r="K60" i="115"/>
  <c r="L60" i="115" s="1"/>
  <c r="G64" i="115"/>
  <c r="H64" i="115" s="1"/>
  <c r="K66" i="115"/>
  <c r="L66" i="115" s="1"/>
  <c r="E79" i="115"/>
  <c r="F79" i="115" s="1"/>
  <c r="G79" i="115"/>
  <c r="H79" i="115" s="1"/>
  <c r="G73" i="115"/>
  <c r="H73" i="115" s="1"/>
  <c r="I77" i="115"/>
  <c r="J77" i="115" s="1"/>
  <c r="I79" i="115"/>
  <c r="J79" i="115" s="1"/>
  <c r="E73" i="115"/>
  <c r="F73" i="115" s="1"/>
  <c r="E74" i="115"/>
  <c r="F74" i="115" s="1"/>
  <c r="I75" i="115"/>
  <c r="J75" i="115" s="1"/>
  <c r="G74" i="115"/>
  <c r="H74" i="115" s="1"/>
  <c r="K73" i="115"/>
  <c r="L73" i="115" s="1"/>
  <c r="G78" i="115"/>
  <c r="H78" i="115" s="1"/>
  <c r="I82" i="115"/>
  <c r="J82" i="115" s="1"/>
  <c r="E83" i="115"/>
  <c r="F83" i="115" s="1"/>
  <c r="E81" i="115"/>
  <c r="F81" i="115" s="1"/>
  <c r="G84" i="115"/>
  <c r="H84" i="115" s="1"/>
  <c r="I85" i="115"/>
  <c r="J85" i="115" s="1"/>
  <c r="G85" i="115"/>
  <c r="H85" i="115" s="1"/>
  <c r="G83" i="115"/>
  <c r="H83" i="115" s="1"/>
  <c r="D25" i="115" l="1"/>
  <c r="AC25" i="73" s="1"/>
  <c r="D29" i="115"/>
  <c r="C116" i="115" s="1"/>
  <c r="D52" i="115"/>
  <c r="D74" i="115"/>
  <c r="AF126" i="73" s="1"/>
  <c r="D31" i="115"/>
  <c r="AC53" i="73" s="1"/>
  <c r="D58" i="115"/>
  <c r="C144" i="115" s="1"/>
  <c r="D85" i="115"/>
  <c r="C172" i="115" s="1"/>
  <c r="D49" i="115"/>
  <c r="D62" i="115"/>
  <c r="C148" i="115" s="1"/>
  <c r="D19" i="115"/>
  <c r="D84" i="115"/>
  <c r="D45" i="115"/>
  <c r="D75" i="115"/>
  <c r="AF101" i="73" s="1"/>
  <c r="D64" i="115"/>
  <c r="D46" i="115"/>
  <c r="C132" i="115" s="1"/>
  <c r="D53" i="115"/>
  <c r="D57" i="115"/>
  <c r="C143" i="115" s="1"/>
  <c r="D80" i="115"/>
  <c r="D42" i="115"/>
  <c r="D15" i="115"/>
  <c r="D51" i="115"/>
  <c r="D81" i="115"/>
  <c r="AF132" i="73" s="1"/>
  <c r="D61" i="115"/>
  <c r="C147" i="115" s="1"/>
  <c r="D41" i="115"/>
  <c r="D17" i="115"/>
  <c r="D37" i="115"/>
  <c r="C123" i="115" s="1"/>
  <c r="D54" i="115"/>
  <c r="D28" i="115"/>
  <c r="AC47" i="73" s="1"/>
  <c r="D76" i="115"/>
  <c r="AF108" i="73" s="1"/>
  <c r="D63" i="115"/>
  <c r="D72" i="115"/>
  <c r="AF111" i="73" s="1"/>
  <c r="D83" i="115"/>
  <c r="D79" i="115"/>
  <c r="D20" i="115"/>
  <c r="D21" i="115"/>
  <c r="D56" i="115"/>
  <c r="D55" i="115"/>
  <c r="C141" i="115" s="1"/>
  <c r="D39" i="115"/>
  <c r="C125" i="115" s="1"/>
  <c r="D44" i="115"/>
  <c r="C130" i="115" s="1"/>
  <c r="D82" i="115"/>
  <c r="C169" i="115" s="1"/>
  <c r="D50" i="115"/>
  <c r="D35" i="115"/>
  <c r="D36" i="115"/>
  <c r="D43" i="115"/>
  <c r="C129" i="115" s="1"/>
  <c r="D73" i="115"/>
  <c r="AF112" i="73" s="1"/>
  <c r="D34" i="115"/>
  <c r="D22" i="115"/>
  <c r="AC21" i="73" s="1"/>
  <c r="D16" i="115"/>
  <c r="D70" i="115"/>
  <c r="AF104" i="73" s="1"/>
  <c r="D30" i="115"/>
  <c r="C117" i="115" s="1"/>
  <c r="D66" i="115"/>
  <c r="D77" i="115"/>
  <c r="C164" i="115" s="1"/>
  <c r="D33" i="115"/>
  <c r="D24" i="115"/>
  <c r="D68" i="115"/>
  <c r="D47" i="115"/>
  <c r="D69" i="115"/>
  <c r="AF99" i="73" s="1"/>
  <c r="D40" i="115"/>
  <c r="D65" i="115"/>
  <c r="AC90" i="73" s="1"/>
  <c r="D26" i="115"/>
  <c r="AC38" i="73" s="1"/>
  <c r="D71" i="115"/>
  <c r="C158" i="115" s="1"/>
  <c r="D67" i="115"/>
  <c r="D38" i="115"/>
  <c r="D78" i="115"/>
  <c r="AF127" i="73" s="1"/>
  <c r="D60" i="115"/>
  <c r="D48" i="115"/>
  <c r="C134" i="115" s="1"/>
  <c r="D59" i="115"/>
  <c r="C145" i="115" s="1"/>
  <c r="D87" i="115"/>
  <c r="D23" i="115"/>
  <c r="AC23" i="73" s="1"/>
  <c r="D27" i="115"/>
  <c r="AC41" i="73" s="1"/>
  <c r="AC19" i="73" l="1"/>
  <c r="C118" i="115"/>
  <c r="C107" i="115"/>
  <c r="C174" i="115"/>
  <c r="C151" i="115"/>
  <c r="C150" i="115"/>
  <c r="C111" i="115"/>
  <c r="C115" i="115"/>
  <c r="C166" i="115"/>
  <c r="C159" i="115"/>
  <c r="C114" i="115"/>
  <c r="C162" i="115"/>
  <c r="C165" i="115"/>
  <c r="C168" i="115"/>
  <c r="AF177" i="73"/>
  <c r="AC78" i="73"/>
  <c r="AC30" i="73"/>
  <c r="C122" i="115"/>
  <c r="C163" i="115"/>
  <c r="C170" i="115"/>
  <c r="C171" i="115"/>
  <c r="C160" i="115"/>
  <c r="C149" i="115"/>
  <c r="C119" i="115"/>
  <c r="C156" i="115"/>
  <c r="C131" i="115"/>
  <c r="C157" i="115"/>
  <c r="C126" i="115"/>
  <c r="C127" i="115"/>
  <c r="C110" i="115"/>
  <c r="C161" i="115"/>
  <c r="C109" i="115"/>
  <c r="C124" i="115"/>
  <c r="C112" i="115"/>
  <c r="C113" i="115"/>
  <c r="C106" i="115"/>
  <c r="C133" i="115"/>
  <c r="C135" i="115"/>
  <c r="C137" i="115"/>
  <c r="C108" i="115"/>
  <c r="C155" i="115"/>
  <c r="C121" i="115"/>
  <c r="C136" i="115"/>
  <c r="C120" i="115"/>
  <c r="C139" i="115"/>
  <c r="C146" i="115"/>
  <c r="C138" i="115"/>
  <c r="C140" i="115"/>
  <c r="C142" i="115"/>
  <c r="D159" i="73" l="1"/>
  <c r="D154" i="73"/>
  <c r="D152" i="73"/>
  <c r="C154" i="73"/>
  <c r="C152" i="73"/>
  <c r="C151" i="73"/>
  <c r="D142" i="73"/>
  <c r="C142" i="73"/>
  <c r="C141" i="73"/>
  <c r="D136" i="73"/>
  <c r="C136" i="73"/>
  <c r="C135" i="73"/>
  <c r="D132" i="73"/>
  <c r="C132" i="73"/>
  <c r="C131" i="73"/>
  <c r="D127" i="73"/>
  <c r="D125" i="73" s="1"/>
  <c r="D121" i="73"/>
  <c r="C121" i="73"/>
  <c r="C120" i="73"/>
  <c r="D112" i="73"/>
  <c r="D111" i="73"/>
  <c r="C112" i="73"/>
  <c r="C111" i="73"/>
  <c r="C110" i="73"/>
  <c r="D104" i="73"/>
  <c r="D101" i="73"/>
  <c r="D99" i="73"/>
  <c r="D98" i="73"/>
  <c r="C104" i="73"/>
  <c r="C101" i="73"/>
  <c r="C99" i="73"/>
  <c r="C98" i="73"/>
  <c r="C97" i="73"/>
  <c r="D90" i="73"/>
  <c r="C90" i="73"/>
  <c r="D83" i="73"/>
  <c r="C86" i="73"/>
  <c r="C83" i="73"/>
  <c r="C82" i="73"/>
  <c r="D77" i="73"/>
  <c r="D68" i="73"/>
  <c r="C68" i="73"/>
  <c r="D65" i="73"/>
  <c r="C65" i="73"/>
  <c r="D62" i="73"/>
  <c r="C62" i="73"/>
  <c r="C61" i="73"/>
  <c r="D53" i="73"/>
  <c r="C53" i="73"/>
  <c r="C52" i="73"/>
  <c r="D46" i="73"/>
  <c r="D41" i="73"/>
  <c r="D37" i="73" s="1"/>
  <c r="C46" i="73"/>
  <c r="C41" i="73"/>
  <c r="C37" i="73"/>
  <c r="D30" i="73"/>
  <c r="D25" i="73"/>
  <c r="D24" i="73"/>
  <c r="D23" i="73"/>
  <c r="D21" i="73"/>
  <c r="D20" i="73"/>
  <c r="D19" i="73"/>
  <c r="D14" i="73"/>
  <c r="C30" i="73"/>
  <c r="C25" i="73"/>
  <c r="C24" i="73"/>
  <c r="C23" i="73"/>
  <c r="C21" i="73"/>
  <c r="C20" i="73"/>
  <c r="C19" i="73"/>
  <c r="C18" i="73"/>
  <c r="C14" i="73"/>
  <c r="D11" i="73"/>
  <c r="C59" i="114"/>
  <c r="C46" i="114"/>
  <c r="C53" i="114" l="1"/>
  <c r="D52" i="73"/>
  <c r="K118" i="5" l="1"/>
  <c r="K117" i="5"/>
  <c r="J119" i="5"/>
  <c r="J118" i="5"/>
  <c r="J117" i="5"/>
  <c r="I119" i="5"/>
  <c r="X119" i="5"/>
  <c r="W119" i="5"/>
  <c r="Q140" i="3"/>
  <c r="Q119" i="5"/>
  <c r="X118" i="5"/>
  <c r="W118" i="5"/>
  <c r="U118" i="5"/>
  <c r="T118" i="5"/>
  <c r="R118" i="5"/>
  <c r="Q118" i="5"/>
  <c r="X117" i="5"/>
  <c r="W117" i="5"/>
  <c r="U117" i="5"/>
  <c r="T117" i="5"/>
  <c r="R117" i="5"/>
  <c r="Q117" i="5"/>
  <c r="O116" i="5"/>
  <c r="P140" i="3" l="1"/>
  <c r="J116" i="5"/>
  <c r="X40" i="5"/>
  <c r="W40" i="5"/>
  <c r="U40" i="5"/>
  <c r="T40" i="5"/>
  <c r="X39" i="5"/>
  <c r="W39" i="5"/>
  <c r="U39" i="5"/>
  <c r="T39" i="5"/>
  <c r="X38" i="5"/>
  <c r="W38" i="5"/>
  <c r="U38" i="5"/>
  <c r="T38" i="5"/>
  <c r="X37" i="5"/>
  <c r="W37" i="5"/>
  <c r="U37" i="5"/>
  <c r="T37" i="5"/>
  <c r="X36" i="5"/>
  <c r="W36" i="5"/>
  <c r="U36" i="5"/>
  <c r="T36" i="5"/>
  <c r="X35" i="5"/>
  <c r="W35" i="5"/>
  <c r="U35" i="5"/>
  <c r="T35" i="5"/>
  <c r="X34" i="5"/>
  <c r="W34" i="5"/>
  <c r="U34" i="5"/>
  <c r="T34" i="5"/>
  <c r="X33" i="5"/>
  <c r="W33" i="5"/>
  <c r="U33" i="5"/>
  <c r="T33" i="5"/>
  <c r="X32" i="5"/>
  <c r="W32" i="5"/>
  <c r="U32" i="5"/>
  <c r="T32" i="5"/>
  <c r="X31" i="5"/>
  <c r="W31" i="5"/>
  <c r="U31" i="5"/>
  <c r="T31" i="5"/>
  <c r="X30" i="5"/>
  <c r="W30" i="5"/>
  <c r="U30" i="5"/>
  <c r="T30" i="5"/>
  <c r="X29" i="5"/>
  <c r="W29" i="5"/>
  <c r="U29" i="5"/>
  <c r="T29" i="5"/>
  <c r="X28" i="5"/>
  <c r="W28" i="5"/>
  <c r="U28" i="5"/>
  <c r="T28" i="5"/>
  <c r="X26" i="5"/>
  <c r="W26" i="5"/>
  <c r="U26" i="5"/>
  <c r="T26" i="5"/>
  <c r="X25" i="5"/>
  <c r="W25" i="5"/>
  <c r="U25" i="5"/>
  <c r="T25" i="5"/>
  <c r="X24" i="5"/>
  <c r="W24" i="5"/>
  <c r="X23" i="5"/>
  <c r="W23" i="5"/>
  <c r="U23" i="5"/>
  <c r="T23" i="5"/>
  <c r="X22" i="5"/>
  <c r="W22" i="5"/>
  <c r="U22" i="5"/>
  <c r="T22" i="5"/>
  <c r="X21" i="5"/>
  <c r="W21" i="5"/>
  <c r="U21" i="5"/>
  <c r="T21" i="5"/>
  <c r="X19" i="5"/>
  <c r="W19" i="5"/>
  <c r="U19" i="5"/>
  <c r="T19" i="5"/>
  <c r="X18" i="5"/>
  <c r="W18" i="5"/>
  <c r="U18" i="5"/>
  <c r="T18" i="5"/>
  <c r="X17" i="5"/>
  <c r="W17" i="5"/>
  <c r="X16" i="5"/>
  <c r="W16" i="5"/>
  <c r="U16" i="5"/>
  <c r="T16" i="5"/>
  <c r="R40" i="5"/>
  <c r="Q40" i="5"/>
  <c r="R39" i="5"/>
  <c r="Q39" i="5"/>
  <c r="R38" i="5"/>
  <c r="Q38" i="5"/>
  <c r="R37" i="5"/>
  <c r="Q37" i="5"/>
  <c r="R36" i="5"/>
  <c r="Q36" i="5"/>
  <c r="R35" i="5"/>
  <c r="Q35" i="5"/>
  <c r="R34" i="5"/>
  <c r="Q34" i="5"/>
  <c r="R33" i="5"/>
  <c r="Q33" i="5"/>
  <c r="R32" i="5"/>
  <c r="Q32" i="5"/>
  <c r="R31" i="5"/>
  <c r="Q31" i="5"/>
  <c r="R30" i="5"/>
  <c r="Q30" i="5"/>
  <c r="R29" i="5"/>
  <c r="Q29" i="5"/>
  <c r="R28" i="5"/>
  <c r="Q28" i="5"/>
  <c r="R26" i="5"/>
  <c r="Q26" i="5"/>
  <c r="R25" i="5"/>
  <c r="Q25" i="5"/>
  <c r="R24" i="5"/>
  <c r="Q24" i="5"/>
  <c r="R23" i="5"/>
  <c r="Q23" i="5"/>
  <c r="R22" i="5"/>
  <c r="Q22" i="5"/>
  <c r="R21" i="5"/>
  <c r="Q21" i="5"/>
  <c r="R19" i="5"/>
  <c r="Q19" i="5"/>
  <c r="R18" i="5"/>
  <c r="Q18" i="5"/>
  <c r="R17" i="5"/>
  <c r="Q17" i="5"/>
  <c r="R16" i="5"/>
  <c r="Q16" i="5"/>
  <c r="J40" i="5"/>
  <c r="I40" i="5"/>
  <c r="J39" i="5"/>
  <c r="I39" i="5"/>
  <c r="J37" i="5"/>
  <c r="I37" i="5"/>
  <c r="J36" i="5"/>
  <c r="I36" i="5"/>
  <c r="J34" i="5"/>
  <c r="I34" i="5"/>
  <c r="J33" i="5"/>
  <c r="I33" i="5"/>
  <c r="J31" i="5"/>
  <c r="I31" i="5"/>
  <c r="J30" i="5"/>
  <c r="I30" i="5"/>
  <c r="J28" i="5"/>
  <c r="J26" i="5"/>
  <c r="J24" i="5"/>
  <c r="J23" i="5"/>
  <c r="J21" i="5"/>
  <c r="J19" i="5"/>
  <c r="J17" i="5"/>
  <c r="J16" i="5"/>
  <c r="N38" i="5"/>
  <c r="N35" i="5" s="1"/>
  <c r="N32" i="5"/>
  <c r="N29" i="5" s="1"/>
  <c r="N25" i="5"/>
  <c r="N22" i="5" s="1"/>
  <c r="N18" i="5"/>
  <c r="N15" i="5" s="1"/>
  <c r="P36" i="5" l="1"/>
  <c r="S36" i="5" s="1"/>
  <c r="V36" i="5" s="1"/>
  <c r="Y36" i="5" s="1"/>
  <c r="AF36" i="5" s="1"/>
  <c r="P39" i="5"/>
  <c r="S39" i="5" s="1"/>
  <c r="V39" i="5" s="1"/>
  <c r="Y39" i="5" s="1"/>
  <c r="P37" i="5"/>
  <c r="S37" i="5" s="1"/>
  <c r="V37" i="5" s="1"/>
  <c r="Y37" i="5" s="1"/>
  <c r="AF37" i="5" s="1"/>
  <c r="P31" i="5"/>
  <c r="S31" i="5" s="1"/>
  <c r="V31" i="5" s="1"/>
  <c r="Y31" i="5" s="1"/>
  <c r="P40" i="5"/>
  <c r="S40" i="5" s="1"/>
  <c r="V40" i="5" s="1"/>
  <c r="Y40" i="5" s="1"/>
  <c r="P33" i="5"/>
  <c r="S33" i="5" s="1"/>
  <c r="V33" i="5" s="1"/>
  <c r="Y33" i="5" s="1"/>
  <c r="P34" i="5"/>
  <c r="S34" i="5" s="1"/>
  <c r="V34" i="5" s="1"/>
  <c r="Y34" i="5" s="1"/>
  <c r="P30" i="5"/>
  <c r="S30" i="5" s="1"/>
  <c r="V30" i="5" s="1"/>
  <c r="Y30" i="5" s="1"/>
  <c r="M25" i="5"/>
  <c r="M22" i="5" s="1"/>
  <c r="J32" i="5"/>
  <c r="J29" i="5" s="1"/>
  <c r="J38" i="5"/>
  <c r="J35" i="5" s="1"/>
  <c r="I38" i="5"/>
  <c r="K38" i="5"/>
  <c r="K35" i="5" s="1"/>
  <c r="M38" i="5"/>
  <c r="M35" i="5" s="1"/>
  <c r="K32" i="5"/>
  <c r="K29" i="5" s="1"/>
  <c r="I32" i="5"/>
  <c r="M32" i="5"/>
  <c r="M29" i="5" s="1"/>
  <c r="J25" i="5"/>
  <c r="J22" i="5" s="1"/>
  <c r="K25" i="5"/>
  <c r="K22" i="5" s="1"/>
  <c r="J18" i="5"/>
  <c r="J15" i="5" s="1"/>
  <c r="M18" i="5"/>
  <c r="M15" i="5" s="1"/>
  <c r="N14" i="5"/>
  <c r="H27" i="52" s="1"/>
  <c r="I35" i="5" l="1"/>
  <c r="I29" i="5"/>
  <c r="M14" i="5"/>
  <c r="G27" i="52" s="1"/>
  <c r="J14" i="5"/>
  <c r="D27" i="52" s="1"/>
  <c r="E183" i="67" l="1"/>
  <c r="X86" i="5" l="1"/>
  <c r="W86" i="5"/>
  <c r="U86" i="5"/>
  <c r="T86" i="5"/>
  <c r="X84" i="5"/>
  <c r="W84" i="5"/>
  <c r="U84" i="5"/>
  <c r="T84" i="5"/>
  <c r="X83" i="5"/>
  <c r="W83" i="5"/>
  <c r="U83" i="5"/>
  <c r="T83" i="5"/>
  <c r="X82" i="5"/>
  <c r="W82" i="5"/>
  <c r="U82" i="5"/>
  <c r="T82" i="5"/>
  <c r="X81" i="5"/>
  <c r="W81" i="5"/>
  <c r="U81" i="5"/>
  <c r="T81" i="5"/>
  <c r="X80" i="5"/>
  <c r="W80" i="5"/>
  <c r="U80" i="5"/>
  <c r="T80" i="5"/>
  <c r="X101" i="5"/>
  <c r="W101" i="5"/>
  <c r="U101" i="5"/>
  <c r="T101" i="5"/>
  <c r="X100" i="5"/>
  <c r="W100" i="5"/>
  <c r="U100" i="5"/>
  <c r="T100" i="5"/>
  <c r="X99" i="5"/>
  <c r="W99" i="5"/>
  <c r="U99" i="5"/>
  <c r="T99" i="5"/>
  <c r="X98" i="5"/>
  <c r="W98" i="5"/>
  <c r="U98" i="5"/>
  <c r="T98" i="5"/>
  <c r="X97" i="5"/>
  <c r="W97" i="5"/>
  <c r="U97" i="5"/>
  <c r="T97" i="5"/>
  <c r="O108" i="5"/>
  <c r="N108" i="5"/>
  <c r="X110" i="5"/>
  <c r="W110" i="5"/>
  <c r="U110" i="5"/>
  <c r="T110" i="5"/>
  <c r="R110" i="5"/>
  <c r="Q110" i="5"/>
  <c r="J110" i="5"/>
  <c r="I110" i="5"/>
  <c r="W109" i="5"/>
  <c r="U109" i="5"/>
  <c r="T109" i="5"/>
  <c r="R109" i="5"/>
  <c r="Q109" i="5"/>
  <c r="J109" i="5"/>
  <c r="I109" i="5"/>
  <c r="R84" i="5"/>
  <c r="Q84" i="5"/>
  <c r="J84" i="5"/>
  <c r="I84" i="5"/>
  <c r="N43" i="3"/>
  <c r="M43" i="3"/>
  <c r="X112" i="5"/>
  <c r="W112" i="5"/>
  <c r="X107" i="5"/>
  <c r="W107" i="5"/>
  <c r="X106" i="5"/>
  <c r="W106" i="5"/>
  <c r="X105" i="5"/>
  <c r="W105" i="5"/>
  <c r="X104" i="5"/>
  <c r="W104" i="5"/>
  <c r="X103" i="5"/>
  <c r="W103" i="5"/>
  <c r="X95" i="5"/>
  <c r="W95" i="5"/>
  <c r="X92" i="5"/>
  <c r="W92" i="5"/>
  <c r="X91" i="5"/>
  <c r="W91" i="5"/>
  <c r="X90" i="5"/>
  <c r="W90" i="5"/>
  <c r="X89" i="5"/>
  <c r="W89" i="5"/>
  <c r="X88" i="5"/>
  <c r="W88" i="5"/>
  <c r="X77" i="5"/>
  <c r="W77" i="5"/>
  <c r="X76" i="5"/>
  <c r="W76" i="5"/>
  <c r="X74" i="5"/>
  <c r="W74" i="5"/>
  <c r="X73" i="5"/>
  <c r="W73" i="5"/>
  <c r="X72" i="5"/>
  <c r="W72" i="5"/>
  <c r="X71" i="5"/>
  <c r="W71" i="5"/>
  <c r="X70" i="5"/>
  <c r="W70" i="5"/>
  <c r="X69" i="5"/>
  <c r="W69" i="5"/>
  <c r="X68" i="5"/>
  <c r="W68" i="5"/>
  <c r="X67" i="5"/>
  <c r="W67" i="5"/>
  <c r="X66" i="5"/>
  <c r="W66" i="5"/>
  <c r="X65" i="5"/>
  <c r="W65" i="5"/>
  <c r="X64" i="5"/>
  <c r="W64" i="5"/>
  <c r="X63" i="5"/>
  <c r="W63" i="5"/>
  <c r="X62" i="5"/>
  <c r="W62" i="5"/>
  <c r="X61" i="5"/>
  <c r="W61" i="5"/>
  <c r="X60" i="5"/>
  <c r="W60" i="5"/>
  <c r="X59" i="5"/>
  <c r="W59" i="5"/>
  <c r="X58" i="5"/>
  <c r="W58" i="5"/>
  <c r="X57" i="5"/>
  <c r="W57" i="5"/>
  <c r="X56" i="5"/>
  <c r="W56" i="5"/>
  <c r="X55" i="5"/>
  <c r="X54" i="5"/>
  <c r="W54" i="5"/>
  <c r="X53" i="5"/>
  <c r="W53" i="5"/>
  <c r="X52" i="5"/>
  <c r="W52" i="5"/>
  <c r="X51" i="5"/>
  <c r="W51" i="5"/>
  <c r="X50" i="5"/>
  <c r="W50" i="5"/>
  <c r="X49" i="5"/>
  <c r="W49" i="5"/>
  <c r="X48" i="5"/>
  <c r="W48" i="5"/>
  <c r="X47" i="5"/>
  <c r="W47" i="5"/>
  <c r="J37" i="52" s="1"/>
  <c r="X45" i="5"/>
  <c r="W45" i="5"/>
  <c r="X44" i="5"/>
  <c r="W44" i="5"/>
  <c r="X43" i="5"/>
  <c r="W43" i="5"/>
  <c r="X41" i="5"/>
  <c r="W41" i="5"/>
  <c r="X15" i="5"/>
  <c r="W15" i="5"/>
  <c r="X12" i="5"/>
  <c r="W12" i="5"/>
  <c r="X11" i="5"/>
  <c r="W11" i="5"/>
  <c r="X10" i="5"/>
  <c r="W10" i="5"/>
  <c r="X9" i="5"/>
  <c r="W9" i="5"/>
  <c r="X8" i="5"/>
  <c r="W8" i="5"/>
  <c r="W153" i="3"/>
  <c r="V153" i="3"/>
  <c r="W152" i="3"/>
  <c r="V152" i="3"/>
  <c r="W151" i="3"/>
  <c r="V151" i="3"/>
  <c r="W150" i="3"/>
  <c r="V150" i="3"/>
  <c r="V149" i="3"/>
  <c r="W148" i="3"/>
  <c r="V148" i="3"/>
  <c r="W147" i="3"/>
  <c r="V147" i="3"/>
  <c r="W146" i="3"/>
  <c r="V146" i="3"/>
  <c r="W145" i="3"/>
  <c r="V145" i="3"/>
  <c r="W144" i="3"/>
  <c r="V144" i="3"/>
  <c r="W143" i="3"/>
  <c r="V143" i="3"/>
  <c r="W142" i="3"/>
  <c r="V142" i="3"/>
  <c r="W141" i="3"/>
  <c r="V141" i="3"/>
  <c r="W140" i="3"/>
  <c r="V140" i="3"/>
  <c r="W139" i="3"/>
  <c r="V139" i="3"/>
  <c r="W138" i="3"/>
  <c r="V138" i="3"/>
  <c r="W137" i="3"/>
  <c r="V137" i="3"/>
  <c r="W136" i="3"/>
  <c r="V136" i="3"/>
  <c r="W135" i="3"/>
  <c r="V135" i="3"/>
  <c r="W134" i="3"/>
  <c r="V134" i="3"/>
  <c r="W133" i="3"/>
  <c r="V133" i="3"/>
  <c r="W132" i="3"/>
  <c r="V132" i="3"/>
  <c r="W131" i="3"/>
  <c r="V131" i="3"/>
  <c r="W130" i="3"/>
  <c r="V130" i="3"/>
  <c r="W129" i="3"/>
  <c r="V129" i="3"/>
  <c r="W128" i="3"/>
  <c r="V128" i="3"/>
  <c r="W127" i="3"/>
  <c r="V127" i="3"/>
  <c r="W126" i="3"/>
  <c r="V126" i="3"/>
  <c r="W125" i="3"/>
  <c r="V125" i="3"/>
  <c r="W124" i="3"/>
  <c r="V124" i="3"/>
  <c r="W123" i="3"/>
  <c r="V123" i="3"/>
  <c r="W122" i="3"/>
  <c r="V122" i="3"/>
  <c r="W121" i="3"/>
  <c r="V121" i="3"/>
  <c r="W120" i="3"/>
  <c r="V120" i="3"/>
  <c r="W119" i="3"/>
  <c r="V119" i="3"/>
  <c r="W115" i="3"/>
  <c r="V115" i="3"/>
  <c r="W114" i="3"/>
  <c r="V114" i="3"/>
  <c r="W113" i="3"/>
  <c r="V113" i="3"/>
  <c r="W112" i="3"/>
  <c r="V112" i="3"/>
  <c r="W111" i="3"/>
  <c r="V111" i="3"/>
  <c r="W110" i="3"/>
  <c r="V110" i="3"/>
  <c r="W109" i="3"/>
  <c r="V109" i="3"/>
  <c r="W108" i="3"/>
  <c r="V108" i="3"/>
  <c r="W107" i="3"/>
  <c r="V107" i="3"/>
  <c r="W106" i="3"/>
  <c r="V106" i="3"/>
  <c r="W105" i="3"/>
  <c r="V105" i="3"/>
  <c r="W104" i="3"/>
  <c r="V104" i="3"/>
  <c r="W103" i="3"/>
  <c r="V103" i="3"/>
  <c r="W102" i="3"/>
  <c r="V102" i="3"/>
  <c r="W101" i="3"/>
  <c r="V101" i="3"/>
  <c r="W100" i="3"/>
  <c r="V100" i="3"/>
  <c r="W99" i="3"/>
  <c r="V99" i="3"/>
  <c r="W98" i="3"/>
  <c r="V98" i="3"/>
  <c r="W97" i="3"/>
  <c r="V97" i="3"/>
  <c r="W96" i="3"/>
  <c r="V96" i="3"/>
  <c r="W95" i="3"/>
  <c r="V95" i="3"/>
  <c r="W94" i="3"/>
  <c r="V94" i="3"/>
  <c r="W93" i="3"/>
  <c r="V93" i="3"/>
  <c r="W92" i="3"/>
  <c r="V92" i="3"/>
  <c r="W91" i="3"/>
  <c r="V91" i="3"/>
  <c r="W90" i="3"/>
  <c r="V90" i="3"/>
  <c r="W89" i="3"/>
  <c r="V89" i="3"/>
  <c r="W88" i="3"/>
  <c r="V88" i="3"/>
  <c r="W87" i="3"/>
  <c r="V87" i="3"/>
  <c r="W86" i="3"/>
  <c r="V86" i="3"/>
  <c r="W85" i="3"/>
  <c r="V85" i="3"/>
  <c r="W84" i="3"/>
  <c r="V84" i="3"/>
  <c r="W83" i="3"/>
  <c r="V83" i="3"/>
  <c r="W82" i="3"/>
  <c r="V82" i="3"/>
  <c r="W79" i="3"/>
  <c r="V79" i="3"/>
  <c r="W78" i="3"/>
  <c r="V78" i="3"/>
  <c r="W77" i="3"/>
  <c r="V77" i="3"/>
  <c r="W76" i="3"/>
  <c r="V76" i="3"/>
  <c r="W73" i="3"/>
  <c r="V73" i="3"/>
  <c r="W72" i="3"/>
  <c r="V72" i="3"/>
  <c r="W71" i="3"/>
  <c r="V71" i="3"/>
  <c r="W70" i="3"/>
  <c r="V70" i="3"/>
  <c r="W69" i="3"/>
  <c r="V69" i="3"/>
  <c r="W68" i="3"/>
  <c r="V68" i="3"/>
  <c r="W67" i="3"/>
  <c r="V67" i="3"/>
  <c r="W66" i="3"/>
  <c r="V66" i="3"/>
  <c r="W65" i="3"/>
  <c r="V65" i="3"/>
  <c r="W64" i="3"/>
  <c r="V64" i="3"/>
  <c r="W61" i="3"/>
  <c r="V61" i="3"/>
  <c r="W60" i="3"/>
  <c r="V60" i="3"/>
  <c r="W59" i="3"/>
  <c r="V59" i="3"/>
  <c r="W58" i="3"/>
  <c r="V58" i="3"/>
  <c r="W57" i="3"/>
  <c r="V57" i="3"/>
  <c r="W56" i="3"/>
  <c r="V56" i="3"/>
  <c r="W55" i="3"/>
  <c r="V55" i="3"/>
  <c r="W54" i="3"/>
  <c r="V54" i="3"/>
  <c r="W49" i="3"/>
  <c r="V49" i="3"/>
  <c r="W48" i="3"/>
  <c r="V48" i="3"/>
  <c r="W46" i="3"/>
  <c r="V45" i="3"/>
  <c r="W44" i="3"/>
  <c r="V44" i="3"/>
  <c r="W43" i="3"/>
  <c r="V43" i="3"/>
  <c r="W42" i="3"/>
  <c r="V42" i="3"/>
  <c r="W41" i="3"/>
  <c r="V41" i="3"/>
  <c r="W40" i="3"/>
  <c r="V40" i="3"/>
  <c r="W39" i="3"/>
  <c r="V39" i="3"/>
  <c r="W38" i="3"/>
  <c r="V38" i="3"/>
  <c r="W37" i="3"/>
  <c r="V37" i="3"/>
  <c r="W36" i="3"/>
  <c r="V36" i="3"/>
  <c r="W35" i="3"/>
  <c r="V35" i="3"/>
  <c r="W34" i="3"/>
  <c r="V34" i="3"/>
  <c r="W33" i="3"/>
  <c r="V33" i="3"/>
  <c r="W32" i="3"/>
  <c r="V32" i="3"/>
  <c r="W31" i="3"/>
  <c r="V31" i="3"/>
  <c r="W30" i="3"/>
  <c r="V30" i="3"/>
  <c r="W29" i="3"/>
  <c r="V29" i="3"/>
  <c r="W28" i="3"/>
  <c r="V28" i="3"/>
  <c r="W27" i="3"/>
  <c r="V27" i="3"/>
  <c r="W26" i="3"/>
  <c r="V26" i="3"/>
  <c r="W25" i="3"/>
  <c r="V25" i="3"/>
  <c r="W24" i="3"/>
  <c r="V24" i="3"/>
  <c r="W23" i="3"/>
  <c r="V23" i="3"/>
  <c r="W22" i="3"/>
  <c r="V22" i="3"/>
  <c r="W21" i="3"/>
  <c r="V21" i="3"/>
  <c r="W20" i="3"/>
  <c r="V20" i="3"/>
  <c r="W19" i="3"/>
  <c r="V19" i="3"/>
  <c r="W18" i="3"/>
  <c r="V18" i="3"/>
  <c r="W17" i="3"/>
  <c r="V17" i="3"/>
  <c r="W16" i="3"/>
  <c r="V16" i="3"/>
  <c r="W15" i="3"/>
  <c r="V15" i="3"/>
  <c r="W14" i="3"/>
  <c r="V14" i="3"/>
  <c r="W13" i="3"/>
  <c r="V13" i="3"/>
  <c r="W12" i="3"/>
  <c r="V12" i="3"/>
  <c r="W11" i="3"/>
  <c r="V11" i="3"/>
  <c r="W10" i="3"/>
  <c r="V10" i="3"/>
  <c r="W9" i="3"/>
  <c r="V9" i="3"/>
  <c r="W8" i="3"/>
  <c r="V8" i="3"/>
  <c r="W7" i="3"/>
  <c r="V7" i="3"/>
  <c r="W47" i="3"/>
  <c r="V47" i="3"/>
  <c r="D141" i="67"/>
  <c r="U68" i="5"/>
  <c r="T68" i="5"/>
  <c r="R68" i="5"/>
  <c r="Q68" i="5"/>
  <c r="J68" i="5"/>
  <c r="I68" i="5"/>
  <c r="J31" i="52" l="1"/>
  <c r="O18" i="115"/>
  <c r="O7" i="115" s="1"/>
  <c r="H8" i="99"/>
  <c r="H7" i="99" s="1"/>
  <c r="H6" i="99" s="1"/>
  <c r="H5" i="99" s="1"/>
  <c r="X109" i="5"/>
  <c r="X114" i="5" s="1"/>
  <c r="J108" i="5"/>
  <c r="M108" i="5"/>
  <c r="K108" i="5"/>
  <c r="I108" i="5"/>
  <c r="V46" i="3"/>
  <c r="V154" i="3" s="1"/>
  <c r="W45" i="3"/>
  <c r="W114" i="5"/>
  <c r="D93" i="110"/>
  <c r="D87" i="110"/>
  <c r="D83" i="110"/>
  <c r="D80" i="110"/>
  <c r="D78" i="110"/>
  <c r="D72" i="110"/>
  <c r="D100" i="109"/>
  <c r="F25" i="112"/>
  <c r="E25" i="112"/>
  <c r="D25" i="112"/>
  <c r="C25" i="112"/>
  <c r="D23" i="112"/>
  <c r="C23" i="112"/>
  <c r="H13" i="112"/>
  <c r="C24" i="111"/>
  <c r="C23" i="111"/>
  <c r="D22" i="111"/>
  <c r="C21" i="111"/>
  <c r="C20" i="111"/>
  <c r="C19" i="111"/>
  <c r="C17" i="111"/>
  <c r="C16" i="111"/>
  <c r="C15" i="111"/>
  <c r="C14" i="111"/>
  <c r="C13" i="111"/>
  <c r="C12" i="111"/>
  <c r="C11" i="111"/>
  <c r="C10" i="111"/>
  <c r="C9" i="111"/>
  <c r="C8" i="111"/>
  <c r="C7" i="111"/>
  <c r="C6" i="111"/>
  <c r="C5" i="111"/>
  <c r="C4" i="111"/>
  <c r="D1" i="110"/>
  <c r="C1" i="114" s="1"/>
  <c r="D1" i="114" s="1"/>
  <c r="I11" i="20"/>
  <c r="Q46" i="3"/>
  <c r="P46" i="3"/>
  <c r="H25" i="112" l="1"/>
  <c r="J13" i="112"/>
  <c r="K13" i="112" s="1"/>
  <c r="F93" i="104"/>
  <c r="F94" i="104" s="1"/>
  <c r="E18" i="115"/>
  <c r="F18" i="115" s="1"/>
  <c r="D18" i="115" s="1"/>
  <c r="AC11" i="73" s="1"/>
  <c r="P7" i="115"/>
  <c r="T17" i="5"/>
  <c r="E154" i="73"/>
  <c r="X115" i="5"/>
  <c r="W149" i="3" s="1"/>
  <c r="D102" i="115" l="1"/>
  <c r="AB2" i="73"/>
  <c r="W154" i="3"/>
  <c r="I93" i="104" s="1"/>
  <c r="I94" i="104" s="1"/>
  <c r="AC177" i="73"/>
  <c r="AH177" i="73" s="1"/>
  <c r="C63" i="114" l="1"/>
  <c r="G10" i="108"/>
  <c r="E6" i="108"/>
  <c r="C6" i="108"/>
  <c r="B6" i="108"/>
  <c r="G76" i="108"/>
  <c r="H76" i="108" s="1"/>
  <c r="G75" i="108"/>
  <c r="H75" i="108" s="1"/>
  <c r="E55" i="108"/>
  <c r="E59" i="108" s="1"/>
  <c r="D55" i="108"/>
  <c r="D59" i="108" s="1"/>
  <c r="H52" i="108"/>
  <c r="H44" i="108"/>
  <c r="G53" i="108" s="1"/>
  <c r="G44" i="108"/>
  <c r="D44" i="108"/>
  <c r="C44" i="108"/>
  <c r="J31" i="108"/>
  <c r="G31" i="108"/>
  <c r="G35" i="108" s="1"/>
  <c r="G39" i="108" s="1"/>
  <c r="K39" i="108" s="1"/>
  <c r="F31" i="108"/>
  <c r="F35" i="108" s="1"/>
  <c r="F39" i="108" s="1"/>
  <c r="E31" i="108"/>
  <c r="E35" i="108" s="1"/>
  <c r="E39" i="108" s="1"/>
  <c r="D31" i="108"/>
  <c r="D35" i="108" s="1"/>
  <c r="D39" i="108" s="1"/>
  <c r="E9" i="108"/>
  <c r="C9" i="108"/>
  <c r="E8" i="108"/>
  <c r="C8" i="108"/>
  <c r="E7" i="108"/>
  <c r="C7" i="108"/>
  <c r="D140" i="107"/>
  <c r="F45" i="108" l="1"/>
  <c r="K35" i="108"/>
  <c r="G55" i="108"/>
  <c r="F74" i="108"/>
  <c r="F79" i="108" s="1"/>
  <c r="E10" i="108"/>
  <c r="K31" i="108"/>
  <c r="E44" i="108"/>
  <c r="H55" i="108" s="1"/>
  <c r="G87" i="108" s="1"/>
  <c r="F44" i="108"/>
  <c r="I44" i="108" s="1"/>
  <c r="F7" i="108" l="1"/>
  <c r="G7" i="108" s="1"/>
  <c r="F8" i="108"/>
  <c r="G8" i="108" s="1"/>
  <c r="F9" i="108"/>
  <c r="G9" i="108" s="1"/>
  <c r="G59" i="108"/>
  <c r="G45" i="108"/>
  <c r="I45" i="108" s="1"/>
  <c r="J45" i="108" s="1"/>
  <c r="F6" i="108"/>
  <c r="J44" i="108"/>
  <c r="F54" i="108" s="1"/>
  <c r="G46" i="108" l="1"/>
  <c r="I46" i="108" s="1"/>
  <c r="H125" i="128"/>
  <c r="G63" i="108"/>
  <c r="F10" i="108"/>
  <c r="G6" i="108"/>
  <c r="K45" i="108"/>
  <c r="K125" i="128"/>
  <c r="H124" i="128"/>
  <c r="H123" i="128" s="1"/>
  <c r="F55" i="108"/>
  <c r="F81" i="108"/>
  <c r="K44" i="108"/>
  <c r="J46" i="108" l="1"/>
  <c r="K46" i="108" s="1"/>
  <c r="K124" i="128"/>
  <c r="K123" i="128" s="1"/>
  <c r="G64" i="108" s="1"/>
  <c r="M149" i="3"/>
  <c r="F58" i="108"/>
  <c r="I55" i="108"/>
  <c r="E9" i="107"/>
  <c r="C9" i="107"/>
  <c r="E8" i="107"/>
  <c r="C8" i="107"/>
  <c r="E7" i="107"/>
  <c r="C7" i="107"/>
  <c r="E6" i="107"/>
  <c r="C6" i="107"/>
  <c r="B6" i="107"/>
  <c r="E85" i="107"/>
  <c r="E89" i="107" s="1"/>
  <c r="E93" i="107" s="1"/>
  <c r="E97" i="107" s="1"/>
  <c r="D85" i="107"/>
  <c r="D89" i="107" s="1"/>
  <c r="H82" i="107"/>
  <c r="H74" i="107"/>
  <c r="G103" i="107" s="1"/>
  <c r="F151" i="107" s="1"/>
  <c r="D74" i="107"/>
  <c r="C74" i="107"/>
  <c r="H73" i="107"/>
  <c r="G99" i="107" s="1"/>
  <c r="F125" i="107" s="1"/>
  <c r="D73" i="107"/>
  <c r="C73" i="107"/>
  <c r="H72" i="107"/>
  <c r="G95" i="107" s="1"/>
  <c r="D72" i="107"/>
  <c r="C72" i="107"/>
  <c r="H71" i="107"/>
  <c r="D71" i="107"/>
  <c r="C71" i="107"/>
  <c r="H70" i="107"/>
  <c r="G87" i="107" s="1"/>
  <c r="D70" i="107"/>
  <c r="C70" i="107"/>
  <c r="H69" i="107"/>
  <c r="G83" i="107" s="1"/>
  <c r="G85" i="107" s="1"/>
  <c r="G69" i="107"/>
  <c r="D69" i="107"/>
  <c r="C69" i="107"/>
  <c r="J55" i="107"/>
  <c r="J51" i="107"/>
  <c r="J47" i="107"/>
  <c r="J43" i="107"/>
  <c r="J39" i="107"/>
  <c r="J35" i="107"/>
  <c r="G35" i="107"/>
  <c r="G39" i="107" s="1"/>
  <c r="G43" i="107" s="1"/>
  <c r="G47" i="107" s="1"/>
  <c r="G51" i="107" s="1"/>
  <c r="G55" i="107" s="1"/>
  <c r="G59" i="107" s="1"/>
  <c r="G63" i="107" s="1"/>
  <c r="F35" i="107"/>
  <c r="F39" i="107" s="1"/>
  <c r="F43" i="107" s="1"/>
  <c r="F47" i="107" s="1"/>
  <c r="F51" i="107" s="1"/>
  <c r="F55" i="107" s="1"/>
  <c r="F59" i="107" s="1"/>
  <c r="F63" i="107" s="1"/>
  <c r="E35" i="107"/>
  <c r="E36" i="107" s="1"/>
  <c r="E39" i="107" s="1"/>
  <c r="E43" i="107" s="1"/>
  <c r="E47" i="107" s="1"/>
  <c r="E51" i="107" s="1"/>
  <c r="E55" i="107" s="1"/>
  <c r="E59" i="107" s="1"/>
  <c r="E63" i="107" s="1"/>
  <c r="D35" i="107"/>
  <c r="D39" i="107" s="1"/>
  <c r="E6" i="105"/>
  <c r="C6" i="105"/>
  <c r="B6" i="105"/>
  <c r="G90" i="105"/>
  <c r="H90" i="105" s="1"/>
  <c r="H62" i="105"/>
  <c r="G66" i="105"/>
  <c r="D54" i="105"/>
  <c r="C54" i="105"/>
  <c r="H53" i="105"/>
  <c r="G53" i="105"/>
  <c r="D53" i="105"/>
  <c r="C53" i="105"/>
  <c r="J44" i="105"/>
  <c r="J41" i="105"/>
  <c r="J37" i="105"/>
  <c r="G37" i="105"/>
  <c r="G41" i="105" s="1"/>
  <c r="G44" i="105" s="1"/>
  <c r="G47" i="105" s="1"/>
  <c r="F37" i="105"/>
  <c r="F41" i="105" s="1"/>
  <c r="F44" i="105" s="1"/>
  <c r="F47" i="105" s="1"/>
  <c r="E37" i="105"/>
  <c r="D37" i="105"/>
  <c r="D41" i="105" s="1"/>
  <c r="D44" i="105" s="1"/>
  <c r="D47" i="105" s="1"/>
  <c r="E9" i="105"/>
  <c r="C9" i="105"/>
  <c r="E8" i="105"/>
  <c r="C8" i="105"/>
  <c r="E7" i="105"/>
  <c r="C7" i="105"/>
  <c r="D93" i="67"/>
  <c r="H81" i="67"/>
  <c r="H80" i="67"/>
  <c r="G107" i="67" s="1"/>
  <c r="F151" i="67" s="1"/>
  <c r="H79" i="67"/>
  <c r="H78" i="67"/>
  <c r="G101" i="67" s="1"/>
  <c r="H77" i="67"/>
  <c r="G98" i="67" s="1"/>
  <c r="H76" i="67"/>
  <c r="C82" i="67"/>
  <c r="D81" i="67"/>
  <c r="C81" i="67"/>
  <c r="D80" i="67"/>
  <c r="C80" i="67"/>
  <c r="D79" i="67"/>
  <c r="C79" i="67"/>
  <c r="D78" i="67"/>
  <c r="C78" i="67"/>
  <c r="D77" i="67"/>
  <c r="C77" i="67"/>
  <c r="D76" i="67"/>
  <c r="C76" i="67"/>
  <c r="D75" i="67"/>
  <c r="C75" i="67"/>
  <c r="F107" i="108" l="1"/>
  <c r="F59" i="108"/>
  <c r="F62" i="108" s="1"/>
  <c r="E101" i="107"/>
  <c r="E105" i="107" s="1"/>
  <c r="E109" i="107" s="1"/>
  <c r="F114" i="105"/>
  <c r="F119" i="105" s="1"/>
  <c r="F156" i="107"/>
  <c r="G63" i="105"/>
  <c r="G91" i="107"/>
  <c r="D43" i="107"/>
  <c r="K43" i="107" s="1"/>
  <c r="E69" i="107"/>
  <c r="H85" i="107" s="1"/>
  <c r="E74" i="107"/>
  <c r="H105" i="107" s="1"/>
  <c r="G164" i="107" s="1"/>
  <c r="E73" i="107"/>
  <c r="E70" i="107"/>
  <c r="H89" i="107" s="1"/>
  <c r="E72" i="107"/>
  <c r="H97" i="107" s="1"/>
  <c r="E71" i="107"/>
  <c r="H93" i="107" s="1"/>
  <c r="E10" i="107"/>
  <c r="F6" i="107" s="1"/>
  <c r="K39" i="107"/>
  <c r="G70" i="107"/>
  <c r="G89" i="107"/>
  <c r="F70" i="107"/>
  <c r="D93" i="107"/>
  <c r="F69" i="107"/>
  <c r="I69" i="107" s="1"/>
  <c r="K35" i="107"/>
  <c r="E10" i="105"/>
  <c r="F9" i="105" s="1"/>
  <c r="G89" i="105"/>
  <c r="H89" i="105" s="1"/>
  <c r="E54" i="105"/>
  <c r="F54" i="105"/>
  <c r="E53" i="105"/>
  <c r="H65" i="105" s="1"/>
  <c r="F53" i="105"/>
  <c r="I53" i="105" s="1"/>
  <c r="K37" i="105"/>
  <c r="E41" i="105"/>
  <c r="G104" i="67"/>
  <c r="G110" i="67"/>
  <c r="F196" i="67" s="1"/>
  <c r="E80" i="67"/>
  <c r="H109" i="67" s="1"/>
  <c r="G163" i="67" s="1"/>
  <c r="E81" i="67"/>
  <c r="H112" i="67" s="1"/>
  <c r="E82" i="67"/>
  <c r="E79" i="67"/>
  <c r="H106" i="67" s="1"/>
  <c r="E78" i="67"/>
  <c r="F63" i="108" l="1"/>
  <c r="H87" i="129"/>
  <c r="F133" i="108"/>
  <c r="I59" i="108"/>
  <c r="H85" i="129"/>
  <c r="H88" i="129" s="1"/>
  <c r="K87" i="129"/>
  <c r="N119" i="5" s="1"/>
  <c r="F88" i="105"/>
  <c r="F93" i="105" s="1"/>
  <c r="G65" i="105"/>
  <c r="H101" i="107"/>
  <c r="G138" i="107" s="1"/>
  <c r="H68" i="105"/>
  <c r="G126" i="105" s="1"/>
  <c r="J69" i="107"/>
  <c r="F84" i="107" s="1"/>
  <c r="F85" i="107" s="1"/>
  <c r="D47" i="107"/>
  <c r="F9" i="107"/>
  <c r="F8" i="107"/>
  <c r="F7" i="107"/>
  <c r="G93" i="107"/>
  <c r="G71" i="107"/>
  <c r="F71" i="107"/>
  <c r="D97" i="107"/>
  <c r="D101" i="107" s="1"/>
  <c r="I70" i="107"/>
  <c r="F8" i="105"/>
  <c r="F6" i="105"/>
  <c r="F7" i="105"/>
  <c r="E44" i="105"/>
  <c r="E47" i="105" s="1"/>
  <c r="K47" i="105" s="1"/>
  <c r="K41" i="105"/>
  <c r="J53" i="105"/>
  <c r="F64" i="105" s="1"/>
  <c r="F65" i="105" s="1"/>
  <c r="G100" i="105"/>
  <c r="H103" i="67"/>
  <c r="H117" i="67"/>
  <c r="G255" i="67" s="1"/>
  <c r="G209" i="67"/>
  <c r="G133" i="108" l="1"/>
  <c r="D144" i="108" s="1"/>
  <c r="D134" i="15" s="1"/>
  <c r="H122" i="128"/>
  <c r="K122" i="128" s="1"/>
  <c r="I63" i="108"/>
  <c r="G68" i="105"/>
  <c r="G55" i="105" s="1"/>
  <c r="G54" i="105"/>
  <c r="I54" i="105" s="1"/>
  <c r="K85" i="129"/>
  <c r="K88" i="129" s="1"/>
  <c r="K69" i="107"/>
  <c r="D51" i="107"/>
  <c r="K47" i="107"/>
  <c r="F10" i="107"/>
  <c r="I85" i="107"/>
  <c r="G72" i="107"/>
  <c r="G97" i="107"/>
  <c r="G101" i="107" s="1"/>
  <c r="J70" i="107"/>
  <c r="F88" i="107" s="1"/>
  <c r="F72" i="107"/>
  <c r="I71" i="107"/>
  <c r="F10" i="105"/>
  <c r="K53" i="105"/>
  <c r="F95" i="105"/>
  <c r="K44" i="105"/>
  <c r="H120" i="128" l="1"/>
  <c r="H111" i="128" s="1"/>
  <c r="H129" i="128" s="1"/>
  <c r="H133" i="108"/>
  <c r="G71" i="105"/>
  <c r="I55" i="105"/>
  <c r="J55" i="105" s="1"/>
  <c r="J54" i="105"/>
  <c r="K54" i="105" s="1"/>
  <c r="N116" i="5"/>
  <c r="M172" i="3"/>
  <c r="M173" i="3" s="1"/>
  <c r="M140" i="3"/>
  <c r="K120" i="128"/>
  <c r="F67" i="105"/>
  <c r="F68" i="105" s="1"/>
  <c r="D55" i="107"/>
  <c r="D59" i="107" s="1"/>
  <c r="D63" i="107" s="1"/>
  <c r="K63" i="107" s="1"/>
  <c r="K51" i="107"/>
  <c r="G127" i="107"/>
  <c r="H127" i="107" s="1"/>
  <c r="K70" i="107"/>
  <c r="I72" i="107"/>
  <c r="G73" i="107"/>
  <c r="J71" i="107"/>
  <c r="F89" i="107"/>
  <c r="F73" i="107"/>
  <c r="D105" i="107"/>
  <c r="I65" i="105"/>
  <c r="G74" i="105" l="1"/>
  <c r="G56" i="105"/>
  <c r="I56" i="105" s="1"/>
  <c r="H125" i="124"/>
  <c r="M174" i="3"/>
  <c r="K111" i="128"/>
  <c r="H64" i="108" s="1"/>
  <c r="F64" i="108"/>
  <c r="K59" i="107"/>
  <c r="K125" i="124"/>
  <c r="K124" i="124" s="1"/>
  <c r="H124" i="124"/>
  <c r="H123" i="124" s="1"/>
  <c r="D109" i="107"/>
  <c r="F70" i="105"/>
  <c r="F121" i="105"/>
  <c r="K55" i="107"/>
  <c r="I73" i="107"/>
  <c r="J73" i="107" s="1"/>
  <c r="F74" i="107"/>
  <c r="G105" i="107"/>
  <c r="G74" i="107"/>
  <c r="I89" i="107"/>
  <c r="F92" i="107"/>
  <c r="F93" i="107" s="1"/>
  <c r="K71" i="107"/>
  <c r="J72" i="107"/>
  <c r="K72" i="107" s="1"/>
  <c r="K55" i="105"/>
  <c r="I68" i="105"/>
  <c r="K129" i="128" l="1"/>
  <c r="M160" i="3"/>
  <c r="J56" i="105"/>
  <c r="K56" i="105" s="1"/>
  <c r="F75" i="107"/>
  <c r="K149" i="3"/>
  <c r="K123" i="124"/>
  <c r="G109" i="107"/>
  <c r="G75" i="107"/>
  <c r="F71" i="105"/>
  <c r="F146" i="105"/>
  <c r="I93" i="107"/>
  <c r="I74" i="107"/>
  <c r="K73" i="107"/>
  <c r="F96" i="107"/>
  <c r="F97" i="107" s="1"/>
  <c r="H125" i="126" l="1"/>
  <c r="G76" i="107"/>
  <c r="G113" i="107"/>
  <c r="I71" i="105"/>
  <c r="K125" i="126"/>
  <c r="K124" i="126" s="1"/>
  <c r="H124" i="126"/>
  <c r="H123" i="126" s="1"/>
  <c r="I75" i="107"/>
  <c r="J75" i="107" s="1"/>
  <c r="I97" i="107"/>
  <c r="F100" i="107"/>
  <c r="F101" i="107" s="1"/>
  <c r="J74" i="107"/>
  <c r="K74" i="107" s="1"/>
  <c r="K123" i="126" l="1"/>
  <c r="L149" i="3"/>
  <c r="K75" i="107"/>
  <c r="F132" i="107"/>
  <c r="I101" i="107"/>
  <c r="F104" i="107"/>
  <c r="F105" i="107" l="1"/>
  <c r="F158" i="107"/>
  <c r="F108" i="107" l="1"/>
  <c r="I105" i="107"/>
  <c r="G126" i="107"/>
  <c r="F130" i="107"/>
  <c r="F184" i="107" l="1"/>
  <c r="F109" i="107"/>
  <c r="H126" i="107"/>
  <c r="I109" i="107" l="1"/>
  <c r="J57" i="67"/>
  <c r="J53" i="67"/>
  <c r="J50" i="67"/>
  <c r="J47" i="67"/>
  <c r="G37" i="67"/>
  <c r="F37" i="67"/>
  <c r="E37" i="67"/>
  <c r="D37" i="67"/>
  <c r="G58" i="14" l="1"/>
  <c r="E52" i="14"/>
  <c r="D34" i="14"/>
  <c r="G34" i="14" s="1"/>
  <c r="H75" i="67" l="1"/>
  <c r="E6" i="67"/>
  <c r="C6" i="67"/>
  <c r="B6" i="67"/>
  <c r="C22" i="46" l="1"/>
  <c r="I57" i="82"/>
  <c r="I55" i="82"/>
  <c r="I45" i="82"/>
  <c r="I43" i="82"/>
  <c r="L81" i="99"/>
  <c r="O7" i="5"/>
  <c r="N7" i="5"/>
  <c r="J36" i="3" l="1"/>
  <c r="L36" i="3"/>
  <c r="C20" i="46"/>
  <c r="J43" i="3"/>
  <c r="L43" i="3"/>
  <c r="G10" i="107"/>
  <c r="G10" i="67"/>
  <c r="M7" i="5"/>
  <c r="K7" i="5"/>
  <c r="H20" i="121" s="1"/>
  <c r="I51" i="82"/>
  <c r="I49" i="82"/>
  <c r="O14" i="5"/>
  <c r="J53" i="5"/>
  <c r="J114" i="5"/>
  <c r="U53" i="5"/>
  <c r="T53" i="5"/>
  <c r="R53" i="5"/>
  <c r="Q53" i="5"/>
  <c r="I53" i="5"/>
  <c r="J112" i="5"/>
  <c r="J107" i="5"/>
  <c r="J106" i="5"/>
  <c r="J105" i="5"/>
  <c r="J104" i="5"/>
  <c r="J103" i="5"/>
  <c r="J101" i="5"/>
  <c r="J100" i="5"/>
  <c r="J99" i="5"/>
  <c r="J98" i="5"/>
  <c r="J97" i="5"/>
  <c r="J95" i="5"/>
  <c r="J92" i="5"/>
  <c r="J91" i="5"/>
  <c r="J90" i="5"/>
  <c r="J89" i="5"/>
  <c r="J88" i="5"/>
  <c r="J86" i="5"/>
  <c r="J83" i="5"/>
  <c r="J82" i="5"/>
  <c r="J81" i="5"/>
  <c r="J80" i="5"/>
  <c r="J77" i="5"/>
  <c r="J76" i="5"/>
  <c r="J74" i="5"/>
  <c r="J73" i="5"/>
  <c r="J72" i="5"/>
  <c r="J71" i="5"/>
  <c r="J70" i="5"/>
  <c r="J69" i="5"/>
  <c r="J67" i="5"/>
  <c r="J66" i="5"/>
  <c r="J65" i="5"/>
  <c r="J64" i="5"/>
  <c r="J63" i="5"/>
  <c r="J62" i="5"/>
  <c r="J61" i="5"/>
  <c r="J60" i="5"/>
  <c r="J59" i="5"/>
  <c r="J58" i="5"/>
  <c r="J57" i="5"/>
  <c r="J56" i="5"/>
  <c r="J54" i="5"/>
  <c r="J52" i="5"/>
  <c r="J51" i="5"/>
  <c r="J50" i="5"/>
  <c r="J49" i="5"/>
  <c r="J48" i="5"/>
  <c r="J47" i="5"/>
  <c r="J45" i="5"/>
  <c r="J44" i="5"/>
  <c r="J43" i="5"/>
  <c r="J41" i="5"/>
  <c r="J12" i="5"/>
  <c r="J11" i="5"/>
  <c r="J10" i="5"/>
  <c r="J9" i="5"/>
  <c r="J8" i="5"/>
  <c r="U10" i="5"/>
  <c r="R10" i="5"/>
  <c r="Q10" i="5"/>
  <c r="I10" i="5"/>
  <c r="I160" i="3"/>
  <c r="I158" i="3"/>
  <c r="I156" i="3"/>
  <c r="I65" i="3"/>
  <c r="I64" i="3"/>
  <c r="I61" i="3"/>
  <c r="I60" i="3"/>
  <c r="I59" i="3"/>
  <c r="I58" i="3"/>
  <c r="I55" i="3"/>
  <c r="I54" i="3"/>
  <c r="I49" i="3"/>
  <c r="I30" i="3"/>
  <c r="I29" i="3"/>
  <c r="I149" i="3"/>
  <c r="I148" i="3"/>
  <c r="I147" i="3"/>
  <c r="I146" i="3"/>
  <c r="I145" i="3"/>
  <c r="I142" i="3"/>
  <c r="I141" i="3"/>
  <c r="I140" i="3"/>
  <c r="I139" i="3"/>
  <c r="I138" i="3"/>
  <c r="I137" i="3"/>
  <c r="I134" i="3"/>
  <c r="I133" i="3"/>
  <c r="I130" i="3"/>
  <c r="I129" i="3"/>
  <c r="I128" i="3"/>
  <c r="I127" i="3"/>
  <c r="I124" i="3"/>
  <c r="I123" i="3"/>
  <c r="I119" i="3"/>
  <c r="I115" i="3"/>
  <c r="I114" i="3"/>
  <c r="I113" i="3"/>
  <c r="I112" i="3"/>
  <c r="I111" i="3"/>
  <c r="I110" i="3"/>
  <c r="I109" i="3"/>
  <c r="I108" i="3"/>
  <c r="I105" i="3"/>
  <c r="I104" i="3"/>
  <c r="I103" i="3"/>
  <c r="I102" i="3"/>
  <c r="I101" i="3"/>
  <c r="I100" i="3"/>
  <c r="I99" i="3"/>
  <c r="I98" i="3"/>
  <c r="I97" i="3"/>
  <c r="I96" i="3"/>
  <c r="I95" i="3"/>
  <c r="I94" i="3"/>
  <c r="I93" i="3"/>
  <c r="I92" i="3"/>
  <c r="I91" i="3"/>
  <c r="I87" i="3"/>
  <c r="I86" i="3"/>
  <c r="I85" i="3"/>
  <c r="I83" i="3"/>
  <c r="I82" i="3"/>
  <c r="I79" i="3"/>
  <c r="I78" i="3"/>
  <c r="I76" i="3"/>
  <c r="I73" i="3"/>
  <c r="I72" i="3"/>
  <c r="I71" i="3"/>
  <c r="I70" i="3"/>
  <c r="I69" i="3"/>
  <c r="I67" i="3"/>
  <c r="I66" i="3"/>
  <c r="I47" i="3"/>
  <c r="I46" i="3"/>
  <c r="I45" i="3"/>
  <c r="I44" i="3"/>
  <c r="I42" i="3"/>
  <c r="I41" i="3"/>
  <c r="I38" i="3"/>
  <c r="I37" i="3"/>
  <c r="I35" i="3"/>
  <c r="I34" i="3"/>
  <c r="I33" i="3"/>
  <c r="I28" i="3"/>
  <c r="I27" i="3"/>
  <c r="I26" i="3"/>
  <c r="I25" i="3"/>
  <c r="I23" i="3"/>
  <c r="I22" i="3"/>
  <c r="I21" i="3"/>
  <c r="I20" i="3"/>
  <c r="I19" i="3"/>
  <c r="I18" i="3"/>
  <c r="I17" i="3"/>
  <c r="I16" i="3"/>
  <c r="I15" i="3"/>
  <c r="I14" i="3"/>
  <c r="I13" i="3"/>
  <c r="I12" i="3"/>
  <c r="I39" i="82" s="1"/>
  <c r="I11" i="3"/>
  <c r="I37" i="82" s="1"/>
  <c r="I10" i="3"/>
  <c r="I9" i="3"/>
  <c r="I8" i="3"/>
  <c r="I7" i="3"/>
  <c r="T32" i="3"/>
  <c r="S32" i="3"/>
  <c r="Q32" i="3"/>
  <c r="P32" i="3"/>
  <c r="H32" i="3"/>
  <c r="T31" i="3"/>
  <c r="S31" i="3"/>
  <c r="Q31" i="3"/>
  <c r="P31" i="3"/>
  <c r="H31" i="3"/>
  <c r="L84" i="100"/>
  <c r="L83" i="100"/>
  <c r="K82" i="100"/>
  <c r="L81" i="100"/>
  <c r="L78" i="100"/>
  <c r="L76" i="100"/>
  <c r="L74" i="100"/>
  <c r="L73" i="100"/>
  <c r="L72" i="100"/>
  <c r="L71" i="100"/>
  <c r="L70" i="100"/>
  <c r="K69" i="100"/>
  <c r="L69" i="100"/>
  <c r="K68" i="100"/>
  <c r="K67" i="100"/>
  <c r="K66" i="100"/>
  <c r="L66" i="100"/>
  <c r="K65" i="100"/>
  <c r="K83" i="5" s="1"/>
  <c r="L65" i="100"/>
  <c r="K64" i="100"/>
  <c r="L64" i="100"/>
  <c r="K63" i="100"/>
  <c r="K99" i="5" s="1"/>
  <c r="L63" i="100"/>
  <c r="K62" i="100"/>
  <c r="K98" i="5" s="1"/>
  <c r="L62" i="100"/>
  <c r="K61" i="100"/>
  <c r="L61" i="100"/>
  <c r="K60" i="100"/>
  <c r="K97" i="5" s="1"/>
  <c r="L60" i="100"/>
  <c r="L59" i="100"/>
  <c r="L58" i="100"/>
  <c r="L57" i="100"/>
  <c r="L56" i="100"/>
  <c r="L55" i="100"/>
  <c r="L54" i="100"/>
  <c r="L53" i="100"/>
  <c r="L52" i="100"/>
  <c r="L51" i="100"/>
  <c r="L50" i="100"/>
  <c r="L49" i="100"/>
  <c r="L48" i="100"/>
  <c r="L47" i="100"/>
  <c r="L46" i="100"/>
  <c r="L45" i="100"/>
  <c r="L44" i="100"/>
  <c r="L42" i="100"/>
  <c r="L41" i="100"/>
  <c r="L40" i="100"/>
  <c r="L39" i="100"/>
  <c r="L38" i="100"/>
  <c r="L37" i="100"/>
  <c r="L36" i="100"/>
  <c r="L35" i="100"/>
  <c r="L34" i="100"/>
  <c r="L33" i="100"/>
  <c r="L32" i="100"/>
  <c r="L31" i="100"/>
  <c r="L30" i="100"/>
  <c r="L29" i="100"/>
  <c r="L28" i="100"/>
  <c r="L27" i="100"/>
  <c r="L26" i="100"/>
  <c r="L25" i="100"/>
  <c r="L24" i="100"/>
  <c r="L23" i="100"/>
  <c r="L22" i="100"/>
  <c r="L20" i="100"/>
  <c r="L19" i="100"/>
  <c r="L18" i="100"/>
  <c r="K17" i="100"/>
  <c r="K21" i="5" s="1"/>
  <c r="K14" i="100"/>
  <c r="K17" i="5" s="1"/>
  <c r="L14" i="100"/>
  <c r="K13" i="100"/>
  <c r="L13" i="100"/>
  <c r="L12" i="100"/>
  <c r="L11" i="100"/>
  <c r="K9" i="100"/>
  <c r="L10" i="100"/>
  <c r="L9" i="100"/>
  <c r="L8" i="100"/>
  <c r="K6" i="100"/>
  <c r="L7" i="100"/>
  <c r="L6" i="100"/>
  <c r="L5" i="100"/>
  <c r="K3" i="100"/>
  <c r="L128" i="99"/>
  <c r="L127" i="99"/>
  <c r="L126" i="99"/>
  <c r="L125" i="99"/>
  <c r="L124" i="99"/>
  <c r="L123" i="99"/>
  <c r="L122" i="99"/>
  <c r="L121" i="99"/>
  <c r="L120" i="99"/>
  <c r="L118" i="99"/>
  <c r="L117" i="99"/>
  <c r="L116" i="99"/>
  <c r="L115" i="99"/>
  <c r="L114" i="99"/>
  <c r="L113" i="99"/>
  <c r="L112" i="99"/>
  <c r="L111" i="99"/>
  <c r="L109" i="99"/>
  <c r="L102" i="99"/>
  <c r="L101" i="99"/>
  <c r="L100" i="99"/>
  <c r="L99" i="99"/>
  <c r="L98" i="99"/>
  <c r="L93" i="99"/>
  <c r="L92" i="99"/>
  <c r="L91" i="99"/>
  <c r="L90" i="99"/>
  <c r="L89" i="99"/>
  <c r="L88" i="99"/>
  <c r="L87" i="99"/>
  <c r="L86" i="99"/>
  <c r="L85" i="99"/>
  <c r="L84" i="99"/>
  <c r="L83" i="99"/>
  <c r="L82" i="99"/>
  <c r="L80" i="99"/>
  <c r="L78" i="99"/>
  <c r="L77" i="99"/>
  <c r="L76" i="99"/>
  <c r="L75" i="99"/>
  <c r="L74" i="99"/>
  <c r="L71" i="99"/>
  <c r="L70" i="99"/>
  <c r="L69" i="99"/>
  <c r="L67" i="99"/>
  <c r="L66" i="99"/>
  <c r="L65" i="99"/>
  <c r="L64" i="99"/>
  <c r="L63" i="99"/>
  <c r="L62" i="99"/>
  <c r="L61" i="99"/>
  <c r="L60" i="99"/>
  <c r="L59" i="99"/>
  <c r="L58" i="99"/>
  <c r="L57" i="99"/>
  <c r="L56" i="99"/>
  <c r="L55" i="99"/>
  <c r="L54" i="99"/>
  <c r="L53" i="99"/>
  <c r="L52" i="99"/>
  <c r="L51" i="99"/>
  <c r="L50" i="99"/>
  <c r="L49" i="99"/>
  <c r="L48" i="99"/>
  <c r="L47" i="99"/>
  <c r="L46" i="99"/>
  <c r="L45" i="99"/>
  <c r="L43" i="99"/>
  <c r="L42" i="99"/>
  <c r="L41" i="99"/>
  <c r="L38" i="99"/>
  <c r="L37" i="99"/>
  <c r="L36" i="99"/>
  <c r="L35" i="99"/>
  <c r="L34" i="99"/>
  <c r="L33" i="99"/>
  <c r="L32" i="99"/>
  <c r="L31" i="99"/>
  <c r="L30" i="99"/>
  <c r="L29" i="99"/>
  <c r="L28" i="99"/>
  <c r="L27" i="99"/>
  <c r="L26" i="99"/>
  <c r="L25" i="99"/>
  <c r="L24" i="99"/>
  <c r="L23" i="99"/>
  <c r="L22" i="99"/>
  <c r="L21" i="99"/>
  <c r="L20" i="99"/>
  <c r="L19" i="99"/>
  <c r="L18" i="99"/>
  <c r="L17" i="99"/>
  <c r="L16" i="99"/>
  <c r="L15" i="99"/>
  <c r="L14" i="99"/>
  <c r="L13" i="99"/>
  <c r="L12" i="99"/>
  <c r="L10" i="99"/>
  <c r="L9" i="99"/>
  <c r="L8" i="99"/>
  <c r="L7" i="99"/>
  <c r="L6" i="99"/>
  <c r="L5" i="99"/>
  <c r="J64" i="96"/>
  <c r="J63" i="96"/>
  <c r="J62" i="96"/>
  <c r="J61" i="96"/>
  <c r="J60" i="96"/>
  <c r="J59" i="96"/>
  <c r="J58" i="96"/>
  <c r="J57" i="96"/>
  <c r="J56" i="96"/>
  <c r="J55" i="96"/>
  <c r="I107" i="5"/>
  <c r="I106" i="5"/>
  <c r="I101" i="5"/>
  <c r="I100" i="5"/>
  <c r="I90" i="5"/>
  <c r="I86" i="5"/>
  <c r="I82" i="5"/>
  <c r="I81" i="5"/>
  <c r="I80" i="5"/>
  <c r="I77" i="5"/>
  <c r="I44" i="5"/>
  <c r="I41" i="5"/>
  <c r="I12" i="5"/>
  <c r="I11" i="5"/>
  <c r="T96" i="3"/>
  <c r="S96" i="3"/>
  <c r="Q96" i="3"/>
  <c r="P96" i="3"/>
  <c r="O153" i="3"/>
  <c r="H148" i="3"/>
  <c r="H147" i="3"/>
  <c r="H146" i="3"/>
  <c r="H145" i="3"/>
  <c r="H142" i="3"/>
  <c r="H141" i="3"/>
  <c r="H140" i="3"/>
  <c r="H139" i="3"/>
  <c r="H138" i="3"/>
  <c r="H137" i="3"/>
  <c r="H134" i="3"/>
  <c r="H133" i="3"/>
  <c r="H130" i="3"/>
  <c r="H128" i="3"/>
  <c r="H124" i="3"/>
  <c r="H119" i="3"/>
  <c r="H112" i="3"/>
  <c r="H111" i="3"/>
  <c r="H110" i="3"/>
  <c r="H105" i="3"/>
  <c r="H104" i="3"/>
  <c r="H103" i="3"/>
  <c r="H100" i="3"/>
  <c r="H99" i="3"/>
  <c r="H94" i="3"/>
  <c r="H87" i="3"/>
  <c r="H86" i="3"/>
  <c r="H85" i="3"/>
  <c r="H83" i="3"/>
  <c r="H82" i="3"/>
  <c r="H76" i="3"/>
  <c r="H73" i="3"/>
  <c r="H67" i="3"/>
  <c r="H66" i="3"/>
  <c r="H47" i="3"/>
  <c r="H42" i="3"/>
  <c r="H41" i="3"/>
  <c r="H38" i="3"/>
  <c r="H37" i="3"/>
  <c r="H35" i="3"/>
  <c r="H34" i="3"/>
  <c r="H23" i="3"/>
  <c r="H21" i="3"/>
  <c r="H9" i="3"/>
  <c r="H7" i="3"/>
  <c r="I118" i="5"/>
  <c r="I117" i="5"/>
  <c r="I112" i="5"/>
  <c r="I104" i="5"/>
  <c r="I103" i="5"/>
  <c r="I98" i="5"/>
  <c r="I97" i="5"/>
  <c r="I91" i="5"/>
  <c r="I88" i="5"/>
  <c r="I89" i="5"/>
  <c r="I76" i="5"/>
  <c r="I74" i="5"/>
  <c r="I73" i="5"/>
  <c r="I72" i="5"/>
  <c r="I71" i="5"/>
  <c r="I70" i="5"/>
  <c r="I69" i="5"/>
  <c r="I67" i="5"/>
  <c r="I66" i="5"/>
  <c r="I64" i="5"/>
  <c r="I63" i="5"/>
  <c r="I59" i="5"/>
  <c r="I56" i="5"/>
  <c r="I55" i="5"/>
  <c r="I52" i="5"/>
  <c r="I50" i="5"/>
  <c r="I45" i="5"/>
  <c r="I28" i="5"/>
  <c r="I26" i="5"/>
  <c r="P26" i="5" s="1"/>
  <c r="I24" i="5"/>
  <c r="P24" i="5" s="1"/>
  <c r="S24" i="5" s="1"/>
  <c r="I23" i="5"/>
  <c r="P23" i="5" s="1"/>
  <c r="S23" i="5" s="1"/>
  <c r="I21" i="5"/>
  <c r="I19" i="5"/>
  <c r="P19" i="5" s="1"/>
  <c r="S19" i="5" s="1"/>
  <c r="V19" i="5" s="1"/>
  <c r="Y19" i="5" s="1"/>
  <c r="AF19" i="5" s="1"/>
  <c r="I17" i="5"/>
  <c r="I16" i="5"/>
  <c r="H129" i="3"/>
  <c r="H123" i="3"/>
  <c r="H113" i="3"/>
  <c r="H108" i="3"/>
  <c r="H96" i="3"/>
  <c r="H102" i="3"/>
  <c r="H97" i="3"/>
  <c r="H93" i="3"/>
  <c r="H91" i="3"/>
  <c r="H65" i="3"/>
  <c r="H64" i="3"/>
  <c r="H60" i="3"/>
  <c r="H59" i="3"/>
  <c r="H56" i="3"/>
  <c r="H52" i="3"/>
  <c r="O52" i="3" s="1"/>
  <c r="R52" i="3" s="1"/>
  <c r="U52" i="3" s="1"/>
  <c r="X52" i="3" s="1"/>
  <c r="AA52" i="3" s="1"/>
  <c r="H46" i="3"/>
  <c r="H44" i="3"/>
  <c r="H79" i="3"/>
  <c r="H78" i="3"/>
  <c r="H19" i="3"/>
  <c r="H18" i="3"/>
  <c r="H33" i="3"/>
  <c r="H28" i="3"/>
  <c r="H26" i="3"/>
  <c r="H16" i="3"/>
  <c r="H15" i="3"/>
  <c r="H14" i="3"/>
  <c r="H13" i="3"/>
  <c r="H11" i="3"/>
  <c r="I31" i="82" s="1"/>
  <c r="H10" i="3"/>
  <c r="C1" i="95"/>
  <c r="S49" i="3"/>
  <c r="T38" i="3"/>
  <c r="S38" i="3"/>
  <c r="T37" i="3"/>
  <c r="S37" i="3"/>
  <c r="Q38" i="3"/>
  <c r="P38" i="3"/>
  <c r="Q37" i="3"/>
  <c r="P37" i="3"/>
  <c r="T22" i="3"/>
  <c r="S22" i="3"/>
  <c r="T21" i="3"/>
  <c r="S21" i="3"/>
  <c r="T20" i="3"/>
  <c r="S20" i="3"/>
  <c r="T19" i="3"/>
  <c r="S19" i="3"/>
  <c r="T18" i="3"/>
  <c r="S18" i="3"/>
  <c r="T17" i="3"/>
  <c r="S17" i="3"/>
  <c r="T16" i="3"/>
  <c r="S16" i="3"/>
  <c r="T15" i="3"/>
  <c r="S15" i="3"/>
  <c r="T14" i="3"/>
  <c r="S14" i="3"/>
  <c r="T13" i="3"/>
  <c r="S13" i="3"/>
  <c r="T12" i="3"/>
  <c r="S12" i="3"/>
  <c r="C21" i="82" s="1"/>
  <c r="T11" i="3"/>
  <c r="S11" i="3"/>
  <c r="T10" i="3"/>
  <c r="S10" i="3"/>
  <c r="T9" i="3"/>
  <c r="S9" i="3"/>
  <c r="T8" i="3"/>
  <c r="S8" i="3"/>
  <c r="T7" i="3"/>
  <c r="S7" i="3"/>
  <c r="Q15" i="3"/>
  <c r="P15" i="3"/>
  <c r="Q14" i="3"/>
  <c r="P14" i="3"/>
  <c r="G9" i="14" l="1"/>
  <c r="P28" i="5"/>
  <c r="S28" i="5" s="1"/>
  <c r="V28" i="5" s="1"/>
  <c r="Y28" i="5" s="1"/>
  <c r="P17" i="5"/>
  <c r="S17" i="5" s="1"/>
  <c r="P21" i="5"/>
  <c r="S21" i="5" s="1"/>
  <c r="V21" i="5" s="1"/>
  <c r="Y21" i="5" s="1"/>
  <c r="P41" i="5"/>
  <c r="S26" i="5"/>
  <c r="V26" i="5" s="1"/>
  <c r="Y26" i="5" s="1"/>
  <c r="AF26" i="5" s="1"/>
  <c r="S25" i="5"/>
  <c r="V23" i="5"/>
  <c r="Y23" i="5" s="1"/>
  <c r="AF23" i="5" s="1"/>
  <c r="I95" i="5"/>
  <c r="H114" i="3"/>
  <c r="H115" i="3"/>
  <c r="K57" i="96"/>
  <c r="H53" i="3"/>
  <c r="O53" i="3" s="1"/>
  <c r="R53" i="3" s="1"/>
  <c r="U53" i="3" s="1"/>
  <c r="X53" i="3" s="1"/>
  <c r="AA53" i="3" s="1"/>
  <c r="I36" i="3"/>
  <c r="H36" i="3"/>
  <c r="K12" i="100"/>
  <c r="K11" i="100" s="1"/>
  <c r="K16" i="5"/>
  <c r="K18" i="5" s="1"/>
  <c r="K15" i="5" s="1"/>
  <c r="K36" i="3"/>
  <c r="K24" i="100"/>
  <c r="K70" i="100"/>
  <c r="K59" i="100"/>
  <c r="K5" i="100"/>
  <c r="C19" i="46"/>
  <c r="I8" i="5"/>
  <c r="H17" i="3"/>
  <c r="H20" i="3"/>
  <c r="J104" i="39"/>
  <c r="I99" i="5"/>
  <c r="I25" i="5"/>
  <c r="I22" i="5" s="1"/>
  <c r="I9" i="5"/>
  <c r="I58" i="5"/>
  <c r="D2" i="95"/>
  <c r="H98" i="3"/>
  <c r="H8" i="3"/>
  <c r="H69" i="3"/>
  <c r="H72" i="3"/>
  <c r="H70" i="3"/>
  <c r="H71" i="3"/>
  <c r="I116" i="5"/>
  <c r="B1" i="95"/>
  <c r="H22" i="3"/>
  <c r="I60" i="5"/>
  <c r="H109" i="3"/>
  <c r="H49" i="3"/>
  <c r="I61" i="5"/>
  <c r="H92" i="3"/>
  <c r="I62" i="5"/>
  <c r="H25" i="3"/>
  <c r="H54" i="3"/>
  <c r="H55" i="3"/>
  <c r="I57" i="5"/>
  <c r="H45" i="3"/>
  <c r="H43" i="3" s="1"/>
  <c r="H27" i="3"/>
  <c r="H95" i="3"/>
  <c r="H12" i="3"/>
  <c r="I33" i="82" s="1"/>
  <c r="H29" i="3"/>
  <c r="H30" i="3"/>
  <c r="H101" i="3"/>
  <c r="H127" i="3"/>
  <c r="I48" i="5"/>
  <c r="I65" i="5"/>
  <c r="I47" i="5"/>
  <c r="H57" i="3"/>
  <c r="I49" i="5"/>
  <c r="I43" i="3"/>
  <c r="H58" i="3"/>
  <c r="I43" i="5"/>
  <c r="I83" i="5"/>
  <c r="I51" i="5"/>
  <c r="I105" i="5"/>
  <c r="I92" i="5"/>
  <c r="H61" i="3"/>
  <c r="I54" i="5"/>
  <c r="I18" i="5"/>
  <c r="I15" i="5" s="1"/>
  <c r="C25" i="82"/>
  <c r="D21" i="82"/>
  <c r="H27" i="82"/>
  <c r="C21" i="46"/>
  <c r="P118" i="5"/>
  <c r="S118" i="5" s="1"/>
  <c r="V118" i="5" s="1"/>
  <c r="Y118" i="5" s="1"/>
  <c r="D32" i="110"/>
  <c r="D26" i="110"/>
  <c r="D30" i="110"/>
  <c r="D24" i="110"/>
  <c r="D33" i="110"/>
  <c r="D12" i="110"/>
  <c r="D27" i="110"/>
  <c r="P110" i="5"/>
  <c r="S110" i="5" s="1"/>
  <c r="V110" i="5" s="1"/>
  <c r="Y110" i="5" s="1"/>
  <c r="P68" i="5"/>
  <c r="S68" i="5" s="1"/>
  <c r="V68" i="5" s="1"/>
  <c r="Y68" i="5" s="1"/>
  <c r="P84" i="5"/>
  <c r="S84" i="5" s="1"/>
  <c r="V84" i="5" s="1"/>
  <c r="Y84" i="5" s="1"/>
  <c r="K43" i="3"/>
  <c r="O46" i="3"/>
  <c r="R46" i="3" s="1"/>
  <c r="U46" i="3" s="1"/>
  <c r="X46" i="3" s="1"/>
  <c r="J7" i="5"/>
  <c r="G19" i="121" s="1"/>
  <c r="G10" i="105"/>
  <c r="G6" i="107"/>
  <c r="G7" i="107"/>
  <c r="G8" i="107"/>
  <c r="G9" i="107"/>
  <c r="F35" i="52"/>
  <c r="P53" i="5"/>
  <c r="P10" i="5"/>
  <c r="S10" i="5" s="1"/>
  <c r="O32" i="3"/>
  <c r="R32" i="3" s="1"/>
  <c r="U32" i="3" s="1"/>
  <c r="X32" i="3" s="1"/>
  <c r="O31" i="3"/>
  <c r="R31" i="3" s="1"/>
  <c r="U31" i="3" s="1"/>
  <c r="X31" i="3" s="1"/>
  <c r="O96" i="3"/>
  <c r="R96" i="3" s="1"/>
  <c r="U96" i="3" s="1"/>
  <c r="X96" i="3" s="1"/>
  <c r="Z42" i="5"/>
  <c r="Z7" i="5"/>
  <c r="D42" i="109" l="1"/>
  <c r="G8" i="41"/>
  <c r="I46" i="41" s="1"/>
  <c r="H25" i="82"/>
  <c r="C19" i="82"/>
  <c r="H69" i="73"/>
  <c r="H188" i="73" s="1"/>
  <c r="D14" i="54"/>
  <c r="C14" i="54" s="1"/>
  <c r="H21" i="82"/>
  <c r="D20" i="82"/>
  <c r="AF28" i="5"/>
  <c r="D21" i="110"/>
  <c r="D19" i="110"/>
  <c r="D14" i="110"/>
  <c r="AF21" i="5"/>
  <c r="D88" i="109"/>
  <c r="AA96" i="3"/>
  <c r="D21" i="109"/>
  <c r="C13" i="35" s="1"/>
  <c r="AA31" i="3"/>
  <c r="D22" i="109"/>
  <c r="C14" i="35" s="1"/>
  <c r="AA32" i="3"/>
  <c r="S22" i="5"/>
  <c r="P16" i="5"/>
  <c r="S16" i="5" s="1"/>
  <c r="J28" i="39"/>
  <c r="K14" i="5"/>
  <c r="E27" i="52" s="1"/>
  <c r="K23" i="100"/>
  <c r="K58" i="100" s="1"/>
  <c r="K81" i="100" s="1"/>
  <c r="K84" i="100" s="1"/>
  <c r="G121" i="67" s="1"/>
  <c r="F342" i="67" s="1"/>
  <c r="I14" i="5"/>
  <c r="I7" i="5"/>
  <c r="H90" i="3"/>
  <c r="C18" i="46"/>
  <c r="D74" i="110"/>
  <c r="D98" i="110"/>
  <c r="E25" i="114" s="1"/>
  <c r="H201" i="73"/>
  <c r="P117" i="5"/>
  <c r="S117" i="5" s="1"/>
  <c r="V117" i="5" s="1"/>
  <c r="Y117" i="5" s="1"/>
  <c r="D23" i="110"/>
  <c r="L32" i="5"/>
  <c r="P32" i="5" s="1"/>
  <c r="S32" i="5" s="1"/>
  <c r="V32" i="5" s="1"/>
  <c r="Y32" i="5" s="1"/>
  <c r="D29" i="110"/>
  <c r="L38" i="5"/>
  <c r="P38" i="5" s="1"/>
  <c r="S38" i="5" s="1"/>
  <c r="V38" i="5" s="1"/>
  <c r="Y38" i="5" s="1"/>
  <c r="AF38" i="5" s="1"/>
  <c r="L25" i="5"/>
  <c r="L22" i="5" s="1"/>
  <c r="L18" i="5"/>
  <c r="L15" i="5" s="1"/>
  <c r="L108" i="5"/>
  <c r="P109" i="5"/>
  <c r="S53" i="5"/>
  <c r="V53" i="5" s="1"/>
  <c r="L7" i="5"/>
  <c r="I20" i="121" s="1"/>
  <c r="G9" i="105"/>
  <c r="G7" i="105"/>
  <c r="G6" i="105"/>
  <c r="G8" i="105"/>
  <c r="E8" i="114" l="1"/>
  <c r="F292" i="67"/>
  <c r="C20" i="114"/>
  <c r="C22" i="57" s="1"/>
  <c r="C8" i="114"/>
  <c r="E112" i="73"/>
  <c r="C9" i="43"/>
  <c r="Y53" i="5"/>
  <c r="G17" i="119"/>
  <c r="D25" i="46"/>
  <c r="E13" i="49"/>
  <c r="H19" i="82"/>
  <c r="C20" i="82"/>
  <c r="C7" i="44"/>
  <c r="E7" i="44" s="1"/>
  <c r="S18" i="5"/>
  <c r="S15" i="5" s="1"/>
  <c r="V16" i="5"/>
  <c r="Y16" i="5" s="1"/>
  <c r="AF16" i="5" s="1"/>
  <c r="P15" i="5"/>
  <c r="P18" i="5"/>
  <c r="P25" i="5"/>
  <c r="P22" i="5" s="1"/>
  <c r="I33" i="39"/>
  <c r="AC69" i="73" s="1"/>
  <c r="J33" i="39"/>
  <c r="L33" i="39" s="1"/>
  <c r="K114" i="5"/>
  <c r="H128" i="99"/>
  <c r="D31" i="110"/>
  <c r="D25" i="110"/>
  <c r="S109" i="5"/>
  <c r="P108" i="5"/>
  <c r="L29" i="5"/>
  <c r="P29" i="5" s="1"/>
  <c r="S29" i="5" s="1"/>
  <c r="V29" i="5" s="1"/>
  <c r="Y29" i="5" s="1"/>
  <c r="L35" i="5"/>
  <c r="P35" i="5" s="1"/>
  <c r="S35" i="5" s="1"/>
  <c r="C10" i="57" l="1"/>
  <c r="F8" i="114"/>
  <c r="AF53" i="5"/>
  <c r="D45" i="110"/>
  <c r="E17" i="119" s="1"/>
  <c r="V35" i="5"/>
  <c r="Y35" i="5" s="1"/>
  <c r="AF35" i="5" s="1"/>
  <c r="E237" i="67"/>
  <c r="E228" i="67"/>
  <c r="H228" i="67" s="1"/>
  <c r="H276" i="67" s="1"/>
  <c r="H156" i="3"/>
  <c r="K128" i="99"/>
  <c r="H158" i="3"/>
  <c r="D28" i="110"/>
  <c r="D22" i="110"/>
  <c r="V109" i="5"/>
  <c r="S108" i="5"/>
  <c r="L14" i="5"/>
  <c r="F27" i="52" s="1"/>
  <c r="D17" i="119" l="1"/>
  <c r="H17" i="119"/>
  <c r="F294" i="67"/>
  <c r="H277" i="67"/>
  <c r="N99" i="10"/>
  <c r="D51" i="15"/>
  <c r="E51" i="15" s="1"/>
  <c r="H227" i="67"/>
  <c r="H231" i="67" s="1"/>
  <c r="E227" i="67"/>
  <c r="F243" i="67" s="1"/>
  <c r="S14" i="5"/>
  <c r="D16" i="110"/>
  <c r="D106" i="110"/>
  <c r="F21" i="131" s="1"/>
  <c r="V108" i="5"/>
  <c r="Y109" i="5"/>
  <c r="G294" i="67" l="1"/>
  <c r="H294" i="67" s="1"/>
  <c r="F297" i="67"/>
  <c r="Y108" i="5"/>
  <c r="AF108" i="5" s="1"/>
  <c r="AF109" i="5"/>
  <c r="C25" i="114"/>
  <c r="F25" i="114" s="1"/>
  <c r="T24" i="5"/>
  <c r="G243" i="67"/>
  <c r="H243" i="67" s="1"/>
  <c r="F20" i="131"/>
  <c r="E21" i="131"/>
  <c r="E20" i="131" s="1"/>
  <c r="C14" i="50"/>
  <c r="F17" i="112"/>
  <c r="E18" i="111"/>
  <c r="D105" i="110"/>
  <c r="C18" i="111"/>
  <c r="D97" i="110"/>
  <c r="H17" i="112" l="1"/>
  <c r="AF152" i="73"/>
  <c r="AC160" i="73" s="1"/>
  <c r="C21" i="57"/>
  <c r="E17" i="111"/>
  <c r="D17" i="111" s="1"/>
  <c r="D18" i="111"/>
  <c r="D96" i="110"/>
  <c r="F13" i="131" s="1"/>
  <c r="E13" i="131" s="1"/>
  <c r="I114" i="5" l="1"/>
  <c r="F191" i="95"/>
  <c r="C16" i="41"/>
  <c r="C18" i="41" l="1"/>
  <c r="D18" i="41" l="1"/>
  <c r="H149" i="3"/>
  <c r="H8" i="41"/>
  <c r="H160" i="3" l="1"/>
  <c r="E1" i="95" l="1"/>
  <c r="AF143" i="73"/>
  <c r="E9" i="67" l="1"/>
  <c r="C9" i="67"/>
  <c r="N151" i="3" l="1"/>
  <c r="M151" i="3"/>
  <c r="L151" i="3"/>
  <c r="K151" i="3"/>
  <c r="J151" i="3"/>
  <c r="I151" i="3"/>
  <c r="H151" i="3"/>
  <c r="D30" i="63" l="1"/>
  <c r="E29" i="63" s="1"/>
  <c r="E77" i="67" l="1"/>
  <c r="H100" i="67" s="1"/>
  <c r="H29" i="52" l="1"/>
  <c r="H26" i="52"/>
  <c r="C8" i="67" l="1"/>
  <c r="C8" i="14"/>
  <c r="C7" i="14"/>
  <c r="C6" i="14"/>
  <c r="E8" i="67" l="1"/>
  <c r="E10" i="67" l="1"/>
  <c r="F9" i="67" l="1"/>
  <c r="F6" i="67"/>
  <c r="E8" i="14"/>
  <c r="E7" i="14"/>
  <c r="E6" i="14"/>
  <c r="B6" i="14"/>
  <c r="H36" i="52"/>
  <c r="H33" i="52"/>
  <c r="H34" i="52"/>
  <c r="N42" i="5" l="1"/>
  <c r="H37" i="52"/>
  <c r="H30" i="52"/>
  <c r="H31" i="52"/>
  <c r="H32" i="52"/>
  <c r="H35" i="52"/>
  <c r="H28" i="52"/>
  <c r="M40" i="3"/>
  <c r="N96" i="5"/>
  <c r="N102" i="5"/>
  <c r="N6" i="5"/>
  <c r="K21" i="121" s="1"/>
  <c r="N79" i="5"/>
  <c r="N13" i="5"/>
  <c r="N87" i="5"/>
  <c r="K22" i="121" l="1"/>
  <c r="F30" i="87"/>
  <c r="N78" i="5"/>
  <c r="N111" i="5" l="1"/>
  <c r="N113" i="5" s="1"/>
  <c r="F31" i="87"/>
  <c r="M90" i="3"/>
  <c r="M165" i="3" l="1"/>
  <c r="M167" i="3" s="1"/>
  <c r="M168" i="3" s="1"/>
  <c r="M175" i="3" s="1"/>
  <c r="N120" i="5"/>
  <c r="F32" i="87"/>
  <c r="N115" i="5"/>
  <c r="F21" i="87"/>
  <c r="M132" i="3"/>
  <c r="M131" i="3" s="1"/>
  <c r="M68" i="3"/>
  <c r="M126" i="3"/>
  <c r="M125" i="3" s="1"/>
  <c r="M122" i="3"/>
  <c r="M121" i="3" s="1"/>
  <c r="M89" i="3"/>
  <c r="F20" i="87" s="1"/>
  <c r="M24" i="3"/>
  <c r="M136" i="3"/>
  <c r="M135" i="3" s="1"/>
  <c r="M77" i="3"/>
  <c r="M84" i="3"/>
  <c r="F22" i="87" l="1"/>
  <c r="M106" i="3"/>
  <c r="M88" i="3" s="1"/>
  <c r="M159" i="3" s="1"/>
  <c r="M48" i="3"/>
  <c r="M6" i="3"/>
  <c r="M5" i="3" l="1"/>
  <c r="F17" i="87" s="1"/>
  <c r="M39" i="3"/>
  <c r="M4" i="3" l="1"/>
  <c r="F18" i="87"/>
  <c r="F19" i="87" s="1"/>
  <c r="D57" i="63"/>
  <c r="Q26" i="63" s="1"/>
  <c r="Q28" i="63" s="1"/>
  <c r="D6" i="140" s="1"/>
  <c r="D7" i="140" l="1"/>
  <c r="E7" i="140" s="1"/>
  <c r="L6" i="140"/>
  <c r="E6" i="140"/>
  <c r="Q29" i="63"/>
  <c r="M157" i="3"/>
  <c r="E57" i="63"/>
  <c r="O6" i="140" l="1"/>
  <c r="L7" i="140"/>
  <c r="M6" i="140"/>
  <c r="Q30" i="63"/>
  <c r="J21" i="20"/>
  <c r="F26" i="52"/>
  <c r="G26" i="52"/>
  <c r="D29" i="52"/>
  <c r="E29" i="52"/>
  <c r="F29" i="52"/>
  <c r="G29" i="52"/>
  <c r="C38" i="52"/>
  <c r="M7" i="140" l="1"/>
  <c r="E153" i="140"/>
  <c r="J29" i="20"/>
  <c r="J22" i="20"/>
  <c r="D65" i="140"/>
  <c r="O7" i="140"/>
  <c r="K26" i="52"/>
  <c r="D8" i="52" s="1"/>
  <c r="C8" i="52" s="1"/>
  <c r="E164" i="140" l="1"/>
  <c r="F164" i="140" s="1"/>
  <c r="I73" i="11"/>
  <c r="K22" i="20"/>
  <c r="J44" i="20"/>
  <c r="J34" i="20"/>
  <c r="J33" i="20"/>
  <c r="J35" i="20" s="1"/>
  <c r="K35" i="20" s="1"/>
  <c r="J30" i="20"/>
  <c r="K30" i="20" s="1"/>
  <c r="F102" i="73"/>
  <c r="AB99" i="73"/>
  <c r="AC176" i="73" s="1"/>
  <c r="D141" i="73"/>
  <c r="A135" i="73"/>
  <c r="A120" i="73"/>
  <c r="M112" i="73"/>
  <c r="M111" i="73"/>
  <c r="D107" i="73"/>
  <c r="M104" i="73"/>
  <c r="M101" i="73"/>
  <c r="M99" i="73"/>
  <c r="M98" i="73"/>
  <c r="A70" i="73"/>
  <c r="A71" i="73"/>
  <c r="A72" i="73"/>
  <c r="A73" i="73"/>
  <c r="A74" i="73"/>
  <c r="A75" i="73"/>
  <c r="A76" i="73"/>
  <c r="M46" i="73"/>
  <c r="A35" i="73"/>
  <c r="M24" i="73"/>
  <c r="M19" i="73"/>
  <c r="M11" i="73"/>
  <c r="D10" i="73"/>
  <c r="B3" i="73"/>
  <c r="B1" i="73"/>
  <c r="A158" i="73"/>
  <c r="A157" i="73"/>
  <c r="A156" i="73"/>
  <c r="A155" i="73"/>
  <c r="A150" i="73"/>
  <c r="A141" i="73"/>
  <c r="A151" i="73"/>
  <c r="A134" i="73"/>
  <c r="A131" i="73"/>
  <c r="A130" i="73"/>
  <c r="A129" i="73"/>
  <c r="A107" i="73"/>
  <c r="A110" i="73"/>
  <c r="A128" i="73"/>
  <c r="A106" i="73"/>
  <c r="A97" i="73"/>
  <c r="A96" i="73"/>
  <c r="A95" i="73"/>
  <c r="A94" i="73"/>
  <c r="A93" i="73"/>
  <c r="A92" i="73"/>
  <c r="A91" i="73"/>
  <c r="A69" i="73"/>
  <c r="A67" i="73"/>
  <c r="A66" i="73"/>
  <c r="A64" i="73"/>
  <c r="A63" i="73"/>
  <c r="A61" i="73"/>
  <c r="A60" i="73"/>
  <c r="A59" i="73"/>
  <c r="A58" i="73"/>
  <c r="A50" i="73"/>
  <c r="A37" i="73"/>
  <c r="A20" i="73"/>
  <c r="A18" i="73"/>
  <c r="A15" i="73"/>
  <c r="A13" i="73"/>
  <c r="A12" i="73"/>
  <c r="I85" i="11" l="1"/>
  <c r="I86" i="11" s="1"/>
  <c r="G22" i="112"/>
  <c r="N198" i="73"/>
  <c r="C34" i="114" s="1"/>
  <c r="C37" i="57" s="1"/>
  <c r="N181" i="73"/>
  <c r="C36" i="114" s="1"/>
  <c r="N197" i="73"/>
  <c r="C35" i="114" s="1"/>
  <c r="N182" i="73"/>
  <c r="M171" i="73"/>
  <c r="D61" i="73"/>
  <c r="D135" i="73"/>
  <c r="D120" i="73"/>
  <c r="D82" i="73"/>
  <c r="A25" i="73"/>
  <c r="D18" i="73"/>
  <c r="D110" i="73"/>
  <c r="D13" i="73"/>
  <c r="D131" i="73"/>
  <c r="D129" i="73" s="1"/>
  <c r="D97" i="73"/>
  <c r="D151" i="73"/>
  <c r="L43" i="20" l="1"/>
  <c r="G23" i="112"/>
  <c r="D59" i="73"/>
  <c r="D95" i="73"/>
  <c r="D96" i="73" s="1"/>
  <c r="C36" i="57"/>
  <c r="D130" i="73"/>
  <c r="D58" i="73"/>
  <c r="D156" i="73" l="1"/>
  <c r="D157" i="73" s="1"/>
  <c r="C19" i="121" l="1"/>
  <c r="T41" i="3" l="1"/>
  <c r="Z102" i="5" l="1"/>
  <c r="Z96" i="5"/>
  <c r="Z87" i="5"/>
  <c r="Z79" i="5"/>
  <c r="Z13" i="5"/>
  <c r="Z6" i="5"/>
  <c r="T79" i="3"/>
  <c r="S79" i="3"/>
  <c r="P79" i="3"/>
  <c r="T35" i="3"/>
  <c r="S35" i="3"/>
  <c r="P35" i="3"/>
  <c r="T34" i="3"/>
  <c r="S34" i="3"/>
  <c r="P34" i="3"/>
  <c r="T33" i="3"/>
  <c r="S33" i="3"/>
  <c r="P33" i="3"/>
  <c r="P30" i="3"/>
  <c r="T29" i="3"/>
  <c r="S29" i="3"/>
  <c r="P29" i="3"/>
  <c r="T28" i="3"/>
  <c r="S28" i="3"/>
  <c r="P28" i="3"/>
  <c r="T27" i="3"/>
  <c r="S27" i="3"/>
  <c r="P27" i="3"/>
  <c r="T26" i="3"/>
  <c r="S26" i="3"/>
  <c r="P26" i="3"/>
  <c r="O79" i="3" l="1"/>
  <c r="O35" i="3"/>
  <c r="O26" i="3"/>
  <c r="O27" i="3"/>
  <c r="O33" i="3"/>
  <c r="O30" i="3"/>
  <c r="O34" i="3"/>
  <c r="O28" i="3"/>
  <c r="D165" i="73" l="1"/>
  <c r="D166" i="73" s="1"/>
  <c r="D48" i="63" l="1"/>
  <c r="E45" i="63" s="1"/>
  <c r="R10" i="63" s="1"/>
  <c r="P26" i="63" s="1"/>
  <c r="D39" i="63"/>
  <c r="E37" i="63" s="1"/>
  <c r="E28" i="63"/>
  <c r="D20" i="63"/>
  <c r="D11" i="63"/>
  <c r="E9" i="63" s="1"/>
  <c r="C20" i="121"/>
  <c r="C21" i="121" s="1"/>
  <c r="E17" i="63" l="1"/>
  <c r="N10" i="63" s="1"/>
  <c r="M26" i="63" s="1"/>
  <c r="E36" i="63"/>
  <c r="P10" i="63" s="1"/>
  <c r="O26" i="63" s="1"/>
  <c r="E10" i="63"/>
  <c r="E46" i="63"/>
  <c r="E8" i="63"/>
  <c r="L10" i="63" s="1"/>
  <c r="L26" i="63" s="1"/>
  <c r="E26" i="63"/>
  <c r="N16" i="63" s="1"/>
  <c r="E27" i="63"/>
  <c r="E20" i="63" l="1"/>
  <c r="N27" i="63"/>
  <c r="E30" i="63"/>
  <c r="O28" i="63"/>
  <c r="E39" i="63"/>
  <c r="E11" i="63"/>
  <c r="E48" i="63"/>
  <c r="O29" i="63" l="1"/>
  <c r="N28" i="63"/>
  <c r="P28" i="63"/>
  <c r="L28" i="63"/>
  <c r="M28" i="63"/>
  <c r="C13" i="105" l="1"/>
  <c r="C13" i="107"/>
  <c r="O30" i="63"/>
  <c r="L29" i="63"/>
  <c r="C12" i="14"/>
  <c r="M29" i="63"/>
  <c r="P29" i="63"/>
  <c r="C13" i="67"/>
  <c r="N29" i="63"/>
  <c r="G191" i="107" l="1"/>
  <c r="G192" i="107" s="1"/>
  <c r="G181" i="107"/>
  <c r="H181" i="107" s="1"/>
  <c r="G180" i="107"/>
  <c r="H180" i="107" s="1"/>
  <c r="G177" i="107"/>
  <c r="G184" i="107"/>
  <c r="G295" i="67"/>
  <c r="G306" i="67"/>
  <c r="G307" i="67" s="1"/>
  <c r="G296" i="67"/>
  <c r="H296" i="67" s="1"/>
  <c r="G292" i="67"/>
  <c r="G152" i="105"/>
  <c r="G153" i="105" s="1"/>
  <c r="G142" i="105"/>
  <c r="G143" i="105"/>
  <c r="H143" i="105" s="1"/>
  <c r="G146" i="105"/>
  <c r="D155" i="105" s="1"/>
  <c r="D13" i="107"/>
  <c r="G165" i="107"/>
  <c r="G166" i="107" s="1"/>
  <c r="G154" i="107"/>
  <c r="H154" i="107" s="1"/>
  <c r="G155" i="107"/>
  <c r="H155" i="107" s="1"/>
  <c r="G125" i="107"/>
  <c r="G139" i="107"/>
  <c r="G140" i="107" s="1"/>
  <c r="G128" i="107"/>
  <c r="H128" i="107" s="1"/>
  <c r="G151" i="107"/>
  <c r="G129" i="107"/>
  <c r="H129" i="107" s="1"/>
  <c r="D138" i="107"/>
  <c r="G132" i="107"/>
  <c r="G158" i="107"/>
  <c r="G118" i="105"/>
  <c r="H118" i="105" s="1"/>
  <c r="G117" i="105"/>
  <c r="G127" i="105"/>
  <c r="G128" i="105" s="1"/>
  <c r="G114" i="105"/>
  <c r="D13" i="105"/>
  <c r="D100" i="105"/>
  <c r="G91" i="105"/>
  <c r="G92" i="105"/>
  <c r="H92" i="105" s="1"/>
  <c r="G101" i="105"/>
  <c r="G102" i="105" s="1"/>
  <c r="G88" i="105"/>
  <c r="G95" i="105"/>
  <c r="G121" i="105"/>
  <c r="D163" i="67"/>
  <c r="G256" i="67"/>
  <c r="G257" i="67" s="1"/>
  <c r="G246" i="67"/>
  <c r="H246" i="67" s="1"/>
  <c r="G245" i="67"/>
  <c r="G242" i="67"/>
  <c r="N30" i="63"/>
  <c r="M30" i="63"/>
  <c r="P30" i="63"/>
  <c r="C13" i="108" s="1"/>
  <c r="L30" i="63"/>
  <c r="G103" i="108" l="1"/>
  <c r="H103" i="108" s="1"/>
  <c r="G114" i="108"/>
  <c r="G115" i="108" s="1"/>
  <c r="G104" i="108"/>
  <c r="H104" i="108" s="1"/>
  <c r="G100" i="108"/>
  <c r="G107" i="108"/>
  <c r="D195" i="107"/>
  <c r="H184" i="107"/>
  <c r="G182" i="107"/>
  <c r="D193" i="107" s="1"/>
  <c r="H177" i="107"/>
  <c r="H182" i="107" s="1"/>
  <c r="H292" i="67"/>
  <c r="G297" i="67"/>
  <c r="D308" i="67" s="1"/>
  <c r="H295" i="67"/>
  <c r="G309" i="67"/>
  <c r="H142" i="105"/>
  <c r="G155" i="105"/>
  <c r="H146" i="105"/>
  <c r="G139" i="105"/>
  <c r="F144" i="105"/>
  <c r="D143" i="107"/>
  <c r="H132" i="107"/>
  <c r="G119" i="105"/>
  <c r="D129" i="105" s="1"/>
  <c r="H114" i="105"/>
  <c r="G156" i="107"/>
  <c r="D167" i="107" s="1"/>
  <c r="H151" i="107"/>
  <c r="H156" i="107" s="1"/>
  <c r="H88" i="105"/>
  <c r="G93" i="105"/>
  <c r="D103" i="105" s="1"/>
  <c r="D169" i="107"/>
  <c r="H158" i="107"/>
  <c r="D130" i="105"/>
  <c r="H121" i="105"/>
  <c r="H117" i="105"/>
  <c r="G130" i="105"/>
  <c r="D104" i="105"/>
  <c r="H95" i="105"/>
  <c r="H91" i="105"/>
  <c r="G104" i="105"/>
  <c r="H125" i="107"/>
  <c r="H130" i="107" s="1"/>
  <c r="G130" i="107"/>
  <c r="D141" i="107" s="1"/>
  <c r="G78" i="108"/>
  <c r="H78" i="108" s="1"/>
  <c r="G88" i="108"/>
  <c r="G89" i="108" s="1"/>
  <c r="G77" i="108"/>
  <c r="H77" i="108" s="1"/>
  <c r="G74" i="108"/>
  <c r="D13" i="108"/>
  <c r="G81" i="108"/>
  <c r="H242" i="67"/>
  <c r="H245" i="67"/>
  <c r="G259" i="67"/>
  <c r="M42" i="20"/>
  <c r="G29" i="20"/>
  <c r="G33" i="20" s="1"/>
  <c r="H29" i="20"/>
  <c r="H33" i="20" s="1"/>
  <c r="G25" i="20"/>
  <c r="G28" i="20" s="1"/>
  <c r="H25" i="20"/>
  <c r="H28" i="20" s="1"/>
  <c r="G18" i="20"/>
  <c r="G20" i="20" s="1"/>
  <c r="H18" i="20"/>
  <c r="H20" i="20" s="1"/>
  <c r="K18" i="20"/>
  <c r="K20" i="20" s="1"/>
  <c r="D144" i="107" l="1"/>
  <c r="H93" i="105"/>
  <c r="D118" i="108"/>
  <c r="H107" i="108"/>
  <c r="H100" i="108"/>
  <c r="H105" i="108" s="1"/>
  <c r="G105" i="108"/>
  <c r="D116" i="108" s="1"/>
  <c r="H297" i="67"/>
  <c r="H139" i="105"/>
  <c r="H144" i="105" s="1"/>
  <c r="G144" i="105"/>
  <c r="D154" i="105" s="1"/>
  <c r="D105" i="105"/>
  <c r="G105" i="105" s="1"/>
  <c r="G106" i="105" s="1"/>
  <c r="H119" i="105"/>
  <c r="D92" i="108"/>
  <c r="H81" i="108"/>
  <c r="G79" i="108"/>
  <c r="D90" i="108" s="1"/>
  <c r="H74" i="108"/>
  <c r="H79" i="108" s="1"/>
  <c r="H30" i="20"/>
  <c r="G30" i="20"/>
  <c r="G34" i="20"/>
  <c r="G35" i="20" s="1"/>
  <c r="H34" i="20"/>
  <c r="H35" i="20" s="1"/>
  <c r="G143" i="107" l="1"/>
  <c r="G144" i="107" s="1"/>
  <c r="D164" i="107"/>
  <c r="D170" i="107" s="1"/>
  <c r="D126" i="105"/>
  <c r="D131" i="105" s="1"/>
  <c r="D93" i="108"/>
  <c r="H43" i="20"/>
  <c r="K43" i="20" s="1"/>
  <c r="G43" i="20"/>
  <c r="G169" i="107" l="1"/>
  <c r="G170" i="107" s="1"/>
  <c r="D190" i="107"/>
  <c r="D196" i="107" s="1"/>
  <c r="G131" i="105"/>
  <c r="G132" i="105" s="1"/>
  <c r="D151" i="105"/>
  <c r="D156" i="105" s="1"/>
  <c r="G92" i="108"/>
  <c r="G93" i="108" s="1"/>
  <c r="D113" i="108"/>
  <c r="D119" i="108" s="1"/>
  <c r="K185" i="67"/>
  <c r="D182" i="67"/>
  <c r="G153" i="67"/>
  <c r="H153" i="67" s="1"/>
  <c r="G118" i="108" l="1"/>
  <c r="G119" i="108" s="1"/>
  <c r="D139" i="108"/>
  <c r="D145" i="108" s="1"/>
  <c r="G144" i="108" s="1"/>
  <c r="G145" i="108" s="1"/>
  <c r="G195" i="107"/>
  <c r="G196" i="107" s="1"/>
  <c r="D216" i="107"/>
  <c r="G156" i="105"/>
  <c r="G157" i="105" s="1"/>
  <c r="D176" i="105"/>
  <c r="G183" i="67"/>
  <c r="G230" i="67" s="1"/>
  <c r="F244" i="67" l="1"/>
  <c r="G231" i="67"/>
  <c r="L183" i="67"/>
  <c r="G244" i="67" l="1"/>
  <c r="F247" i="67"/>
  <c r="E182" i="67"/>
  <c r="H182" i="67"/>
  <c r="K182" i="67"/>
  <c r="J182" i="67"/>
  <c r="I182" i="67"/>
  <c r="H244" i="67" l="1"/>
  <c r="H247" i="67" s="1"/>
  <c r="G247" i="67"/>
  <c r="D258" i="67" s="1"/>
  <c r="F182" i="67"/>
  <c r="F197" i="67" s="1"/>
  <c r="G197" i="67" s="1"/>
  <c r="H197" i="67" s="1"/>
  <c r="G182" i="67"/>
  <c r="K186" i="67"/>
  <c r="L182" i="67" l="1"/>
  <c r="D139" i="67"/>
  <c r="T30" i="3" l="1"/>
  <c r="F140" i="67"/>
  <c r="F152" i="67"/>
  <c r="G152" i="67" l="1"/>
  <c r="E139" i="67"/>
  <c r="J139" i="67"/>
  <c r="J185" i="67" s="1"/>
  <c r="J186" i="67" s="1"/>
  <c r="G139" i="67"/>
  <c r="G185" i="67" s="1"/>
  <c r="G186" i="67" s="1"/>
  <c r="I139" i="67"/>
  <c r="I185" i="67" s="1"/>
  <c r="I186" i="67" s="1"/>
  <c r="H139" i="67"/>
  <c r="H185" i="67" s="1"/>
  <c r="H186" i="67" s="1"/>
  <c r="F139" i="67"/>
  <c r="F185" i="67" s="1"/>
  <c r="U17" i="5" l="1"/>
  <c r="V17" i="5" s="1"/>
  <c r="F186" i="67"/>
  <c r="F198" i="67"/>
  <c r="G198" i="67" s="1"/>
  <c r="H198" i="67" s="1"/>
  <c r="H152" i="67"/>
  <c r="E93" i="67"/>
  <c r="F75" i="67" s="1"/>
  <c r="H90" i="67"/>
  <c r="G95" i="67"/>
  <c r="G75" i="67"/>
  <c r="J44" i="67"/>
  <c r="J41" i="67"/>
  <c r="J37" i="67"/>
  <c r="K37" i="67" s="1"/>
  <c r="G41" i="67"/>
  <c r="G44" i="67" s="1"/>
  <c r="G47" i="67" s="1"/>
  <c r="G50" i="67" s="1"/>
  <c r="G53" i="67" s="1"/>
  <c r="G57" i="67" s="1"/>
  <c r="G62" i="67" s="1"/>
  <c r="G66" i="67" s="1"/>
  <c r="G70" i="67" s="1"/>
  <c r="F41" i="67"/>
  <c r="F44" i="67" s="1"/>
  <c r="F47" i="67" s="1"/>
  <c r="F50" i="67" s="1"/>
  <c r="F53" i="67" s="1"/>
  <c r="F57" i="67" s="1"/>
  <c r="F62" i="67" s="1"/>
  <c r="F66" i="67" s="1"/>
  <c r="F70" i="67" s="1"/>
  <c r="Y17" i="5" l="1"/>
  <c r="V18" i="5"/>
  <c r="V15" i="5" s="1"/>
  <c r="D97" i="67"/>
  <c r="F201" i="67"/>
  <c r="F8" i="67"/>
  <c r="E38" i="67"/>
  <c r="D41" i="67" s="1"/>
  <c r="E76" i="67"/>
  <c r="I75" i="67"/>
  <c r="E75" i="67"/>
  <c r="H93" i="67" s="1"/>
  <c r="G91" i="67"/>
  <c r="F25" i="20" s="1"/>
  <c r="F28" i="20" s="1"/>
  <c r="Y18" i="5" l="1"/>
  <c r="AF17" i="5"/>
  <c r="D100" i="67"/>
  <c r="D103" i="67" s="1"/>
  <c r="F10" i="67"/>
  <c r="E97" i="67"/>
  <c r="F76" i="67" s="1"/>
  <c r="H97" i="67"/>
  <c r="F18" i="20"/>
  <c r="F20" i="20" s="1"/>
  <c r="G196" i="67"/>
  <c r="H196" i="67" s="1"/>
  <c r="G200" i="67"/>
  <c r="H200" i="67" s="1"/>
  <c r="G199" i="67"/>
  <c r="G213" i="67" s="1"/>
  <c r="G154" i="67"/>
  <c r="G155" i="67"/>
  <c r="H155" i="67" s="1"/>
  <c r="D44" i="67"/>
  <c r="D47" i="67" s="1"/>
  <c r="E41" i="67"/>
  <c r="E44" i="67" s="1"/>
  <c r="E47" i="67" s="1"/>
  <c r="E50" i="67" s="1"/>
  <c r="E53" i="67" s="1"/>
  <c r="E57" i="67" s="1"/>
  <c r="E62" i="67" s="1"/>
  <c r="E66" i="67" s="1"/>
  <c r="E70" i="67" s="1"/>
  <c r="G164" i="67"/>
  <c r="J75" i="67"/>
  <c r="G93" i="67"/>
  <c r="G76" i="67" s="1"/>
  <c r="D13" i="67"/>
  <c r="G210" i="67"/>
  <c r="Y15" i="5" l="1"/>
  <c r="AF18" i="5"/>
  <c r="E100" i="67"/>
  <c r="F77" i="67" s="1"/>
  <c r="D106" i="67"/>
  <c r="D50" i="67"/>
  <c r="K47" i="67"/>
  <c r="G211" i="67"/>
  <c r="I76" i="67"/>
  <c r="F29" i="20"/>
  <c r="F30" i="20" s="1"/>
  <c r="G165" i="67"/>
  <c r="H199" i="67"/>
  <c r="H201" i="67" s="1"/>
  <c r="G201" i="67"/>
  <c r="D212" i="67" s="1"/>
  <c r="G151" i="67"/>
  <c r="G156" i="67" s="1"/>
  <c r="D166" i="67" s="1"/>
  <c r="F156" i="67"/>
  <c r="H154" i="67"/>
  <c r="G167" i="67"/>
  <c r="K44" i="67"/>
  <c r="K41" i="67"/>
  <c r="F92" i="67"/>
  <c r="K75" i="67"/>
  <c r="G97" i="67"/>
  <c r="AF15" i="5" l="1"/>
  <c r="D109" i="67"/>
  <c r="D112" i="67" s="1"/>
  <c r="E103" i="67"/>
  <c r="F78" i="67" s="1"/>
  <c r="G100" i="67"/>
  <c r="D53" i="67"/>
  <c r="K50" i="67"/>
  <c r="F33" i="20"/>
  <c r="F34" i="20"/>
  <c r="H151" i="67"/>
  <c r="H156" i="67" s="1"/>
  <c r="F93" i="67"/>
  <c r="G77" i="67"/>
  <c r="I77" i="67" s="1"/>
  <c r="J77" i="67" s="1"/>
  <c r="J76" i="67"/>
  <c r="K76" i="67" s="1"/>
  <c r="G103" i="67" l="1"/>
  <c r="G78" i="67"/>
  <c r="I78" i="67" s="1"/>
  <c r="E106" i="67"/>
  <c r="F79" i="67" s="1"/>
  <c r="D57" i="67"/>
  <c r="K53" i="67"/>
  <c r="F43" i="20"/>
  <c r="F35" i="20"/>
  <c r="I93" i="67"/>
  <c r="F96" i="67"/>
  <c r="K77" i="67"/>
  <c r="J78" i="67" l="1"/>
  <c r="K78" i="67" s="1"/>
  <c r="G106" i="67"/>
  <c r="G79" i="67"/>
  <c r="I79" i="67" s="1"/>
  <c r="J79" i="67" s="1"/>
  <c r="D117" i="67"/>
  <c r="E109" i="67"/>
  <c r="K57" i="67"/>
  <c r="D62" i="67"/>
  <c r="M40" i="20"/>
  <c r="F97" i="67"/>
  <c r="D120" i="67" l="1"/>
  <c r="K62" i="67"/>
  <c r="D66" i="67"/>
  <c r="F80" i="67"/>
  <c r="E112" i="67"/>
  <c r="K79" i="67"/>
  <c r="F99" i="67"/>
  <c r="F100" i="67" s="1"/>
  <c r="G109" i="67"/>
  <c r="G112" i="67" s="1"/>
  <c r="G80" i="67"/>
  <c r="I80" i="67" s="1"/>
  <c r="J80" i="67" s="1"/>
  <c r="I97" i="67"/>
  <c r="K66" i="67" l="1"/>
  <c r="D70" i="67"/>
  <c r="K70" i="67" s="1"/>
  <c r="F81" i="67"/>
  <c r="K80" i="67"/>
  <c r="F102" i="67"/>
  <c r="F103" i="67" s="1"/>
  <c r="I100" i="67"/>
  <c r="G81" i="67"/>
  <c r="E117" i="67"/>
  <c r="I81" i="67" l="1"/>
  <c r="J81" i="67" s="1"/>
  <c r="F82" i="67"/>
  <c r="E120" i="67"/>
  <c r="F83" i="67" s="1"/>
  <c r="G82" i="67"/>
  <c r="F105" i="67"/>
  <c r="F106" i="67" s="1"/>
  <c r="F108" i="67" s="1"/>
  <c r="F158" i="67" s="1"/>
  <c r="I103" i="67"/>
  <c r="G117" i="67"/>
  <c r="E25" i="20"/>
  <c r="E28" i="20" s="1"/>
  <c r="D23" i="14"/>
  <c r="E23" i="14"/>
  <c r="E9" i="14"/>
  <c r="F6" i="14" s="1"/>
  <c r="I82" i="67" l="1"/>
  <c r="J82" i="67" s="1"/>
  <c r="K81" i="67"/>
  <c r="G83" i="67"/>
  <c r="I106" i="67"/>
  <c r="F109" i="67"/>
  <c r="F111" i="67" s="1"/>
  <c r="F112" i="67" s="1"/>
  <c r="G158" i="67"/>
  <c r="D167" i="67" s="1"/>
  <c r="D168" i="67" s="1"/>
  <c r="E25" i="14"/>
  <c r="D25" i="14"/>
  <c r="G23" i="14"/>
  <c r="E18" i="20"/>
  <c r="E20" i="20" s="1"/>
  <c r="H21" i="14"/>
  <c r="F7" i="14"/>
  <c r="F8" i="14"/>
  <c r="F116" i="67" l="1"/>
  <c r="I109" i="67"/>
  <c r="K82" i="67"/>
  <c r="F203" i="67"/>
  <c r="G203" i="67" s="1"/>
  <c r="H158" i="67"/>
  <c r="D209" i="67"/>
  <c r="G168" i="67"/>
  <c r="I112" i="67"/>
  <c r="E28" i="14"/>
  <c r="E31" i="14" s="1"/>
  <c r="E35" i="14" s="1"/>
  <c r="E37" i="14" s="1"/>
  <c r="E39" i="14" s="1"/>
  <c r="E41" i="14" s="1"/>
  <c r="D28" i="14"/>
  <c r="G25" i="14"/>
  <c r="G59" i="14"/>
  <c r="F52" i="14"/>
  <c r="D12" i="14"/>
  <c r="F9" i="14"/>
  <c r="G169" i="67" l="1"/>
  <c r="F249" i="67"/>
  <c r="D214" i="67"/>
  <c r="H203" i="67"/>
  <c r="D31" i="14"/>
  <c r="D61" i="14"/>
  <c r="G60" i="14"/>
  <c r="G52" i="14"/>
  <c r="G28" i="14"/>
  <c r="G31" i="14" s="1"/>
  <c r="G35" i="14" s="1"/>
  <c r="G342" i="67" l="1"/>
  <c r="F347" i="67"/>
  <c r="G249" i="67"/>
  <c r="D260" i="67" s="1"/>
  <c r="D215" i="67"/>
  <c r="G37" i="14"/>
  <c r="D35" i="14"/>
  <c r="D37" i="14" s="1"/>
  <c r="D39" i="14" s="1"/>
  <c r="E29" i="20"/>
  <c r="E22" i="20"/>
  <c r="F23" i="14"/>
  <c r="H342" i="67" l="1"/>
  <c r="H347" i="67" s="1"/>
  <c r="G347" i="67"/>
  <c r="D358" i="67" s="1"/>
  <c r="D47" i="15" s="1"/>
  <c r="E47" i="15" s="1"/>
  <c r="H249" i="67"/>
  <c r="G214" i="67"/>
  <c r="G215" i="67" s="1"/>
  <c r="D255" i="67"/>
  <c r="D261" i="67" s="1"/>
  <c r="D305" i="67" s="1"/>
  <c r="G39" i="14"/>
  <c r="D41" i="14"/>
  <c r="E33" i="20"/>
  <c r="E34" i="20"/>
  <c r="E30" i="20"/>
  <c r="F25" i="14"/>
  <c r="I23" i="14"/>
  <c r="G260" i="67" l="1"/>
  <c r="G261" i="67" s="1"/>
  <c r="G41" i="14"/>
  <c r="E35" i="20"/>
  <c r="E53" i="14"/>
  <c r="F53" i="14" s="1"/>
  <c r="I25" i="14"/>
  <c r="D62" i="14" l="1"/>
  <c r="G53" i="14"/>
  <c r="M39" i="20" l="1"/>
  <c r="M38" i="20"/>
  <c r="E43" i="20"/>
  <c r="E44" i="20" s="1"/>
  <c r="M43" i="20" l="1"/>
  <c r="T42" i="3" l="1"/>
  <c r="S42" i="3"/>
  <c r="P42" i="3"/>
  <c r="O42" i="3" l="1"/>
  <c r="O15" i="3" l="1"/>
  <c r="R15" i="3" s="1"/>
  <c r="U15" i="3" s="1"/>
  <c r="X15" i="3" s="1"/>
  <c r="AA15" i="3" s="1"/>
  <c r="D12" i="109" l="1"/>
  <c r="C10" i="82" s="1"/>
  <c r="E24" i="73" l="1"/>
  <c r="S141" i="3" l="1"/>
  <c r="D46" i="15" l="1"/>
  <c r="D72" i="15" s="1"/>
  <c r="D99" i="15" s="1"/>
  <c r="D127" i="15" s="1"/>
  <c r="C46" i="15"/>
  <c r="C72" i="15" s="1"/>
  <c r="C99" i="15" s="1"/>
  <c r="C127" i="15" s="1"/>
  <c r="F33" i="52" l="1"/>
  <c r="C135" i="15" l="1"/>
  <c r="E133" i="15"/>
  <c r="C123" i="15" s="1"/>
  <c r="E123" i="15" s="1"/>
  <c r="E131" i="15"/>
  <c r="C122" i="15" s="1"/>
  <c r="E122" i="15" s="1"/>
  <c r="F122" i="15" s="1"/>
  <c r="G122" i="15" s="1"/>
  <c r="E130" i="15"/>
  <c r="C121" i="15" s="1"/>
  <c r="E121" i="15" s="1"/>
  <c r="F121" i="15" s="1"/>
  <c r="E129" i="15"/>
  <c r="E120" i="15" s="1"/>
  <c r="G124" i="15"/>
  <c r="G123" i="15"/>
  <c r="G120" i="15"/>
  <c r="F119" i="15"/>
  <c r="G119" i="15" s="1"/>
  <c r="E105" i="15"/>
  <c r="C95" i="15" s="1"/>
  <c r="E95" i="15" s="1"/>
  <c r="E103" i="15"/>
  <c r="C94" i="15" s="1"/>
  <c r="E94" i="15" s="1"/>
  <c r="F94" i="15" s="1"/>
  <c r="G94" i="15" s="1"/>
  <c r="E102" i="15"/>
  <c r="C93" i="15" s="1"/>
  <c r="E93" i="15" s="1"/>
  <c r="F93" i="15" s="1"/>
  <c r="G93" i="15" s="1"/>
  <c r="E101" i="15"/>
  <c r="C92" i="15" s="1"/>
  <c r="E92" i="15" s="1"/>
  <c r="C107" i="15"/>
  <c r="G96" i="15"/>
  <c r="G95" i="15"/>
  <c r="G92" i="15"/>
  <c r="F91" i="15"/>
  <c r="G91" i="15" s="1"/>
  <c r="G121" i="15" l="1"/>
  <c r="G125" i="15" s="1"/>
  <c r="F125" i="15"/>
  <c r="G97" i="15"/>
  <c r="F97" i="15"/>
  <c r="O14" i="3" l="1"/>
  <c r="R14" i="3" s="1"/>
  <c r="U14" i="3" s="1"/>
  <c r="X14" i="3" s="1"/>
  <c r="D11" i="109" l="1"/>
  <c r="D11" i="82" s="1"/>
  <c r="E23" i="73" l="1"/>
  <c r="F23" i="73" l="1"/>
  <c r="AH23" i="73" l="1"/>
  <c r="A23" i="73" s="1"/>
  <c r="T10" i="5"/>
  <c r="V10" i="5" s="1"/>
  <c r="Y10" i="5" s="1"/>
  <c r="D5" i="110" l="1"/>
  <c r="E20" i="51" l="1"/>
  <c r="D29" i="51" s="1"/>
  <c r="C11" i="121"/>
  <c r="Q26" i="3"/>
  <c r="R26" i="3" s="1"/>
  <c r="U26" i="3" s="1"/>
  <c r="X26" i="3" s="1"/>
  <c r="Q29" i="3"/>
  <c r="Q28" i="3"/>
  <c r="R28" i="3" s="1"/>
  <c r="U28" i="3" s="1"/>
  <c r="X28" i="3" s="1"/>
  <c r="AA28" i="3" s="1"/>
  <c r="Q35" i="3"/>
  <c r="R35" i="3" s="1"/>
  <c r="U35" i="3" s="1"/>
  <c r="X35" i="3" s="1"/>
  <c r="Q27" i="3"/>
  <c r="R27" i="3" s="1"/>
  <c r="U27" i="3" s="1"/>
  <c r="X27" i="3" s="1"/>
  <c r="AA27" i="3" s="1"/>
  <c r="Q79" i="3"/>
  <c r="R79" i="3" s="1"/>
  <c r="U79" i="3" s="1"/>
  <c r="X79" i="3" s="1"/>
  <c r="Q34" i="3"/>
  <c r="R34" i="3" s="1"/>
  <c r="U34" i="3" s="1"/>
  <c r="X34" i="3" s="1"/>
  <c r="D24" i="109" s="1"/>
  <c r="Q33" i="3"/>
  <c r="R33" i="3" s="1"/>
  <c r="U33" i="3" s="1"/>
  <c r="X33" i="3" s="1"/>
  <c r="Q30" i="3"/>
  <c r="R30" i="3" s="1"/>
  <c r="T137" i="3"/>
  <c r="D38" i="109" l="1"/>
  <c r="C20" i="86" s="1"/>
  <c r="AA79" i="3"/>
  <c r="D23" i="109"/>
  <c r="D17" i="109"/>
  <c r="D18" i="109"/>
  <c r="D16" i="109"/>
  <c r="E86" i="73" l="1"/>
  <c r="AH86" i="73" s="1"/>
  <c r="C10" i="35"/>
  <c r="C8" i="35"/>
  <c r="C9" i="35"/>
  <c r="A86" i="73" l="1"/>
  <c r="F86" i="73"/>
  <c r="Z187" i="73"/>
  <c r="W187" i="73"/>
  <c r="O38" i="3" l="1"/>
  <c r="R38" i="3" s="1"/>
  <c r="U38" i="3" s="1"/>
  <c r="X38" i="3" s="1"/>
  <c r="O37" i="3" l="1"/>
  <c r="R37" i="3" l="1"/>
  <c r="U37" i="3" s="1"/>
  <c r="U36" i="3" s="1"/>
  <c r="O36" i="3"/>
  <c r="R36" i="3" l="1"/>
  <c r="X37" i="3"/>
  <c r="D32" i="109" l="1"/>
  <c r="AA37" i="3"/>
  <c r="X36" i="3"/>
  <c r="T104" i="3"/>
  <c r="S104" i="3"/>
  <c r="P104" i="3"/>
  <c r="E49" i="73" l="1"/>
  <c r="C9" i="86"/>
  <c r="F49" i="73" l="1"/>
  <c r="AH49" i="73"/>
  <c r="A49" i="73" s="1"/>
  <c r="H22" i="20"/>
  <c r="H44" i="20" s="1"/>
  <c r="H11" i="20" l="1"/>
  <c r="S41" i="3" l="1"/>
  <c r="P41" i="3"/>
  <c r="N40" i="3"/>
  <c r="L40" i="3"/>
  <c r="K40" i="3"/>
  <c r="J40" i="3"/>
  <c r="I40" i="3"/>
  <c r="H40" i="3" l="1"/>
  <c r="O41" i="3"/>
  <c r="O40" i="3" s="1"/>
  <c r="E100" i="15" l="1"/>
  <c r="C91" i="15" s="1"/>
  <c r="G22" i="20" l="1"/>
  <c r="G44" i="20" s="1"/>
  <c r="G11" i="20" l="1"/>
  <c r="F36" i="52" l="1"/>
  <c r="F34" i="52"/>
  <c r="G36" i="52"/>
  <c r="G33" i="52"/>
  <c r="G34" i="52"/>
  <c r="L42" i="5" l="1"/>
  <c r="M42" i="5"/>
  <c r="M13" i="5"/>
  <c r="L6" i="5"/>
  <c r="I21" i="121" s="1"/>
  <c r="F37" i="52"/>
  <c r="G37" i="52"/>
  <c r="G35" i="52"/>
  <c r="G30" i="52"/>
  <c r="G32" i="52"/>
  <c r="F28" i="52"/>
  <c r="G31" i="52"/>
  <c r="F32" i="52"/>
  <c r="F30" i="52"/>
  <c r="G28" i="52"/>
  <c r="F31" i="52"/>
  <c r="L87" i="5"/>
  <c r="L102" i="5"/>
  <c r="M79" i="5"/>
  <c r="M87" i="5"/>
  <c r="M102" i="5"/>
  <c r="L13" i="5"/>
  <c r="L96" i="5"/>
  <c r="L79" i="5"/>
  <c r="M6" i="5"/>
  <c r="J21" i="121" s="1"/>
  <c r="M96" i="5"/>
  <c r="J22" i="121" l="1"/>
  <c r="E30" i="87"/>
  <c r="D30" i="87"/>
  <c r="I22" i="121"/>
  <c r="G38" i="52"/>
  <c r="G39" i="52" s="1"/>
  <c r="F38" i="52"/>
  <c r="F39" i="52" s="1"/>
  <c r="M78" i="5"/>
  <c r="L78" i="5"/>
  <c r="M111" i="5" l="1"/>
  <c r="M113" i="5" s="1"/>
  <c r="E31" i="87"/>
  <c r="L111" i="5"/>
  <c r="L113" i="5" s="1"/>
  <c r="D31" i="87"/>
  <c r="K165" i="3" l="1"/>
  <c r="K167" i="3" s="1"/>
  <c r="K168" i="3" s="1"/>
  <c r="M115" i="5"/>
  <c r="L165" i="3"/>
  <c r="D32" i="87"/>
  <c r="L115" i="5"/>
  <c r="E32" i="87"/>
  <c r="L48" i="3"/>
  <c r="L6" i="3"/>
  <c r="K77" i="3"/>
  <c r="L77" i="3"/>
  <c r="K24" i="3"/>
  <c r="L24" i="3"/>
  <c r="K48" i="3"/>
  <c r="D21" i="87"/>
  <c r="L68" i="3"/>
  <c r="K68" i="3"/>
  <c r="L84" i="3"/>
  <c r="L132" i="3"/>
  <c r="L131" i="3" s="1"/>
  <c r="K84" i="3"/>
  <c r="K122" i="3"/>
  <c r="K121" i="3" s="1"/>
  <c r="K126" i="3"/>
  <c r="K125" i="3" s="1"/>
  <c r="K132" i="3"/>
  <c r="K131" i="3" s="1"/>
  <c r="L126" i="3"/>
  <c r="L125" i="3" s="1"/>
  <c r="L122" i="3"/>
  <c r="L121" i="3" s="1"/>
  <c r="L90" i="3"/>
  <c r="K90" i="3"/>
  <c r="I76" i="107" l="1"/>
  <c r="J76" i="107" s="1"/>
  <c r="F112" i="107" s="1"/>
  <c r="E114" i="107"/>
  <c r="E75" i="105"/>
  <c r="L167" i="3"/>
  <c r="L168" i="3" s="1"/>
  <c r="L5" i="3"/>
  <c r="E17" i="87" s="1"/>
  <c r="L106" i="3"/>
  <c r="E21" i="87"/>
  <c r="K89" i="3"/>
  <c r="D20" i="87" s="1"/>
  <c r="D22" i="87" s="1"/>
  <c r="L39" i="3"/>
  <c r="E18" i="87" s="1"/>
  <c r="K6" i="3"/>
  <c r="K39" i="3"/>
  <c r="D18" i="87" s="1"/>
  <c r="K106" i="3"/>
  <c r="G9" i="67"/>
  <c r="L89" i="3"/>
  <c r="F113" i="107" l="1"/>
  <c r="H122" i="126" s="1"/>
  <c r="H87" i="127"/>
  <c r="F210" i="107"/>
  <c r="K76" i="107"/>
  <c r="F73" i="105"/>
  <c r="E19" i="87"/>
  <c r="K5" i="3"/>
  <c r="D17" i="87" s="1"/>
  <c r="D19" i="87" s="1"/>
  <c r="L88" i="3"/>
  <c r="L159" i="3" s="1"/>
  <c r="E20" i="87"/>
  <c r="E22" i="87" s="1"/>
  <c r="G6" i="67"/>
  <c r="G8" i="67"/>
  <c r="K88" i="3"/>
  <c r="K159" i="3" s="1"/>
  <c r="L4" i="3"/>
  <c r="L157" i="3" s="1"/>
  <c r="I113" i="107" l="1"/>
  <c r="F74" i="105"/>
  <c r="I74" i="105" s="1"/>
  <c r="H87" i="125"/>
  <c r="F171" i="105"/>
  <c r="H85" i="127"/>
  <c r="H88" i="127" s="1"/>
  <c r="K87" i="127"/>
  <c r="G210" i="107"/>
  <c r="D221" i="107" s="1"/>
  <c r="K122" i="126"/>
  <c r="H120" i="126"/>
  <c r="H111" i="126" s="1"/>
  <c r="H129" i="126" s="1"/>
  <c r="K4" i="3"/>
  <c r="K157" i="3" s="1"/>
  <c r="K144" i="3"/>
  <c r="K143" i="3" s="1"/>
  <c r="G75" i="105" s="1"/>
  <c r="H122" i="124" l="1"/>
  <c r="K122" i="124" s="1"/>
  <c r="G171" i="105"/>
  <c r="D180" i="105" s="1"/>
  <c r="H85" i="125"/>
  <c r="H88" i="125" s="1"/>
  <c r="K87" i="125"/>
  <c r="D106" i="15"/>
  <c r="D222" i="107"/>
  <c r="G221" i="107" s="1"/>
  <c r="G222" i="107" s="1"/>
  <c r="K120" i="126"/>
  <c r="K111" i="126" s="1"/>
  <c r="L140" i="3"/>
  <c r="L136" i="3" s="1"/>
  <c r="L135" i="3" s="1"/>
  <c r="F114" i="107" s="1"/>
  <c r="H210" i="107"/>
  <c r="M119" i="5"/>
  <c r="K85" i="127"/>
  <c r="K88" i="127" s="1"/>
  <c r="M144" i="3"/>
  <c r="M143" i="3" s="1"/>
  <c r="M120" i="3" s="1"/>
  <c r="M154" i="3" s="1"/>
  <c r="H120" i="124" l="1"/>
  <c r="H111" i="124" s="1"/>
  <c r="H129" i="124" s="1"/>
  <c r="K85" i="125"/>
  <c r="K88" i="125" s="1"/>
  <c r="L119" i="5"/>
  <c r="H171" i="105"/>
  <c r="D79" i="15"/>
  <c r="D181" i="105"/>
  <c r="G181" i="105" s="1"/>
  <c r="G182" i="105" s="1"/>
  <c r="M116" i="5"/>
  <c r="M120" i="5" s="1"/>
  <c r="E33" i="87" s="1"/>
  <c r="L172" i="3"/>
  <c r="L173" i="3" s="1"/>
  <c r="L174" i="3" s="1"/>
  <c r="L175" i="3" s="1"/>
  <c r="K129" i="126"/>
  <c r="L160" i="3"/>
  <c r="E106" i="15"/>
  <c r="C96" i="15" s="1"/>
  <c r="D107" i="15"/>
  <c r="E107" i="15" s="1"/>
  <c r="K120" i="124"/>
  <c r="K111" i="124" s="1"/>
  <c r="K140" i="3"/>
  <c r="F23" i="87"/>
  <c r="F24" i="87" s="1"/>
  <c r="F25" i="87" s="1"/>
  <c r="M161" i="3"/>
  <c r="M150" i="3"/>
  <c r="L144" i="3"/>
  <c r="L143" i="3" s="1"/>
  <c r="G114" i="107" s="1"/>
  <c r="K172" i="3" l="1"/>
  <c r="K173" i="3" s="1"/>
  <c r="K174" i="3" s="1"/>
  <c r="K175" i="3" s="1"/>
  <c r="L116" i="5"/>
  <c r="L120" i="5" s="1"/>
  <c r="D33" i="87" s="1"/>
  <c r="E96" i="15"/>
  <c r="E97" i="15" s="1"/>
  <c r="C97" i="15"/>
  <c r="K136" i="3"/>
  <c r="K135" i="3" s="1"/>
  <c r="K129" i="124"/>
  <c r="K160" i="3"/>
  <c r="L120" i="3"/>
  <c r="E23" i="87" s="1"/>
  <c r="E24" i="87" s="1"/>
  <c r="E25" i="87" s="1"/>
  <c r="F75" i="105" l="1"/>
  <c r="K120" i="3"/>
  <c r="L161" i="3"/>
  <c r="L154" i="3"/>
  <c r="L150" i="3" s="1"/>
  <c r="D23" i="87" l="1"/>
  <c r="D24" i="87" s="1"/>
  <c r="D25" i="87" s="1"/>
  <c r="K154" i="3"/>
  <c r="K150" i="3" s="1"/>
  <c r="K161" i="3"/>
  <c r="D178" i="15"/>
  <c r="D80" i="15"/>
  <c r="E79" i="15"/>
  <c r="E78" i="15"/>
  <c r="C68" i="15" s="1"/>
  <c r="E68" i="15" s="1"/>
  <c r="E76" i="15"/>
  <c r="C67" i="15" s="1"/>
  <c r="E67" i="15" s="1"/>
  <c r="F67" i="15" s="1"/>
  <c r="G67" i="15" s="1"/>
  <c r="E75" i="15"/>
  <c r="C66" i="15" s="1"/>
  <c r="E66" i="15" s="1"/>
  <c r="F66" i="15" s="1"/>
  <c r="G66" i="15" s="1"/>
  <c r="E74" i="15"/>
  <c r="C65" i="15" s="1"/>
  <c r="E65" i="15" s="1"/>
  <c r="E73" i="15"/>
  <c r="G69" i="15"/>
  <c r="G68" i="15"/>
  <c r="G65" i="15"/>
  <c r="F64" i="15"/>
  <c r="E52" i="15"/>
  <c r="C42" i="15" s="1"/>
  <c r="E42" i="15" s="1"/>
  <c r="E50" i="15"/>
  <c r="C41" i="15" s="1"/>
  <c r="E41" i="15" s="1"/>
  <c r="E49" i="15"/>
  <c r="C40" i="15" s="1"/>
  <c r="E40" i="15" s="1"/>
  <c r="F40" i="15" s="1"/>
  <c r="G40" i="15" s="1"/>
  <c r="E48" i="15"/>
  <c r="C39" i="15" s="1"/>
  <c r="E39" i="15" s="1"/>
  <c r="G43" i="15"/>
  <c r="G42" i="15"/>
  <c r="G39" i="15"/>
  <c r="E26" i="15"/>
  <c r="C16" i="15" s="1"/>
  <c r="E16" i="15" s="1"/>
  <c r="E23" i="15"/>
  <c r="C14" i="15" s="1"/>
  <c r="E22" i="15"/>
  <c r="C13" i="15" s="1"/>
  <c r="E13" i="15" s="1"/>
  <c r="F12" i="15"/>
  <c r="G12" i="15" s="1"/>
  <c r="C69" i="15" l="1"/>
  <c r="E69" i="15" s="1"/>
  <c r="E70" i="15" s="1"/>
  <c r="C64" i="15"/>
  <c r="F41" i="15"/>
  <c r="G41" i="15" s="1"/>
  <c r="C175" i="15" s="1"/>
  <c r="C173" i="15"/>
  <c r="C177" i="15"/>
  <c r="E177" i="15" s="1"/>
  <c r="C176" i="15"/>
  <c r="E173" i="15"/>
  <c r="E14" i="15"/>
  <c r="F14" i="15" s="1"/>
  <c r="G14" i="15" s="1"/>
  <c r="F70" i="15"/>
  <c r="E24" i="15"/>
  <c r="C28" i="15"/>
  <c r="C80" i="15"/>
  <c r="E80" i="15" s="1"/>
  <c r="G64" i="15"/>
  <c r="C70" i="15" l="1"/>
  <c r="G70" i="15"/>
  <c r="C174" i="15"/>
  <c r="E174" i="15" s="1"/>
  <c r="C54" i="15" l="1"/>
  <c r="E21" i="15" l="1"/>
  <c r="C12" i="15" s="1"/>
  <c r="C38" i="15" l="1"/>
  <c r="E38" i="15" l="1"/>
  <c r="F38" i="15" l="1"/>
  <c r="F44" i="15" l="1"/>
  <c r="C172" i="15"/>
  <c r="F22" i="20"/>
  <c r="E25" i="15"/>
  <c r="C15" i="15" l="1"/>
  <c r="E15" i="15" s="1"/>
  <c r="F15" i="15" s="1"/>
  <c r="G15" i="15" s="1"/>
  <c r="E172" i="15"/>
  <c r="K44" i="20"/>
  <c r="F44" i="20"/>
  <c r="G44" i="15"/>
  <c r="E27" i="15"/>
  <c r="C17" i="15" s="1"/>
  <c r="E17" i="15" s="1"/>
  <c r="D28" i="15"/>
  <c r="E28" i="15" s="1"/>
  <c r="G18" i="15" l="1"/>
  <c r="F18" i="15"/>
  <c r="E18" i="15"/>
  <c r="C18" i="15"/>
  <c r="E175" i="15" l="1"/>
  <c r="E178" i="15" s="1"/>
  <c r="G188" i="15" s="1"/>
  <c r="M115" i="10" s="1"/>
  <c r="M123" i="10" l="1"/>
  <c r="F186" i="15"/>
  <c r="D44" i="56" s="1"/>
  <c r="E44" i="56" s="1"/>
  <c r="C178" i="15"/>
  <c r="U112" i="5"/>
  <c r="U107" i="5"/>
  <c r="T107" i="5"/>
  <c r="U106" i="5"/>
  <c r="T106" i="5"/>
  <c r="U105" i="5"/>
  <c r="T105" i="5"/>
  <c r="U104" i="5"/>
  <c r="T104" i="5"/>
  <c r="U103" i="5"/>
  <c r="T103" i="5"/>
  <c r="U95" i="5"/>
  <c r="T95" i="5"/>
  <c r="U92" i="5"/>
  <c r="T92" i="5"/>
  <c r="U91" i="5"/>
  <c r="T91" i="5"/>
  <c r="U90" i="5"/>
  <c r="T90" i="5"/>
  <c r="U89" i="5"/>
  <c r="T89" i="5"/>
  <c r="U88" i="5"/>
  <c r="T88" i="5"/>
  <c r="U77" i="5"/>
  <c r="T77" i="5"/>
  <c r="U76" i="5"/>
  <c r="T76" i="5"/>
  <c r="U74" i="5"/>
  <c r="T74" i="5"/>
  <c r="U73" i="5"/>
  <c r="T73" i="5"/>
  <c r="U72" i="5"/>
  <c r="T72" i="5"/>
  <c r="U71" i="5"/>
  <c r="T71" i="5"/>
  <c r="U70" i="5"/>
  <c r="T70" i="5"/>
  <c r="U69" i="5"/>
  <c r="T69" i="5"/>
  <c r="U67" i="5"/>
  <c r="T67" i="5"/>
  <c r="U66" i="5"/>
  <c r="T66" i="5"/>
  <c r="U65" i="5"/>
  <c r="T65" i="5"/>
  <c r="U64" i="5"/>
  <c r="T64" i="5"/>
  <c r="U63" i="5"/>
  <c r="T63" i="5"/>
  <c r="U62" i="5"/>
  <c r="T62" i="5"/>
  <c r="U61" i="5"/>
  <c r="T61" i="5"/>
  <c r="U60" i="5"/>
  <c r="T60" i="5"/>
  <c r="U59" i="5"/>
  <c r="T59" i="5"/>
  <c r="U58" i="5"/>
  <c r="T58" i="5"/>
  <c r="U57" i="5"/>
  <c r="T57" i="5"/>
  <c r="U56" i="5"/>
  <c r="T56" i="5"/>
  <c r="U55" i="5"/>
  <c r="T55" i="5"/>
  <c r="U54" i="5"/>
  <c r="T54" i="5"/>
  <c r="U52" i="5"/>
  <c r="T52" i="5"/>
  <c r="U51" i="5"/>
  <c r="T51" i="5"/>
  <c r="U50" i="5"/>
  <c r="T50" i="5"/>
  <c r="U49" i="5"/>
  <c r="T49" i="5"/>
  <c r="U48" i="5"/>
  <c r="T48" i="5"/>
  <c r="U47" i="5"/>
  <c r="T47" i="5"/>
  <c r="U45" i="5"/>
  <c r="T45" i="5"/>
  <c r="U44" i="5"/>
  <c r="T44" i="5"/>
  <c r="U43" i="5"/>
  <c r="T43" i="5"/>
  <c r="U41" i="5"/>
  <c r="T41" i="5"/>
  <c r="U15" i="5"/>
  <c r="T15" i="5"/>
  <c r="U12" i="5"/>
  <c r="T12" i="5"/>
  <c r="U11" i="5"/>
  <c r="T11" i="5"/>
  <c r="U9" i="5"/>
  <c r="T9" i="5"/>
  <c r="U8" i="5"/>
  <c r="T8" i="5"/>
  <c r="Q112" i="5"/>
  <c r="Q107" i="5"/>
  <c r="Q106" i="5"/>
  <c r="Q105" i="5"/>
  <c r="Q104" i="5"/>
  <c r="Q103" i="5"/>
  <c r="Q101" i="5"/>
  <c r="Q100" i="5"/>
  <c r="Q99" i="5"/>
  <c r="Q98" i="5"/>
  <c r="Q97" i="5"/>
  <c r="Q95" i="5"/>
  <c r="Q92" i="5"/>
  <c r="Q91" i="5"/>
  <c r="Q90" i="5"/>
  <c r="Q89" i="5"/>
  <c r="Q88" i="5"/>
  <c r="Q86" i="5"/>
  <c r="Q83" i="5"/>
  <c r="Q82" i="5"/>
  <c r="Q81" i="5"/>
  <c r="Q80" i="5"/>
  <c r="Q77" i="5"/>
  <c r="Q76" i="5"/>
  <c r="Q74" i="5"/>
  <c r="Q73" i="5"/>
  <c r="Q72" i="5"/>
  <c r="Q71" i="5"/>
  <c r="Q70" i="5"/>
  <c r="Q69" i="5"/>
  <c r="Q67" i="5"/>
  <c r="Q66" i="5"/>
  <c r="Q65" i="5"/>
  <c r="Q64" i="5"/>
  <c r="Q63" i="5"/>
  <c r="Q62" i="5"/>
  <c r="Q61" i="5"/>
  <c r="Q60" i="5"/>
  <c r="Q59" i="5"/>
  <c r="Q58" i="5"/>
  <c r="Q57" i="5"/>
  <c r="Q56" i="5"/>
  <c r="Q55" i="5"/>
  <c r="Q54" i="5"/>
  <c r="Q52" i="5"/>
  <c r="Q51" i="5"/>
  <c r="Q50" i="5"/>
  <c r="Q49" i="5"/>
  <c r="Q48" i="5"/>
  <c r="Q47" i="5"/>
  <c r="Q45" i="5"/>
  <c r="Q44" i="5"/>
  <c r="Q43" i="5"/>
  <c r="Q41" i="5"/>
  <c r="Q15" i="5"/>
  <c r="Q12" i="5"/>
  <c r="Q11" i="5"/>
  <c r="Q9" i="5"/>
  <c r="Q8" i="5"/>
  <c r="P153" i="3"/>
  <c r="P152" i="3"/>
  <c r="P148" i="3"/>
  <c r="P147" i="3"/>
  <c r="P146" i="3"/>
  <c r="P145" i="3"/>
  <c r="P142" i="3"/>
  <c r="P141" i="3"/>
  <c r="P139" i="3"/>
  <c r="P138" i="3"/>
  <c r="P137" i="3"/>
  <c r="P134" i="3"/>
  <c r="P130" i="3"/>
  <c r="P129" i="3"/>
  <c r="P128" i="3"/>
  <c r="P127" i="3"/>
  <c r="P124" i="3"/>
  <c r="P123" i="3"/>
  <c r="P119" i="3"/>
  <c r="P115" i="3"/>
  <c r="P114" i="3"/>
  <c r="P113" i="3"/>
  <c r="P112" i="3"/>
  <c r="P111" i="3"/>
  <c r="P110" i="3"/>
  <c r="P109" i="3"/>
  <c r="P108" i="3"/>
  <c r="P105" i="3"/>
  <c r="P103" i="3"/>
  <c r="P102" i="3"/>
  <c r="P101" i="3"/>
  <c r="P100" i="3"/>
  <c r="P99" i="3"/>
  <c r="P98" i="3"/>
  <c r="P97" i="3"/>
  <c r="P95" i="3"/>
  <c r="P94" i="3"/>
  <c r="P93" i="3"/>
  <c r="P92" i="3"/>
  <c r="P91" i="3"/>
  <c r="P87" i="3"/>
  <c r="P86" i="3"/>
  <c r="P85" i="3"/>
  <c r="P83" i="3"/>
  <c r="P82" i="3"/>
  <c r="P78" i="3"/>
  <c r="P76" i="3"/>
  <c r="P73" i="3"/>
  <c r="P72" i="3"/>
  <c r="P71" i="3"/>
  <c r="P70" i="3"/>
  <c r="P69" i="3"/>
  <c r="P67" i="3"/>
  <c r="P66" i="3"/>
  <c r="P65" i="3"/>
  <c r="P64" i="3"/>
  <c r="P61" i="3"/>
  <c r="P60" i="3"/>
  <c r="P59" i="3"/>
  <c r="P58" i="3"/>
  <c r="P57" i="3"/>
  <c r="P56" i="3"/>
  <c r="P55" i="3"/>
  <c r="P54" i="3"/>
  <c r="P49" i="3"/>
  <c r="P47" i="3"/>
  <c r="P45" i="3"/>
  <c r="P44" i="3"/>
  <c r="P25" i="3"/>
  <c r="P23" i="3"/>
  <c r="P22" i="3"/>
  <c r="P21" i="3"/>
  <c r="P20" i="3"/>
  <c r="P19" i="3"/>
  <c r="P18" i="3"/>
  <c r="P17" i="3"/>
  <c r="P16" i="3"/>
  <c r="P13" i="3"/>
  <c r="P12" i="3"/>
  <c r="P11" i="3"/>
  <c r="P10" i="3"/>
  <c r="P9" i="3"/>
  <c r="P8" i="3"/>
  <c r="P7" i="3"/>
  <c r="F190" i="15" l="1"/>
  <c r="J115" i="10"/>
  <c r="G8" i="56"/>
  <c r="J33" i="52"/>
  <c r="J30" i="52"/>
  <c r="J36" i="52"/>
  <c r="J35" i="52"/>
  <c r="J34" i="52"/>
  <c r="J29" i="52"/>
  <c r="K29" i="52" s="1"/>
  <c r="D11" i="52" s="1"/>
  <c r="C11" i="52" s="1"/>
  <c r="J28" i="52"/>
  <c r="T112" i="5"/>
  <c r="Q114" i="5"/>
  <c r="T109" i="3"/>
  <c r="T153" i="3"/>
  <c r="T152" i="3"/>
  <c r="T148" i="3"/>
  <c r="T147" i="3"/>
  <c r="T146" i="3"/>
  <c r="T145" i="3"/>
  <c r="T142" i="3"/>
  <c r="T141" i="3"/>
  <c r="T139" i="3"/>
  <c r="T138" i="3"/>
  <c r="T134" i="3"/>
  <c r="T133" i="3"/>
  <c r="T130" i="3"/>
  <c r="T129" i="3"/>
  <c r="T128" i="3"/>
  <c r="T127" i="3"/>
  <c r="T124" i="3"/>
  <c r="T123" i="3"/>
  <c r="T119" i="3"/>
  <c r="T115" i="3"/>
  <c r="T114" i="3"/>
  <c r="T113" i="3"/>
  <c r="T112" i="3"/>
  <c r="T111" i="3"/>
  <c r="T110" i="3"/>
  <c r="T108" i="3"/>
  <c r="T105" i="3"/>
  <c r="T103" i="3"/>
  <c r="T102" i="3"/>
  <c r="T101" i="3"/>
  <c r="T100" i="3"/>
  <c r="T99" i="3"/>
  <c r="T98" i="3"/>
  <c r="T97" i="3"/>
  <c r="T95" i="3"/>
  <c r="T94" i="3"/>
  <c r="T93" i="3"/>
  <c r="T92" i="3"/>
  <c r="T91" i="3"/>
  <c r="T87" i="3"/>
  <c r="T86" i="3"/>
  <c r="T85" i="3"/>
  <c r="T83" i="3"/>
  <c r="T82" i="3"/>
  <c r="T78" i="3"/>
  <c r="T76" i="3"/>
  <c r="T73" i="3"/>
  <c r="T72" i="3"/>
  <c r="T71" i="3"/>
  <c r="T70" i="3"/>
  <c r="T69" i="3"/>
  <c r="T67" i="3"/>
  <c r="T66" i="3"/>
  <c r="T65" i="3"/>
  <c r="T64" i="3"/>
  <c r="T61" i="3"/>
  <c r="T60" i="3"/>
  <c r="T59" i="3"/>
  <c r="T58" i="3"/>
  <c r="T57" i="3"/>
  <c r="T56" i="3"/>
  <c r="T55" i="3"/>
  <c r="T54" i="3"/>
  <c r="T49" i="3"/>
  <c r="T47" i="3"/>
  <c r="T45" i="3"/>
  <c r="T44" i="3"/>
  <c r="T25" i="3"/>
  <c r="T23" i="3"/>
  <c r="S153" i="3"/>
  <c r="S152" i="3"/>
  <c r="S148" i="3"/>
  <c r="S147" i="3"/>
  <c r="S146" i="3"/>
  <c r="S145" i="3"/>
  <c r="S142" i="3"/>
  <c r="S139" i="3"/>
  <c r="S138" i="3"/>
  <c r="S137" i="3"/>
  <c r="S134" i="3"/>
  <c r="S133" i="3"/>
  <c r="S130" i="3"/>
  <c r="S129" i="3"/>
  <c r="S128" i="3"/>
  <c r="S127" i="3"/>
  <c r="S124" i="3"/>
  <c r="S123" i="3"/>
  <c r="S119" i="3"/>
  <c r="S115" i="3"/>
  <c r="S114" i="3"/>
  <c r="S113" i="3"/>
  <c r="S112" i="3"/>
  <c r="S111" i="3"/>
  <c r="S110" i="3"/>
  <c r="S109" i="3"/>
  <c r="S108" i="3"/>
  <c r="S105" i="3"/>
  <c r="S103" i="3"/>
  <c r="S102" i="3"/>
  <c r="S101" i="3"/>
  <c r="S100" i="3"/>
  <c r="S99" i="3"/>
  <c r="S98" i="3"/>
  <c r="S97" i="3"/>
  <c r="S95" i="3"/>
  <c r="S94" i="3"/>
  <c r="S93" i="3"/>
  <c r="S92" i="3"/>
  <c r="S91" i="3"/>
  <c r="S87" i="3"/>
  <c r="S86" i="3"/>
  <c r="S85" i="3"/>
  <c r="S83" i="3"/>
  <c r="S82" i="3"/>
  <c r="S78" i="3"/>
  <c r="S76" i="3"/>
  <c r="S73" i="3"/>
  <c r="S72" i="3"/>
  <c r="S71" i="3"/>
  <c r="S70" i="3"/>
  <c r="S69" i="3"/>
  <c r="S67" i="3"/>
  <c r="S66" i="3"/>
  <c r="S65" i="3"/>
  <c r="S64" i="3"/>
  <c r="S61" i="3"/>
  <c r="S60" i="3"/>
  <c r="S59" i="3"/>
  <c r="S58" i="3"/>
  <c r="S57" i="3"/>
  <c r="S56" i="3"/>
  <c r="S55" i="3"/>
  <c r="S54" i="3"/>
  <c r="S47" i="3"/>
  <c r="S45" i="3"/>
  <c r="S44" i="3"/>
  <c r="S23" i="3"/>
  <c r="E36" i="52"/>
  <c r="D36" i="52"/>
  <c r="E33" i="52"/>
  <c r="D33" i="52"/>
  <c r="E34" i="52"/>
  <c r="D34" i="52"/>
  <c r="N115" i="10" l="1"/>
  <c r="J124" i="10"/>
  <c r="G10" i="56"/>
  <c r="C8" i="56"/>
  <c r="C10" i="56" s="1"/>
  <c r="C22" i="56" s="1"/>
  <c r="O42" i="5"/>
  <c r="I42" i="5"/>
  <c r="J42" i="5"/>
  <c r="K42" i="5"/>
  <c r="K33" i="52"/>
  <c r="D15" i="52" s="1"/>
  <c r="C15" i="52" s="1"/>
  <c r="K34" i="52"/>
  <c r="D16" i="52" s="1"/>
  <c r="C16" i="52" s="1"/>
  <c r="K36" i="52"/>
  <c r="D18" i="52" s="1"/>
  <c r="C18" i="52" s="1"/>
  <c r="D28" i="52"/>
  <c r="D35" i="52"/>
  <c r="D31" i="52"/>
  <c r="D37" i="52"/>
  <c r="D30" i="52"/>
  <c r="E28" i="52"/>
  <c r="E35" i="52"/>
  <c r="E31" i="52"/>
  <c r="E37" i="52"/>
  <c r="E30" i="52"/>
  <c r="D32" i="52"/>
  <c r="E32" i="52"/>
  <c r="T121" i="5" l="1"/>
  <c r="K35" i="52"/>
  <c r="D17" i="52" s="1"/>
  <c r="C17" i="52" s="1"/>
  <c r="K28" i="52"/>
  <c r="D10" i="52" s="1"/>
  <c r="C10" i="52" s="1"/>
  <c r="K30" i="52"/>
  <c r="D12" i="52" s="1"/>
  <c r="C12" i="52" s="1"/>
  <c r="K32" i="52"/>
  <c r="D14" i="52" s="1"/>
  <c r="C14" i="52" s="1"/>
  <c r="K37" i="52"/>
  <c r="D19" i="52" s="1"/>
  <c r="C19" i="52" s="1"/>
  <c r="K31" i="52"/>
  <c r="D13" i="52" s="1"/>
  <c r="D38" i="52"/>
  <c r="H38" i="52"/>
  <c r="H39" i="52" s="1"/>
  <c r="E38" i="52"/>
  <c r="O96" i="5"/>
  <c r="P92" i="5"/>
  <c r="P88" i="5"/>
  <c r="P86" i="5"/>
  <c r="P82" i="5"/>
  <c r="P66" i="5"/>
  <c r="P63" i="5"/>
  <c r="P62" i="5"/>
  <c r="P61" i="5"/>
  <c r="P58" i="5"/>
  <c r="P54" i="5"/>
  <c r="P52" i="5"/>
  <c r="P49" i="5"/>
  <c r="P43" i="5"/>
  <c r="K13" i="5"/>
  <c r="D151" i="3"/>
  <c r="E152" i="3" s="1"/>
  <c r="N90" i="3"/>
  <c r="J90" i="3"/>
  <c r="I90" i="3"/>
  <c r="E14" i="114" l="1"/>
  <c r="F14" i="114" s="1"/>
  <c r="C13" i="52"/>
  <c r="E39" i="52"/>
  <c r="O6" i="5"/>
  <c r="J77" i="3"/>
  <c r="O29" i="3"/>
  <c r="R29" i="3" s="1"/>
  <c r="U29" i="3" s="1"/>
  <c r="X29" i="3" s="1"/>
  <c r="AA29" i="3" s="1"/>
  <c r="H48" i="3"/>
  <c r="K76" i="39" s="1"/>
  <c r="C21" i="87"/>
  <c r="J48" i="3"/>
  <c r="K104" i="39" s="1"/>
  <c r="O8" i="3"/>
  <c r="O10" i="3"/>
  <c r="O47" i="3"/>
  <c r="O16" i="3"/>
  <c r="O18" i="3"/>
  <c r="O22" i="3"/>
  <c r="O19" i="3"/>
  <c r="O21" i="3"/>
  <c r="O23" i="3"/>
  <c r="O17" i="3"/>
  <c r="O11" i="3"/>
  <c r="O45" i="3"/>
  <c r="O12" i="3"/>
  <c r="I77" i="3"/>
  <c r="P12" i="5"/>
  <c r="P55" i="5"/>
  <c r="P59" i="5"/>
  <c r="P71" i="5"/>
  <c r="P8" i="5"/>
  <c r="P14" i="5"/>
  <c r="P69" i="5"/>
  <c r="P73" i="5"/>
  <c r="P77" i="5"/>
  <c r="K79" i="5"/>
  <c r="P91" i="5"/>
  <c r="P98" i="5"/>
  <c r="P99" i="5"/>
  <c r="P100" i="5"/>
  <c r="P11" i="5"/>
  <c r="O13" i="5"/>
  <c r="P70" i="5"/>
  <c r="P72" i="5"/>
  <c r="P80" i="5"/>
  <c r="P101" i="5"/>
  <c r="P105" i="5"/>
  <c r="J6" i="5"/>
  <c r="P45" i="5"/>
  <c r="P47" i="5"/>
  <c r="P51" i="5"/>
  <c r="P56" i="5"/>
  <c r="P60" i="5"/>
  <c r="P64" i="5"/>
  <c r="P83" i="5"/>
  <c r="O87" i="5"/>
  <c r="P95" i="5"/>
  <c r="P106" i="5"/>
  <c r="K6" i="5"/>
  <c r="H21" i="121" s="1"/>
  <c r="J13" i="5"/>
  <c r="D39" i="52" s="1"/>
  <c r="P65" i="5"/>
  <c r="P76" i="5"/>
  <c r="I79" i="5"/>
  <c r="J79" i="5"/>
  <c r="P89" i="5"/>
  <c r="K96" i="5"/>
  <c r="P97" i="5"/>
  <c r="P112" i="5"/>
  <c r="I6" i="5"/>
  <c r="F21" i="121" s="1"/>
  <c r="F22" i="121" s="1"/>
  <c r="P9" i="5"/>
  <c r="P57" i="5"/>
  <c r="P67" i="5"/>
  <c r="P74" i="5"/>
  <c r="O79" i="5"/>
  <c r="P90" i="5"/>
  <c r="J87" i="5"/>
  <c r="K87" i="5"/>
  <c r="I96" i="5"/>
  <c r="J96" i="5"/>
  <c r="P44" i="5"/>
  <c r="P48" i="5"/>
  <c r="P50" i="5"/>
  <c r="P81" i="5"/>
  <c r="J102" i="5"/>
  <c r="O102" i="5"/>
  <c r="G21" i="121" l="1"/>
  <c r="G22" i="121" s="1"/>
  <c r="H22" i="121"/>
  <c r="C30" i="87"/>
  <c r="P7" i="5"/>
  <c r="P6" i="5" s="1"/>
  <c r="D19" i="109"/>
  <c r="P42" i="5"/>
  <c r="I13" i="5"/>
  <c r="C39" i="52" s="1"/>
  <c r="N48" i="3"/>
  <c r="K146" i="39" s="1"/>
  <c r="I48" i="3"/>
  <c r="K90" i="39" s="1"/>
  <c r="H6" i="3"/>
  <c r="H24" i="3"/>
  <c r="H77" i="3"/>
  <c r="N6" i="3"/>
  <c r="J6" i="3"/>
  <c r="I6" i="3"/>
  <c r="J24" i="3"/>
  <c r="O20" i="3"/>
  <c r="I24" i="3"/>
  <c r="O9" i="3"/>
  <c r="O13" i="3"/>
  <c r="O104" i="3"/>
  <c r="O78" i="5"/>
  <c r="O111" i="5" s="1"/>
  <c r="O113" i="5" s="1"/>
  <c r="O115" i="5" s="1"/>
  <c r="J78" i="5"/>
  <c r="J111" i="5" s="1"/>
  <c r="J113" i="5" s="1"/>
  <c r="K78" i="5"/>
  <c r="C31" i="87" s="1"/>
  <c r="K102" i="5"/>
  <c r="P104" i="5"/>
  <c r="P96" i="5"/>
  <c r="P107" i="5"/>
  <c r="P79" i="5"/>
  <c r="P87" i="5"/>
  <c r="I87" i="5"/>
  <c r="P103" i="5"/>
  <c r="I102" i="5"/>
  <c r="J115" i="5" l="1"/>
  <c r="I165" i="3"/>
  <c r="J5" i="3"/>
  <c r="I5" i="3"/>
  <c r="C11" i="35"/>
  <c r="P13" i="5"/>
  <c r="H5" i="3"/>
  <c r="G6" i="14"/>
  <c r="G7" i="14"/>
  <c r="G8" i="14"/>
  <c r="N24" i="3"/>
  <c r="N5" i="3" s="1"/>
  <c r="G17" i="87" s="1"/>
  <c r="N77" i="3"/>
  <c r="I78" i="5"/>
  <c r="K111" i="5"/>
  <c r="K113" i="5" s="1"/>
  <c r="J165" i="3" s="1"/>
  <c r="P102" i="5"/>
  <c r="P78" i="5" l="1"/>
  <c r="P111" i="5" s="1"/>
  <c r="P113" i="5" s="1"/>
  <c r="J167" i="3"/>
  <c r="C32" i="87"/>
  <c r="K115" i="5"/>
  <c r="I111" i="5"/>
  <c r="I113" i="5" s="1"/>
  <c r="R72" i="5"/>
  <c r="S72" i="5" s="1"/>
  <c r="I115" i="5" l="1"/>
  <c r="H165" i="3"/>
  <c r="H167" i="3" s="1"/>
  <c r="H168" i="3" s="1"/>
  <c r="V72" i="5"/>
  <c r="I120" i="5"/>
  <c r="R50" i="5"/>
  <c r="S50" i="5" s="1"/>
  <c r="Q42" i="3"/>
  <c r="R42" i="3" s="1"/>
  <c r="U42" i="3" s="1"/>
  <c r="X42" i="3" s="1"/>
  <c r="Q41" i="3"/>
  <c r="R41" i="3" s="1"/>
  <c r="U41" i="3" s="1"/>
  <c r="Q110" i="3"/>
  <c r="R99" i="5"/>
  <c r="S99" i="5" s="1"/>
  <c r="V99" i="5" s="1"/>
  <c r="Y99" i="5" s="1"/>
  <c r="R55" i="5"/>
  <c r="S55" i="5" s="1"/>
  <c r="V55" i="5" s="1"/>
  <c r="R80" i="5"/>
  <c r="S80" i="5" s="1"/>
  <c r="V80" i="5" s="1"/>
  <c r="Y80" i="5" s="1"/>
  <c r="D10" i="54" s="1"/>
  <c r="C10" i="54" s="1"/>
  <c r="R9" i="5"/>
  <c r="S9" i="5" s="1"/>
  <c r="V9" i="5" s="1"/>
  <c r="Y9" i="5" s="1"/>
  <c r="AF9" i="5" s="1"/>
  <c r="Q127" i="3"/>
  <c r="R95" i="5"/>
  <c r="R59" i="5"/>
  <c r="S59" i="5" s="1"/>
  <c r="R106" i="5"/>
  <c r="R76" i="5"/>
  <c r="S76" i="5" s="1"/>
  <c r="V76" i="5" s="1"/>
  <c r="Q104" i="3"/>
  <c r="R104" i="3" s="1"/>
  <c r="U104" i="3" s="1"/>
  <c r="X104" i="3" s="1"/>
  <c r="R105" i="5"/>
  <c r="Q123" i="3"/>
  <c r="Q93" i="3"/>
  <c r="Q66" i="3"/>
  <c r="R49" i="5"/>
  <c r="S49" i="5" s="1"/>
  <c r="Q134" i="3"/>
  <c r="R69" i="5"/>
  <c r="S69" i="5" s="1"/>
  <c r="V69" i="5" s="1"/>
  <c r="Q73" i="3"/>
  <c r="Q16" i="3"/>
  <c r="R86" i="5"/>
  <c r="S86" i="5" s="1"/>
  <c r="V86" i="5" s="1"/>
  <c r="Y86" i="5" s="1"/>
  <c r="D16" i="54" s="1"/>
  <c r="C16" i="54" s="1"/>
  <c r="R8" i="5"/>
  <c r="Q145" i="3"/>
  <c r="Q70" i="3"/>
  <c r="Q11" i="3"/>
  <c r="Q92" i="3"/>
  <c r="R61" i="5"/>
  <c r="S61" i="5" s="1"/>
  <c r="V61" i="5" s="1"/>
  <c r="R74" i="5"/>
  <c r="S74" i="5" s="1"/>
  <c r="Q105" i="3"/>
  <c r="Q76" i="3"/>
  <c r="R15" i="5"/>
  <c r="Q60" i="3"/>
  <c r="R98" i="5"/>
  <c r="S98" i="5" s="1"/>
  <c r="V98" i="5" s="1"/>
  <c r="Y98" i="5" s="1"/>
  <c r="Q130" i="3"/>
  <c r="R64" i="5"/>
  <c r="S64" i="5" s="1"/>
  <c r="V64" i="5" s="1"/>
  <c r="Q69" i="3"/>
  <c r="Q10" i="3"/>
  <c r="Q129" i="3"/>
  <c r="R103" i="5"/>
  <c r="Q54" i="3"/>
  <c r="R57" i="5"/>
  <c r="S57" i="5" s="1"/>
  <c r="Q44" i="3"/>
  <c r="Q8" i="3"/>
  <c r="Q64" i="3"/>
  <c r="R101" i="5"/>
  <c r="S101" i="5" s="1"/>
  <c r="V101" i="5" s="1"/>
  <c r="Y101" i="5" s="1"/>
  <c r="R77" i="5"/>
  <c r="R41" i="5"/>
  <c r="S41" i="5" s="1"/>
  <c r="V41" i="5" s="1"/>
  <c r="Y41" i="5" s="1"/>
  <c r="Q114" i="3"/>
  <c r="Q85" i="3"/>
  <c r="Q56" i="3"/>
  <c r="R112" i="5"/>
  <c r="S112" i="5" s="1"/>
  <c r="V112" i="5" s="1"/>
  <c r="R90" i="5"/>
  <c r="R60" i="5"/>
  <c r="S60" i="5" s="1"/>
  <c r="V60" i="5" s="1"/>
  <c r="Q128" i="3"/>
  <c r="Q99" i="3"/>
  <c r="R71" i="5"/>
  <c r="S71" i="5" s="1"/>
  <c r="Q58" i="3"/>
  <c r="Q65" i="3"/>
  <c r="Q153" i="3"/>
  <c r="R153" i="3" s="1"/>
  <c r="U153" i="3" s="1"/>
  <c r="X153" i="3" s="1"/>
  <c r="Q97" i="3"/>
  <c r="Q109" i="3"/>
  <c r="Q100" i="3"/>
  <c r="Q49" i="3"/>
  <c r="R89" i="5"/>
  <c r="R88" i="5"/>
  <c r="R56" i="5"/>
  <c r="S56" i="5" s="1"/>
  <c r="V56" i="5" s="1"/>
  <c r="R11" i="5"/>
  <c r="S11" i="5" s="1"/>
  <c r="V11" i="5" s="1"/>
  <c r="Y11" i="5" s="1"/>
  <c r="AF11" i="5" s="1"/>
  <c r="Q124" i="3"/>
  <c r="Q94" i="3"/>
  <c r="Q67" i="3"/>
  <c r="Q25" i="3"/>
  <c r="R62" i="5"/>
  <c r="S62" i="5" s="1"/>
  <c r="R83" i="5"/>
  <c r="Q112" i="3"/>
  <c r="Q47" i="3"/>
  <c r="R65" i="5"/>
  <c r="S65" i="5" s="1"/>
  <c r="Q137" i="3"/>
  <c r="Q23" i="3"/>
  <c r="R12" i="5"/>
  <c r="S12" i="5" s="1"/>
  <c r="V12" i="5" s="1"/>
  <c r="Y12" i="5" s="1"/>
  <c r="Q101" i="3"/>
  <c r="Q17" i="3"/>
  <c r="Q9" i="3"/>
  <c r="R67" i="5"/>
  <c r="S67" i="5" s="1"/>
  <c r="V67" i="5" s="1"/>
  <c r="Q147" i="3"/>
  <c r="Q78" i="3"/>
  <c r="Q19" i="3"/>
  <c r="R82" i="5"/>
  <c r="S82" i="5" s="1"/>
  <c r="V82" i="5" s="1"/>
  <c r="Y82" i="5" s="1"/>
  <c r="D12" i="54" s="1"/>
  <c r="C12" i="54" s="1"/>
  <c r="R51" i="5"/>
  <c r="S51" i="5" s="1"/>
  <c r="Q61" i="3"/>
  <c r="R104" i="5"/>
  <c r="R54" i="5"/>
  <c r="S54" i="5" s="1"/>
  <c r="V54" i="5" s="1"/>
  <c r="R70" i="5"/>
  <c r="S70" i="5" s="1"/>
  <c r="Q103" i="3"/>
  <c r="R48" i="5"/>
  <c r="S48" i="5" s="1"/>
  <c r="Q7" i="3"/>
  <c r="Q22" i="3"/>
  <c r="R43" i="5"/>
  <c r="S43" i="5" s="1"/>
  <c r="V43" i="5" s="1"/>
  <c r="G8" i="119" s="1"/>
  <c r="Q102" i="3"/>
  <c r="Q119" i="3"/>
  <c r="Q55" i="3"/>
  <c r="R63" i="5"/>
  <c r="S63" i="5" s="1"/>
  <c r="V63" i="5" s="1"/>
  <c r="Q139" i="3"/>
  <c r="Q72" i="3"/>
  <c r="Q13" i="3"/>
  <c r="Q146" i="3"/>
  <c r="R81" i="5"/>
  <c r="S81" i="5" s="1"/>
  <c r="V81" i="5" s="1"/>
  <c r="Y81" i="5" s="1"/>
  <c r="D11" i="54" s="1"/>
  <c r="C11" i="54" s="1"/>
  <c r="R47" i="5"/>
  <c r="S47" i="5" s="1"/>
  <c r="Q148" i="3"/>
  <c r="Q111" i="3"/>
  <c r="Q86" i="3"/>
  <c r="Q57" i="3"/>
  <c r="R44" i="5"/>
  <c r="S44" i="5" s="1"/>
  <c r="R52" i="5"/>
  <c r="S52" i="5" s="1"/>
  <c r="V52" i="5" s="1"/>
  <c r="Q141" i="3"/>
  <c r="Q18" i="3"/>
  <c r="Q108" i="3"/>
  <c r="R107" i="5"/>
  <c r="Q133" i="3"/>
  <c r="Q71" i="3"/>
  <c r="Q12" i="3"/>
  <c r="Q115" i="3"/>
  <c r="R66" i="5"/>
  <c r="S66" i="5" s="1"/>
  <c r="V66" i="5" s="1"/>
  <c r="Q82" i="3"/>
  <c r="Q95" i="3"/>
  <c r="R45" i="5"/>
  <c r="S45" i="5" s="1"/>
  <c r="Q142" i="3"/>
  <c r="Q98" i="3"/>
  <c r="R58" i="5"/>
  <c r="S58" i="5" s="1"/>
  <c r="Q138" i="3"/>
  <c r="R73" i="5"/>
  <c r="S73" i="5" s="1"/>
  <c r="Q20" i="3"/>
  <c r="R92" i="5"/>
  <c r="Q87" i="3"/>
  <c r="Q21" i="3"/>
  <c r="R91" i="5"/>
  <c r="Q83" i="3"/>
  <c r="Q113" i="3"/>
  <c r="Q59" i="3"/>
  <c r="Q91" i="3"/>
  <c r="R100" i="5"/>
  <c r="S100" i="5" s="1"/>
  <c r="V100" i="5" s="1"/>
  <c r="Y100" i="5" s="1"/>
  <c r="R97" i="5"/>
  <c r="S97" i="5" s="1"/>
  <c r="V97" i="5" s="1"/>
  <c r="Y97" i="5" s="1"/>
  <c r="H21" i="73" s="1"/>
  <c r="L21" i="121" l="1"/>
  <c r="L22" i="121" s="1"/>
  <c r="E17" i="54"/>
  <c r="E18" i="54" s="1"/>
  <c r="F17" i="54"/>
  <c r="F18" i="54" s="1"/>
  <c r="D10" i="55"/>
  <c r="C10" i="55" s="1"/>
  <c r="Y63" i="5"/>
  <c r="AF63" i="5" s="1"/>
  <c r="G27" i="119"/>
  <c r="Y60" i="5"/>
  <c r="AF60" i="5" s="1"/>
  <c r="G24" i="119"/>
  <c r="Y69" i="5"/>
  <c r="AF69" i="5" s="1"/>
  <c r="G32" i="119"/>
  <c r="AF99" i="5"/>
  <c r="D12" i="55"/>
  <c r="C12" i="55" s="1"/>
  <c r="AF98" i="5"/>
  <c r="D11" i="55"/>
  <c r="C11" i="55" s="1"/>
  <c r="Y67" i="5"/>
  <c r="AF67" i="5" s="1"/>
  <c r="G31" i="119"/>
  <c r="Y54" i="5"/>
  <c r="AF54" i="5" s="1"/>
  <c r="G18" i="119"/>
  <c r="Y72" i="5"/>
  <c r="D64" i="110" s="1"/>
  <c r="E35" i="119" s="1"/>
  <c r="D35" i="119" s="1"/>
  <c r="G35" i="119"/>
  <c r="Y66" i="5"/>
  <c r="G30" i="119"/>
  <c r="Y56" i="5"/>
  <c r="AF56" i="5" s="1"/>
  <c r="G20" i="119"/>
  <c r="Y64" i="5"/>
  <c r="D56" i="110" s="1"/>
  <c r="E28" i="119" s="1"/>
  <c r="D28" i="119" s="1"/>
  <c r="G28" i="119"/>
  <c r="Y55" i="5"/>
  <c r="AF55" i="5" s="1"/>
  <c r="G19" i="119"/>
  <c r="Y52" i="5"/>
  <c r="AF52" i="5" s="1"/>
  <c r="G16" i="119"/>
  <c r="Y61" i="5"/>
  <c r="AF61" i="5" s="1"/>
  <c r="G25" i="119"/>
  <c r="Y76" i="5"/>
  <c r="AF76" i="5" s="1"/>
  <c r="G38" i="119"/>
  <c r="D75" i="110"/>
  <c r="K65" i="73" s="1"/>
  <c r="H192" i="73" s="1"/>
  <c r="D73" i="110"/>
  <c r="H182" i="73"/>
  <c r="AF97" i="5"/>
  <c r="S8" i="5"/>
  <c r="V8" i="5" s="1"/>
  <c r="Y8" i="5" s="1"/>
  <c r="AF8" i="5" s="1"/>
  <c r="S13" i="5"/>
  <c r="S83" i="5"/>
  <c r="V83" i="5" s="1"/>
  <c r="Y83" i="5" s="1"/>
  <c r="D13" i="54" s="1"/>
  <c r="C13" i="54" s="1"/>
  <c r="C17" i="54" s="1"/>
  <c r="V57" i="5"/>
  <c r="V71" i="5"/>
  <c r="V50" i="5"/>
  <c r="V73" i="5"/>
  <c r="Y43" i="5"/>
  <c r="AF43" i="5" s="1"/>
  <c r="D6" i="110"/>
  <c r="V59" i="5"/>
  <c r="Y112" i="5"/>
  <c r="AF112" i="5" s="1"/>
  <c r="V58" i="5"/>
  <c r="V45" i="5"/>
  <c r="D10" i="110"/>
  <c r="D4" i="110"/>
  <c r="C9" i="121" s="1"/>
  <c r="V48" i="5"/>
  <c r="V65" i="5"/>
  <c r="D86" i="110"/>
  <c r="V70" i="5"/>
  <c r="V47" i="5"/>
  <c r="V49" i="5"/>
  <c r="V51" i="5"/>
  <c r="V44" i="5"/>
  <c r="Y44" i="5" s="1"/>
  <c r="AF44" i="5" s="1"/>
  <c r="V62" i="5"/>
  <c r="D60" i="110"/>
  <c r="V74" i="5"/>
  <c r="D89" i="110"/>
  <c r="D71" i="110"/>
  <c r="S77" i="5"/>
  <c r="V77" i="5" s="1"/>
  <c r="Y77" i="5" s="1"/>
  <c r="R114" i="5"/>
  <c r="R115" i="5" s="1"/>
  <c r="Q149" i="3" s="1"/>
  <c r="S92" i="5"/>
  <c r="V92" i="5" s="1"/>
  <c r="Y92" i="5" s="1"/>
  <c r="S104" i="5"/>
  <c r="V104" i="5" s="1"/>
  <c r="Y104" i="5" s="1"/>
  <c r="S90" i="5"/>
  <c r="V90" i="5" s="1"/>
  <c r="Y90" i="5" s="1"/>
  <c r="D25" i="54" s="1"/>
  <c r="C25" i="54" s="1"/>
  <c r="S106" i="5"/>
  <c r="V106" i="5" s="1"/>
  <c r="Y106" i="5" s="1"/>
  <c r="S88" i="5"/>
  <c r="S91" i="5"/>
  <c r="S107" i="5"/>
  <c r="V107" i="5" s="1"/>
  <c r="Y107" i="5" s="1"/>
  <c r="S95" i="5"/>
  <c r="V95" i="5" s="1"/>
  <c r="Y95" i="5" s="1"/>
  <c r="D30" i="54" s="1"/>
  <c r="C30" i="54" s="1"/>
  <c r="S89" i="5"/>
  <c r="V89" i="5" s="1"/>
  <c r="Y89" i="5" s="1"/>
  <c r="S105" i="5"/>
  <c r="S103" i="5"/>
  <c r="Z78" i="5"/>
  <c r="Z111" i="5" s="1"/>
  <c r="Z113" i="5" s="1"/>
  <c r="N159" i="73"/>
  <c r="U40" i="3"/>
  <c r="R40" i="3"/>
  <c r="S96" i="5"/>
  <c r="X41" i="3"/>
  <c r="D22" i="55" l="1"/>
  <c r="C22" i="55" s="1"/>
  <c r="C48" i="76"/>
  <c r="C51" i="76" s="1"/>
  <c r="D29" i="54"/>
  <c r="C29" i="54" s="1"/>
  <c r="D92" i="110"/>
  <c r="D39" i="116" s="1"/>
  <c r="D42" i="116" s="1"/>
  <c r="AF66" i="5"/>
  <c r="D58" i="110"/>
  <c r="E30" i="119" s="1"/>
  <c r="D55" i="110"/>
  <c r="E27" i="119" s="1"/>
  <c r="C13" i="55"/>
  <c r="AF72" i="5"/>
  <c r="D52" i="110"/>
  <c r="C42" i="40" s="1"/>
  <c r="D47" i="110"/>
  <c r="E19" i="119" s="1"/>
  <c r="D61" i="110"/>
  <c r="E32" i="119" s="1"/>
  <c r="J189" i="73"/>
  <c r="C7" i="114"/>
  <c r="D59" i="110"/>
  <c r="E31" i="119" s="1"/>
  <c r="Y57" i="5"/>
  <c r="G21" i="119"/>
  <c r="D53" i="110"/>
  <c r="E25" i="119" s="1"/>
  <c r="Y48" i="5"/>
  <c r="AF48" i="5" s="1"/>
  <c r="G12" i="119"/>
  <c r="D79" i="110"/>
  <c r="D24" i="54"/>
  <c r="C24" i="54" s="1"/>
  <c r="Y58" i="5"/>
  <c r="AF58" i="5" s="1"/>
  <c r="G22" i="119"/>
  <c r="D67" i="110"/>
  <c r="E38" i="119" s="1"/>
  <c r="Y62" i="5"/>
  <c r="D54" i="110" s="1"/>
  <c r="E26" i="119" s="1"/>
  <c r="D26" i="119" s="1"/>
  <c r="G26" i="119"/>
  <c r="D46" i="110"/>
  <c r="E18" i="119" s="1"/>
  <c r="AF92" i="5"/>
  <c r="D27" i="54"/>
  <c r="C27" i="54" s="1"/>
  <c r="Y49" i="5"/>
  <c r="G13" i="119"/>
  <c r="D44" i="110"/>
  <c r="E16" i="119" s="1"/>
  <c r="Y59" i="5"/>
  <c r="AF59" i="5" s="1"/>
  <c r="G23" i="119"/>
  <c r="Y47" i="5"/>
  <c r="D39" i="110" s="1"/>
  <c r="E11" i="119" s="1"/>
  <c r="D11" i="119" s="1"/>
  <c r="G11" i="119"/>
  <c r="Y73" i="5"/>
  <c r="D65" i="110" s="1"/>
  <c r="E36" i="119" s="1"/>
  <c r="D36" i="119" s="1"/>
  <c r="G36" i="119"/>
  <c r="Y65" i="5"/>
  <c r="D57" i="110" s="1"/>
  <c r="E29" i="119" s="1"/>
  <c r="D29" i="119" s="1"/>
  <c r="G29" i="119"/>
  <c r="Y45" i="5"/>
  <c r="AF45" i="5" s="1"/>
  <c r="G9" i="119"/>
  <c r="H28" i="119"/>
  <c r="AF104" i="5"/>
  <c r="D20" i="55"/>
  <c r="C20" i="55" s="1"/>
  <c r="Y51" i="5"/>
  <c r="G15" i="119"/>
  <c r="Y50" i="5"/>
  <c r="D42" i="110" s="1"/>
  <c r="E14" i="119" s="1"/>
  <c r="D14" i="119" s="1"/>
  <c r="G14" i="119"/>
  <c r="Y74" i="5"/>
  <c r="G37" i="119"/>
  <c r="H35" i="119"/>
  <c r="D48" i="110"/>
  <c r="E20" i="119" s="1"/>
  <c r="Y70" i="5"/>
  <c r="AF70" i="5" s="1"/>
  <c r="G33" i="119"/>
  <c r="Y71" i="5"/>
  <c r="AF71" i="5" s="1"/>
  <c r="G34" i="119"/>
  <c r="E23" i="114"/>
  <c r="F23" i="114" s="1"/>
  <c r="H168" i="73"/>
  <c r="D82" i="110"/>
  <c r="AF95" i="5"/>
  <c r="D76" i="110"/>
  <c r="D17" i="54" s="1"/>
  <c r="AF83" i="5"/>
  <c r="C36" i="116"/>
  <c r="E9" i="114"/>
  <c r="F9" i="114" s="1"/>
  <c r="C34" i="116"/>
  <c r="E7" i="114"/>
  <c r="S7" i="5"/>
  <c r="S6" i="5" s="1"/>
  <c r="V79" i="5"/>
  <c r="Y79" i="5"/>
  <c r="AF79" i="5" s="1"/>
  <c r="N175" i="73"/>
  <c r="N199" i="73"/>
  <c r="H22" i="112"/>
  <c r="S79" i="5"/>
  <c r="D20" i="51"/>
  <c r="D28" i="51" s="1"/>
  <c r="C28" i="51" s="1"/>
  <c r="D100" i="110"/>
  <c r="D10" i="56" s="1"/>
  <c r="K53" i="73"/>
  <c r="H199" i="73" s="1"/>
  <c r="C19" i="114" s="1"/>
  <c r="D70" i="110"/>
  <c r="D36" i="110"/>
  <c r="V7" i="5"/>
  <c r="V6" i="5" s="1"/>
  <c r="Y7" i="5"/>
  <c r="V103" i="5"/>
  <c r="V105" i="5"/>
  <c r="Y105" i="5" s="1"/>
  <c r="V42" i="5"/>
  <c r="V96" i="5"/>
  <c r="Y96" i="5"/>
  <c r="AF96" i="5" s="1"/>
  <c r="V91" i="5"/>
  <c r="Y91" i="5" s="1"/>
  <c r="V88" i="5"/>
  <c r="D88" i="110"/>
  <c r="D3" i="110"/>
  <c r="D9" i="110"/>
  <c r="D11" i="110" s="1"/>
  <c r="D8" i="110" s="1"/>
  <c r="AA7" i="5"/>
  <c r="AA6" i="5" s="1"/>
  <c r="S42" i="5"/>
  <c r="S87" i="5"/>
  <c r="S102" i="5"/>
  <c r="AA96" i="5"/>
  <c r="AA79" i="5"/>
  <c r="X40" i="3"/>
  <c r="AF74" i="5" l="1"/>
  <c r="F28" i="40"/>
  <c r="C10" i="121"/>
  <c r="C13" i="121" s="1"/>
  <c r="C20" i="51"/>
  <c r="D27" i="51" s="1"/>
  <c r="C27" i="51" s="1"/>
  <c r="C52" i="76"/>
  <c r="E22" i="114"/>
  <c r="F22" i="114" s="1"/>
  <c r="D49" i="110"/>
  <c r="E21" i="119" s="1"/>
  <c r="AF57" i="5"/>
  <c r="D41" i="110"/>
  <c r="E13" i="119" s="1"/>
  <c r="AF49" i="5"/>
  <c r="AF51" i="5"/>
  <c r="D43" i="110"/>
  <c r="E15" i="119" s="1"/>
  <c r="D22" i="51"/>
  <c r="E24" i="119"/>
  <c r="H30" i="119"/>
  <c r="D30" i="119"/>
  <c r="H20" i="119"/>
  <c r="D20" i="119"/>
  <c r="H25" i="119"/>
  <c r="D25" i="119"/>
  <c r="H16" i="119"/>
  <c r="D16" i="119"/>
  <c r="H32" i="119"/>
  <c r="D32" i="119"/>
  <c r="H31" i="119"/>
  <c r="D31" i="119"/>
  <c r="H18" i="119"/>
  <c r="D18" i="119"/>
  <c r="H27" i="119"/>
  <c r="D27" i="119"/>
  <c r="H19" i="119"/>
  <c r="D19" i="119"/>
  <c r="H38" i="119"/>
  <c r="D38" i="119"/>
  <c r="AF50" i="5"/>
  <c r="D66" i="110"/>
  <c r="E37" i="119" s="1"/>
  <c r="D51" i="110"/>
  <c r="E23" i="119" s="1"/>
  <c r="D40" i="110"/>
  <c r="E12" i="119" s="1"/>
  <c r="D62" i="110"/>
  <c r="D63" i="110"/>
  <c r="E34" i="119" s="1"/>
  <c r="D37" i="110"/>
  <c r="E9" i="119" s="1"/>
  <c r="AF65" i="5"/>
  <c r="H14" i="119"/>
  <c r="H36" i="119"/>
  <c r="H26" i="119"/>
  <c r="D50" i="110"/>
  <c r="E22" i="119" s="1"/>
  <c r="Y42" i="5"/>
  <c r="AF42" i="5" s="1"/>
  <c r="AF73" i="5"/>
  <c r="H11" i="119"/>
  <c r="AF105" i="5"/>
  <c r="D21" i="55"/>
  <c r="C21" i="55" s="1"/>
  <c r="D84" i="110"/>
  <c r="D26" i="54"/>
  <c r="C26" i="54" s="1"/>
  <c r="AF62" i="5"/>
  <c r="G39" i="119"/>
  <c r="AF47" i="5"/>
  <c r="H29" i="119"/>
  <c r="C9" i="57"/>
  <c r="F7" i="114"/>
  <c r="D2" i="110"/>
  <c r="F4" i="131" s="1"/>
  <c r="Y6" i="5"/>
  <c r="AF7" i="5"/>
  <c r="E12" i="114"/>
  <c r="K159" i="73"/>
  <c r="H208" i="73" s="1"/>
  <c r="E19" i="114"/>
  <c r="F15" i="131"/>
  <c r="E15" i="131" s="1"/>
  <c r="S78" i="5"/>
  <c r="S111" i="5" s="1"/>
  <c r="S113" i="5" s="1"/>
  <c r="D13" i="55"/>
  <c r="C35" i="116"/>
  <c r="C37" i="116" s="1"/>
  <c r="E14" i="111"/>
  <c r="D14" i="111" s="1"/>
  <c r="E8" i="119"/>
  <c r="D69" i="110"/>
  <c r="D85" i="110"/>
  <c r="F11" i="131" s="1"/>
  <c r="D95" i="110"/>
  <c r="Y103" i="5"/>
  <c r="V102" i="5"/>
  <c r="Y88" i="5"/>
  <c r="K69" i="73" s="1"/>
  <c r="V87" i="5"/>
  <c r="AA13" i="5"/>
  <c r="J190" i="73"/>
  <c r="AA87" i="5"/>
  <c r="AA102" i="5"/>
  <c r="O7" i="3"/>
  <c r="O6" i="3" s="1"/>
  <c r="D80" i="82" l="1"/>
  <c r="D76" i="82"/>
  <c r="K20" i="73" s="1"/>
  <c r="D35" i="121"/>
  <c r="D36" i="121"/>
  <c r="C31" i="121"/>
  <c r="D21" i="121"/>
  <c r="D21" i="119"/>
  <c r="H21" i="119"/>
  <c r="D13" i="119"/>
  <c r="H13" i="119"/>
  <c r="D15" i="119"/>
  <c r="H15" i="119"/>
  <c r="H24" i="119"/>
  <c r="D24" i="119"/>
  <c r="D30" i="51"/>
  <c r="C30" i="51"/>
  <c r="D9" i="51"/>
  <c r="H34" i="119"/>
  <c r="D34" i="119"/>
  <c r="H12" i="119"/>
  <c r="D12" i="119"/>
  <c r="H9" i="119"/>
  <c r="D9" i="119"/>
  <c r="H23" i="119"/>
  <c r="D23" i="119"/>
  <c r="H22" i="119"/>
  <c r="D22" i="119"/>
  <c r="H8" i="119"/>
  <c r="D8" i="119"/>
  <c r="H37" i="119"/>
  <c r="D37" i="119"/>
  <c r="E6" i="114"/>
  <c r="E33" i="119"/>
  <c r="D79" i="82"/>
  <c r="C12" i="114"/>
  <c r="F12" i="114" s="1"/>
  <c r="E4" i="131"/>
  <c r="D14" i="55"/>
  <c r="D35" i="110"/>
  <c r="F7" i="131" s="1"/>
  <c r="AF103" i="5"/>
  <c r="D19" i="55"/>
  <c r="E11" i="131"/>
  <c r="C14" i="55" s="1"/>
  <c r="G37" i="116"/>
  <c r="AF88" i="5"/>
  <c r="D23" i="54"/>
  <c r="C23" i="54" s="1"/>
  <c r="G20" i="51"/>
  <c r="F19" i="114"/>
  <c r="H200" i="73"/>
  <c r="C24" i="114" s="1"/>
  <c r="C23" i="57" s="1"/>
  <c r="AD6" i="5"/>
  <c r="AF6" i="5"/>
  <c r="E9" i="111"/>
  <c r="D9" i="111" s="1"/>
  <c r="F9" i="131"/>
  <c r="D18" i="54" s="1"/>
  <c r="C41" i="116"/>
  <c r="E18" i="114"/>
  <c r="F18" i="114" s="1"/>
  <c r="C20" i="57"/>
  <c r="D13" i="121"/>
  <c r="E4" i="111"/>
  <c r="D4" i="111" s="1"/>
  <c r="S114" i="5"/>
  <c r="D81" i="110"/>
  <c r="T69" i="73" s="1"/>
  <c r="E11" i="111"/>
  <c r="D11" i="111" s="1"/>
  <c r="Y87" i="5"/>
  <c r="AF87" i="5" s="1"/>
  <c r="D94" i="110"/>
  <c r="C40" i="116" s="1"/>
  <c r="Y102" i="5"/>
  <c r="AF102" i="5" s="1"/>
  <c r="D91" i="110"/>
  <c r="AA42" i="5"/>
  <c r="AA78" i="5" s="1"/>
  <c r="AA111" i="5" s="1"/>
  <c r="AA113" i="5" s="1"/>
  <c r="R10" i="3"/>
  <c r="U10" i="3" s="1"/>
  <c r="X10" i="3" s="1"/>
  <c r="D6" i="109" s="1"/>
  <c r="R19" i="3"/>
  <c r="U19" i="3" s="1"/>
  <c r="X19" i="3" s="1"/>
  <c r="D28" i="109" s="1"/>
  <c r="R12" i="3"/>
  <c r="U12" i="3" s="1"/>
  <c r="R23" i="3"/>
  <c r="U23" i="3" s="1"/>
  <c r="X23" i="3" s="1"/>
  <c r="R9" i="3"/>
  <c r="U9" i="3" s="1"/>
  <c r="X9" i="3" s="1"/>
  <c r="AA9" i="3" s="1"/>
  <c r="R18" i="3"/>
  <c r="U18" i="3" s="1"/>
  <c r="X18" i="3" s="1"/>
  <c r="R8" i="3"/>
  <c r="U8" i="3" s="1"/>
  <c r="X8" i="3" s="1"/>
  <c r="AA8" i="3" s="1"/>
  <c r="R13" i="3"/>
  <c r="U13" i="3" s="1"/>
  <c r="X13" i="3" s="1"/>
  <c r="R16" i="3"/>
  <c r="U16" i="3" s="1"/>
  <c r="X16" i="3" s="1"/>
  <c r="R22" i="3"/>
  <c r="U22" i="3" s="1"/>
  <c r="X22" i="3" s="1"/>
  <c r="R21" i="3"/>
  <c r="U21" i="3" s="1"/>
  <c r="X21" i="3" s="1"/>
  <c r="D30" i="109" s="1"/>
  <c r="R17" i="3"/>
  <c r="U17" i="3" s="1"/>
  <c r="X17" i="3" s="1"/>
  <c r="D26" i="109" s="1"/>
  <c r="R11" i="3"/>
  <c r="U11" i="3" s="1"/>
  <c r="X11" i="3" s="1"/>
  <c r="AA11" i="3" s="1"/>
  <c r="R20" i="3"/>
  <c r="U20" i="3" s="1"/>
  <c r="X20" i="3" s="1"/>
  <c r="R7" i="3"/>
  <c r="D81" i="82" l="1"/>
  <c r="E51" i="73"/>
  <c r="C13" i="36"/>
  <c r="E7" i="131"/>
  <c r="D31" i="121"/>
  <c r="D30" i="121"/>
  <c r="D29" i="121"/>
  <c r="C42" i="116"/>
  <c r="C19" i="55"/>
  <c r="C23" i="55" s="1"/>
  <c r="D23" i="55"/>
  <c r="C43" i="114"/>
  <c r="T168" i="73"/>
  <c r="H20" i="51"/>
  <c r="D31" i="51"/>
  <c r="C9" i="51"/>
  <c r="C10" i="51" s="1"/>
  <c r="D10" i="51"/>
  <c r="C31" i="54"/>
  <c r="H33" i="119"/>
  <c r="D33" i="119"/>
  <c r="D39" i="119" s="1"/>
  <c r="E38" i="116"/>
  <c r="E42" i="116" s="1"/>
  <c r="K102" i="73"/>
  <c r="H206" i="73" s="1"/>
  <c r="C13" i="114" s="1"/>
  <c r="G40" i="119"/>
  <c r="F76" i="82"/>
  <c r="F79" i="82" s="1"/>
  <c r="E39" i="119"/>
  <c r="E40" i="119" s="1"/>
  <c r="C14" i="57"/>
  <c r="H193" i="73"/>
  <c r="E7" i="111"/>
  <c r="D7" i="111" s="1"/>
  <c r="E9" i="131"/>
  <c r="C18" i="54" s="1"/>
  <c r="E45" i="73"/>
  <c r="F45" i="73" s="1"/>
  <c r="C11" i="36"/>
  <c r="AA17" i="3"/>
  <c r="D34" i="109"/>
  <c r="E53" i="73" s="1"/>
  <c r="N53" i="73" s="1"/>
  <c r="AA22" i="3"/>
  <c r="D13" i="109"/>
  <c r="D10" i="82" s="1"/>
  <c r="AA16" i="3"/>
  <c r="D33" i="109"/>
  <c r="C10" i="86" s="1"/>
  <c r="C12" i="86" s="1"/>
  <c r="AA20" i="3"/>
  <c r="D8" i="109"/>
  <c r="C9" i="82" s="1"/>
  <c r="I19" i="82" s="1"/>
  <c r="D29" i="109"/>
  <c r="C12" i="36" s="1"/>
  <c r="AA19" i="3"/>
  <c r="E13" i="114"/>
  <c r="H202" i="73"/>
  <c r="C17" i="114" s="1"/>
  <c r="D31" i="54"/>
  <c r="E17" i="114"/>
  <c r="D8" i="73"/>
  <c r="D7" i="73" s="1"/>
  <c r="C11" i="116"/>
  <c r="C13" i="76"/>
  <c r="E14" i="73"/>
  <c r="AH14" i="73" s="1"/>
  <c r="D77" i="110"/>
  <c r="D90" i="110"/>
  <c r="F12" i="131" s="1"/>
  <c r="E12" i="131" s="1"/>
  <c r="D27" i="109"/>
  <c r="D10" i="109"/>
  <c r="C11" i="82" s="1"/>
  <c r="E11" i="82" s="1"/>
  <c r="R6" i="3"/>
  <c r="X12" i="3"/>
  <c r="U7" i="3"/>
  <c r="U6" i="3" s="1"/>
  <c r="F51" i="73" l="1"/>
  <c r="N51" i="73"/>
  <c r="AH51" i="73" s="1"/>
  <c r="A51" i="73" s="1"/>
  <c r="D25" i="109"/>
  <c r="C9" i="36"/>
  <c r="E38" i="73"/>
  <c r="D40" i="119"/>
  <c r="C24" i="55"/>
  <c r="C31" i="51"/>
  <c r="F31" i="54"/>
  <c r="F32" i="54" s="1"/>
  <c r="E31" i="54"/>
  <c r="E32" i="54" s="1"/>
  <c r="C6" i="114"/>
  <c r="C7" i="57" s="1"/>
  <c r="E43" i="73"/>
  <c r="AH43" i="73" s="1"/>
  <c r="G42" i="116"/>
  <c r="N45" i="73"/>
  <c r="AH45" i="73" s="1"/>
  <c r="A45" i="73" s="1"/>
  <c r="C10" i="36"/>
  <c r="E10" i="82"/>
  <c r="H77" i="82"/>
  <c r="E19" i="73"/>
  <c r="D31" i="109"/>
  <c r="D9" i="109"/>
  <c r="D9" i="82" s="1"/>
  <c r="AA12" i="3"/>
  <c r="E46" i="73"/>
  <c r="E25" i="73"/>
  <c r="AH24" i="73" s="1"/>
  <c r="F17" i="114"/>
  <c r="F10" i="131"/>
  <c r="D32" i="54" s="1"/>
  <c r="D93" i="73"/>
  <c r="D94" i="73" s="1"/>
  <c r="C18" i="57"/>
  <c r="D26" i="57" s="1"/>
  <c r="AH53" i="73" a="1"/>
  <c r="AH53" i="73" s="1"/>
  <c r="A53" i="73" s="1"/>
  <c r="N187" i="73"/>
  <c r="T182" i="73"/>
  <c r="E11" i="116"/>
  <c r="D24" i="55"/>
  <c r="C12" i="82"/>
  <c r="E52" i="73"/>
  <c r="E21" i="73"/>
  <c r="AH21" i="73" s="1"/>
  <c r="E41" i="73"/>
  <c r="AH41" i="73" s="1"/>
  <c r="E10" i="111"/>
  <c r="D10" i="111" s="1"/>
  <c r="E12" i="111"/>
  <c r="D12" i="111" s="1"/>
  <c r="N102" i="73"/>
  <c r="F24" i="73"/>
  <c r="A52" i="73"/>
  <c r="E13" i="73"/>
  <c r="A14" i="73"/>
  <c r="F14" i="73"/>
  <c r="X7" i="3"/>
  <c r="AA7" i="3" s="1"/>
  <c r="C17" i="87"/>
  <c r="O25" i="3"/>
  <c r="C14" i="36" l="1"/>
  <c r="C15" i="36" s="1"/>
  <c r="N38" i="73"/>
  <c r="AH38" i="73" s="1"/>
  <c r="E37" i="73"/>
  <c r="F38" i="73"/>
  <c r="D27" i="57"/>
  <c r="N192" i="73"/>
  <c r="C37" i="114" s="1"/>
  <c r="N173" i="73"/>
  <c r="F6" i="114"/>
  <c r="C12" i="116"/>
  <c r="C13" i="86"/>
  <c r="D12" i="82"/>
  <c r="G79" i="82" s="1"/>
  <c r="I21" i="82"/>
  <c r="C14" i="76"/>
  <c r="E20" i="73"/>
  <c r="N19" i="73" s="1"/>
  <c r="AH19" i="73" s="1"/>
  <c r="D7" i="109"/>
  <c r="C12" i="76" s="1"/>
  <c r="F25" i="73"/>
  <c r="E9" i="82"/>
  <c r="H76" i="82"/>
  <c r="D168" i="73"/>
  <c r="E10" i="131"/>
  <c r="C32" i="54" s="1"/>
  <c r="AH102" i="73"/>
  <c r="A102" i="73" s="1"/>
  <c r="T186" i="73"/>
  <c r="T187" i="73" s="1"/>
  <c r="F13" i="114"/>
  <c r="F21" i="73"/>
  <c r="A21" i="73"/>
  <c r="F41" i="73"/>
  <c r="F43" i="73"/>
  <c r="A43" i="73"/>
  <c r="D5" i="109"/>
  <c r="X6" i="3"/>
  <c r="N46" i="73"/>
  <c r="F46" i="73"/>
  <c r="R25" i="3"/>
  <c r="O24" i="3"/>
  <c r="O5" i="3" s="1"/>
  <c r="A38" i="73" l="1"/>
  <c r="N184" i="73"/>
  <c r="E12" i="82"/>
  <c r="F12" i="82" s="1"/>
  <c r="N185" i="73"/>
  <c r="N186" i="73"/>
  <c r="F20" i="73"/>
  <c r="C10" i="116"/>
  <c r="E10" i="116" s="1"/>
  <c r="N180" i="73"/>
  <c r="C28" i="114" s="1"/>
  <c r="C15" i="57"/>
  <c r="C26" i="57" s="1"/>
  <c r="C40" i="114"/>
  <c r="C5" i="114"/>
  <c r="E11" i="73"/>
  <c r="N11" i="73" s="1"/>
  <c r="AH11" i="73" s="1"/>
  <c r="C9" i="116"/>
  <c r="C8" i="33"/>
  <c r="D4" i="109"/>
  <c r="C67" i="114" s="1"/>
  <c r="A19" i="73"/>
  <c r="AH46" i="73"/>
  <c r="A46" i="73" s="1"/>
  <c r="F19" i="73"/>
  <c r="E18" i="73"/>
  <c r="R24" i="3"/>
  <c r="R5" i="3" s="1"/>
  <c r="O44" i="3"/>
  <c r="O43" i="3" s="1"/>
  <c r="C27" i="57" l="1"/>
  <c r="C31" i="57"/>
  <c r="C9" i="33"/>
  <c r="E10" i="73"/>
  <c r="F11" i="73"/>
  <c r="C29" i="114"/>
  <c r="C32" i="57" s="1"/>
  <c r="C39" i="114"/>
  <c r="C11" i="76"/>
  <c r="R44" i="3"/>
  <c r="R47" i="3"/>
  <c r="U47" i="3" s="1"/>
  <c r="X47" i="3" s="1"/>
  <c r="A11" i="73" l="1"/>
  <c r="N179" i="73"/>
  <c r="E9" i="116"/>
  <c r="N171" i="73"/>
  <c r="U44" i="3"/>
  <c r="O65" i="3"/>
  <c r="O60" i="3"/>
  <c r="O55" i="3"/>
  <c r="O54" i="3"/>
  <c r="O59" i="3"/>
  <c r="O57" i="3"/>
  <c r="O64" i="3"/>
  <c r="O56" i="3"/>
  <c r="O67" i="3"/>
  <c r="O66" i="3"/>
  <c r="O61" i="3"/>
  <c r="O58" i="3"/>
  <c r="O49" i="3"/>
  <c r="X44" i="3" l="1"/>
  <c r="O48" i="3"/>
  <c r="R67" i="3"/>
  <c r="U67" i="3" s="1"/>
  <c r="X67" i="3" s="1"/>
  <c r="R57" i="3"/>
  <c r="U57" i="3" s="1"/>
  <c r="X57" i="3" s="1"/>
  <c r="R65" i="3"/>
  <c r="U65" i="3" s="1"/>
  <c r="X65" i="3" s="1"/>
  <c r="AA65" i="3" s="1"/>
  <c r="D48" i="109"/>
  <c r="R54" i="3"/>
  <c r="U54" i="3" s="1"/>
  <c r="X54" i="3" s="1"/>
  <c r="AA54" i="3" s="1"/>
  <c r="R55" i="3"/>
  <c r="U55" i="3" s="1"/>
  <c r="X55" i="3" s="1"/>
  <c r="R49" i="3"/>
  <c r="R58" i="3"/>
  <c r="U58" i="3" s="1"/>
  <c r="X58" i="3" s="1"/>
  <c r="R61" i="3"/>
  <c r="U61" i="3" s="1"/>
  <c r="X61" i="3" s="1"/>
  <c r="R56" i="3"/>
  <c r="U56" i="3" s="1"/>
  <c r="X56" i="3" s="1"/>
  <c r="R66" i="3"/>
  <c r="U66" i="3" s="1"/>
  <c r="X66" i="3" s="1"/>
  <c r="R64" i="3"/>
  <c r="U64" i="3" s="1"/>
  <c r="X64" i="3" s="1"/>
  <c r="AA64" i="3" s="1"/>
  <c r="R59" i="3"/>
  <c r="U59" i="3" s="1"/>
  <c r="X59" i="3" s="1"/>
  <c r="AA59" i="3" s="1"/>
  <c r="R60" i="3"/>
  <c r="U60" i="3" s="1"/>
  <c r="X60" i="3" s="1"/>
  <c r="AA60" i="3" s="1"/>
  <c r="O72" i="3"/>
  <c r="O76" i="3"/>
  <c r="R76" i="3" s="1"/>
  <c r="U76" i="3" s="1"/>
  <c r="X76" i="3" s="1"/>
  <c r="O70" i="3"/>
  <c r="J68" i="3"/>
  <c r="H68" i="3"/>
  <c r="O71" i="3"/>
  <c r="O73" i="3"/>
  <c r="I68" i="3"/>
  <c r="N68" i="3"/>
  <c r="AC79" i="73" s="1"/>
  <c r="AC168" i="73" s="1"/>
  <c r="O69" i="3"/>
  <c r="D69" i="109" l="1"/>
  <c r="I25" i="40"/>
  <c r="D51" i="109"/>
  <c r="C12" i="39" s="1"/>
  <c r="AA56" i="3"/>
  <c r="D56" i="109"/>
  <c r="D14" i="39" s="1"/>
  <c r="AA61" i="3"/>
  <c r="D53" i="109"/>
  <c r="C13" i="39" s="1"/>
  <c r="AA58" i="3"/>
  <c r="D50" i="109"/>
  <c r="D11" i="39" s="1"/>
  <c r="AA55" i="3"/>
  <c r="D52" i="109"/>
  <c r="D12" i="39" s="1"/>
  <c r="AA57" i="3"/>
  <c r="D39" i="109"/>
  <c r="C16" i="116" s="1"/>
  <c r="AA44" i="3"/>
  <c r="D59" i="109"/>
  <c r="C17" i="39" s="1"/>
  <c r="AA66" i="3"/>
  <c r="R48" i="3"/>
  <c r="D61" i="109"/>
  <c r="F19" i="47"/>
  <c r="D10" i="39"/>
  <c r="D49" i="109"/>
  <c r="D54" i="109"/>
  <c r="D55" i="109"/>
  <c r="D60" i="109"/>
  <c r="H108" i="56" s="1"/>
  <c r="D36" i="56" s="1"/>
  <c r="E36" i="56" s="1"/>
  <c r="U49" i="3"/>
  <c r="U48" i="3" s="1"/>
  <c r="R73" i="3"/>
  <c r="U73" i="3" s="1"/>
  <c r="X73" i="3" s="1"/>
  <c r="I23" i="40" s="1"/>
  <c r="R72" i="3"/>
  <c r="U72" i="3" s="1"/>
  <c r="X72" i="3" s="1"/>
  <c r="AA72" i="3" s="1"/>
  <c r="R69" i="3"/>
  <c r="R70" i="3"/>
  <c r="U70" i="3" s="1"/>
  <c r="X70" i="3" s="1"/>
  <c r="R71" i="3"/>
  <c r="U71" i="3" s="1"/>
  <c r="X71" i="3" s="1"/>
  <c r="AA71" i="3" s="1"/>
  <c r="O68" i="3"/>
  <c r="O82" i="3"/>
  <c r="O83" i="3"/>
  <c r="O78" i="3"/>
  <c r="E62" i="73" l="1"/>
  <c r="E61" i="73" s="1"/>
  <c r="C16" i="76"/>
  <c r="D16" i="76" s="1"/>
  <c r="E17" i="39"/>
  <c r="F17" i="39" s="1"/>
  <c r="D64" i="109"/>
  <c r="AA70" i="3"/>
  <c r="D16" i="39"/>
  <c r="H109" i="56"/>
  <c r="D37" i="56" s="1"/>
  <c r="E37" i="56" s="1"/>
  <c r="D66" i="109"/>
  <c r="I22" i="40"/>
  <c r="D67" i="109"/>
  <c r="I21" i="40"/>
  <c r="D13" i="39"/>
  <c r="C11" i="39"/>
  <c r="E11" i="39" s="1"/>
  <c r="K26" i="39" s="1"/>
  <c r="C16" i="39"/>
  <c r="E12" i="39"/>
  <c r="K27" i="39" s="1"/>
  <c r="C14" i="39"/>
  <c r="E14" i="39" s="1"/>
  <c r="K29" i="39" s="1"/>
  <c r="D65" i="109"/>
  <c r="X49" i="3"/>
  <c r="A31" i="73"/>
  <c r="O77" i="3"/>
  <c r="U69" i="3"/>
  <c r="X69" i="3" s="1"/>
  <c r="AA69" i="3" s="1"/>
  <c r="R68" i="3"/>
  <c r="R83" i="3"/>
  <c r="U83" i="3" s="1"/>
  <c r="X83" i="3" s="1"/>
  <c r="AA83" i="3" s="1"/>
  <c r="R82" i="3"/>
  <c r="U82" i="3" s="1"/>
  <c r="X82" i="3" s="1"/>
  <c r="AA82" i="3" s="1"/>
  <c r="R78" i="3"/>
  <c r="N84" i="3"/>
  <c r="H84" i="3"/>
  <c r="J84" i="3"/>
  <c r="J39" i="3" s="1"/>
  <c r="C18" i="87" s="1"/>
  <c r="C19" i="87" s="1"/>
  <c r="O87" i="3"/>
  <c r="I84" i="3"/>
  <c r="I39" i="3" s="1"/>
  <c r="O86" i="3"/>
  <c r="O85" i="3"/>
  <c r="AA49" i="3" l="1"/>
  <c r="X48" i="3"/>
  <c r="E37" i="76"/>
  <c r="F37" i="76" s="1"/>
  <c r="C53" i="76"/>
  <c r="E16" i="116"/>
  <c r="D31" i="86"/>
  <c r="AH62" i="73"/>
  <c r="A62" i="73" s="1"/>
  <c r="F62" i="73"/>
  <c r="K32" i="39"/>
  <c r="D18" i="39"/>
  <c r="AA48" i="3"/>
  <c r="D44" i="109"/>
  <c r="C8" i="39" s="1"/>
  <c r="E16" i="39"/>
  <c r="E13" i="39"/>
  <c r="K28" i="39" s="1"/>
  <c r="D63" i="109"/>
  <c r="D62" i="109" s="1"/>
  <c r="I20" i="40"/>
  <c r="F14" i="39"/>
  <c r="F12" i="39"/>
  <c r="F11" i="39"/>
  <c r="D73" i="109"/>
  <c r="D47" i="109"/>
  <c r="N39" i="3"/>
  <c r="H39" i="3"/>
  <c r="J4" i="3"/>
  <c r="J157" i="3" s="1"/>
  <c r="I4" i="3"/>
  <c r="I157" i="3" s="1"/>
  <c r="X68" i="3"/>
  <c r="I27" i="40" s="1"/>
  <c r="R77" i="3"/>
  <c r="U68" i="3"/>
  <c r="U78" i="3"/>
  <c r="R85" i="3"/>
  <c r="R86" i="3"/>
  <c r="U86" i="3" s="1"/>
  <c r="X86" i="3" s="1"/>
  <c r="R87" i="3"/>
  <c r="U87" i="3" s="1"/>
  <c r="X87" i="3" s="1"/>
  <c r="O84" i="3"/>
  <c r="O39" i="3" s="1"/>
  <c r="O92" i="3"/>
  <c r="O97" i="3"/>
  <c r="O105" i="3"/>
  <c r="O93" i="3"/>
  <c r="O101" i="3"/>
  <c r="O94" i="3"/>
  <c r="O99" i="3"/>
  <c r="O98" i="3"/>
  <c r="O95" i="3"/>
  <c r="J89" i="3"/>
  <c r="C20" i="87" s="1"/>
  <c r="C22" i="87" s="1"/>
  <c r="H89" i="3"/>
  <c r="I89" i="3"/>
  <c r="O91" i="3"/>
  <c r="O100" i="3"/>
  <c r="O102" i="3"/>
  <c r="O103" i="3"/>
  <c r="N89" i="3"/>
  <c r="G20" i="87" s="1"/>
  <c r="G22" i="87" s="1"/>
  <c r="N4" i="3" l="1"/>
  <c r="N157" i="3" s="1"/>
  <c r="G18" i="87"/>
  <c r="G19" i="87" s="1"/>
  <c r="E31" i="86"/>
  <c r="E32" i="86" s="1"/>
  <c r="E33" i="86" s="1"/>
  <c r="D32" i="86"/>
  <c r="K31" i="39"/>
  <c r="H46" i="56"/>
  <c r="E50" i="56"/>
  <c r="AA68" i="3"/>
  <c r="E8" i="39"/>
  <c r="C10" i="39"/>
  <c r="C18" i="39" s="1"/>
  <c r="D43" i="109"/>
  <c r="F16" i="39"/>
  <c r="F13" i="39"/>
  <c r="E90" i="73"/>
  <c r="N90" i="73" s="1"/>
  <c r="O90" i="3"/>
  <c r="H4" i="3"/>
  <c r="H157" i="3" s="1"/>
  <c r="X78" i="3"/>
  <c r="U77" i="3"/>
  <c r="U85" i="3"/>
  <c r="U84" i="3" s="1"/>
  <c r="R84" i="3"/>
  <c r="R100" i="3"/>
  <c r="U100" i="3" s="1"/>
  <c r="X100" i="3" s="1"/>
  <c r="R99" i="3"/>
  <c r="U99" i="3" s="1"/>
  <c r="X99" i="3" s="1"/>
  <c r="D82" i="109" s="1"/>
  <c r="R94" i="3"/>
  <c r="U94" i="3" s="1"/>
  <c r="X94" i="3" s="1"/>
  <c r="R103" i="3"/>
  <c r="U103" i="3" s="1"/>
  <c r="X103" i="3" s="1"/>
  <c r="R101" i="3"/>
  <c r="U101" i="3" s="1"/>
  <c r="X101" i="3" s="1"/>
  <c r="AA101" i="3" s="1"/>
  <c r="R102" i="3"/>
  <c r="U102" i="3" s="1"/>
  <c r="X102" i="3" s="1"/>
  <c r="R95" i="3"/>
  <c r="U95" i="3" s="1"/>
  <c r="X95" i="3" s="1"/>
  <c r="R93" i="3"/>
  <c r="U93" i="3" s="1"/>
  <c r="X93" i="3" s="1"/>
  <c r="AA93" i="3" s="1"/>
  <c r="R97" i="3"/>
  <c r="U97" i="3" s="1"/>
  <c r="X97" i="3" s="1"/>
  <c r="R91" i="3"/>
  <c r="R98" i="3"/>
  <c r="U98" i="3" s="1"/>
  <c r="X98" i="3" s="1"/>
  <c r="R105" i="3"/>
  <c r="U105" i="3" s="1"/>
  <c r="X105" i="3" s="1"/>
  <c r="R92" i="3"/>
  <c r="U92" i="3" s="1"/>
  <c r="X92" i="3" s="1"/>
  <c r="E108" i="73" l="1"/>
  <c r="D81" i="109"/>
  <c r="C11" i="42" s="1"/>
  <c r="AA98" i="3"/>
  <c r="D83" i="109"/>
  <c r="AA97" i="3"/>
  <c r="D87" i="109"/>
  <c r="C8" i="43" s="1"/>
  <c r="C11" i="43" s="1"/>
  <c r="AA95" i="3"/>
  <c r="D85" i="109"/>
  <c r="AA102" i="3"/>
  <c r="D79" i="109"/>
  <c r="C9" i="42" s="1"/>
  <c r="AA92" i="3"/>
  <c r="D37" i="109"/>
  <c r="C19" i="86" s="1"/>
  <c r="C21" i="86" s="1"/>
  <c r="AA78" i="3"/>
  <c r="E10" i="39"/>
  <c r="K25" i="39" s="1"/>
  <c r="F8" i="39"/>
  <c r="K23" i="39"/>
  <c r="E77" i="73"/>
  <c r="AH77" i="73" s="1"/>
  <c r="A77" i="73" s="1"/>
  <c r="AH90" i="73"/>
  <c r="A90" i="73" s="1"/>
  <c r="H28" i="40"/>
  <c r="A82" i="73"/>
  <c r="E68" i="73"/>
  <c r="D84" i="109"/>
  <c r="D80" i="109"/>
  <c r="C10" i="42" s="1"/>
  <c r="R90" i="3"/>
  <c r="R89" i="3" s="1"/>
  <c r="X77" i="3"/>
  <c r="AA77" i="3" s="1"/>
  <c r="X85" i="3"/>
  <c r="U91" i="3"/>
  <c r="U90" i="3" s="1"/>
  <c r="O4" i="3"/>
  <c r="O89" i="3"/>
  <c r="O114" i="3"/>
  <c r="O110" i="3"/>
  <c r="R110" i="3" s="1"/>
  <c r="U110" i="3" s="1"/>
  <c r="X110" i="3" s="1"/>
  <c r="O119" i="3"/>
  <c r="H106" i="3"/>
  <c r="H88" i="3" s="1"/>
  <c r="H159" i="3" s="1"/>
  <c r="O113" i="3"/>
  <c r="R113" i="3" s="1"/>
  <c r="U113" i="3" s="1"/>
  <c r="X113" i="3" s="1"/>
  <c r="O112" i="3"/>
  <c r="O115" i="3"/>
  <c r="J106" i="3"/>
  <c r="J88" i="3" s="1"/>
  <c r="J159" i="3" s="1"/>
  <c r="O111" i="3"/>
  <c r="N106" i="3"/>
  <c r="N88" i="3" s="1"/>
  <c r="N159" i="3" s="1"/>
  <c r="I106" i="3"/>
  <c r="I88" i="3" s="1"/>
  <c r="I159" i="3" s="1"/>
  <c r="O109" i="3"/>
  <c r="O108" i="3"/>
  <c r="O107" i="3" l="1"/>
  <c r="D189" i="47"/>
  <c r="G52" i="57"/>
  <c r="H9" i="46"/>
  <c r="C72" i="84"/>
  <c r="H11" i="46"/>
  <c r="C73" i="84"/>
  <c r="E111" i="73"/>
  <c r="N111" i="73" s="1"/>
  <c r="N194" i="73" s="1"/>
  <c r="C40" i="51"/>
  <c r="H73" i="84"/>
  <c r="I73" i="84" s="1"/>
  <c r="G50" i="57"/>
  <c r="H72" i="84"/>
  <c r="I72" i="84" s="1"/>
  <c r="G49" i="57"/>
  <c r="E101" i="73"/>
  <c r="F101" i="73" s="1"/>
  <c r="D86" i="109"/>
  <c r="C12" i="43" s="1"/>
  <c r="E99" i="73"/>
  <c r="D36" i="109"/>
  <c r="E126" i="73"/>
  <c r="E83" i="73"/>
  <c r="AH83" i="73" s="1"/>
  <c r="A83" i="73" s="1"/>
  <c r="D92" i="109"/>
  <c r="AA113" i="3"/>
  <c r="C20" i="76"/>
  <c r="C23" i="116"/>
  <c r="E121" i="73"/>
  <c r="F10" i="39"/>
  <c r="E18" i="39"/>
  <c r="K33" i="39" s="1"/>
  <c r="F77" i="73"/>
  <c r="F68" i="73"/>
  <c r="E104" i="73"/>
  <c r="F104" i="73" s="1"/>
  <c r="E127" i="73"/>
  <c r="AH127" i="73" s="1"/>
  <c r="U89" i="3"/>
  <c r="N112" i="73"/>
  <c r="N195" i="73" s="1"/>
  <c r="X84" i="3"/>
  <c r="X91" i="3"/>
  <c r="AA91" i="3" s="1"/>
  <c r="R108" i="3"/>
  <c r="R111" i="3"/>
  <c r="U111" i="3" s="1"/>
  <c r="X111" i="3" s="1"/>
  <c r="R112" i="3"/>
  <c r="U112" i="3" s="1"/>
  <c r="X112" i="3" s="1"/>
  <c r="R119" i="3"/>
  <c r="U119" i="3" s="1"/>
  <c r="X119" i="3" s="1"/>
  <c r="R109" i="3"/>
  <c r="R115" i="3"/>
  <c r="U115" i="3" s="1"/>
  <c r="X115" i="3" s="1"/>
  <c r="AA115" i="3" s="1"/>
  <c r="R114" i="3"/>
  <c r="U114" i="3" s="1"/>
  <c r="X114" i="3" s="1"/>
  <c r="AA114" i="3" s="1"/>
  <c r="H122" i="3"/>
  <c r="H121" i="3" s="1"/>
  <c r="O124" i="3"/>
  <c r="J122" i="3"/>
  <c r="J121" i="3" s="1"/>
  <c r="N122" i="3"/>
  <c r="N121" i="3" s="1"/>
  <c r="I122" i="3"/>
  <c r="I121" i="3" s="1"/>
  <c r="O123" i="3"/>
  <c r="N99" i="73" l="1"/>
  <c r="AH99" i="73" s="1"/>
  <c r="AH121" i="73"/>
  <c r="A121" i="73" s="1"/>
  <c r="R107" i="3"/>
  <c r="D42" i="14"/>
  <c r="K72" i="84"/>
  <c r="I75" i="84"/>
  <c r="J75" i="84" s="1"/>
  <c r="C75" i="84"/>
  <c r="K75" i="84" s="1"/>
  <c r="K73" i="84"/>
  <c r="E136" i="73"/>
  <c r="N101" i="73"/>
  <c r="AH101" i="73" s="1"/>
  <c r="C22" i="86"/>
  <c r="E23" i="116"/>
  <c r="E82" i="73"/>
  <c r="C15" i="76"/>
  <c r="C17" i="76" s="1"/>
  <c r="F83" i="73"/>
  <c r="C13" i="116"/>
  <c r="C14" i="116" s="1"/>
  <c r="C17" i="116" s="1"/>
  <c r="C21" i="76"/>
  <c r="F121" i="73"/>
  <c r="H110" i="56"/>
  <c r="F18" i="39"/>
  <c r="E120" i="73"/>
  <c r="D190" i="47"/>
  <c r="C26" i="116"/>
  <c r="D93" i="109"/>
  <c r="E51" i="56" s="1"/>
  <c r="D97" i="109"/>
  <c r="D10" i="43" s="1"/>
  <c r="D11" i="43" s="1"/>
  <c r="A127" i="73"/>
  <c r="E125" i="73"/>
  <c r="F127" i="73"/>
  <c r="N104" i="73"/>
  <c r="D78" i="109"/>
  <c r="D77" i="109" s="1"/>
  <c r="C71" i="84" s="1"/>
  <c r="X90" i="3"/>
  <c r="X89" i="3" s="1"/>
  <c r="R106" i="3"/>
  <c r="R88" i="3" s="1"/>
  <c r="AH112" i="73"/>
  <c r="A112" i="73" s="1"/>
  <c r="AH111" i="73"/>
  <c r="A111" i="73" s="1"/>
  <c r="F99" i="73"/>
  <c r="F112" i="73"/>
  <c r="E110" i="73"/>
  <c r="F111" i="73"/>
  <c r="F126" i="73"/>
  <c r="AH126" i="73"/>
  <c r="A126" i="73" s="1"/>
  <c r="F108" i="73"/>
  <c r="E107" i="73"/>
  <c r="N108" i="73"/>
  <c r="U108" i="3"/>
  <c r="R124" i="3"/>
  <c r="U124" i="3" s="1"/>
  <c r="X124" i="3" s="1"/>
  <c r="U109" i="3"/>
  <c r="X109" i="3" s="1"/>
  <c r="AA109" i="3" s="1"/>
  <c r="O106" i="3"/>
  <c r="O122" i="3"/>
  <c r="R123" i="3"/>
  <c r="C22" i="116" l="1"/>
  <c r="C19" i="76"/>
  <c r="N190" i="73"/>
  <c r="U107" i="3"/>
  <c r="N191" i="73"/>
  <c r="E149" i="73"/>
  <c r="N149" i="73" s="1"/>
  <c r="N174" i="73" s="1"/>
  <c r="H47" i="56"/>
  <c r="H48" i="56" s="1"/>
  <c r="E49" i="56"/>
  <c r="E52" i="56" s="1"/>
  <c r="D76" i="109"/>
  <c r="D71" i="84"/>
  <c r="E26" i="116"/>
  <c r="E17" i="116"/>
  <c r="E13" i="116"/>
  <c r="E142" i="73"/>
  <c r="AH142" i="73" s="1"/>
  <c r="D96" i="109"/>
  <c r="AH104" i="73"/>
  <c r="A104" i="73" s="1"/>
  <c r="N193" i="73"/>
  <c r="C33" i="114" s="1"/>
  <c r="N188" i="73"/>
  <c r="E98" i="73"/>
  <c r="N98" i="73" s="1"/>
  <c r="C8" i="42"/>
  <c r="C12" i="42" s="1"/>
  <c r="D99" i="109"/>
  <c r="U106" i="3"/>
  <c r="U88" i="3" s="1"/>
  <c r="A101" i="73"/>
  <c r="A99" i="73"/>
  <c r="AH154" i="73"/>
  <c r="A154" i="73" s="1"/>
  <c r="F154" i="73"/>
  <c r="AH108" i="73"/>
  <c r="A108" i="73" s="1"/>
  <c r="E135" i="73"/>
  <c r="F136" i="73"/>
  <c r="X108" i="3"/>
  <c r="O88" i="3"/>
  <c r="O121" i="3"/>
  <c r="R122" i="3"/>
  <c r="R121" i="3" s="1"/>
  <c r="U123" i="3"/>
  <c r="AA108" i="3" l="1"/>
  <c r="X107" i="3"/>
  <c r="X106" i="3" s="1"/>
  <c r="D12" i="43"/>
  <c r="N196" i="73"/>
  <c r="C38" i="114" s="1"/>
  <c r="AH149" i="73"/>
  <c r="D49" i="56"/>
  <c r="H49" i="56"/>
  <c r="N189" i="73"/>
  <c r="C31" i="114" s="1"/>
  <c r="C34" i="57" s="1"/>
  <c r="E152" i="73"/>
  <c r="F152" i="73" s="1"/>
  <c r="D14" i="48"/>
  <c r="C35" i="57"/>
  <c r="F98" i="73"/>
  <c r="D76" i="84"/>
  <c r="C13" i="42"/>
  <c r="D98" i="109"/>
  <c r="E141" i="73"/>
  <c r="D90" i="109"/>
  <c r="E97" i="73"/>
  <c r="E95" i="73" s="1"/>
  <c r="U122" i="3"/>
  <c r="U121" i="3" s="1"/>
  <c r="X123" i="3"/>
  <c r="AA123" i="3" s="1"/>
  <c r="O130" i="3"/>
  <c r="J126" i="3"/>
  <c r="J125" i="3" s="1"/>
  <c r="H126" i="3"/>
  <c r="H125" i="3" s="1"/>
  <c r="O128" i="3"/>
  <c r="N126" i="3"/>
  <c r="N125" i="3" s="1"/>
  <c r="O129" i="3"/>
  <c r="I126" i="3"/>
  <c r="O127" i="3"/>
  <c r="D89" i="109" l="1"/>
  <c r="E124" i="67"/>
  <c r="C74" i="84"/>
  <c r="I74" i="84"/>
  <c r="G51" i="57"/>
  <c r="H15" i="46"/>
  <c r="E151" i="73"/>
  <c r="AH152" i="73"/>
  <c r="A152" i="73" s="1"/>
  <c r="H71" i="84"/>
  <c r="C22" i="76"/>
  <c r="E96" i="73"/>
  <c r="E22" i="116"/>
  <c r="E132" i="73"/>
  <c r="AH132" i="73" s="1"/>
  <c r="C24" i="116"/>
  <c r="F142" i="73"/>
  <c r="D105" i="109"/>
  <c r="D7" i="117" s="1"/>
  <c r="H7" i="117" s="1"/>
  <c r="AH98" i="73"/>
  <c r="I125" i="3"/>
  <c r="X88" i="3"/>
  <c r="X122" i="3"/>
  <c r="R129" i="3"/>
  <c r="U129" i="3" s="1"/>
  <c r="X129" i="3" s="1"/>
  <c r="R130" i="3"/>
  <c r="U130" i="3" s="1"/>
  <c r="X130" i="3" s="1"/>
  <c r="D108" i="109" s="1"/>
  <c r="R128" i="3"/>
  <c r="U128" i="3" s="1"/>
  <c r="X128" i="3" s="1"/>
  <c r="O126" i="3"/>
  <c r="R127" i="3"/>
  <c r="K74" i="84" l="1"/>
  <c r="C76" i="84"/>
  <c r="H76" i="84"/>
  <c r="K71" i="84"/>
  <c r="D110" i="109"/>
  <c r="AA129" i="3"/>
  <c r="A98" i="73"/>
  <c r="C23" i="76"/>
  <c r="F149" i="73"/>
  <c r="E148" i="73"/>
  <c r="A149" i="73"/>
  <c r="C27" i="116"/>
  <c r="E24" i="116"/>
  <c r="D104" i="109"/>
  <c r="D101" i="109"/>
  <c r="F132" i="73"/>
  <c r="A132" i="73"/>
  <c r="E131" i="73"/>
  <c r="X121" i="3"/>
  <c r="O125" i="3"/>
  <c r="R126" i="3"/>
  <c r="R125" i="3" s="1"/>
  <c r="U127" i="3"/>
  <c r="E129" i="73" l="1"/>
  <c r="E130" i="73" s="1"/>
  <c r="E27" i="116"/>
  <c r="C107" i="84"/>
  <c r="C26" i="112"/>
  <c r="X127" i="3"/>
  <c r="U126" i="3"/>
  <c r="U125" i="3" s="1"/>
  <c r="O134" i="3"/>
  <c r="H132" i="3"/>
  <c r="H131" i="3" s="1"/>
  <c r="J132" i="3"/>
  <c r="J131" i="3" s="1"/>
  <c r="N132" i="3"/>
  <c r="N131" i="3" s="1"/>
  <c r="I132" i="3"/>
  <c r="I131" i="3" s="1"/>
  <c r="O133" i="3"/>
  <c r="E42" i="14" l="1"/>
  <c r="D107" i="109"/>
  <c r="AA127" i="3"/>
  <c r="P133" i="3"/>
  <c r="R133" i="3" s="1"/>
  <c r="U133" i="3" s="1"/>
  <c r="X133" i="3" s="1"/>
  <c r="E156" i="73"/>
  <c r="E157" i="73" s="1"/>
  <c r="X126" i="3"/>
  <c r="AA126" i="3" s="1"/>
  <c r="R134" i="3"/>
  <c r="U134" i="3" s="1"/>
  <c r="X134" i="3" s="1"/>
  <c r="O132" i="3"/>
  <c r="O142" i="3"/>
  <c r="O138" i="3"/>
  <c r="O137" i="3"/>
  <c r="N136" i="3"/>
  <c r="N135" i="3" s="1"/>
  <c r="O139" i="3"/>
  <c r="H136" i="3"/>
  <c r="H135" i="3" s="1"/>
  <c r="O141" i="3"/>
  <c r="I136" i="3"/>
  <c r="I135" i="3" s="1"/>
  <c r="E7" i="117" l="1"/>
  <c r="F7" i="117" s="1"/>
  <c r="D106" i="109"/>
  <c r="Q45" i="3"/>
  <c r="R45" i="3" s="1"/>
  <c r="R43" i="3" s="1"/>
  <c r="X125" i="3"/>
  <c r="AA125" i="3" s="1"/>
  <c r="U132" i="3"/>
  <c r="U131" i="3" s="1"/>
  <c r="R132" i="3"/>
  <c r="R131" i="3" s="1"/>
  <c r="X132" i="3"/>
  <c r="R141" i="3"/>
  <c r="U141" i="3" s="1"/>
  <c r="X141" i="3" s="1"/>
  <c r="R139" i="3"/>
  <c r="U139" i="3" s="1"/>
  <c r="X139" i="3" s="1"/>
  <c r="R142" i="3"/>
  <c r="U142" i="3" s="1"/>
  <c r="X142" i="3" s="1"/>
  <c r="O131" i="3"/>
  <c r="R137" i="3"/>
  <c r="U137" i="3" s="1"/>
  <c r="X137" i="3" s="1"/>
  <c r="R138" i="3"/>
  <c r="U138" i="3" s="1"/>
  <c r="X138" i="3" s="1"/>
  <c r="H144" i="3"/>
  <c r="H143" i="3" s="1"/>
  <c r="H120" i="3" s="1"/>
  <c r="N144" i="3"/>
  <c r="N143" i="3" s="1"/>
  <c r="O148" i="3"/>
  <c r="I144" i="3"/>
  <c r="I143" i="3" s="1"/>
  <c r="O147" i="3"/>
  <c r="O145" i="3"/>
  <c r="O146" i="3"/>
  <c r="D26" i="112" l="1"/>
  <c r="G42" i="14"/>
  <c r="I167" i="3" s="1"/>
  <c r="I168" i="3" s="1"/>
  <c r="G7" i="117"/>
  <c r="U45" i="3"/>
  <c r="X45" i="3" s="1"/>
  <c r="H154" i="3"/>
  <c r="H161" i="3"/>
  <c r="N120" i="3"/>
  <c r="I120" i="3"/>
  <c r="X131" i="3"/>
  <c r="R147" i="3"/>
  <c r="U147" i="3" s="1"/>
  <c r="X147" i="3" s="1"/>
  <c r="R146" i="3"/>
  <c r="U146" i="3" s="1"/>
  <c r="X146" i="3" s="1"/>
  <c r="R148" i="3"/>
  <c r="U148" i="3" s="1"/>
  <c r="X148" i="3" s="1"/>
  <c r="R145" i="3"/>
  <c r="U145" i="3" s="1"/>
  <c r="X145" i="3" s="1"/>
  <c r="H150" i="3"/>
  <c r="O152" i="3"/>
  <c r="N161" i="3" l="1"/>
  <c r="G23" i="87"/>
  <c r="G24" i="87" s="1"/>
  <c r="G25" i="87" s="1"/>
  <c r="U43" i="3"/>
  <c r="D41" i="109"/>
  <c r="X43" i="3"/>
  <c r="H42" i="14"/>
  <c r="I161" i="3"/>
  <c r="I154" i="3"/>
  <c r="I150" i="3" s="1"/>
  <c r="N154" i="3"/>
  <c r="N150" i="3" s="1"/>
  <c r="O151" i="3"/>
  <c r="O150" i="3" s="1"/>
  <c r="AA43" i="3" l="1"/>
  <c r="X39" i="3"/>
  <c r="D40" i="109"/>
  <c r="D35" i="109" s="1"/>
  <c r="E65" i="73" l="1"/>
  <c r="E59" i="73" s="1"/>
  <c r="E58" i="73" l="1"/>
  <c r="AH65" i="73"/>
  <c r="A142" i="73"/>
  <c r="R39" i="3"/>
  <c r="R4" i="3" s="1"/>
  <c r="U39" i="3" l="1"/>
  <c r="A65" i="73" l="1"/>
  <c r="J120" i="5" l="1"/>
  <c r="E11" i="20" l="1"/>
  <c r="F11" i="20" l="1"/>
  <c r="F28" i="14" l="1"/>
  <c r="F31" i="14" l="1"/>
  <c r="I28" i="14"/>
  <c r="F35" i="14" l="1"/>
  <c r="I35" i="14" s="1"/>
  <c r="I31" i="14"/>
  <c r="F37" i="14" l="1"/>
  <c r="I37" i="14" s="1"/>
  <c r="D63" i="14"/>
  <c r="G64" i="14" s="1"/>
  <c r="G65" i="14" s="1"/>
  <c r="F39" i="14" l="1"/>
  <c r="I39" i="14" s="1"/>
  <c r="F41" i="14" l="1"/>
  <c r="F42" i="14" l="1"/>
  <c r="I41" i="14"/>
  <c r="E128" i="15" l="1"/>
  <c r="C119" i="15" s="1"/>
  <c r="O120" i="5"/>
  <c r="F33" i="87" l="1"/>
  <c r="P149" i="3" l="1"/>
  <c r="D135" i="15" l="1"/>
  <c r="E135" i="15" s="1"/>
  <c r="E134" i="15"/>
  <c r="C124" i="15" s="1"/>
  <c r="C125" i="15" l="1"/>
  <c r="E124" i="15"/>
  <c r="E125" i="15" s="1"/>
  <c r="Q152" i="3" l="1"/>
  <c r="Q154" i="3" l="1"/>
  <c r="I88" i="11" s="1"/>
  <c r="I89" i="11" s="1"/>
  <c r="R152" i="3"/>
  <c r="Q155" i="3" l="1"/>
  <c r="U152" i="3"/>
  <c r="R151" i="3"/>
  <c r="R150" i="3" s="1"/>
  <c r="P154" i="3"/>
  <c r="F88" i="11" s="1"/>
  <c r="F89" i="11" s="1"/>
  <c r="P155" i="3" l="1"/>
  <c r="X152" i="3"/>
  <c r="U151" i="3"/>
  <c r="U150" i="3" s="1"/>
  <c r="X151" i="3" l="1"/>
  <c r="X150" i="3" l="1"/>
  <c r="D114" i="109"/>
  <c r="G26" i="112" s="1"/>
  <c r="A24" i="73"/>
  <c r="T114" i="5"/>
  <c r="S30" i="3"/>
  <c r="T122" i="5" l="1"/>
  <c r="U30" i="3"/>
  <c r="X30" i="3" l="1"/>
  <c r="D20" i="109" l="1"/>
  <c r="C12" i="35" s="1"/>
  <c r="AA30" i="3"/>
  <c r="J150" i="3" l="1"/>
  <c r="F117" i="67"/>
  <c r="I117" i="67" l="1"/>
  <c r="AH68" i="73" l="1"/>
  <c r="E53" i="57"/>
  <c r="F53" i="57" l="1"/>
  <c r="G53" i="57" s="1"/>
  <c r="E54" i="57"/>
  <c r="AJ137" i="73"/>
  <c r="A68" i="73"/>
  <c r="AH136" i="73"/>
  <c r="F54" i="57" l="1"/>
  <c r="A136" i="73"/>
  <c r="G120" i="67" l="1"/>
  <c r="H83" i="67"/>
  <c r="I83" i="67" s="1"/>
  <c r="H125" i="99" l="1"/>
  <c r="G84" i="67"/>
  <c r="J83" i="67"/>
  <c r="F119" i="67" s="1"/>
  <c r="K125" i="99" l="1"/>
  <c r="K124" i="99" s="1"/>
  <c r="H124" i="99"/>
  <c r="H123" i="99" s="1"/>
  <c r="F299" i="67"/>
  <c r="G299" i="67" s="1"/>
  <c r="D310" i="67" s="1"/>
  <c r="F120" i="67"/>
  <c r="K83" i="67"/>
  <c r="K123" i="99" l="1"/>
  <c r="J149" i="3"/>
  <c r="I120" i="67"/>
  <c r="D311" i="67"/>
  <c r="H299" i="67"/>
  <c r="E115" i="56" l="1"/>
  <c r="O149" i="3"/>
  <c r="J168" i="3"/>
  <c r="J144" i="3"/>
  <c r="J143" i="3" s="1"/>
  <c r="G310" i="67"/>
  <c r="G311" i="67" s="1"/>
  <c r="D355" i="67"/>
  <c r="O144" i="3" l="1"/>
  <c r="O143" i="3" s="1"/>
  <c r="R149" i="3"/>
  <c r="R144" i="3" s="1"/>
  <c r="R143" i="3" s="1"/>
  <c r="D115" i="56"/>
  <c r="E117" i="56"/>
  <c r="D43" i="56" l="1"/>
  <c r="D117" i="56"/>
  <c r="N85" i="10"/>
  <c r="N120" i="10" s="1"/>
  <c r="M120" i="10"/>
  <c r="M124" i="10"/>
  <c r="U121" i="5" s="1"/>
  <c r="U24" i="5"/>
  <c r="V24" i="5" s="1"/>
  <c r="J85" i="10"/>
  <c r="AD15" i="5"/>
  <c r="E43" i="56" l="1"/>
  <c r="E45" i="56" s="1"/>
  <c r="E47" i="56" s="1"/>
  <c r="E48" i="56" s="1"/>
  <c r="D45" i="56"/>
  <c r="D47" i="56" s="1"/>
  <c r="S25" i="3"/>
  <c r="S149" i="3"/>
  <c r="U114" i="5"/>
  <c r="U122" i="5" s="1"/>
  <c r="Y24" i="5"/>
  <c r="V25" i="5"/>
  <c r="V22" i="5" s="1"/>
  <c r="V14" i="5" s="1"/>
  <c r="V13" i="5" s="1"/>
  <c r="V78" i="5" s="1"/>
  <c r="V111" i="5" s="1"/>
  <c r="V113" i="5" s="1"/>
  <c r="V114" i="5" s="1"/>
  <c r="J27" i="52"/>
  <c r="N124" i="10"/>
  <c r="M125" i="10"/>
  <c r="M126" i="10" s="1"/>
  <c r="J123" i="10"/>
  <c r="J120" i="10"/>
  <c r="D48" i="56" l="1"/>
  <c r="C20" i="56"/>
  <c r="U115" i="5"/>
  <c r="N121" i="10" s="1"/>
  <c r="S154" i="3"/>
  <c r="J128" i="10" s="1"/>
  <c r="U25" i="3"/>
  <c r="X25" i="3" s="1"/>
  <c r="J38" i="52"/>
  <c r="K27" i="52"/>
  <c r="D17" i="110"/>
  <c r="D18" i="110" s="1"/>
  <c r="D15" i="110" s="1"/>
  <c r="D7" i="110" s="1"/>
  <c r="Y25" i="5"/>
  <c r="AF24" i="5"/>
  <c r="M121" i="10"/>
  <c r="S160" i="3"/>
  <c r="J125" i="10"/>
  <c r="J126" i="10" s="1"/>
  <c r="N123" i="10"/>
  <c r="S161" i="3" l="1"/>
  <c r="T149" i="3"/>
  <c r="U24" i="3"/>
  <c r="U5" i="3" s="1"/>
  <c r="U4" i="3" s="1"/>
  <c r="S157" i="3"/>
  <c r="J129" i="10"/>
  <c r="X24" i="3"/>
  <c r="X5" i="3" s="1"/>
  <c r="AA25" i="3"/>
  <c r="D15" i="109"/>
  <c r="D14" i="109" s="1"/>
  <c r="Y22" i="5"/>
  <c r="AF25" i="5"/>
  <c r="D34" i="110"/>
  <c r="E5" i="111"/>
  <c r="D5" i="111" s="1"/>
  <c r="F5" i="131"/>
  <c r="D9" i="52"/>
  <c r="K38" i="52"/>
  <c r="D20" i="52" l="1"/>
  <c r="D21" i="52" s="1"/>
  <c r="C9" i="52"/>
  <c r="C20" i="52" s="1"/>
  <c r="T154" i="3"/>
  <c r="U149" i="3"/>
  <c r="F6" i="131"/>
  <c r="F8" i="131" s="1"/>
  <c r="F14" i="131" s="1"/>
  <c r="F16" i="131" s="1"/>
  <c r="E5" i="131"/>
  <c r="E6" i="111"/>
  <c r="D6" i="111" s="1"/>
  <c r="D68" i="110"/>
  <c r="C7" i="35"/>
  <c r="C17" i="35" s="1"/>
  <c r="Y14" i="5"/>
  <c r="AF22" i="5"/>
  <c r="X4" i="3"/>
  <c r="T156" i="3" l="1"/>
  <c r="T157" i="3"/>
  <c r="T158" i="3" s="1"/>
  <c r="M128" i="10"/>
  <c r="X149" i="3"/>
  <c r="U144" i="3"/>
  <c r="U143" i="3" s="1"/>
  <c r="C21" i="52"/>
  <c r="E6" i="131"/>
  <c r="E8" i="131" s="1"/>
  <c r="E14" i="131" s="1"/>
  <c r="E16" i="131" s="1"/>
  <c r="D3" i="109"/>
  <c r="D74" i="109" s="1"/>
  <c r="E30" i="73"/>
  <c r="D113" i="109"/>
  <c r="D112" i="109" s="1"/>
  <c r="C18" i="35"/>
  <c r="AF14" i="5"/>
  <c r="Y13" i="5"/>
  <c r="D99" i="110"/>
  <c r="E8" i="111"/>
  <c r="D8" i="111" s="1"/>
  <c r="F17" i="131"/>
  <c r="D10" i="120" s="1"/>
  <c r="D65" i="120" s="1"/>
  <c r="M129" i="10" l="1"/>
  <c r="D44" i="120"/>
  <c r="AA149" i="3"/>
  <c r="X144" i="3"/>
  <c r="X143" i="3" s="1"/>
  <c r="E17" i="131"/>
  <c r="C10" i="120" s="1"/>
  <c r="D101" i="110"/>
  <c r="C15" i="56"/>
  <c r="C16" i="56" s="1"/>
  <c r="C21" i="56" s="1"/>
  <c r="E13" i="111"/>
  <c r="D13" i="111" s="1"/>
  <c r="Y78" i="5"/>
  <c r="AD13" i="5"/>
  <c r="AD14" i="5" s="1"/>
  <c r="AD16" i="5" s="1"/>
  <c r="AF13" i="5"/>
  <c r="E8" i="73"/>
  <c r="N30" i="73"/>
  <c r="N183" i="73" s="1"/>
  <c r="C7" i="50"/>
  <c r="D7" i="50" s="1"/>
  <c r="C12" i="120" l="1"/>
  <c r="E28" i="131" s="1"/>
  <c r="C52" i="120"/>
  <c r="C54" i="120" s="1"/>
  <c r="N168" i="73"/>
  <c r="AH30" i="73"/>
  <c r="AF78" i="5"/>
  <c r="Y111" i="5"/>
  <c r="E93" i="73"/>
  <c r="E94" i="73" s="1"/>
  <c r="E7" i="73"/>
  <c r="F16" i="112"/>
  <c r="E160" i="73"/>
  <c r="D102" i="110"/>
  <c r="E15" i="111"/>
  <c r="D15" i="111" s="1"/>
  <c r="C13" i="50"/>
  <c r="C15" i="50" s="1"/>
  <c r="C16" i="50" s="1"/>
  <c r="C4" i="114"/>
  <c r="N170" i="73" l="1"/>
  <c r="E27" i="114" s="1"/>
  <c r="C44" i="120"/>
  <c r="C58" i="120"/>
  <c r="C60" i="120" s="1"/>
  <c r="C45" i="120" s="1"/>
  <c r="C46" i="120" s="1"/>
  <c r="E29" i="131" s="1"/>
  <c r="H171" i="73"/>
  <c r="H170" i="73" s="1"/>
  <c r="K160" i="73"/>
  <c r="K171" i="73"/>
  <c r="C30" i="114"/>
  <c r="C27" i="114" s="1"/>
  <c r="N200" i="73"/>
  <c r="N201" i="73" s="1"/>
  <c r="F23" i="112"/>
  <c r="F26" i="112" s="1"/>
  <c r="H16" i="112"/>
  <c r="Y113" i="5"/>
  <c r="AF111" i="5"/>
  <c r="A30" i="73"/>
  <c r="D52" i="120"/>
  <c r="D54" i="120" s="1"/>
  <c r="D12" i="120"/>
  <c r="D58" i="120" l="1"/>
  <c r="D60" i="120" s="1"/>
  <c r="D45" i="120" s="1"/>
  <c r="D46" i="120" s="1"/>
  <c r="F29" i="131" s="1"/>
  <c r="D64" i="120"/>
  <c r="D113" i="110"/>
  <c r="E23" i="111" s="1"/>
  <c r="D23" i="111" s="1"/>
  <c r="F28" i="131"/>
  <c r="H209" i="73"/>
  <c r="J208" i="73" s="1"/>
  <c r="K168" i="73"/>
  <c r="F27" i="114"/>
  <c r="C33" i="57"/>
  <c r="C38" i="57" s="1"/>
  <c r="C39" i="57" s="1"/>
  <c r="P114" i="5"/>
  <c r="AF113" i="5"/>
  <c r="Y114" i="5"/>
  <c r="T160" i="3" s="1"/>
  <c r="T161" i="3" s="1"/>
  <c r="D117" i="110"/>
  <c r="K170" i="73" l="1"/>
  <c r="J209" i="73"/>
  <c r="D114" i="110"/>
  <c r="E24" i="111" s="1"/>
  <c r="D24" i="111" s="1"/>
  <c r="D47" i="120"/>
  <c r="C3" i="114"/>
  <c r="C2" i="114" s="1"/>
  <c r="C64" i="114" s="1"/>
  <c r="C66" i="114" s="1"/>
  <c r="C69" i="114" s="1"/>
  <c r="C68" i="114" l="1"/>
  <c r="AJ168" i="73" s="1"/>
  <c r="D98" i="47"/>
  <c r="D87" i="47"/>
  <c r="D11" i="47" s="1"/>
  <c r="D12" i="47" l="1"/>
  <c r="D22" i="47" s="1"/>
  <c r="C211" i="47" s="1"/>
  <c r="C213" i="47" s="1"/>
  <c r="C214" i="47" s="1"/>
  <c r="E11" i="47" l="1"/>
  <c r="E12" i="47" s="1"/>
  <c r="E22" i="47"/>
  <c r="F22" i="47" s="1"/>
  <c r="F12" i="47"/>
  <c r="G123" i="67" l="1"/>
  <c r="G124" i="67" s="1"/>
  <c r="H84" i="67"/>
  <c r="I84" i="67" s="1"/>
  <c r="J84" i="67" l="1"/>
  <c r="F122" i="67" s="1"/>
  <c r="F123" i="67" l="1"/>
  <c r="I123" i="67" s="1"/>
  <c r="H87" i="100"/>
  <c r="F349" i="67"/>
  <c r="K84" i="67"/>
  <c r="H122" i="99" l="1"/>
  <c r="K122" i="99" s="1"/>
  <c r="G349" i="67"/>
  <c r="D360" i="67" s="1"/>
  <c r="D361" i="67" s="1"/>
  <c r="G360" i="67" s="1"/>
  <c r="G361" i="67" s="1"/>
  <c r="D53" i="15"/>
  <c r="K119" i="5"/>
  <c r="H85" i="100"/>
  <c r="H88" i="100" s="1"/>
  <c r="P64" i="100"/>
  <c r="K87" i="100"/>
  <c r="K85" i="100" s="1"/>
  <c r="K88" i="100" s="1"/>
  <c r="H120" i="99" l="1"/>
  <c r="H111" i="99" s="1"/>
  <c r="H129" i="99" s="1"/>
  <c r="P119" i="5"/>
  <c r="S119" i="5" s="1"/>
  <c r="J172" i="3"/>
  <c r="J173" i="3" s="1"/>
  <c r="K116" i="5"/>
  <c r="D54" i="15"/>
  <c r="E54" i="15" s="1"/>
  <c r="E53" i="15"/>
  <c r="C43" i="15" s="1"/>
  <c r="H349" i="67"/>
  <c r="K120" i="99"/>
  <c r="K111" i="99" s="1"/>
  <c r="J140" i="3"/>
  <c r="C44" i="15" l="1"/>
  <c r="E43" i="15"/>
  <c r="E44" i="15" s="1"/>
  <c r="P116" i="5"/>
  <c r="K120" i="5"/>
  <c r="V119" i="5"/>
  <c r="S116" i="5"/>
  <c r="S120" i="5" s="1"/>
  <c r="J136" i="3"/>
  <c r="J135" i="3" s="1"/>
  <c r="O140" i="3"/>
  <c r="J174" i="3"/>
  <c r="J175" i="3" s="1"/>
  <c r="K129" i="99"/>
  <c r="J160" i="3"/>
  <c r="Y119" i="5" l="1"/>
  <c r="V116" i="5"/>
  <c r="C33" i="87"/>
  <c r="P120" i="5"/>
  <c r="V120" i="5" s="1"/>
  <c r="Y120" i="5" s="1"/>
  <c r="R140" i="3"/>
  <c r="O136" i="3"/>
  <c r="O135" i="3" s="1"/>
  <c r="O120" i="3" s="1"/>
  <c r="O154" i="3" s="1"/>
  <c r="J120" i="3"/>
  <c r="F124" i="67"/>
  <c r="H124" i="67" s="1"/>
  <c r="Y116" i="5" l="1"/>
  <c r="D108" i="110"/>
  <c r="J154" i="3"/>
  <c r="C23" i="87"/>
  <c r="C24" i="87" s="1"/>
  <c r="C25" i="87" s="1"/>
  <c r="U140" i="3"/>
  <c r="R136" i="3"/>
  <c r="R135" i="3" s="1"/>
  <c r="R120" i="3" s="1"/>
  <c r="R154" i="3" s="1"/>
  <c r="J161" i="3"/>
  <c r="D107" i="110" l="1"/>
  <c r="E18" i="112"/>
  <c r="E20" i="111"/>
  <c r="D20" i="111" s="1"/>
  <c r="F23" i="131"/>
  <c r="X140" i="3"/>
  <c r="U136" i="3"/>
  <c r="U135" i="3" s="1"/>
  <c r="U120" i="3" s="1"/>
  <c r="U154" i="3" s="1"/>
  <c r="F22" i="131" l="1"/>
  <c r="F19" i="131" s="1"/>
  <c r="F24" i="131" s="1"/>
  <c r="F25" i="131" s="1"/>
  <c r="E23" i="131"/>
  <c r="E22" i="131" s="1"/>
  <c r="E19" i="131" s="1"/>
  <c r="E24" i="131" s="1"/>
  <c r="E25" i="131" s="1"/>
  <c r="E23" i="112"/>
  <c r="H18" i="112"/>
  <c r="H23" i="112" s="1"/>
  <c r="AF159" i="73"/>
  <c r="E19" i="111"/>
  <c r="D19" i="111" s="1"/>
  <c r="D104" i="110"/>
  <c r="AA140" i="3"/>
  <c r="X136" i="3"/>
  <c r="X135" i="3" s="1"/>
  <c r="X120" i="3" s="1"/>
  <c r="X154" i="3" s="1"/>
  <c r="D111" i="109"/>
  <c r="D109" i="109" s="1"/>
  <c r="D103" i="109" s="1"/>
  <c r="D115" i="109" s="1"/>
  <c r="D109" i="110" l="1"/>
  <c r="E16" i="111"/>
  <c r="D16" i="111" s="1"/>
  <c r="AF168" i="73"/>
  <c r="AF173" i="73" s="1"/>
  <c r="AF188" i="73" s="1"/>
  <c r="AF176" i="73"/>
  <c r="AH176" i="73" s="1"/>
  <c r="E26" i="112"/>
  <c r="F30" i="131" l="1"/>
  <c r="E21" i="111"/>
  <c r="D21" i="111" s="1"/>
  <c r="D110" i="110"/>
  <c r="I23" i="112"/>
  <c r="J23" i="112" s="1"/>
  <c r="C108" i="84"/>
  <c r="C109" i="84" s="1"/>
  <c r="E159" i="73"/>
  <c r="D116" i="109"/>
  <c r="H26" i="112"/>
  <c r="F159" i="73" l="1"/>
  <c r="AH159" i="73"/>
  <c r="E165" i="73"/>
  <c r="D119" i="109"/>
  <c r="D118" i="109"/>
  <c r="E168" i="73" l="1"/>
  <c r="AH168" i="73" s="1"/>
  <c r="AK168" i="73" s="1"/>
  <c r="E166" i="73"/>
  <c r="A159" i="73"/>
  <c r="AH167" i="7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홍준기</author>
  </authors>
  <commentList>
    <comment ref="H166" authorId="0" shapeId="0" xr:uid="{00000000-0006-0000-0A00-000001000000}">
      <text>
        <r>
          <rPr>
            <b/>
            <sz val="9"/>
            <color indexed="81"/>
            <rFont val="돋움"/>
            <family val="3"/>
            <charset val="129"/>
          </rPr>
          <t>보험수리적손익</t>
        </r>
        <r>
          <rPr>
            <b/>
            <sz val="9"/>
            <color indexed="81"/>
            <rFont val="Tahoma"/>
            <family val="2"/>
          </rPr>
          <t xml:space="preserve">, </t>
        </r>
        <r>
          <rPr>
            <b/>
            <sz val="9"/>
            <color indexed="81"/>
            <rFont val="돋움"/>
            <family val="3"/>
            <charset val="129"/>
          </rPr>
          <t>합병으로</t>
        </r>
        <r>
          <rPr>
            <b/>
            <sz val="9"/>
            <color indexed="81"/>
            <rFont val="Tahoma"/>
            <family val="2"/>
          </rPr>
          <t xml:space="preserve"> </t>
        </r>
        <r>
          <rPr>
            <b/>
            <sz val="9"/>
            <color indexed="81"/>
            <rFont val="돋움"/>
            <family val="3"/>
            <charset val="129"/>
          </rPr>
          <t>인한</t>
        </r>
        <r>
          <rPr>
            <b/>
            <sz val="9"/>
            <color indexed="81"/>
            <rFont val="Tahoma"/>
            <family val="2"/>
          </rPr>
          <t xml:space="preserve"> </t>
        </r>
        <r>
          <rPr>
            <b/>
            <sz val="9"/>
            <color indexed="81"/>
            <rFont val="돋움"/>
            <family val="3"/>
            <charset val="129"/>
          </rPr>
          <t>변동</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홍준기</author>
  </authors>
  <commentList>
    <comment ref="H29" authorId="0" shapeId="0" xr:uid="{00000000-0006-0000-0E00-000001000000}">
      <text>
        <r>
          <rPr>
            <b/>
            <sz val="9"/>
            <color indexed="81"/>
            <rFont val="돋움"/>
            <family val="3"/>
            <charset val="129"/>
          </rPr>
          <t>단수조정</t>
        </r>
      </text>
    </comment>
    <comment ref="H84" authorId="0" shapeId="0" xr:uid="{448826FE-E4FE-445E-954A-EAE2807B8D85}">
      <text>
        <r>
          <rPr>
            <b/>
            <sz val="9"/>
            <color indexed="81"/>
            <rFont val="돋움"/>
            <family val="3"/>
            <charset val="129"/>
          </rPr>
          <t>단수조정</t>
        </r>
      </text>
    </comment>
    <comment ref="H113" authorId="0" shapeId="0" xr:uid="{00000000-0006-0000-0E00-000002000000}">
      <text>
        <r>
          <rPr>
            <b/>
            <sz val="9"/>
            <color indexed="81"/>
            <rFont val="돋움"/>
            <family val="3"/>
            <charset val="129"/>
          </rPr>
          <t>역사적환율</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홍준기</author>
  </authors>
  <commentList>
    <comment ref="H19" authorId="0" shapeId="0" xr:uid="{00000000-0006-0000-0F00-000001000000}">
      <text>
        <r>
          <rPr>
            <b/>
            <sz val="9"/>
            <color indexed="81"/>
            <rFont val="돋움"/>
            <family val="3"/>
            <charset val="129"/>
          </rPr>
          <t>당기초</t>
        </r>
        <r>
          <rPr>
            <b/>
            <sz val="9"/>
            <color indexed="81"/>
            <rFont val="Tahoma"/>
            <family val="2"/>
          </rPr>
          <t xml:space="preserve"> </t>
        </r>
        <r>
          <rPr>
            <b/>
            <sz val="9"/>
            <color indexed="81"/>
            <rFont val="돋움"/>
            <family val="3"/>
            <charset val="129"/>
          </rPr>
          <t>재고</t>
        </r>
        <r>
          <rPr>
            <b/>
            <sz val="9"/>
            <color indexed="81"/>
            <rFont val="Tahoma"/>
            <family val="2"/>
          </rPr>
          <t xml:space="preserve"> </t>
        </r>
        <r>
          <rPr>
            <b/>
            <sz val="9"/>
            <color indexed="81"/>
            <rFont val="돋움"/>
            <family val="3"/>
            <charset val="129"/>
          </rPr>
          <t>금액</t>
        </r>
        <r>
          <rPr>
            <b/>
            <sz val="9"/>
            <color indexed="81"/>
            <rFont val="Tahoma"/>
            <family val="2"/>
          </rPr>
          <t xml:space="preserve"> </t>
        </r>
        <r>
          <rPr>
            <b/>
            <sz val="9"/>
            <color indexed="81"/>
            <rFont val="돋움"/>
            <family val="3"/>
            <charset val="129"/>
          </rPr>
          <t>값입력</t>
        </r>
      </text>
    </comment>
    <comment ref="D21" authorId="0" shapeId="0" xr:uid="{00000000-0006-0000-0F00-000002000000}">
      <text>
        <r>
          <rPr>
            <b/>
            <sz val="9"/>
            <color indexed="81"/>
            <rFont val="돋움"/>
            <family val="3"/>
            <charset val="129"/>
          </rPr>
          <t>부호반대입력</t>
        </r>
      </text>
    </comment>
    <comment ref="D25" authorId="0" shapeId="0" xr:uid="{00000000-0006-0000-0F00-000003000000}">
      <text>
        <r>
          <rPr>
            <b/>
            <sz val="9"/>
            <color indexed="81"/>
            <rFont val="Tahoma"/>
            <family val="2"/>
          </rPr>
          <t>Salaries, Director</t>
        </r>
        <r>
          <rPr>
            <b/>
            <sz val="9"/>
            <color indexed="81"/>
            <rFont val="돋움"/>
            <family val="3"/>
            <charset val="129"/>
          </rPr>
          <t>’</t>
        </r>
        <r>
          <rPr>
            <b/>
            <sz val="9"/>
            <color indexed="81"/>
            <rFont val="Tahoma"/>
            <family val="2"/>
          </rPr>
          <t>s Remuneration</t>
        </r>
      </text>
    </comment>
    <comment ref="D30" authorId="0" shapeId="0" xr:uid="{00000000-0006-0000-0F00-000004000000}">
      <text>
        <r>
          <rPr>
            <b/>
            <sz val="9"/>
            <color indexed="81"/>
            <rFont val="Tahoma"/>
            <family val="2"/>
          </rPr>
          <t>Mandatory Provident Fund Contributions (MPF), Staff Welfare</t>
        </r>
      </text>
    </comment>
    <comment ref="D31" authorId="0" shapeId="0" xr:uid="{00000000-0006-0000-0F00-000005000000}">
      <text>
        <r>
          <rPr>
            <b/>
            <sz val="9"/>
            <color indexed="81"/>
            <rFont val="Tahoma"/>
            <family val="2"/>
          </rPr>
          <t>Travel, Government Subsidies(</t>
        </r>
        <r>
          <rPr>
            <b/>
            <sz val="9"/>
            <color indexed="81"/>
            <rFont val="돋움"/>
            <family val="3"/>
            <charset val="129"/>
          </rPr>
          <t>차감</t>
        </r>
        <r>
          <rPr>
            <b/>
            <sz val="9"/>
            <color indexed="81"/>
            <rFont val="Tahoma"/>
            <family val="2"/>
          </rPr>
          <t>)</t>
        </r>
      </text>
    </comment>
    <comment ref="D32" authorId="0" shapeId="0" xr:uid="{00000000-0006-0000-0F00-000006000000}">
      <text>
        <r>
          <rPr>
            <b/>
            <sz val="9"/>
            <color indexed="81"/>
            <rFont val="Tahoma"/>
            <family val="2"/>
          </rPr>
          <t>Entertainment</t>
        </r>
      </text>
    </comment>
    <comment ref="D33" authorId="0" shapeId="0" xr:uid="{00000000-0006-0000-0F00-000007000000}">
      <text>
        <r>
          <rPr>
            <b/>
            <sz val="9"/>
            <color indexed="81"/>
            <rFont val="Tahoma"/>
            <family val="2"/>
          </rPr>
          <t>Postage and Courier, Transportation, Telephone and Internet</t>
        </r>
      </text>
    </comment>
    <comment ref="D35" authorId="0" shapeId="0" xr:uid="{A0653AFC-EC2E-4188-9809-BE4F93D34785}">
      <text>
        <r>
          <rPr>
            <b/>
            <sz val="9"/>
            <color indexed="81"/>
            <rFont val="Tahoma"/>
            <family val="2"/>
          </rPr>
          <t>Stamp duty, Income tax expensive</t>
        </r>
      </text>
    </comment>
    <comment ref="D37" authorId="0" shapeId="0" xr:uid="{00000000-0006-0000-0F00-000008000000}">
      <text>
        <r>
          <rPr>
            <b/>
            <sz val="9"/>
            <color indexed="81"/>
            <rFont val="Tahoma"/>
            <family val="2"/>
          </rPr>
          <t>Rent and Rate</t>
        </r>
      </text>
    </comment>
    <comment ref="D38" authorId="0" shapeId="0" xr:uid="{00000000-0006-0000-0F00-000009000000}">
      <text>
        <r>
          <rPr>
            <b/>
            <sz val="9"/>
            <color indexed="81"/>
            <rFont val="Tahoma"/>
            <family val="2"/>
          </rPr>
          <t>Repairs and Maintenance</t>
        </r>
      </text>
    </comment>
    <comment ref="D39" authorId="0" shapeId="0" xr:uid="{00000000-0006-0000-0F00-00000A000000}">
      <text>
        <r>
          <rPr>
            <b/>
            <sz val="9"/>
            <color indexed="81"/>
            <rFont val="Tahoma"/>
            <family val="2"/>
          </rPr>
          <t>Insurance</t>
        </r>
      </text>
    </comment>
    <comment ref="D48" authorId="0" shapeId="0" xr:uid="{00000000-0006-0000-0F00-00000B000000}">
      <text>
        <r>
          <rPr>
            <b/>
            <sz val="9"/>
            <color indexed="81"/>
            <rFont val="Tahoma"/>
            <family val="2"/>
          </rPr>
          <t>Office Supplies, Consumables Expense</t>
        </r>
      </text>
    </comment>
    <comment ref="D49" authorId="0" shapeId="0" xr:uid="{00000000-0006-0000-0F00-00000C000000}">
      <text>
        <r>
          <rPr>
            <b/>
            <sz val="9"/>
            <color indexed="81"/>
            <rFont val="돋움"/>
            <family val="3"/>
            <charset val="129"/>
          </rPr>
          <t>하단참조</t>
        </r>
      </text>
    </comment>
    <comment ref="D53" authorId="0" shapeId="0" xr:uid="{00000000-0006-0000-0F00-00000D000000}">
      <text>
        <r>
          <rPr>
            <b/>
            <sz val="9"/>
            <color indexed="81"/>
            <rFont val="Tahoma"/>
            <family val="2"/>
          </rPr>
          <t>Building Management Fee &amp; Air Conditioning Charge, Cleaning</t>
        </r>
      </text>
    </comment>
    <comment ref="D76" authorId="0" shapeId="0" xr:uid="{00000000-0006-0000-0F00-00000E000000}">
      <text>
        <r>
          <rPr>
            <b/>
            <sz val="9"/>
            <color indexed="81"/>
            <rFont val="Tahoma"/>
            <family val="2"/>
          </rPr>
          <t>Sundry Expenses</t>
        </r>
      </text>
    </comment>
    <comment ref="J87" authorId="0" shapeId="0" xr:uid="{00000000-0006-0000-0F00-00000F000000}">
      <text>
        <r>
          <rPr>
            <b/>
            <sz val="9"/>
            <color indexed="81"/>
            <rFont val="돋움"/>
            <family val="3"/>
            <charset val="129"/>
          </rPr>
          <t>리스컨버전</t>
        </r>
        <r>
          <rPr>
            <b/>
            <sz val="9"/>
            <color indexed="81"/>
            <rFont val="Tahoma"/>
            <family val="2"/>
          </rPr>
          <t xml:space="preserve"> </t>
        </r>
        <r>
          <rPr>
            <b/>
            <sz val="9"/>
            <color indexed="81"/>
            <rFont val="돋움"/>
            <family val="3"/>
            <charset val="129"/>
          </rPr>
          <t>분개에서</t>
        </r>
        <r>
          <rPr>
            <b/>
            <sz val="9"/>
            <color indexed="81"/>
            <rFont val="Tahoma"/>
            <family val="2"/>
          </rPr>
          <t xml:space="preserve"> </t>
        </r>
        <r>
          <rPr>
            <b/>
            <sz val="9"/>
            <color indexed="81"/>
            <rFont val="돋움"/>
            <family val="3"/>
            <charset val="129"/>
          </rPr>
          <t>발생한</t>
        </r>
        <r>
          <rPr>
            <b/>
            <sz val="9"/>
            <color indexed="81"/>
            <rFont val="Tahoma"/>
            <family val="2"/>
          </rPr>
          <t xml:space="preserve"> </t>
        </r>
        <r>
          <rPr>
            <b/>
            <sz val="9"/>
            <color indexed="81"/>
            <rFont val="돋움"/>
            <family val="3"/>
            <charset val="129"/>
          </rPr>
          <t>해외사업환산손익</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홍준기</author>
  </authors>
  <commentList>
    <comment ref="H29" authorId="0" shapeId="0" xr:uid="{00000000-0006-0000-1000-000001000000}">
      <text>
        <r>
          <rPr>
            <b/>
            <sz val="9"/>
            <color indexed="81"/>
            <rFont val="돋움"/>
            <family val="3"/>
            <charset val="129"/>
          </rPr>
          <t>단수조정</t>
        </r>
      </text>
    </comment>
    <comment ref="D84" authorId="0" shapeId="0" xr:uid="{00000000-0006-0000-1000-000002000000}">
      <text>
        <r>
          <rPr>
            <b/>
            <sz val="9"/>
            <color indexed="81"/>
            <rFont val="Tahoma"/>
            <family val="2"/>
          </rPr>
          <t>Accrued Expense, Coupon Liabilities (Membership Treatment Coupon) MGM</t>
        </r>
      </text>
    </comment>
    <comment ref="D88" authorId="0" shapeId="0" xr:uid="{00000000-0006-0000-1000-000003000000}">
      <text>
        <r>
          <rPr>
            <b/>
            <sz val="9"/>
            <color indexed="81"/>
            <rFont val="Tahoma"/>
            <family val="2"/>
          </rPr>
          <t>Unearned Revenue / Deferred Income (Treatment Services Income)</t>
        </r>
      </text>
    </comment>
    <comment ref="H113" authorId="0" shapeId="0" xr:uid="{00000000-0006-0000-1000-000004000000}">
      <text>
        <r>
          <rPr>
            <b/>
            <sz val="9"/>
            <color indexed="81"/>
            <rFont val="돋움"/>
            <family val="3"/>
            <charset val="129"/>
          </rPr>
          <t>역사적환율</t>
        </r>
      </text>
    </comment>
    <comment ref="J122" authorId="0" shapeId="0" xr:uid="{00000000-0006-0000-1000-000005000000}">
      <text>
        <r>
          <rPr>
            <b/>
            <sz val="9"/>
            <color indexed="81"/>
            <rFont val="돋움"/>
            <family val="3"/>
            <charset val="129"/>
          </rPr>
          <t>리스컨버전</t>
        </r>
        <r>
          <rPr>
            <b/>
            <sz val="9"/>
            <color indexed="81"/>
            <rFont val="Tahoma"/>
            <family val="2"/>
          </rPr>
          <t xml:space="preserve"> </t>
        </r>
        <r>
          <rPr>
            <b/>
            <sz val="9"/>
            <color indexed="81"/>
            <rFont val="돋움"/>
            <family val="3"/>
            <charset val="129"/>
          </rPr>
          <t>분개에서</t>
        </r>
        <r>
          <rPr>
            <b/>
            <sz val="9"/>
            <color indexed="81"/>
            <rFont val="Tahoma"/>
            <family val="2"/>
          </rPr>
          <t xml:space="preserve"> </t>
        </r>
        <r>
          <rPr>
            <b/>
            <sz val="9"/>
            <color indexed="81"/>
            <rFont val="돋움"/>
            <family val="3"/>
            <charset val="129"/>
          </rPr>
          <t>발생한</t>
        </r>
        <r>
          <rPr>
            <b/>
            <sz val="9"/>
            <color indexed="81"/>
            <rFont val="Tahoma"/>
            <family val="2"/>
          </rPr>
          <t xml:space="preserve"> </t>
        </r>
        <r>
          <rPr>
            <b/>
            <sz val="9"/>
            <color indexed="81"/>
            <rFont val="돋움"/>
            <family val="3"/>
            <charset val="129"/>
          </rPr>
          <t>해외사업환산손익</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홍준기</author>
  </authors>
  <commentList>
    <comment ref="D21" authorId="0" shapeId="0" xr:uid="{00000000-0006-0000-1100-000001000000}">
      <text>
        <r>
          <rPr>
            <b/>
            <sz val="9"/>
            <color indexed="81"/>
            <rFont val="돋움"/>
            <family val="3"/>
            <charset val="129"/>
          </rPr>
          <t>부호반대입력</t>
        </r>
      </text>
    </comment>
    <comment ref="D25" authorId="0" shapeId="0" xr:uid="{00000000-0006-0000-1100-000002000000}">
      <text>
        <r>
          <rPr>
            <b/>
            <sz val="9"/>
            <color indexed="81"/>
            <rFont val="Tahoma"/>
            <family val="2"/>
          </rPr>
          <t>Salaries, Director</t>
        </r>
        <r>
          <rPr>
            <b/>
            <sz val="9"/>
            <color indexed="81"/>
            <rFont val="돋움"/>
            <family val="3"/>
            <charset val="129"/>
          </rPr>
          <t>’</t>
        </r>
        <r>
          <rPr>
            <b/>
            <sz val="9"/>
            <color indexed="81"/>
            <rFont val="Tahoma"/>
            <family val="2"/>
          </rPr>
          <t>s Remuneration</t>
        </r>
      </text>
    </comment>
    <comment ref="D30" authorId="0" shapeId="0" xr:uid="{00000000-0006-0000-1100-000003000000}">
      <text>
        <r>
          <rPr>
            <b/>
            <sz val="9"/>
            <color indexed="81"/>
            <rFont val="Tahoma"/>
            <family val="2"/>
          </rPr>
          <t>Mandatory Provident Fund Contributions (MPF), Staff Welfare</t>
        </r>
      </text>
    </comment>
    <comment ref="D31" authorId="0" shapeId="0" xr:uid="{00000000-0006-0000-1100-000004000000}">
      <text>
        <r>
          <rPr>
            <b/>
            <sz val="9"/>
            <color indexed="81"/>
            <rFont val="Tahoma"/>
            <family val="2"/>
          </rPr>
          <t>Travel</t>
        </r>
      </text>
    </comment>
    <comment ref="D32" authorId="0" shapeId="0" xr:uid="{00000000-0006-0000-1100-000005000000}">
      <text>
        <r>
          <rPr>
            <b/>
            <sz val="9"/>
            <color indexed="81"/>
            <rFont val="Tahoma"/>
            <family val="2"/>
          </rPr>
          <t>Entertainment</t>
        </r>
      </text>
    </comment>
    <comment ref="D33" authorId="0" shapeId="0" xr:uid="{00000000-0006-0000-1100-000006000000}">
      <text>
        <r>
          <rPr>
            <b/>
            <sz val="9"/>
            <color indexed="81"/>
            <rFont val="Tahoma"/>
            <family val="2"/>
          </rPr>
          <t>Postage and Courier, Transportation, Telephone and Internet</t>
        </r>
      </text>
    </comment>
    <comment ref="D35" authorId="0" shapeId="0" xr:uid="{E39B2932-CF80-4077-B6FD-C399A6967C1C}">
      <text>
        <r>
          <rPr>
            <b/>
            <sz val="9"/>
            <color indexed="81"/>
            <rFont val="Tahoma"/>
            <family val="2"/>
          </rPr>
          <t>Stamp duty, Income tax expensive</t>
        </r>
      </text>
    </comment>
    <comment ref="D37" authorId="0" shapeId="0" xr:uid="{00000000-0006-0000-1100-000007000000}">
      <text>
        <r>
          <rPr>
            <b/>
            <sz val="9"/>
            <color indexed="81"/>
            <rFont val="Tahoma"/>
            <family val="2"/>
          </rPr>
          <t>Rent and Rate</t>
        </r>
      </text>
    </comment>
    <comment ref="D38" authorId="0" shapeId="0" xr:uid="{00000000-0006-0000-1100-000008000000}">
      <text>
        <r>
          <rPr>
            <b/>
            <sz val="9"/>
            <color indexed="81"/>
            <rFont val="Tahoma"/>
            <family val="2"/>
          </rPr>
          <t>Repairs and Maintenance</t>
        </r>
      </text>
    </comment>
    <comment ref="D39" authorId="0" shapeId="0" xr:uid="{00000000-0006-0000-1100-000009000000}">
      <text>
        <r>
          <rPr>
            <b/>
            <sz val="9"/>
            <color indexed="81"/>
            <rFont val="Tahoma"/>
            <family val="2"/>
          </rPr>
          <t>Insurance</t>
        </r>
      </text>
    </comment>
    <comment ref="D48" authorId="0" shapeId="0" xr:uid="{00000000-0006-0000-1100-00000A000000}">
      <text>
        <r>
          <rPr>
            <b/>
            <sz val="9"/>
            <color indexed="81"/>
            <rFont val="Tahoma"/>
            <family val="2"/>
          </rPr>
          <t>Office Supplies, Consumables Expense</t>
        </r>
      </text>
    </comment>
    <comment ref="D49" authorId="0" shapeId="0" xr:uid="{00000000-0006-0000-1100-00000B000000}">
      <text>
        <r>
          <rPr>
            <b/>
            <sz val="9"/>
            <color indexed="81"/>
            <rFont val="돋움"/>
            <family val="3"/>
            <charset val="129"/>
          </rPr>
          <t>하단참조</t>
        </r>
      </text>
    </comment>
    <comment ref="D53" authorId="0" shapeId="0" xr:uid="{00000000-0006-0000-1100-00000C000000}">
      <text>
        <r>
          <rPr>
            <b/>
            <sz val="9"/>
            <color indexed="81"/>
            <rFont val="Tahoma"/>
            <family val="2"/>
          </rPr>
          <t>Building Management Fee &amp; Air Conditioning Charge, Cleaning</t>
        </r>
      </text>
    </comment>
    <comment ref="J87" authorId="0" shapeId="0" xr:uid="{00000000-0006-0000-1100-00000D000000}">
      <text>
        <r>
          <rPr>
            <b/>
            <sz val="9"/>
            <color indexed="81"/>
            <rFont val="돋움"/>
            <family val="3"/>
            <charset val="129"/>
          </rPr>
          <t>리스컨버전</t>
        </r>
        <r>
          <rPr>
            <b/>
            <sz val="9"/>
            <color indexed="81"/>
            <rFont val="Tahoma"/>
            <family val="2"/>
          </rPr>
          <t xml:space="preserve"> </t>
        </r>
        <r>
          <rPr>
            <b/>
            <sz val="9"/>
            <color indexed="81"/>
            <rFont val="돋움"/>
            <family val="3"/>
            <charset val="129"/>
          </rPr>
          <t>분개에서</t>
        </r>
        <r>
          <rPr>
            <b/>
            <sz val="9"/>
            <color indexed="81"/>
            <rFont val="Tahoma"/>
            <family val="2"/>
          </rPr>
          <t xml:space="preserve"> </t>
        </r>
        <r>
          <rPr>
            <b/>
            <sz val="9"/>
            <color indexed="81"/>
            <rFont val="돋움"/>
            <family val="3"/>
            <charset val="129"/>
          </rPr>
          <t>발생한</t>
        </r>
        <r>
          <rPr>
            <b/>
            <sz val="9"/>
            <color indexed="81"/>
            <rFont val="Tahoma"/>
            <family val="2"/>
          </rPr>
          <t xml:space="preserve"> </t>
        </r>
        <r>
          <rPr>
            <b/>
            <sz val="9"/>
            <color indexed="81"/>
            <rFont val="돋움"/>
            <family val="3"/>
            <charset val="129"/>
          </rPr>
          <t>해외사업환산손익</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홍준기</author>
  </authors>
  <commentList>
    <comment ref="D12" authorId="0" shapeId="0" xr:uid="{F214A379-C69D-41F1-A1B6-2ED20CF6415F}">
      <text>
        <r>
          <rPr>
            <b/>
            <sz val="9"/>
            <color indexed="81"/>
            <rFont val="돋움"/>
            <family val="3"/>
            <charset val="129"/>
          </rPr>
          <t>원화기준으로</t>
        </r>
        <r>
          <rPr>
            <b/>
            <sz val="9"/>
            <color indexed="81"/>
            <rFont val="Tahoma"/>
            <family val="2"/>
          </rPr>
          <t xml:space="preserve"> </t>
        </r>
        <r>
          <rPr>
            <b/>
            <sz val="9"/>
            <color indexed="81"/>
            <rFont val="돋움"/>
            <family val="3"/>
            <charset val="129"/>
          </rPr>
          <t>전액</t>
        </r>
        <r>
          <rPr>
            <b/>
            <sz val="9"/>
            <color indexed="81"/>
            <rFont val="Tahoma"/>
            <family val="2"/>
          </rPr>
          <t xml:space="preserve"> </t>
        </r>
        <r>
          <rPr>
            <b/>
            <sz val="9"/>
            <color indexed="81"/>
            <rFont val="돋움"/>
            <family val="3"/>
            <charset val="129"/>
          </rPr>
          <t>외화예금임</t>
        </r>
      </text>
    </comment>
    <comment ref="H29" authorId="0" shapeId="0" xr:uid="{00000000-0006-0000-1200-000001000000}">
      <text>
        <r>
          <rPr>
            <b/>
            <sz val="9"/>
            <color indexed="81"/>
            <rFont val="돋움"/>
            <family val="3"/>
            <charset val="129"/>
          </rPr>
          <t>단수조정</t>
        </r>
      </text>
    </comment>
    <comment ref="F86" authorId="0" shapeId="0" xr:uid="{00000000-0006-0000-1200-000002000000}">
      <text>
        <r>
          <rPr>
            <b/>
            <sz val="9"/>
            <color indexed="81"/>
            <rFont val="돋움"/>
            <family val="3"/>
            <charset val="129"/>
          </rPr>
          <t>음수조정</t>
        </r>
      </text>
    </comment>
    <comment ref="H113" authorId="0" shapeId="0" xr:uid="{00000000-0006-0000-1200-000003000000}">
      <text>
        <r>
          <rPr>
            <b/>
            <sz val="9"/>
            <color indexed="81"/>
            <rFont val="돋움"/>
            <family val="3"/>
            <charset val="129"/>
          </rPr>
          <t>역사적환율</t>
        </r>
      </text>
    </comment>
    <comment ref="J122" authorId="0" shapeId="0" xr:uid="{00000000-0006-0000-1200-000004000000}">
      <text>
        <r>
          <rPr>
            <b/>
            <sz val="9"/>
            <color indexed="81"/>
            <rFont val="돋움"/>
            <family val="3"/>
            <charset val="129"/>
          </rPr>
          <t>리스컨버전</t>
        </r>
        <r>
          <rPr>
            <b/>
            <sz val="9"/>
            <color indexed="81"/>
            <rFont val="Tahoma"/>
            <family val="2"/>
          </rPr>
          <t xml:space="preserve"> </t>
        </r>
        <r>
          <rPr>
            <b/>
            <sz val="9"/>
            <color indexed="81"/>
            <rFont val="돋움"/>
            <family val="3"/>
            <charset val="129"/>
          </rPr>
          <t>분개에서</t>
        </r>
        <r>
          <rPr>
            <b/>
            <sz val="9"/>
            <color indexed="81"/>
            <rFont val="Tahoma"/>
            <family val="2"/>
          </rPr>
          <t xml:space="preserve"> </t>
        </r>
        <r>
          <rPr>
            <b/>
            <sz val="9"/>
            <color indexed="81"/>
            <rFont val="돋움"/>
            <family val="3"/>
            <charset val="129"/>
          </rPr>
          <t>발생한</t>
        </r>
        <r>
          <rPr>
            <b/>
            <sz val="9"/>
            <color indexed="81"/>
            <rFont val="Tahoma"/>
            <family val="2"/>
          </rPr>
          <t xml:space="preserve"> </t>
        </r>
        <r>
          <rPr>
            <b/>
            <sz val="9"/>
            <color indexed="81"/>
            <rFont val="돋움"/>
            <family val="3"/>
            <charset val="129"/>
          </rPr>
          <t>해외사업환산손익</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홍준기</author>
  </authors>
  <commentList>
    <comment ref="D21" authorId="0" shapeId="0" xr:uid="{00000000-0006-0000-1300-000001000000}">
      <text>
        <r>
          <rPr>
            <b/>
            <sz val="9"/>
            <color indexed="81"/>
            <rFont val="돋움"/>
            <family val="3"/>
            <charset val="129"/>
          </rPr>
          <t>부호반대입력</t>
        </r>
      </text>
    </comment>
    <comment ref="J87" authorId="0" shapeId="0" xr:uid="{00000000-0006-0000-1300-000002000000}">
      <text>
        <r>
          <rPr>
            <b/>
            <sz val="9"/>
            <color indexed="81"/>
            <rFont val="돋움"/>
            <family val="3"/>
            <charset val="129"/>
          </rPr>
          <t>리스컨버전</t>
        </r>
        <r>
          <rPr>
            <b/>
            <sz val="9"/>
            <color indexed="81"/>
            <rFont val="Tahoma"/>
            <family val="2"/>
          </rPr>
          <t xml:space="preserve"> </t>
        </r>
        <r>
          <rPr>
            <b/>
            <sz val="9"/>
            <color indexed="81"/>
            <rFont val="돋움"/>
            <family val="3"/>
            <charset val="129"/>
          </rPr>
          <t>분개에서</t>
        </r>
        <r>
          <rPr>
            <b/>
            <sz val="9"/>
            <color indexed="81"/>
            <rFont val="Tahoma"/>
            <family val="2"/>
          </rPr>
          <t xml:space="preserve"> </t>
        </r>
        <r>
          <rPr>
            <b/>
            <sz val="9"/>
            <color indexed="81"/>
            <rFont val="돋움"/>
            <family val="3"/>
            <charset val="129"/>
          </rPr>
          <t>발생한</t>
        </r>
        <r>
          <rPr>
            <b/>
            <sz val="9"/>
            <color indexed="81"/>
            <rFont val="Tahoma"/>
            <family val="2"/>
          </rPr>
          <t xml:space="preserve"> </t>
        </r>
        <r>
          <rPr>
            <b/>
            <sz val="9"/>
            <color indexed="81"/>
            <rFont val="돋움"/>
            <family val="3"/>
            <charset val="129"/>
          </rPr>
          <t>해외사업환산손익</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홍준기</author>
  </authors>
  <commentList>
    <comment ref="D12" authorId="0" shapeId="0" xr:uid="{00000000-0006-0000-1400-000001000000}">
      <text>
        <r>
          <rPr>
            <b/>
            <sz val="9"/>
            <color indexed="81"/>
            <rFont val="돋움"/>
            <family val="3"/>
            <charset val="129"/>
          </rPr>
          <t>원화기준으로</t>
        </r>
        <r>
          <rPr>
            <b/>
            <sz val="9"/>
            <color indexed="81"/>
            <rFont val="Tahoma"/>
            <family val="2"/>
          </rPr>
          <t xml:space="preserve"> </t>
        </r>
        <r>
          <rPr>
            <b/>
            <sz val="9"/>
            <color indexed="81"/>
            <rFont val="돋움"/>
            <family val="3"/>
            <charset val="129"/>
          </rPr>
          <t>전액</t>
        </r>
        <r>
          <rPr>
            <b/>
            <sz val="9"/>
            <color indexed="81"/>
            <rFont val="Tahoma"/>
            <family val="2"/>
          </rPr>
          <t xml:space="preserve"> </t>
        </r>
        <r>
          <rPr>
            <b/>
            <sz val="9"/>
            <color indexed="81"/>
            <rFont val="돋움"/>
            <family val="3"/>
            <charset val="129"/>
          </rPr>
          <t>외화예금임</t>
        </r>
      </text>
    </comment>
    <comment ref="H24" authorId="0" shapeId="0" xr:uid="{1F262FF4-72FD-490D-8DA9-35AD7C8F8D61}">
      <text>
        <r>
          <rPr>
            <b/>
            <sz val="9"/>
            <color indexed="81"/>
            <rFont val="돋움"/>
            <family val="3"/>
            <charset val="129"/>
          </rPr>
          <t>단수조정</t>
        </r>
      </text>
    </comment>
    <comment ref="H113" authorId="0" shapeId="0" xr:uid="{00000000-0006-0000-1400-000002000000}">
      <text>
        <r>
          <rPr>
            <b/>
            <sz val="9"/>
            <color indexed="81"/>
            <rFont val="돋움"/>
            <family val="3"/>
            <charset val="129"/>
          </rPr>
          <t>역사적환율</t>
        </r>
      </text>
    </comment>
    <comment ref="J122" authorId="0" shapeId="0" xr:uid="{00000000-0006-0000-1400-000003000000}">
      <text>
        <r>
          <rPr>
            <b/>
            <sz val="9"/>
            <color indexed="81"/>
            <rFont val="돋움"/>
            <family val="3"/>
            <charset val="129"/>
          </rPr>
          <t>리스컨버전</t>
        </r>
        <r>
          <rPr>
            <b/>
            <sz val="9"/>
            <color indexed="81"/>
            <rFont val="Tahoma"/>
            <family val="2"/>
          </rPr>
          <t xml:space="preserve"> </t>
        </r>
        <r>
          <rPr>
            <b/>
            <sz val="9"/>
            <color indexed="81"/>
            <rFont val="돋움"/>
            <family val="3"/>
            <charset val="129"/>
          </rPr>
          <t>분개에서</t>
        </r>
        <r>
          <rPr>
            <b/>
            <sz val="9"/>
            <color indexed="81"/>
            <rFont val="Tahoma"/>
            <family val="2"/>
          </rPr>
          <t xml:space="preserve"> </t>
        </r>
        <r>
          <rPr>
            <b/>
            <sz val="9"/>
            <color indexed="81"/>
            <rFont val="돋움"/>
            <family val="3"/>
            <charset val="129"/>
          </rPr>
          <t>발생한</t>
        </r>
        <r>
          <rPr>
            <b/>
            <sz val="9"/>
            <color indexed="81"/>
            <rFont val="Tahoma"/>
            <family val="2"/>
          </rPr>
          <t xml:space="preserve"> </t>
        </r>
        <r>
          <rPr>
            <b/>
            <sz val="9"/>
            <color indexed="81"/>
            <rFont val="돋움"/>
            <family val="3"/>
            <charset val="129"/>
          </rPr>
          <t>해외사업환산손익</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홍준기</author>
  </authors>
  <commentList>
    <comment ref="D21" authorId="0" shapeId="0" xr:uid="{00000000-0006-0000-1500-000001000000}">
      <text>
        <r>
          <rPr>
            <b/>
            <sz val="9"/>
            <color indexed="81"/>
            <rFont val="돋움"/>
            <family val="3"/>
            <charset val="129"/>
          </rPr>
          <t>부호반대입력</t>
        </r>
      </text>
    </comment>
    <comment ref="J87" authorId="0" shapeId="0" xr:uid="{00000000-0006-0000-1500-000002000000}">
      <text>
        <r>
          <rPr>
            <b/>
            <sz val="9"/>
            <color indexed="81"/>
            <rFont val="돋움"/>
            <family val="3"/>
            <charset val="129"/>
          </rPr>
          <t>리스컨버전</t>
        </r>
        <r>
          <rPr>
            <b/>
            <sz val="9"/>
            <color indexed="81"/>
            <rFont val="Tahoma"/>
            <family val="2"/>
          </rPr>
          <t xml:space="preserve"> </t>
        </r>
        <r>
          <rPr>
            <b/>
            <sz val="9"/>
            <color indexed="81"/>
            <rFont val="돋움"/>
            <family val="3"/>
            <charset val="129"/>
          </rPr>
          <t>분개에서</t>
        </r>
        <r>
          <rPr>
            <b/>
            <sz val="9"/>
            <color indexed="81"/>
            <rFont val="Tahoma"/>
            <family val="2"/>
          </rPr>
          <t xml:space="preserve"> </t>
        </r>
        <r>
          <rPr>
            <b/>
            <sz val="9"/>
            <color indexed="81"/>
            <rFont val="돋움"/>
            <family val="3"/>
            <charset val="129"/>
          </rPr>
          <t>발생한</t>
        </r>
        <r>
          <rPr>
            <b/>
            <sz val="9"/>
            <color indexed="81"/>
            <rFont val="Tahoma"/>
            <family val="2"/>
          </rPr>
          <t xml:space="preserve"> </t>
        </r>
        <r>
          <rPr>
            <b/>
            <sz val="9"/>
            <color indexed="81"/>
            <rFont val="돋움"/>
            <family val="3"/>
            <charset val="129"/>
          </rPr>
          <t>해외사업환산손익</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홍준기</author>
  </authors>
  <commentList>
    <comment ref="I85" authorId="0" shapeId="0" xr:uid="{00000000-0006-0000-1B00-000001000000}">
      <text>
        <r>
          <rPr>
            <b/>
            <sz val="9"/>
            <color indexed="81"/>
            <rFont val="Tahoma"/>
            <family val="2"/>
          </rPr>
          <t>25</t>
        </r>
        <r>
          <rPr>
            <b/>
            <sz val="9"/>
            <color indexed="81"/>
            <rFont val="돋움"/>
            <family val="3"/>
            <charset val="129"/>
          </rPr>
          <t>년부터</t>
        </r>
        <r>
          <rPr>
            <b/>
            <sz val="9"/>
            <color indexed="81"/>
            <rFont val="Tahoma"/>
            <family val="2"/>
          </rPr>
          <t xml:space="preserve"> </t>
        </r>
        <r>
          <rPr>
            <b/>
            <sz val="9"/>
            <color indexed="81"/>
            <rFont val="돋움"/>
            <family val="3"/>
            <charset val="129"/>
          </rPr>
          <t>이익잉여금으로</t>
        </r>
        <r>
          <rPr>
            <b/>
            <sz val="9"/>
            <color indexed="81"/>
            <rFont val="Tahoma"/>
            <family val="2"/>
          </rPr>
          <t xml:space="preserve"> </t>
        </r>
        <r>
          <rPr>
            <b/>
            <sz val="9"/>
            <color indexed="81"/>
            <rFont val="돋움"/>
            <family val="3"/>
            <charset val="129"/>
          </rPr>
          <t>계정변경필요</t>
        </r>
        <r>
          <rPr>
            <b/>
            <sz val="9"/>
            <color indexed="81"/>
            <rFont val="Tahoma"/>
            <family val="2"/>
          </rPr>
          <t>. 24</t>
        </r>
        <r>
          <rPr>
            <b/>
            <sz val="9"/>
            <color indexed="81"/>
            <rFont val="돋움"/>
            <family val="3"/>
            <charset val="129"/>
          </rPr>
          <t>년까지는</t>
        </r>
        <r>
          <rPr>
            <b/>
            <sz val="9"/>
            <color indexed="81"/>
            <rFont val="Tahoma"/>
            <family val="2"/>
          </rPr>
          <t xml:space="preserve"> </t>
        </r>
        <r>
          <rPr>
            <b/>
            <sz val="9"/>
            <color indexed="81"/>
            <rFont val="돋움"/>
            <family val="3"/>
            <charset val="129"/>
          </rPr>
          <t>재고이동</t>
        </r>
        <r>
          <rPr>
            <b/>
            <sz val="9"/>
            <color indexed="81"/>
            <rFont val="Tahoma"/>
            <family val="2"/>
          </rPr>
          <t xml:space="preserve"> </t>
        </r>
        <r>
          <rPr>
            <b/>
            <sz val="9"/>
            <color indexed="81"/>
            <rFont val="돋움"/>
            <family val="3"/>
            <charset val="129"/>
          </rPr>
          <t>관련</t>
        </r>
        <r>
          <rPr>
            <b/>
            <sz val="9"/>
            <color indexed="81"/>
            <rFont val="Tahoma"/>
            <family val="2"/>
          </rPr>
          <t xml:space="preserve"> </t>
        </r>
        <r>
          <rPr>
            <b/>
            <sz val="9"/>
            <color indexed="81"/>
            <rFont val="돋움"/>
            <family val="3"/>
            <charset val="129"/>
          </rPr>
          <t>기타조정분개를</t>
        </r>
        <r>
          <rPr>
            <b/>
            <sz val="9"/>
            <color indexed="81"/>
            <rFont val="Tahoma"/>
            <family val="2"/>
          </rPr>
          <t xml:space="preserve"> </t>
        </r>
        <r>
          <rPr>
            <b/>
            <sz val="9"/>
            <color indexed="81"/>
            <rFont val="돋움"/>
            <family val="3"/>
            <charset val="129"/>
          </rPr>
          <t>통해</t>
        </r>
        <r>
          <rPr>
            <b/>
            <sz val="9"/>
            <color indexed="81"/>
            <rFont val="Tahoma"/>
            <family val="2"/>
          </rPr>
          <t xml:space="preserve"> </t>
        </r>
        <r>
          <rPr>
            <b/>
            <sz val="9"/>
            <color indexed="81"/>
            <rFont val="돋움"/>
            <family val="3"/>
            <charset val="129"/>
          </rPr>
          <t>잉여금처리됨</t>
        </r>
      </text>
    </comment>
    <comment ref="I89" authorId="0" shapeId="0" xr:uid="{782AA5C8-6214-4288-9136-60180E22293E}">
      <text>
        <r>
          <rPr>
            <b/>
            <sz val="9"/>
            <color indexed="81"/>
            <rFont val="Tahoma"/>
            <family val="2"/>
          </rPr>
          <t>25</t>
        </r>
        <r>
          <rPr>
            <b/>
            <sz val="9"/>
            <color indexed="81"/>
            <rFont val="돋움"/>
            <family val="3"/>
            <charset val="129"/>
          </rPr>
          <t>년부터</t>
        </r>
        <r>
          <rPr>
            <b/>
            <sz val="9"/>
            <color indexed="81"/>
            <rFont val="Tahoma"/>
            <family val="2"/>
          </rPr>
          <t xml:space="preserve"> </t>
        </r>
        <r>
          <rPr>
            <b/>
            <sz val="9"/>
            <color indexed="81"/>
            <rFont val="돋움"/>
            <family val="3"/>
            <charset val="129"/>
          </rPr>
          <t>이익잉여금으로</t>
        </r>
        <r>
          <rPr>
            <b/>
            <sz val="9"/>
            <color indexed="81"/>
            <rFont val="Tahoma"/>
            <family val="2"/>
          </rPr>
          <t xml:space="preserve"> </t>
        </r>
        <r>
          <rPr>
            <b/>
            <sz val="9"/>
            <color indexed="81"/>
            <rFont val="돋움"/>
            <family val="3"/>
            <charset val="129"/>
          </rPr>
          <t>계정변경필요</t>
        </r>
        <r>
          <rPr>
            <b/>
            <sz val="9"/>
            <color indexed="81"/>
            <rFont val="Tahoma"/>
            <family val="2"/>
          </rPr>
          <t>. 24</t>
        </r>
        <r>
          <rPr>
            <b/>
            <sz val="9"/>
            <color indexed="81"/>
            <rFont val="돋움"/>
            <family val="3"/>
            <charset val="129"/>
          </rPr>
          <t>년까지는</t>
        </r>
        <r>
          <rPr>
            <b/>
            <sz val="9"/>
            <color indexed="81"/>
            <rFont val="Tahoma"/>
            <family val="2"/>
          </rPr>
          <t xml:space="preserve"> </t>
        </r>
        <r>
          <rPr>
            <b/>
            <sz val="9"/>
            <color indexed="81"/>
            <rFont val="돋움"/>
            <family val="3"/>
            <charset val="129"/>
          </rPr>
          <t>재고이동</t>
        </r>
        <r>
          <rPr>
            <b/>
            <sz val="9"/>
            <color indexed="81"/>
            <rFont val="Tahoma"/>
            <family val="2"/>
          </rPr>
          <t xml:space="preserve"> </t>
        </r>
        <r>
          <rPr>
            <b/>
            <sz val="9"/>
            <color indexed="81"/>
            <rFont val="돋움"/>
            <family val="3"/>
            <charset val="129"/>
          </rPr>
          <t>관련</t>
        </r>
        <r>
          <rPr>
            <b/>
            <sz val="9"/>
            <color indexed="81"/>
            <rFont val="Tahoma"/>
            <family val="2"/>
          </rPr>
          <t xml:space="preserve"> </t>
        </r>
        <r>
          <rPr>
            <b/>
            <sz val="9"/>
            <color indexed="81"/>
            <rFont val="돋움"/>
            <family val="3"/>
            <charset val="129"/>
          </rPr>
          <t>기타조정분개를</t>
        </r>
        <r>
          <rPr>
            <b/>
            <sz val="9"/>
            <color indexed="81"/>
            <rFont val="Tahoma"/>
            <family val="2"/>
          </rPr>
          <t xml:space="preserve"> </t>
        </r>
        <r>
          <rPr>
            <b/>
            <sz val="9"/>
            <color indexed="81"/>
            <rFont val="돋움"/>
            <family val="3"/>
            <charset val="129"/>
          </rPr>
          <t>통해</t>
        </r>
        <r>
          <rPr>
            <b/>
            <sz val="9"/>
            <color indexed="81"/>
            <rFont val="Tahoma"/>
            <family val="2"/>
          </rPr>
          <t xml:space="preserve"> </t>
        </r>
        <r>
          <rPr>
            <b/>
            <sz val="9"/>
            <color indexed="81"/>
            <rFont val="돋움"/>
            <family val="3"/>
            <charset val="129"/>
          </rPr>
          <t>잉여금처리됨</t>
        </r>
      </text>
    </comment>
    <comment ref="E106" authorId="0" shapeId="0" xr:uid="{4286F7D8-CF8A-47C4-9E56-23EEA91344C9}">
      <text>
        <r>
          <rPr>
            <b/>
            <sz val="9"/>
            <color indexed="81"/>
            <rFont val="돋움"/>
            <family val="3"/>
            <charset val="129"/>
          </rPr>
          <t>상품재고</t>
        </r>
        <r>
          <rPr>
            <b/>
            <sz val="9"/>
            <color indexed="81"/>
            <rFont val="Tahoma"/>
            <family val="2"/>
          </rPr>
          <t xml:space="preserve"> </t>
        </r>
        <r>
          <rPr>
            <b/>
            <sz val="9"/>
            <color indexed="81"/>
            <rFont val="돋움"/>
            <family val="3"/>
            <charset val="129"/>
          </rPr>
          <t>전액</t>
        </r>
        <r>
          <rPr>
            <b/>
            <sz val="9"/>
            <color indexed="81"/>
            <rFont val="Tahoma"/>
            <family val="2"/>
          </rPr>
          <t xml:space="preserve"> HK</t>
        </r>
        <r>
          <rPr>
            <b/>
            <sz val="9"/>
            <color indexed="81"/>
            <rFont val="돋움"/>
            <family val="3"/>
            <charset val="129"/>
          </rPr>
          <t>에서</t>
        </r>
        <r>
          <rPr>
            <b/>
            <sz val="9"/>
            <color indexed="81"/>
            <rFont val="Tahoma"/>
            <family val="2"/>
          </rPr>
          <t xml:space="preserve"> </t>
        </r>
        <r>
          <rPr>
            <b/>
            <sz val="9"/>
            <color indexed="81"/>
            <rFont val="돋움"/>
            <family val="3"/>
            <charset val="129"/>
          </rPr>
          <t>매입</t>
        </r>
      </text>
    </comment>
    <comment ref="J111" authorId="0" shapeId="0" xr:uid="{A725BC56-5F43-46B7-8B06-C91D3B08E6E9}">
      <text>
        <r>
          <rPr>
            <b/>
            <sz val="9"/>
            <color indexed="81"/>
            <rFont val="돋움"/>
            <family val="3"/>
            <charset val="129"/>
          </rPr>
          <t>전기누적</t>
        </r>
        <r>
          <rPr>
            <b/>
            <sz val="9"/>
            <color indexed="81"/>
            <rFont val="Tahoma"/>
            <family val="2"/>
          </rPr>
          <t xml:space="preserve"> </t>
        </r>
        <r>
          <rPr>
            <b/>
            <sz val="9"/>
            <color indexed="81"/>
            <rFont val="돋움"/>
            <family val="3"/>
            <charset val="129"/>
          </rPr>
          <t>감가비제거액입력</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홍준기</author>
  </authors>
  <commentList>
    <comment ref="G100" authorId="0" shapeId="0" xr:uid="{00000000-0006-0000-3200-000001000000}">
      <text>
        <r>
          <rPr>
            <b/>
            <sz val="9"/>
            <color indexed="81"/>
            <rFont val="돋움"/>
            <family val="3"/>
            <charset val="129"/>
          </rPr>
          <t>단수조정</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<sst xmlns="http://schemas.openxmlformats.org/spreadsheetml/2006/main" count="13033" uniqueCount="4060">
  <si>
    <t>Level</t>
    <phoneticPr fontId="4" type="noConversion"/>
  </si>
  <si>
    <t>계정과목명(Account)</t>
  </si>
  <si>
    <t>Code</t>
  </si>
  <si>
    <t>자산</t>
  </si>
  <si>
    <t>유동자산</t>
  </si>
  <si>
    <t>당좌자산</t>
  </si>
  <si>
    <t>현금</t>
  </si>
  <si>
    <t>보통예금</t>
  </si>
  <si>
    <t>단기금융상품</t>
  </si>
  <si>
    <t>기타단기금융상품</t>
  </si>
  <si>
    <t>매출채권</t>
  </si>
  <si>
    <t>외상매출금</t>
  </si>
  <si>
    <t>매출채권대손충당금</t>
  </si>
  <si>
    <t>미수금</t>
  </si>
  <si>
    <t>미수금대손충당금</t>
  </si>
  <si>
    <t>미수수익</t>
  </si>
  <si>
    <t>선급금</t>
  </si>
  <si>
    <t>선급비용</t>
  </si>
  <si>
    <t>선급법인세</t>
  </si>
  <si>
    <t>이연법인세자산</t>
  </si>
  <si>
    <t>재고자산</t>
  </si>
  <si>
    <t>제품</t>
  </si>
  <si>
    <t>재공품</t>
  </si>
  <si>
    <t>상품</t>
  </si>
  <si>
    <t>원재료</t>
  </si>
  <si>
    <t>비유동자산</t>
  </si>
  <si>
    <t>투자자산</t>
  </si>
  <si>
    <t>유형자산</t>
  </si>
  <si>
    <t>토지</t>
  </si>
  <si>
    <t>건물</t>
  </si>
  <si>
    <t>건물감가상각누계액</t>
  </si>
  <si>
    <t>기계장치</t>
  </si>
  <si>
    <t>비품</t>
  </si>
  <si>
    <t>차량운반구</t>
  </si>
  <si>
    <t>건설중인자산</t>
  </si>
  <si>
    <t>무형자산</t>
  </si>
  <si>
    <t>산업재산권</t>
  </si>
  <si>
    <t>특허권</t>
  </si>
  <si>
    <t>상표권</t>
  </si>
  <si>
    <t>영업권</t>
  </si>
  <si>
    <t>개발비</t>
  </si>
  <si>
    <t>소프트웨어</t>
  </si>
  <si>
    <t>기타의비유동자산</t>
  </si>
  <si>
    <t>임차보증금</t>
  </si>
  <si>
    <t>기타보증금</t>
  </si>
  <si>
    <t>투자부동산</t>
    <phoneticPr fontId="4" type="noConversion"/>
  </si>
  <si>
    <t>부채</t>
  </si>
  <si>
    <t>유동부채</t>
  </si>
  <si>
    <t>매입채무</t>
  </si>
  <si>
    <t>외상매입금</t>
  </si>
  <si>
    <t>단기차입금</t>
  </si>
  <si>
    <t>미지급금</t>
  </si>
  <si>
    <t>선수금</t>
  </si>
  <si>
    <t>예수금</t>
  </si>
  <si>
    <t>미지급비용</t>
  </si>
  <si>
    <t>유동성장기차입금</t>
  </si>
  <si>
    <t>비유동부채</t>
  </si>
  <si>
    <t>장기차입금</t>
  </si>
  <si>
    <t>비유동이연법인세부채</t>
  </si>
  <si>
    <t>퇴직급여충당금</t>
  </si>
  <si>
    <t>퇴직연금운용자산</t>
  </si>
  <si>
    <t>자본</t>
  </si>
  <si>
    <t>자본금</t>
  </si>
  <si>
    <t>보통주자본금</t>
  </si>
  <si>
    <t>우선주자본금</t>
  </si>
  <si>
    <t>자본잉여금</t>
  </si>
  <si>
    <t>주식발행초과금</t>
  </si>
  <si>
    <t>자본조정</t>
  </si>
  <si>
    <t>주식할인발행차금</t>
  </si>
  <si>
    <t>주식선택권</t>
  </si>
  <si>
    <t>기타포괄손익누계액</t>
  </si>
  <si>
    <t>지분법자본변동</t>
  </si>
  <si>
    <t>부의지분법자본변동</t>
  </si>
  <si>
    <t>이익잉여금</t>
  </si>
  <si>
    <t>법정적립금</t>
  </si>
  <si>
    <t>임의적립금</t>
  </si>
  <si>
    <t>중간배당금</t>
  </si>
  <si>
    <t>미처분이익잉여금</t>
  </si>
  <si>
    <t>보험수리적손익</t>
    <phoneticPr fontId="4" type="noConversion"/>
  </si>
  <si>
    <t>대차검증</t>
    <phoneticPr fontId="4" type="noConversion"/>
  </si>
  <si>
    <t>손익</t>
  </si>
  <si>
    <t>매출액</t>
  </si>
  <si>
    <t>매출원가</t>
  </si>
  <si>
    <t>제품매출원가</t>
  </si>
  <si>
    <t>상품매출원가</t>
  </si>
  <si>
    <t>판매비와관리비</t>
  </si>
  <si>
    <t>영업이익</t>
  </si>
  <si>
    <t>기타수익</t>
  </si>
  <si>
    <t>기타비용</t>
  </si>
  <si>
    <t>기타의 대손상각비</t>
  </si>
  <si>
    <t>금융수익</t>
  </si>
  <si>
    <t>금융비용</t>
  </si>
  <si>
    <t>법인세등</t>
  </si>
  <si>
    <t>당기순이익</t>
    <phoneticPr fontId="3" type="noConversion"/>
  </si>
  <si>
    <t>단순합산</t>
    <phoneticPr fontId="3" type="noConversion"/>
  </si>
  <si>
    <t>투자자본상계</t>
    <phoneticPr fontId="11" type="noConversion"/>
  </si>
  <si>
    <t>IFRS(투자자본상계)</t>
    <phoneticPr fontId="3" type="noConversion"/>
  </si>
  <si>
    <t>내부거래상계</t>
    <phoneticPr fontId="11" type="noConversion"/>
  </si>
  <si>
    <t>IFRS(내부거래상계)</t>
    <phoneticPr fontId="3" type="noConversion"/>
  </si>
  <si>
    <t>연결조정</t>
    <phoneticPr fontId="11" type="noConversion"/>
  </si>
  <si>
    <t>연결IFRS</t>
    <phoneticPr fontId="3" type="noConversion"/>
  </si>
  <si>
    <t>공시용mapping</t>
    <phoneticPr fontId="3" type="noConversion"/>
  </si>
  <si>
    <t>차변</t>
    <phoneticPr fontId="3" type="noConversion"/>
  </si>
  <si>
    <t>대변</t>
    <phoneticPr fontId="3" type="noConversion"/>
  </si>
  <si>
    <t>차변</t>
    <phoneticPr fontId="3" type="noConversion"/>
  </si>
  <si>
    <t>기타유동자산</t>
  </si>
  <si>
    <t>당기법인세자산</t>
  </si>
  <si>
    <t>기타유동부채</t>
  </si>
  <si>
    <t>당기법인세부채</t>
  </si>
  <si>
    <t>비지배지분</t>
    <phoneticPr fontId="3" type="noConversion"/>
  </si>
  <si>
    <t>비지배지분순이익</t>
    <phoneticPr fontId="3" type="noConversion"/>
  </si>
  <si>
    <t>단순합산</t>
    <phoneticPr fontId="3" type="noConversion"/>
  </si>
  <si>
    <t>투자자본상계</t>
    <phoneticPr fontId="11" type="noConversion"/>
  </si>
  <si>
    <t>내부거래제거</t>
    <phoneticPr fontId="11" type="noConversion"/>
  </si>
  <si>
    <t>공시용mapping</t>
    <phoneticPr fontId="3" type="noConversion"/>
  </si>
  <si>
    <t>Dr</t>
  </si>
  <si>
    <t>Cr</t>
  </si>
  <si>
    <t>K-IFRS</t>
    <phoneticPr fontId="3" type="noConversion"/>
  </si>
  <si>
    <t>매출</t>
  </si>
  <si>
    <t>기타수익</t>
    <phoneticPr fontId="3" type="noConversion"/>
  </si>
  <si>
    <t>외환차익</t>
  </si>
  <si>
    <t>외화환산이익</t>
  </si>
  <si>
    <t>유형자산처분이익</t>
  </si>
  <si>
    <t>잡이익</t>
  </si>
  <si>
    <t>기타수익</t>
    <phoneticPr fontId="3" type="noConversion"/>
  </si>
  <si>
    <t>외환차손</t>
  </si>
  <si>
    <t>기타비용</t>
    <phoneticPr fontId="3" type="noConversion"/>
  </si>
  <si>
    <t>외화환산손실</t>
  </si>
  <si>
    <t>기부금</t>
  </si>
  <si>
    <t>유형자산처분손실</t>
  </si>
  <si>
    <t>잡손실</t>
  </si>
  <si>
    <t>기타비용</t>
    <phoneticPr fontId="3" type="noConversion"/>
  </si>
  <si>
    <t>유형자산손상차손</t>
  </si>
  <si>
    <t>이자수익</t>
  </si>
  <si>
    <t>금융수익</t>
    <phoneticPr fontId="3" type="noConversion"/>
  </si>
  <si>
    <t>금융비용</t>
    <phoneticPr fontId="3" type="noConversion"/>
  </si>
  <si>
    <t>금융비용</t>
    <phoneticPr fontId="3" type="noConversion"/>
  </si>
  <si>
    <t>지분법손익</t>
    <phoneticPr fontId="3" type="noConversion"/>
  </si>
  <si>
    <t>법인세차감 전 순이익</t>
    <phoneticPr fontId="3" type="noConversion"/>
  </si>
  <si>
    <t>법인세비용</t>
    <phoneticPr fontId="3" type="noConversion"/>
  </si>
  <si>
    <t>당기순이익</t>
    <phoneticPr fontId="4" type="noConversion"/>
  </si>
  <si>
    <t>자본금</t>
    <phoneticPr fontId="3" type="noConversion"/>
  </si>
  <si>
    <t>합계</t>
    <phoneticPr fontId="3" type="noConversion"/>
  </si>
  <si>
    <t>과목</t>
  </si>
  <si>
    <t>합계</t>
  </si>
  <si>
    <t>보통주자본금</t>
    <phoneticPr fontId="3" type="noConversion"/>
  </si>
  <si>
    <t>구분</t>
    <phoneticPr fontId="3" type="noConversion"/>
  </si>
  <si>
    <t>매출채권</t>
    <phoneticPr fontId="3" type="noConversion"/>
  </si>
  <si>
    <t>당기순이익</t>
  </si>
  <si>
    <t>보험수리적손익</t>
  </si>
  <si>
    <t>거래 금액 (주1)</t>
    <phoneticPr fontId="3" type="noConversion"/>
  </si>
  <si>
    <t>실현</t>
    <phoneticPr fontId="3" type="noConversion"/>
  </si>
  <si>
    <t>미실현손익 ( 발생 )</t>
    <phoneticPr fontId="3" type="noConversion"/>
  </si>
  <si>
    <t>하향판매</t>
    <phoneticPr fontId="3" type="noConversion"/>
  </si>
  <si>
    <t>금 액</t>
    <phoneticPr fontId="3" type="noConversion"/>
  </si>
  <si>
    <t>CoA_Code</t>
  </si>
  <si>
    <t>차이</t>
    <phoneticPr fontId="11" type="noConversion"/>
  </si>
  <si>
    <t>기말 순자산가액</t>
    <phoneticPr fontId="11" type="noConversion"/>
  </si>
  <si>
    <t>기말 장부가액</t>
    <phoneticPr fontId="3" type="noConversion"/>
  </si>
  <si>
    <t>미실현손익</t>
    <phoneticPr fontId="3" type="noConversion"/>
  </si>
  <si>
    <t>지분법자본변동</t>
    <phoneticPr fontId="3" type="noConversion"/>
  </si>
  <si>
    <t>투자차액</t>
    <phoneticPr fontId="3" type="noConversion"/>
  </si>
  <si>
    <t>지분법평가손익</t>
    <phoneticPr fontId="3" type="noConversion"/>
  </si>
  <si>
    <t>지분해당순자산가액</t>
    <phoneticPr fontId="11" type="noConversion"/>
  </si>
  <si>
    <t>유상증자</t>
    <phoneticPr fontId="3" type="noConversion"/>
  </si>
  <si>
    <t>지분율</t>
    <phoneticPr fontId="11" type="noConversion"/>
  </si>
  <si>
    <t>지분취득</t>
    <phoneticPr fontId="3" type="noConversion"/>
  </si>
  <si>
    <t>기초 장부금액</t>
    <phoneticPr fontId="3" type="noConversion"/>
  </si>
  <si>
    <t>구 분</t>
    <phoneticPr fontId="3" type="noConversion"/>
  </si>
  <si>
    <t>(2) 순자산 검증</t>
    <phoneticPr fontId="3" type="noConversion"/>
  </si>
  <si>
    <t>(1) 지분법변동내역</t>
    <phoneticPr fontId="3" type="noConversion"/>
  </si>
  <si>
    <t>당기순이익</t>
    <phoneticPr fontId="3" type="noConversion"/>
  </si>
  <si>
    <t>계</t>
  </si>
  <si>
    <t>FY2022</t>
    <phoneticPr fontId="3" type="noConversion"/>
  </si>
  <si>
    <t>대손상각비</t>
  </si>
  <si>
    <t>기타의대손상각비</t>
  </si>
  <si>
    <t>감가상각비</t>
  </si>
  <si>
    <t>무형자산상각비</t>
  </si>
  <si>
    <t>퇴직급여</t>
  </si>
  <si>
    <t>이자비용</t>
  </si>
  <si>
    <t>해외사업환산손익</t>
    <phoneticPr fontId="3" type="noConversion"/>
  </si>
  <si>
    <t>법인세효과</t>
  </si>
  <si>
    <t>대손상각비</t>
    <phoneticPr fontId="3" type="noConversion"/>
  </si>
  <si>
    <t>환불부채</t>
  </si>
  <si>
    <t>외국납부세액공제</t>
    <phoneticPr fontId="13" type="noConversion"/>
  </si>
  <si>
    <t>자회사 적용세율</t>
    <phoneticPr fontId="13" type="noConversion"/>
  </si>
  <si>
    <t>자회사 적용세율</t>
    <phoneticPr fontId="13" type="noConversion"/>
  </si>
  <si>
    <t>항목</t>
    <phoneticPr fontId="13" type="noConversion"/>
  </si>
  <si>
    <t>항목</t>
    <phoneticPr fontId="13" type="noConversion"/>
  </si>
  <si>
    <t>금액</t>
    <phoneticPr fontId="13" type="noConversion"/>
  </si>
  <si>
    <t>금액</t>
    <phoneticPr fontId="13" type="noConversion"/>
  </si>
  <si>
    <t>실현방법</t>
    <phoneticPr fontId="13" type="noConversion"/>
  </si>
  <si>
    <t>실현방법</t>
    <phoneticPr fontId="13" type="noConversion"/>
  </si>
  <si>
    <t>실현액</t>
    <phoneticPr fontId="13" type="noConversion"/>
  </si>
  <si>
    <t>실현액</t>
    <phoneticPr fontId="13" type="noConversion"/>
  </si>
  <si>
    <t>TAX EFFECT</t>
    <phoneticPr fontId="13" type="noConversion"/>
  </si>
  <si>
    <t>TAX EFFECT</t>
    <phoneticPr fontId="13" type="noConversion"/>
  </si>
  <si>
    <t>인식한차이</t>
    <phoneticPr fontId="13" type="noConversion"/>
  </si>
  <si>
    <t>인식한차이</t>
    <phoneticPr fontId="13" type="noConversion"/>
  </si>
  <si>
    <t>누적지분법이익</t>
  </si>
  <si>
    <t>배당(지분법주식)</t>
  </si>
  <si>
    <t>투자차액환입(상각)</t>
  </si>
  <si>
    <t>처분(지분법주식)</t>
  </si>
  <si>
    <t>미실현손익(상향)</t>
    <phoneticPr fontId="3" type="noConversion"/>
  </si>
  <si>
    <t>처분/상각(관련자산)</t>
  </si>
  <si>
    <t>미실현손익(하향)</t>
    <phoneticPr fontId="3" type="noConversion"/>
  </si>
  <si>
    <t>계</t>
    <phoneticPr fontId="13" type="noConversion"/>
  </si>
  <si>
    <t>당기손익</t>
    <phoneticPr fontId="3" type="noConversion"/>
  </si>
  <si>
    <t>미실현손익(상향)</t>
    <phoneticPr fontId="3" type="noConversion"/>
  </si>
  <si>
    <t>전기미실현손익(하향)</t>
    <phoneticPr fontId="3" type="noConversion"/>
  </si>
  <si>
    <t>전기미실현손익(하향)</t>
    <phoneticPr fontId="3" type="noConversion"/>
  </si>
  <si>
    <t>당기미실현손익(하향)</t>
    <phoneticPr fontId="3" type="noConversion"/>
  </si>
  <si>
    <t>당기미실현손익</t>
    <phoneticPr fontId="3" type="noConversion"/>
  </si>
  <si>
    <t>해외사업환산손익</t>
    <phoneticPr fontId="3" type="noConversion"/>
  </si>
  <si>
    <t>외국납부세액공제</t>
    <phoneticPr fontId="3" type="noConversion"/>
  </si>
  <si>
    <t>재고자산미실현손익</t>
    <phoneticPr fontId="3" type="noConversion"/>
  </si>
  <si>
    <t>계</t>
    <phoneticPr fontId="13" type="noConversion"/>
  </si>
  <si>
    <t>합계</t>
    <phoneticPr fontId="3" type="noConversion"/>
  </si>
  <si>
    <t>당기손익</t>
    <phoneticPr fontId="3" type="noConversion"/>
  </si>
  <si>
    <t>미실현손익(상향)</t>
    <phoneticPr fontId="3" type="noConversion"/>
  </si>
  <si>
    <t>전기미실현손익(하향)</t>
    <phoneticPr fontId="3" type="noConversion"/>
  </si>
  <si>
    <t>재고자산미실현손익</t>
    <phoneticPr fontId="3" type="noConversion"/>
  </si>
  <si>
    <t>당기미실현손익(하향)</t>
    <phoneticPr fontId="3" type="noConversion"/>
  </si>
  <si>
    <t>해외사업환산손익</t>
    <phoneticPr fontId="3" type="noConversion"/>
  </si>
  <si>
    <t xml:space="preserve">- 종합 </t>
    <phoneticPr fontId="13" type="noConversion"/>
  </si>
  <si>
    <t>항목</t>
    <phoneticPr fontId="13" type="noConversion"/>
  </si>
  <si>
    <t>연결 TAX EFFECT</t>
    <phoneticPr fontId="13" type="noConversion"/>
  </si>
  <si>
    <t>별도 TAX EFFECT</t>
    <phoneticPr fontId="13" type="noConversion"/>
  </si>
  <si>
    <t>diff</t>
    <phoneticPr fontId="13" type="noConversion"/>
  </si>
  <si>
    <t>(2) Conversion</t>
    <phoneticPr fontId="4" type="noConversion"/>
  </si>
  <si>
    <t>차변</t>
    <phoneticPr fontId="4" type="noConversion"/>
  </si>
  <si>
    <t>차변</t>
    <phoneticPr fontId="4" type="noConversion"/>
  </si>
  <si>
    <t>대변</t>
    <phoneticPr fontId="4" type="noConversion"/>
  </si>
  <si>
    <t>대변</t>
    <phoneticPr fontId="4" type="noConversion"/>
  </si>
  <si>
    <t>금액</t>
    <phoneticPr fontId="4" type="noConversion"/>
  </si>
  <si>
    <t>CoA_Code</t>
    <phoneticPr fontId="4" type="noConversion"/>
  </si>
  <si>
    <t>계정과목</t>
    <phoneticPr fontId="4" type="noConversion"/>
  </si>
  <si>
    <t>감가상각누계액</t>
  </si>
  <si>
    <t>법인세비용</t>
  </si>
  <si>
    <t>상품매출</t>
    <phoneticPr fontId="3" type="noConversion"/>
  </si>
  <si>
    <t>검증</t>
  </si>
  <si>
    <t>검증</t>
    <phoneticPr fontId="3" type="noConversion"/>
  </si>
  <si>
    <t>환불부채</t>
    <phoneticPr fontId="3" type="noConversion"/>
  </si>
  <si>
    <t>자본총계</t>
  </si>
  <si>
    <t>유동성 보증금</t>
  </si>
  <si>
    <t>장기매출채권</t>
    <phoneticPr fontId="3" type="noConversion"/>
  </si>
  <si>
    <t>보험수리적손익</t>
    <phoneticPr fontId="3" type="noConversion"/>
  </si>
  <si>
    <t>비지배지분순이익</t>
  </si>
  <si>
    <t>기말 순자산가액</t>
  </si>
  <si>
    <t>자본금</t>
    <phoneticPr fontId="3" type="noConversion"/>
  </si>
  <si>
    <t>기타포괄손익</t>
  </si>
  <si>
    <t>비지배지분율</t>
    <phoneticPr fontId="3" type="noConversion"/>
  </si>
  <si>
    <t>비지배지분 검증</t>
    <phoneticPr fontId="3" type="noConversion"/>
  </si>
  <si>
    <t>비지배지분포괄이익</t>
  </si>
  <si>
    <t>현할차설정</t>
  </si>
  <si>
    <t>해외사업장환산차대</t>
  </si>
  <si>
    <t>단기금융상품의 취득</t>
  </si>
  <si>
    <t>구분</t>
  </si>
  <si>
    <t>법인세비용차감전순이익</t>
  </si>
  <si>
    <t>소계</t>
  </si>
  <si>
    <t>재고자산의 변동</t>
  </si>
  <si>
    <t>퇴직금 지급액</t>
  </si>
  <si>
    <t>법인세의 납부</t>
  </si>
  <si>
    <t>계정명dr</t>
    <phoneticPr fontId="3" type="noConversion"/>
  </si>
  <si>
    <t>금액dr</t>
    <phoneticPr fontId="3" type="noConversion"/>
  </si>
  <si>
    <t>계정명cr</t>
    <phoneticPr fontId="3" type="noConversion"/>
  </si>
  <si>
    <t>금액cr</t>
    <phoneticPr fontId="3" type="noConversion"/>
  </si>
  <si>
    <t>자산총계</t>
  </si>
  <si>
    <t>부채총계</t>
  </si>
  <si>
    <t>종속기업및관계기업투자</t>
  </si>
  <si>
    <t>매출총이익</t>
  </si>
  <si>
    <t>영업이익(손실)</t>
  </si>
  <si>
    <t>총포괄손익</t>
  </si>
  <si>
    <t>당기손익공정가치측정금융자산평가손실</t>
  </si>
  <si>
    <t>-</t>
  </si>
  <si>
    <t>비고</t>
    <phoneticPr fontId="3" type="noConversion"/>
  </si>
  <si>
    <t>손익효과</t>
    <phoneticPr fontId="3" type="noConversion"/>
  </si>
  <si>
    <t>FY2023</t>
    <phoneticPr fontId="3" type="noConversion"/>
  </si>
  <si>
    <t xml:space="preserve">모든 가산할 일시적차이는 이연법인세부채를 발생시킨다. </t>
    <phoneticPr fontId="3" type="noConversion"/>
  </si>
  <si>
    <t xml:space="preserve">사업결합및 연결 </t>
    <phoneticPr fontId="3" type="noConversion"/>
  </si>
  <si>
    <t>기업회계기준서 제1012호 법인세</t>
    <phoneticPr fontId="3" type="noConversion"/>
  </si>
  <si>
    <t>12 사업결합에서 자산의 장부금액은 공정가치로 평가하지만 세무상으로는 동일하게 조정되지 않는 경우</t>
    <phoneticPr fontId="3" type="noConversion"/>
  </si>
  <si>
    <t>(최초 인식한 때 이에 따른 이연법인세부채는 영업권을 증가시키거나, 염가매수차익을 감소시킨다. 이 기준서 문단 66 참조)</t>
    <phoneticPr fontId="3" type="noConversion"/>
  </si>
  <si>
    <t>13 영업권 장부금액 감소분이 과세소득을 결정할 때 공제되지 않으며 영업권의 원가도 사업을 처분할 때 공제되지 않는 경우</t>
    <phoneticPr fontId="3" type="noConversion"/>
  </si>
  <si>
    <t>(참조: 이 기준서 문단 15(1)는 결과적으로 발생하는 이연법인세부채의 인식을 금지한다)</t>
    <phoneticPr fontId="3" type="noConversion"/>
  </si>
  <si>
    <t>14 내부거래에서 발생한 미실현손실이 재고자산이나 유형자산의 장부금액에 반영됨으로써 제거되는 경우</t>
    <phoneticPr fontId="3" type="noConversion"/>
  </si>
  <si>
    <t xml:space="preserve">15 종속기업, 지점, 관계기업 및 공동기업의 이익잉여금은 연결이익잉여금에 포함되지만, 법인세는 이익이 지배기업에 배당될 때 부과되는 경우 </t>
    <phoneticPr fontId="3" type="noConversion"/>
  </si>
  <si>
    <t xml:space="preserve">(참조: 이 기준서 문단 39는 지배기업, 투자자 또는 공동기업 참여자 또는 공동영업자 일시적차이의 소멸시점을 통제할 수 있고 </t>
    <phoneticPr fontId="3" type="noConversion"/>
  </si>
  <si>
    <t>예측가능한 미래에 일시적차이가 소멸하지 않을 가능성이 높은 경우 이연법인세부채의 인식을 금지한다)</t>
    <phoneticPr fontId="3" type="noConversion"/>
  </si>
  <si>
    <t xml:space="preserve">16 외국의 종속기업, 지점, 관계기업 및 공동기업의 투자가 환율의 변동에 영향을 받는 경우 </t>
    <phoneticPr fontId="3" type="noConversion"/>
  </si>
  <si>
    <t xml:space="preserve">(참조: (1) 가산할 일시적차이나 차감할 일시적차이가 발생할 수 있다. (2) 이 기준서 문단 39에서는 지배기업, 투자자 또는 공동기업 참여자 또는 </t>
    <phoneticPr fontId="3" type="noConversion"/>
  </si>
  <si>
    <t>공동영업자가 일시적차이의 소멸시점을 통제할 수 있고 예측가능한 미래에 일시적차이가 소멸하지 않을 가능성이 높은 경우 이연법인세부채의 인식을 금지한다)</t>
    <phoneticPr fontId="3" type="noConversion"/>
  </si>
  <si>
    <t>17 기업의 비화폐성자산 및 부채가 기능통화로 측정되지만, 과세소득 또는 세무상 결손금이 다른 통화로 결정되는 경우</t>
    <phoneticPr fontId="3" type="noConversion"/>
  </si>
  <si>
    <t>[참조: (1) 가산할 일시적차이나 차감할 일시적차이가 발생할 수 있다. (2) 가산할 일시적차이가 있는 경우, 그에 따른 이연법인세부채가 인식된다</t>
    <phoneticPr fontId="3" type="noConversion"/>
  </si>
  <si>
    <t>(이 기준서 문단 41). (3) 이연법인세의 세효과는 당기손익에 반영된다. 이 기준서 문단 58 참조]</t>
    <phoneticPr fontId="3" type="noConversion"/>
  </si>
  <si>
    <t>연결법인세 검토</t>
    <phoneticPr fontId="3" type="noConversion"/>
  </si>
  <si>
    <t>이연법인세 계산</t>
    <phoneticPr fontId="13" type="noConversion"/>
  </si>
  <si>
    <t xml:space="preserve">예측가능한 시기에 배당 계획 없고, 처분가능성이 없으므로 인식하지 아니함. </t>
    <phoneticPr fontId="13" type="noConversion"/>
  </si>
  <si>
    <t>PWC Practical Guide to IFRS 법인세 회계처리</t>
    <phoneticPr fontId="3" type="noConversion"/>
  </si>
  <si>
    <t>일시적차이에 적용할 세율</t>
  </si>
  <si>
    <t>미실현손익에 대한 일시적차이의 법인세효과를 고려할 때는 해당 자산·부채를 보유하고 있는</t>
  </si>
  <si>
    <t>회사의 세율을 적용해야 한다. 이는 연결재무제표상 자산·부채를 보유하고 있는 회사가 해당</t>
  </si>
  <si>
    <t>자산등을 사용 또는 처분하는 시점에 세효과를 가지기 때문이다. 예를 들어, 하향 거래로 인하여</t>
  </si>
  <si>
    <t>세무기준액이 1,000인 토지를 종속기업이 보유하고 있으며, 토지의 연결재무제표상 장부금액이</t>
  </si>
  <si>
    <t>500인 경우, 종속기업이 해당 토지를 외부에 500에 처분한다고 가정할 경우, 종속기업 자체의</t>
  </si>
  <si>
    <t>재무제표에서 세무상 처분손실 500이 발생되어 이에 대한 법인세혜택을 누리게 되는 것이다.</t>
  </si>
  <si>
    <t>연결실체간 거래로 자산·부채에 대한 일시적차이 발생</t>
  </si>
  <si>
    <t>연결실체간 내부거래는 지배기업과 종속기업간 자산·부채의 이전거래로, 세무상으로는 자산의</t>
  </si>
  <si>
    <t>취득, 처분으로 회계처리하지만 연결재무제표에서는 연결실체 내에서 계속해서 보유하고 있는</t>
  </si>
  <si>
    <t>것으로 처리하고 있다. 이러한 내부거래로 인하여 발생한 내부미실현손익은 연결재무제표에서</t>
  </si>
  <si>
    <t>해당 자산·부채의 조정 등으로 반영되어 해당 자산부채의 장부금액이 세무기준액과 달라지게</t>
  </si>
  <si>
    <t>된다. 이러한 차이로 인하여 일시적차이가 발생하게 되며, 이에 대하여 이연법인세자산(부채)을</t>
  </si>
  <si>
    <t>인식한다.</t>
  </si>
  <si>
    <t>이연법인세 인식요건</t>
  </si>
  <si>
    <t>종속기업 순자산 변동으로 인해 발생하는 일시적차이 중 이연법인세자산은 실현가능성을</t>
  </si>
  <si>
    <t>토대로 이연법인세 인식여부가 결정이 되며, 이연법인세부채는 원칙적으로 모두 인식하지만,</t>
  </si>
  <si>
    <t>일시적차이에 대해 소멸시점을 통제할 수 있고, 예측 가능한 미래에 일시적차이가 소멸하지 않을</t>
  </si>
  <si>
    <t>가능성이 높은 경우에는 인식하지 않을 수 있다. 그러나 연결실체간의 거래로 인하여 발생한</t>
  </si>
  <si>
    <t>미실현손익에 대한 일시적차이에 대한 이연법인세인식은 종속기업 등에 대한 인식예외요건이</t>
  </si>
  <si>
    <t>적용되지 않으며, 이연법인세자산과 부채의 일반적 인식요건을 충족하는 경우에 인식한다. 이는</t>
  </si>
  <si>
    <t>종속기업 주식 등이 처분과 상관없이 연결실체간 내부거래로 발생한 자산 및 부채가 사용 또는</t>
  </si>
  <si>
    <t>처분되는 시점에 관련 일시적차이가 실현되기 때문이다.</t>
  </si>
  <si>
    <t>단기금융상품평가손실</t>
  </si>
  <si>
    <t>당기손익공정가치측정금융자산의 취득</t>
  </si>
  <si>
    <t>구   분</t>
  </si>
  <si>
    <t>(단위: 원)</t>
    <phoneticPr fontId="3" type="noConversion"/>
  </si>
  <si>
    <t>기초</t>
  </si>
  <si>
    <t>기말</t>
  </si>
  <si>
    <t>당기</t>
  </si>
  <si>
    <t>전기</t>
  </si>
  <si>
    <t>적용세율에 따른 세부담액</t>
  </si>
  <si>
    <t> 기타</t>
  </si>
  <si>
    <t>구  분</t>
  </si>
  <si>
    <t>순확정급여부채의 재측정요소</t>
  </si>
  <si>
    <t>합  계</t>
  </si>
  <si>
    <t>당기말</t>
  </si>
  <si>
    <t>대손충당금</t>
  </si>
  <si>
    <t>기타</t>
  </si>
  <si>
    <t>연결조정</t>
    <phoneticPr fontId="3" type="noConversion"/>
  </si>
  <si>
    <t>당기</t>
    <phoneticPr fontId="3" type="noConversion"/>
  </si>
  <si>
    <t>전기말</t>
  </si>
  <si>
    <t>매출채권및기타채권</t>
  </si>
  <si>
    <t>기초잔액</t>
  </si>
  <si>
    <t>FY2024</t>
    <phoneticPr fontId="3" type="noConversion"/>
  </si>
  <si>
    <t>FY2023</t>
  </si>
  <si>
    <t>당기손익공정가치측정금융자산평가이익</t>
  </si>
  <si>
    <t>사용권자산</t>
  </si>
  <si>
    <t>유동리스부채</t>
  </si>
  <si>
    <t>비유동리스부채</t>
  </si>
  <si>
    <t>유형자산처분이익</t>
    <phoneticPr fontId="3" type="noConversion"/>
  </si>
  <si>
    <t>&gt;immaterial pass</t>
  </si>
  <si>
    <t>회사명</t>
  </si>
  <si>
    <t>소재지</t>
  </si>
  <si>
    <t>싱가포르</t>
  </si>
  <si>
    <t>기타포괄손익</t>
    <phoneticPr fontId="3" type="noConversion"/>
  </si>
  <si>
    <t>포괄손익</t>
    <phoneticPr fontId="3" type="noConversion"/>
  </si>
  <si>
    <t>장부금액</t>
  </si>
  <si>
    <t>USD</t>
  </si>
  <si>
    <t>EUR</t>
  </si>
  <si>
    <t>현금및현금성자산</t>
  </si>
  <si>
    <t>구 분</t>
  </si>
  <si>
    <t>공정가치</t>
  </si>
  <si>
    <t>매입채무및기타채무</t>
  </si>
  <si>
    <t>재고자산평가손실(환입)</t>
  </si>
  <si>
    <t>금융자산</t>
  </si>
  <si>
    <t>취득</t>
  </si>
  <si>
    <t>처분</t>
  </si>
  <si>
    <t>상각누계액</t>
  </si>
  <si>
    <t>(단위 : 원)</t>
  </si>
  <si>
    <t>부가세예수금</t>
  </si>
  <si>
    <t>별도와 동일</t>
    <phoneticPr fontId="3" type="noConversion"/>
  </si>
  <si>
    <t>차입처</t>
  </si>
  <si>
    <t>합   계</t>
  </si>
  <si>
    <t>유동성대체</t>
  </si>
  <si>
    <t>기타포괄손익-공정가치측정금융자산 평가손익</t>
  </si>
  <si>
    <t>해외사업환산차이</t>
  </si>
  <si>
    <t>증감</t>
  </si>
  <si>
    <t>기초금액</t>
  </si>
  <si>
    <t>기말금액</t>
  </si>
  <si>
    <t>　구분</t>
  </si>
  <si>
    <t>가중평균유통보통주식수</t>
  </si>
  <si>
    <t>(단위 : 주)</t>
  </si>
  <si>
    <t>주식수</t>
  </si>
  <si>
    <t>일수</t>
  </si>
  <si>
    <t>종업원급여</t>
  </si>
  <si>
    <t>지급수수료</t>
  </si>
  <si>
    <t>광고선전비</t>
  </si>
  <si>
    <t>소모품비</t>
  </si>
  <si>
    <t>운반비</t>
  </si>
  <si>
    <t>외주가공비</t>
  </si>
  <si>
    <t>수선비</t>
  </si>
  <si>
    <t>매출원가 및 판매비와 관리비 합계</t>
  </si>
  <si>
    <t>급여</t>
  </si>
  <si>
    <t>복리후생비</t>
  </si>
  <si>
    <t>지급임차료</t>
  </si>
  <si>
    <t>세금과공과</t>
  </si>
  <si>
    <t>경상연구개발비</t>
  </si>
  <si>
    <t>판매수수료</t>
  </si>
  <si>
    <t>종속기업</t>
  </si>
  <si>
    <t>기타채권</t>
  </si>
  <si>
    <t>기타채무</t>
  </si>
  <si>
    <t>회계정책변경</t>
  </si>
  <si>
    <t>전기말</t>
    <phoneticPr fontId="3" type="noConversion"/>
  </si>
  <si>
    <t>별도</t>
    <phoneticPr fontId="3" type="noConversion"/>
  </si>
  <si>
    <t>비유동자산</t>
    <phoneticPr fontId="3" type="noConversion"/>
  </si>
  <si>
    <t>주주명</t>
    <phoneticPr fontId="3" type="noConversion"/>
  </si>
  <si>
    <t>주식수</t>
    <phoneticPr fontId="3" type="noConversion"/>
  </si>
  <si>
    <t>지분율</t>
    <phoneticPr fontId="3" type="noConversion"/>
  </si>
  <si>
    <t>합계</t>
    <phoneticPr fontId="3" type="noConversion"/>
  </si>
  <si>
    <t>비고</t>
    <phoneticPr fontId="3" type="noConversion"/>
  </si>
  <si>
    <t>연도</t>
    <phoneticPr fontId="3" type="noConversion"/>
  </si>
  <si>
    <t>자산총계</t>
    <phoneticPr fontId="3" type="noConversion"/>
  </si>
  <si>
    <t>부채총계</t>
    <phoneticPr fontId="3" type="noConversion"/>
  </si>
  <si>
    <t>기말환율</t>
    <phoneticPr fontId="3" type="noConversion"/>
  </si>
  <si>
    <t>평균환율</t>
    <phoneticPr fontId="3" type="noConversion"/>
  </si>
  <si>
    <t>자본금</t>
    <phoneticPr fontId="3" type="noConversion"/>
  </si>
  <si>
    <t>순자산</t>
    <phoneticPr fontId="3" type="noConversion"/>
  </si>
  <si>
    <t>자본잉여금</t>
    <phoneticPr fontId="3" type="noConversion"/>
  </si>
  <si>
    <t>당기순이익</t>
    <phoneticPr fontId="3" type="noConversion"/>
  </si>
  <si>
    <t>검증</t>
    <phoneticPr fontId="3" type="noConversion"/>
  </si>
  <si>
    <t>싱가포르</t>
    <phoneticPr fontId="3" type="noConversion"/>
  </si>
  <si>
    <t>이익잉여금</t>
    <phoneticPr fontId="3" type="noConversion"/>
  </si>
  <si>
    <t>변동내역</t>
  </si>
  <si>
    <t>변동내역</t>
    <phoneticPr fontId="3" type="noConversion"/>
  </si>
  <si>
    <t>기타포괄손익누계액</t>
    <phoneticPr fontId="3" type="noConversion"/>
  </si>
  <si>
    <t>해외사업환산차이 누계액</t>
  </si>
  <si>
    <t>비지배지분</t>
    <phoneticPr fontId="3" type="noConversion"/>
  </si>
  <si>
    <t>1. 주주현황</t>
    <phoneticPr fontId="3" type="noConversion"/>
  </si>
  <si>
    <t>2. 환율정보</t>
    <phoneticPr fontId="3" type="noConversion"/>
  </si>
  <si>
    <t>3. 해외재무제표환산 &amp; 순자산변동내역</t>
    <phoneticPr fontId="3" type="noConversion"/>
  </si>
  <si>
    <t>4. 순자산 검증</t>
    <phoneticPr fontId="3" type="noConversion"/>
  </si>
  <si>
    <t>1) 내부거래 &amp; 미실현손익</t>
    <phoneticPr fontId="3" type="noConversion"/>
  </si>
  <si>
    <t>2) 순자산 등 검증</t>
    <phoneticPr fontId="3" type="noConversion"/>
  </si>
  <si>
    <t>해외사업환산손익</t>
    <phoneticPr fontId="3" type="noConversion"/>
  </si>
  <si>
    <t>지배지분</t>
    <phoneticPr fontId="3" type="noConversion"/>
  </si>
  <si>
    <t>총액</t>
    <phoneticPr fontId="3" type="noConversion"/>
  </si>
  <si>
    <t>구분</t>
    <phoneticPr fontId="3" type="noConversion"/>
  </si>
  <si>
    <t xml:space="preserve">2) 해외사업환산차이 </t>
    <phoneticPr fontId="3" type="noConversion"/>
  </si>
  <si>
    <t>기말 자본 누적액</t>
    <phoneticPr fontId="3" type="noConversion"/>
  </si>
  <si>
    <t>기말 자산총액</t>
    <phoneticPr fontId="3" type="noConversion"/>
  </si>
  <si>
    <t>기말 부채총액</t>
    <phoneticPr fontId="3" type="noConversion"/>
  </si>
  <si>
    <t>기말 순자산액</t>
    <phoneticPr fontId="3" type="noConversion"/>
  </si>
  <si>
    <t>3) 원화기준(KRW)</t>
  </si>
  <si>
    <t>전기이월
미처분이익잉여금</t>
    <phoneticPr fontId="3" type="noConversion"/>
  </si>
  <si>
    <t>내부거래 대상 없음</t>
  </si>
  <si>
    <t>자본금+자본잉여금</t>
    <phoneticPr fontId="3" type="noConversion"/>
  </si>
  <si>
    <t>제품매출</t>
  </si>
  <si>
    <t>상품매출</t>
  </si>
  <si>
    <t>하향거래</t>
    <phoneticPr fontId="3" type="noConversion"/>
  </si>
  <si>
    <t>당기 상향거래 미실현이익</t>
  </si>
  <si>
    <t>전기 상향거래 미실현이익 실현</t>
  </si>
  <si>
    <t>미실현손익 제거 후 당기순이익</t>
  </si>
  <si>
    <t>연도</t>
    <phoneticPr fontId="3" type="noConversion"/>
  </si>
  <si>
    <t>당기 하향거래 미실현이익</t>
    <phoneticPr fontId="3" type="noConversion"/>
  </si>
  <si>
    <t>전기 하향거래 미실현이익 실현</t>
    <phoneticPr fontId="3" type="noConversion"/>
  </si>
  <si>
    <t>당기 미실현손익 발생</t>
    <phoneticPr fontId="3" type="noConversion"/>
  </si>
  <si>
    <t xml:space="preserve"> 지분법이익잉여금변동</t>
    <phoneticPr fontId="3" type="noConversion"/>
  </si>
  <si>
    <t>당기 상향거래 미실현손익 잔액</t>
    <phoneticPr fontId="3" type="noConversion"/>
  </si>
  <si>
    <t>비지배지분 해당액</t>
    <phoneticPr fontId="3" type="noConversion"/>
  </si>
  <si>
    <t>기타포괄이익(해외사업환산차이)</t>
  </si>
  <si>
    <t>&lt;비지배지분&gt;</t>
    <phoneticPr fontId="3" type="noConversion"/>
  </si>
  <si>
    <t>&lt;비지배지분 순이익&gt;</t>
    <phoneticPr fontId="3" type="noConversion"/>
  </si>
  <si>
    <t>비지배지분 지분율</t>
  </si>
  <si>
    <t>비지배지분 해당분</t>
  </si>
  <si>
    <t>&lt;비지배지분 기타포괄손익&gt;</t>
    <phoneticPr fontId="3" type="noConversion"/>
  </si>
  <si>
    <t>&lt;비지배지분 검증&gt;</t>
    <phoneticPr fontId="3" type="noConversion"/>
  </si>
  <si>
    <t>기초 비지배지분</t>
  </si>
  <si>
    <t>기말 비지배지분</t>
  </si>
  <si>
    <t>&lt;재무정보&gt;</t>
    <phoneticPr fontId="3" type="noConversion"/>
  </si>
  <si>
    <t>미실현손익 제거 후 당기순이익</t>
    <phoneticPr fontId="3" type="noConversion"/>
  </si>
  <si>
    <t>감사보고서</t>
    <phoneticPr fontId="3" type="noConversion"/>
  </si>
  <si>
    <t>투자자본 상계제거</t>
    <phoneticPr fontId="3" type="noConversion"/>
  </si>
  <si>
    <t>[내부거래 제거]</t>
    <phoneticPr fontId="3" type="noConversion"/>
  </si>
  <si>
    <t>원재료매출</t>
    <phoneticPr fontId="3" type="noConversion"/>
  </si>
  <si>
    <t>거래내용</t>
    <phoneticPr fontId="3" type="noConversion"/>
  </si>
  <si>
    <t>제거분개</t>
    <phoneticPr fontId="3" type="noConversion"/>
  </si>
  <si>
    <r>
      <t xml:space="preserve">1. 수익 </t>
    </r>
    <r>
      <rPr>
        <b/>
        <sz val="11"/>
        <color theme="1"/>
        <rFont val="맑은 고딕"/>
        <family val="3"/>
        <charset val="129"/>
      </rPr>
      <t>·</t>
    </r>
    <r>
      <rPr>
        <b/>
        <sz val="11"/>
        <color theme="1"/>
        <rFont val="맑은 고딕"/>
        <family val="3"/>
        <charset val="129"/>
        <scheme val="minor"/>
      </rPr>
      <t xml:space="preserve"> 비용 상계 제거</t>
    </r>
    <phoneticPr fontId="3" type="noConversion"/>
  </si>
  <si>
    <r>
      <t xml:space="preserve">2. 채권 </t>
    </r>
    <r>
      <rPr>
        <b/>
        <sz val="11"/>
        <color theme="1"/>
        <rFont val="맑은 고딕"/>
        <family val="3"/>
        <charset val="129"/>
      </rPr>
      <t>·</t>
    </r>
    <r>
      <rPr>
        <b/>
        <sz val="11"/>
        <color theme="1"/>
        <rFont val="맑은 고딕"/>
        <family val="3"/>
        <charset val="129"/>
        <scheme val="minor"/>
      </rPr>
      <t xml:space="preserve"> 채무 상계 제거</t>
    </r>
    <phoneticPr fontId="3" type="noConversion"/>
  </si>
  <si>
    <t>미수수익</t>
    <phoneticPr fontId="3" type="noConversion"/>
  </si>
  <si>
    <t>합계</t>
    <phoneticPr fontId="3" type="noConversion"/>
  </si>
  <si>
    <t>3. 내부미실현손익 제거</t>
    <phoneticPr fontId="3" type="noConversion"/>
  </si>
  <si>
    <t>1) 전기 미실현손익의 실현</t>
    <phoneticPr fontId="3" type="noConversion"/>
  </si>
  <si>
    <t>전기 미실현손익의 실현</t>
    <phoneticPr fontId="3" type="noConversion"/>
  </si>
  <si>
    <t>1) 재고자산 거래</t>
    <phoneticPr fontId="3" type="noConversion"/>
  </si>
  <si>
    <t>2) 당기 미실현손익의 제거</t>
    <phoneticPr fontId="3" type="noConversion"/>
  </si>
  <si>
    <t>당기 미실현손익의 제거</t>
    <phoneticPr fontId="3" type="noConversion"/>
  </si>
  <si>
    <t>Code</t>
    <phoneticPr fontId="3" type="noConversion"/>
  </si>
  <si>
    <t>&lt;주주명부&gt;</t>
    <phoneticPr fontId="3" type="noConversion"/>
  </si>
  <si>
    <t>&lt;지분관계&gt;</t>
    <phoneticPr fontId="3" type="noConversion"/>
  </si>
  <si>
    <t>&lt;지분율 산정&gt;</t>
    <phoneticPr fontId="3" type="noConversion"/>
  </si>
  <si>
    <t>지배지분율</t>
  </si>
  <si>
    <t>비지배지분율</t>
    <phoneticPr fontId="3" type="noConversion"/>
  </si>
  <si>
    <t>구분</t>
    <phoneticPr fontId="3" type="noConversion"/>
  </si>
  <si>
    <t>회사명</t>
    <phoneticPr fontId="56" type="noConversion"/>
  </si>
  <si>
    <t>당기개시사업년도</t>
    <phoneticPr fontId="56" type="noConversion"/>
  </si>
  <si>
    <t>당기종료사업년도</t>
    <phoneticPr fontId="56" type="noConversion"/>
  </si>
  <si>
    <t>전기개시사업년도</t>
    <phoneticPr fontId="56" type="noConversion"/>
  </si>
  <si>
    <t>전기종료사업년도</t>
  </si>
  <si>
    <t>전분기종료사업년도</t>
    <phoneticPr fontId="56" type="noConversion"/>
  </si>
  <si>
    <t>당기기수</t>
    <phoneticPr fontId="56" type="noConversion"/>
  </si>
  <si>
    <t>전기기수</t>
    <phoneticPr fontId="56" type="noConversion"/>
  </si>
  <si>
    <t>Ⅰ.</t>
  </si>
  <si>
    <t>당기순이익</t>
    <phoneticPr fontId="56" type="noConversion"/>
  </si>
  <si>
    <t>재고자산의 감소(증가)</t>
  </si>
  <si>
    <t>이자의 수취</t>
  </si>
  <si>
    <t>배당금의 수취</t>
  </si>
  <si>
    <t>이연법인세부채</t>
  </si>
  <si>
    <t>부채와자본총계</t>
  </si>
  <si>
    <t>여비교통비</t>
  </si>
  <si>
    <t>통신비</t>
  </si>
  <si>
    <t>보험료</t>
  </si>
  <si>
    <t>접대비</t>
  </si>
  <si>
    <t>차량유지비</t>
  </si>
  <si>
    <t>도서인쇄비</t>
  </si>
  <si>
    <t>교육훈련비</t>
  </si>
  <si>
    <t>수도광열비</t>
  </si>
  <si>
    <t>해외사업환산차이</t>
    <phoneticPr fontId="3" type="noConversion"/>
  </si>
  <si>
    <t>해외사업장환산손익</t>
    <phoneticPr fontId="3" type="noConversion"/>
  </si>
  <si>
    <t>지국운영비</t>
  </si>
  <si>
    <t>공시용 Mapping 
소분류</t>
    <phoneticPr fontId="3" type="noConversion"/>
  </si>
  <si>
    <t>보관료</t>
  </si>
  <si>
    <t>2019년 3개월</t>
    <phoneticPr fontId="3" type="noConversion"/>
  </si>
  <si>
    <t>상향거래</t>
    <phoneticPr fontId="3" type="noConversion"/>
  </si>
  <si>
    <t>BS 계정잔액</t>
    <phoneticPr fontId="3" type="noConversion"/>
  </si>
  <si>
    <t>IS 계정잔액</t>
    <phoneticPr fontId="3" type="noConversion"/>
  </si>
  <si>
    <t>현 금 흐 름 정 산 표</t>
  </si>
  <si>
    <t>과                   목</t>
  </si>
  <si>
    <t>영     업     활     동     으     로     인    한    현     금     흐     름</t>
  </si>
  <si>
    <t>투 자 활 동 으 로 인 한 현 금 흐 름</t>
  </si>
  <si>
    <t>재 무 활 동 으 로 인 한 현 금 흐 름</t>
  </si>
  <si>
    <t>대          체          거          래</t>
  </si>
  <si>
    <t>전  기  말</t>
  </si>
  <si>
    <t>당 기 말</t>
    <phoneticPr fontId="56" type="noConversion"/>
  </si>
  <si>
    <t>현금의 유입이 없는 수익등</t>
  </si>
  <si>
    <t>현금의 유출이 없는 비용등</t>
    <phoneticPr fontId="56" type="noConversion"/>
  </si>
  <si>
    <t>영업활동으로인한 자산·부채의 변동</t>
  </si>
  <si>
    <t>차    변 (현  금  의   유  출)</t>
  </si>
  <si>
    <t>대  변 (현  금  의   유  입)</t>
  </si>
  <si>
    <t>차             변</t>
  </si>
  <si>
    <t>대            변</t>
  </si>
  <si>
    <t>차  이</t>
  </si>
  <si>
    <t>금      액</t>
  </si>
  <si>
    <t>내        역</t>
  </si>
  <si>
    <t>금     액</t>
  </si>
  <si>
    <t>외화환산이익</t>
    <phoneticPr fontId="56" type="noConversion"/>
  </si>
  <si>
    <t>외화환산손실</t>
    <phoneticPr fontId="56" type="noConversion"/>
  </si>
  <si>
    <t>이자수익</t>
    <phoneticPr fontId="56" type="noConversion"/>
  </si>
  <si>
    <t>법인세의 납부1</t>
    <phoneticPr fontId="56" type="noConversion"/>
  </si>
  <si>
    <t>무형자산의 취득</t>
  </si>
  <si>
    <t>법인세의 납부2</t>
  </si>
  <si>
    <t>이자비용</t>
    <phoneticPr fontId="56" type="noConversion"/>
  </si>
  <si>
    <t>이자의 지급</t>
    <phoneticPr fontId="56" type="noConversion"/>
  </si>
  <si>
    <t>매입채무및지급채무의 증가</t>
  </si>
  <si>
    <t>보험수리적손실</t>
    <phoneticPr fontId="56" type="noConversion"/>
  </si>
  <si>
    <t>법인세의 납부3</t>
    <phoneticPr fontId="56" type="noConversion"/>
  </si>
  <si>
    <t>배당금수익</t>
    <phoneticPr fontId="56" type="noConversion"/>
  </si>
  <si>
    <t>( 당 기 순 손 익 )</t>
  </si>
  <si>
    <t>자기주식의 취득</t>
    <phoneticPr fontId="56" type="noConversion"/>
  </si>
  <si>
    <t>합             계</t>
  </si>
  <si>
    <t>현금의 유입이 없는 수익등의</t>
  </si>
  <si>
    <t>현금의 유입이 없는 비용등의</t>
  </si>
  <si>
    <t>영업활동으로인한 자산</t>
  </si>
  <si>
    <t>차감항목</t>
  </si>
  <si>
    <t>가산항목</t>
  </si>
  <si>
    <t>부채의 변동금액</t>
  </si>
  <si>
    <t>배당금의 수취</t>
    <phoneticPr fontId="56" type="noConversion"/>
  </si>
  <si>
    <t>법인세의 납부2</t>
    <phoneticPr fontId="56" type="noConversion"/>
  </si>
  <si>
    <t>증감액</t>
    <phoneticPr fontId="56" type="noConversion"/>
  </si>
  <si>
    <t>당기손익공정가치측정금융자산의 처분</t>
    <phoneticPr fontId="56" type="noConversion"/>
  </si>
  <si>
    <t>장기차입금의 상환</t>
    <phoneticPr fontId="56" type="noConversion"/>
  </si>
  <si>
    <t>장기차입금의 차입</t>
    <phoneticPr fontId="56" type="noConversion"/>
  </si>
  <si>
    <t>당기순손실</t>
    <phoneticPr fontId="56" type="noConversion"/>
  </si>
  <si>
    <t>통화</t>
  </si>
  <si>
    <t>금액</t>
  </si>
  <si>
    <t>기업은행</t>
  </si>
  <si>
    <t>Ⅱ</t>
  </si>
  <si>
    <t xml:space="preserve"> 지분율 수정 효과</t>
    <phoneticPr fontId="3" type="noConversion"/>
  </si>
  <si>
    <t>유형자산의 처분</t>
    <phoneticPr fontId="56" type="noConversion"/>
  </si>
  <si>
    <t>유형자산의 취득</t>
    <phoneticPr fontId="56" type="noConversion"/>
  </si>
  <si>
    <t>해외사업장환산차대</t>
    <phoneticPr fontId="56" type="noConversion"/>
  </si>
  <si>
    <t>단기금융상품처분손실</t>
    <phoneticPr fontId="56" type="noConversion"/>
  </si>
  <si>
    <t>단기금융상품평가이익</t>
    <phoneticPr fontId="56" type="noConversion"/>
  </si>
  <si>
    <t>단기금융상품처분이익</t>
    <phoneticPr fontId="56" type="noConversion"/>
  </si>
  <si>
    <t>법인세비용</t>
    <phoneticPr fontId="56" type="noConversion"/>
  </si>
  <si>
    <t>배당금의 지급</t>
  </si>
  <si>
    <t>확정급여부채</t>
  </si>
  <si>
    <t>당기근무원가</t>
  </si>
  <si>
    <t>판관</t>
  </si>
  <si>
    <t>성격별분류 구분</t>
    <phoneticPr fontId="3" type="noConversion"/>
  </si>
  <si>
    <t>제조+판관</t>
    <phoneticPr fontId="3" type="noConversion"/>
  </si>
  <si>
    <t>리스부채</t>
  </si>
  <si>
    <t>리스 미수금</t>
  </si>
  <si>
    <t>Remove of Internal Transaction</t>
    <phoneticPr fontId="3" type="noConversion"/>
  </si>
  <si>
    <t>Remove of Invested Capital</t>
    <phoneticPr fontId="3" type="noConversion"/>
  </si>
  <si>
    <t>Non-Controlling Interest</t>
    <phoneticPr fontId="3" type="noConversion"/>
  </si>
  <si>
    <t>자산</t>
    <phoneticPr fontId="3" type="noConversion"/>
  </si>
  <si>
    <t>부채</t>
    <phoneticPr fontId="3" type="noConversion"/>
  </si>
  <si>
    <t>자본</t>
    <phoneticPr fontId="3" type="noConversion"/>
  </si>
  <si>
    <t>유상증자</t>
  </si>
  <si>
    <t>SGD</t>
    <phoneticPr fontId="3" type="noConversion"/>
  </si>
  <si>
    <t>자본잉여금</t>
    <phoneticPr fontId="13" type="noConversion"/>
  </si>
  <si>
    <t>당기손익(오류수정포함)</t>
    <phoneticPr fontId="3" type="noConversion"/>
  </si>
  <si>
    <t>연결범위변동</t>
    <phoneticPr fontId="3" type="noConversion"/>
  </si>
  <si>
    <t>2019년 반기</t>
    <phoneticPr fontId="3" type="noConversion"/>
  </si>
  <si>
    <t>해외사업장환산외환차이</t>
  </si>
  <si>
    <t>미지급이자</t>
    <phoneticPr fontId="56" type="noConversion"/>
  </si>
  <si>
    <t>Ratio of Share</t>
    <phoneticPr fontId="3" type="noConversion"/>
  </si>
  <si>
    <t>현금및현금성자산</t>
    <phoneticPr fontId="3" type="noConversion"/>
  </si>
  <si>
    <t>계정별잔액</t>
    <phoneticPr fontId="3" type="noConversion"/>
  </si>
  <si>
    <t>보관료</t>
    <phoneticPr fontId="3" type="noConversion"/>
  </si>
  <si>
    <t>단수차이</t>
    <phoneticPr fontId="3" type="noConversion"/>
  </si>
  <si>
    <t>보험수리적손실</t>
  </si>
  <si>
    <t>전기</t>
    <phoneticPr fontId="3" type="noConversion"/>
  </si>
  <si>
    <t>생략 - DSD직접작업함</t>
    <phoneticPr fontId="3" type="noConversion"/>
  </si>
  <si>
    <t>2. 재무제표 작성기준</t>
    <phoneticPr fontId="3" type="noConversion"/>
  </si>
  <si>
    <t>1. 연결대상 회사의 개요</t>
    <phoneticPr fontId="3" type="noConversion"/>
  </si>
  <si>
    <t>주식회사 울트라브이와 그 종속기업</t>
    <phoneticPr fontId="56" type="noConversion"/>
  </si>
  <si>
    <t>울트라브이</t>
    <phoneticPr fontId="3" type="noConversion"/>
  </si>
  <si>
    <t>울트라브이팜</t>
    <phoneticPr fontId="3" type="noConversion"/>
  </si>
  <si>
    <t>ULTRA V HONG KONG LIMITED</t>
    <phoneticPr fontId="3" type="noConversion"/>
  </si>
  <si>
    <t xml:space="preserve">DERMASTER HONG KONG LIMITED	</t>
    <phoneticPr fontId="3" type="noConversion"/>
  </si>
  <si>
    <t xml:space="preserve">ULTRA V SHANGHAI LIMITED	</t>
    <phoneticPr fontId="3" type="noConversion"/>
  </si>
  <si>
    <t>ULTRA V (SG) PTE.LTD</t>
    <phoneticPr fontId="3" type="noConversion"/>
  </si>
  <si>
    <t>10100</t>
  </si>
  <si>
    <t>10300</t>
  </si>
  <si>
    <t>10400</t>
  </si>
  <si>
    <t>외화보통예금</t>
  </si>
  <si>
    <t>10600</t>
  </si>
  <si>
    <t>10800</t>
  </si>
  <si>
    <t>10900</t>
  </si>
  <si>
    <t>11600</t>
  </si>
  <si>
    <t>11700</t>
  </si>
  <si>
    <t>12000</t>
  </si>
  <si>
    <t>12100</t>
  </si>
  <si>
    <t>13100</t>
  </si>
  <si>
    <t>13200</t>
  </si>
  <si>
    <t>13300</t>
  </si>
  <si>
    <t>13400</t>
  </si>
  <si>
    <t>주임종단기채권</t>
  </si>
  <si>
    <t>13500</t>
  </si>
  <si>
    <t>부가세대급금</t>
  </si>
  <si>
    <t>13600</t>
  </si>
  <si>
    <t>선납법인세</t>
  </si>
  <si>
    <t>16000</t>
  </si>
  <si>
    <t>상품재고자산평가충당금</t>
  </si>
  <si>
    <t>14600</t>
  </si>
  <si>
    <t>14700</t>
  </si>
  <si>
    <t>16100</t>
  </si>
  <si>
    <t>제품재고자산평가충당금</t>
  </si>
  <si>
    <t>14900</t>
  </si>
  <si>
    <t>16200</t>
  </si>
  <si>
    <t>원재료재고자산평가충당금</t>
  </si>
  <si>
    <t>15700</t>
  </si>
  <si>
    <t>17800</t>
  </si>
  <si>
    <t>투자유가증권</t>
  </si>
  <si>
    <t>20600</t>
  </si>
  <si>
    <t>20700</t>
  </si>
  <si>
    <t>감가상각누계액기계장치</t>
  </si>
  <si>
    <t>20800</t>
  </si>
  <si>
    <t>20900</t>
  </si>
  <si>
    <t>감가상각누계액차량운반구</t>
  </si>
  <si>
    <t>21000</t>
  </si>
  <si>
    <t>공구와기구</t>
  </si>
  <si>
    <t>21100</t>
  </si>
  <si>
    <t>감가상각누계액공구와기구</t>
  </si>
  <si>
    <t>21200</t>
  </si>
  <si>
    <t>21300</t>
  </si>
  <si>
    <t>감가상각누계액비품</t>
  </si>
  <si>
    <t>21900</t>
  </si>
  <si>
    <t>인테리어</t>
  </si>
  <si>
    <t>22000</t>
  </si>
  <si>
    <t>감가상각누계액인테리어</t>
  </si>
  <si>
    <t>22300</t>
  </si>
  <si>
    <t>22400</t>
  </si>
  <si>
    <t>감가상각누계액사용권자산</t>
  </si>
  <si>
    <t>23200</t>
  </si>
  <si>
    <t>23300</t>
  </si>
  <si>
    <t>23900</t>
  </si>
  <si>
    <t>24000</t>
  </si>
  <si>
    <t>18800</t>
  </si>
  <si>
    <t>19000</t>
  </si>
  <si>
    <t>25100</t>
  </si>
  <si>
    <t>25300</t>
  </si>
  <si>
    <t>25400</t>
  </si>
  <si>
    <t>25500</t>
  </si>
  <si>
    <t>25900</t>
  </si>
  <si>
    <t>26000</t>
  </si>
  <si>
    <t>26200</t>
  </si>
  <si>
    <t>27500</t>
  </si>
  <si>
    <t>미지급법인세</t>
  </si>
  <si>
    <t>28100</t>
  </si>
  <si>
    <t>반품충당부채</t>
  </si>
  <si>
    <t>28200</t>
  </si>
  <si>
    <t>28300</t>
  </si>
  <si>
    <t>유동성리스부채</t>
  </si>
  <si>
    <t>29300</t>
  </si>
  <si>
    <t>29500</t>
  </si>
  <si>
    <t>31100</t>
  </si>
  <si>
    <t>신주인수권부사채</t>
  </si>
  <si>
    <t>31200</t>
  </si>
  <si>
    <t>사채상환할증금</t>
  </si>
  <si>
    <t>31300</t>
  </si>
  <si>
    <t>신주인수권조정</t>
  </si>
  <si>
    <t>31500</t>
  </si>
  <si>
    <t>33100</t>
  </si>
  <si>
    <t>33200</t>
  </si>
  <si>
    <t>34100</t>
  </si>
  <si>
    <t>34300</t>
  </si>
  <si>
    <t>신주인수권대가</t>
  </si>
  <si>
    <t>34400</t>
  </si>
  <si>
    <t>39700</t>
  </si>
  <si>
    <t>보험수리적손익누계액</t>
  </si>
  <si>
    <t>37600</t>
  </si>
  <si>
    <t>이월결손금</t>
  </si>
  <si>
    <t>37700</t>
  </si>
  <si>
    <t>처분전이익잉여금</t>
  </si>
  <si>
    <t>40100</t>
  </si>
  <si>
    <t>40400</t>
  </si>
  <si>
    <t>45100</t>
  </si>
  <si>
    <t>45500</t>
  </si>
  <si>
    <t>제조원가</t>
    <phoneticPr fontId="74" type="noConversion"/>
  </si>
  <si>
    <t>50100</t>
  </si>
  <si>
    <t>원재료비</t>
  </si>
  <si>
    <t>50300</t>
  </si>
  <si>
    <t>50500</t>
  </si>
  <si>
    <t>상여금</t>
  </si>
  <si>
    <t>51000</t>
  </si>
  <si>
    <t>51100</t>
  </si>
  <si>
    <t>51200</t>
  </si>
  <si>
    <t>51400</t>
  </si>
  <si>
    <t>51600</t>
  </si>
  <si>
    <t>전력비</t>
  </si>
  <si>
    <t>51700</t>
  </si>
  <si>
    <t>세금과공과금</t>
  </si>
  <si>
    <t>51800</t>
  </si>
  <si>
    <t>51900</t>
  </si>
  <si>
    <t>52000</t>
  </si>
  <si>
    <t>52100</t>
  </si>
  <si>
    <t>52400</t>
  </si>
  <si>
    <t>52500</t>
  </si>
  <si>
    <t>52600</t>
  </si>
  <si>
    <t>52900</t>
  </si>
  <si>
    <t>사무용품비</t>
  </si>
  <si>
    <t>53000</t>
  </si>
  <si>
    <t>53100</t>
  </si>
  <si>
    <t>53300</t>
  </si>
  <si>
    <t>53700</t>
  </si>
  <si>
    <t>건물관리비</t>
  </si>
  <si>
    <t>54000</t>
  </si>
  <si>
    <t>무형고정자산상각</t>
  </si>
  <si>
    <t>판매관리비</t>
  </si>
  <si>
    <t>80200</t>
  </si>
  <si>
    <t>직원급여</t>
  </si>
  <si>
    <t>80300</t>
  </si>
  <si>
    <t>80800</t>
  </si>
  <si>
    <t>81000</t>
  </si>
  <si>
    <t>주식보상비</t>
  </si>
  <si>
    <t>81100</t>
  </si>
  <si>
    <t>81200</t>
  </si>
  <si>
    <t>81300</t>
  </si>
  <si>
    <t>81400</t>
  </si>
  <si>
    <t>81500</t>
  </si>
  <si>
    <t>81700</t>
  </si>
  <si>
    <t>81800</t>
  </si>
  <si>
    <t>81900</t>
  </si>
  <si>
    <t>82000</t>
  </si>
  <si>
    <t>82100</t>
  </si>
  <si>
    <t>82200</t>
  </si>
  <si>
    <t>82300</t>
  </si>
  <si>
    <t>82400</t>
  </si>
  <si>
    <t>82500</t>
  </si>
  <si>
    <t>82600</t>
  </si>
  <si>
    <t>82800</t>
  </si>
  <si>
    <t>포장비</t>
  </si>
  <si>
    <t>82900</t>
  </si>
  <si>
    <t>83000</t>
  </si>
  <si>
    <t>83100</t>
  </si>
  <si>
    <t>83300</t>
  </si>
  <si>
    <t>83500</t>
  </si>
  <si>
    <t>83700</t>
  </si>
  <si>
    <t>83800</t>
  </si>
  <si>
    <t>수출제비용</t>
  </si>
  <si>
    <t>83900</t>
  </si>
  <si>
    <t>84000</t>
  </si>
  <si>
    <t>85000</t>
  </si>
  <si>
    <t>리스비</t>
  </si>
  <si>
    <t>85100</t>
  </si>
  <si>
    <t>인력개발비</t>
  </si>
  <si>
    <t>영업외수익</t>
  </si>
  <si>
    <t>91100</t>
  </si>
  <si>
    <t>상품평가손실환입</t>
  </si>
  <si>
    <t>91200</t>
  </si>
  <si>
    <t>제품평가손실환입</t>
  </si>
  <si>
    <t>90100</t>
  </si>
  <si>
    <t>90700</t>
  </si>
  <si>
    <t>91000</t>
  </si>
  <si>
    <t>92000</t>
  </si>
  <si>
    <t>원재료평가환입</t>
  </si>
  <si>
    <t>93000</t>
  </si>
  <si>
    <t>영업외비용</t>
  </si>
  <si>
    <t>93600</t>
  </si>
  <si>
    <t>상품평가손실</t>
  </si>
  <si>
    <t>93100</t>
  </si>
  <si>
    <t>93200</t>
  </si>
  <si>
    <t>93300</t>
  </si>
  <si>
    <t>93500</t>
  </si>
  <si>
    <t>94400</t>
  </si>
  <si>
    <t>원재료평가손실</t>
  </si>
  <si>
    <t>95200</t>
  </si>
  <si>
    <t>종속기업투자주식손상차손</t>
  </si>
  <si>
    <t>96000</t>
  </si>
  <si>
    <t>99800</t>
  </si>
  <si>
    <t>선급금_대손충당금</t>
  </si>
  <si>
    <t>선급금_대손충당금</t>
    <phoneticPr fontId="3" type="noConversion"/>
  </si>
  <si>
    <t>미수금_대손충당금</t>
  </si>
  <si>
    <t>미수금_대손충당금</t>
    <phoneticPr fontId="3" type="noConversion"/>
  </si>
  <si>
    <t>미수수익_대손충당금</t>
  </si>
  <si>
    <t>미수수익_대손충당금</t>
    <phoneticPr fontId="3" type="noConversion"/>
  </si>
  <si>
    <t>외상매출금_대손충당금</t>
  </si>
  <si>
    <t>외상매출금_대손충당금</t>
    <phoneticPr fontId="3" type="noConversion"/>
  </si>
  <si>
    <t>유동자산</t>
    <phoneticPr fontId="3" type="noConversion"/>
  </si>
  <si>
    <t>유동부채</t>
    <phoneticPr fontId="3" type="noConversion"/>
  </si>
  <si>
    <t>비유동부채</t>
    <phoneticPr fontId="3" type="noConversion"/>
  </si>
  <si>
    <t>미사용</t>
  </si>
  <si>
    <t>미사용</t>
    <phoneticPr fontId="3" type="noConversion"/>
  </si>
  <si>
    <t>38200</t>
    <phoneticPr fontId="3" type="noConversion"/>
  </si>
  <si>
    <t>38100</t>
    <phoneticPr fontId="3" type="noConversion"/>
  </si>
  <si>
    <t>39800</t>
  </si>
  <si>
    <t>39800</t>
    <phoneticPr fontId="3" type="noConversion"/>
  </si>
  <si>
    <t>ULTRA V HONG KONG LIMITED</t>
  </si>
  <si>
    <t>과    목</t>
  </si>
  <si>
    <t>금    액</t>
  </si>
  <si>
    <t xml:space="preserve"> ( 당 기 순 손 실 )</t>
  </si>
  <si>
    <t>Ⅰ  . 매      출      액</t>
  </si>
  <si>
    <t>Ⅱ  . 매    출   원   가</t>
  </si>
  <si>
    <t>Ⅲ  . 매  출  총  이  익</t>
  </si>
  <si>
    <t>Ⅳ  . 판  매  관  리  비</t>
  </si>
  <si>
    <t>Ⅵ  . 영  업  외  수  익</t>
  </si>
  <si>
    <t>Ⅶ  . 영  업  외  비  용</t>
  </si>
  <si>
    <t>Ⅸ  . 법  인  세  비  용</t>
  </si>
  <si>
    <t>Ⅰ.재          료          비</t>
  </si>
  <si>
    <t xml:space="preserve">        기초 원재료 재고액</t>
  </si>
  <si>
    <t xml:space="preserve">        당기 원재료 매입액</t>
  </si>
  <si>
    <t xml:space="preserve">        타계정으로 대체액</t>
  </si>
  <si>
    <t xml:space="preserve">        재 료 평 가 손 실</t>
  </si>
  <si>
    <t xml:space="preserve">        재 료 평 가 환 입</t>
  </si>
  <si>
    <t xml:space="preserve">        기말 원재료 재고액</t>
  </si>
  <si>
    <t>Ⅱ.부      재      료      비</t>
  </si>
  <si>
    <t>Ⅲ.노          무          비</t>
  </si>
  <si>
    <t xml:space="preserve">    급              여</t>
  </si>
  <si>
    <t xml:space="preserve">    상      여      금</t>
  </si>
  <si>
    <t>Ⅳ.제      조      경      비</t>
  </si>
  <si>
    <t xml:space="preserve">    복  리  후  생  비</t>
  </si>
  <si>
    <t xml:space="preserve">    여  비  교  통  비</t>
  </si>
  <si>
    <t xml:space="preserve">    통      신      비</t>
  </si>
  <si>
    <t xml:space="preserve">    전      력      비</t>
  </si>
  <si>
    <t xml:space="preserve">    감  가  상  각  비</t>
  </si>
  <si>
    <t xml:space="preserve">    수      선      비</t>
  </si>
  <si>
    <t xml:space="preserve">    보      험      료</t>
  </si>
  <si>
    <t xml:space="preserve">    차  량  유  지  비</t>
  </si>
  <si>
    <t xml:space="preserve">    운      반      비</t>
  </si>
  <si>
    <t xml:space="preserve">    사  무  용  품  비</t>
  </si>
  <si>
    <t xml:space="preserve">    지  급  수  수  료</t>
  </si>
  <si>
    <t>Ⅴ.당  기  총   제  조  비 용</t>
  </si>
  <si>
    <t>Ⅵ.기 초   재 공 품  재 고 액</t>
  </si>
  <si>
    <t>Ⅶ.타 계 정 에 서  대  체  액</t>
  </si>
  <si>
    <t>Ⅷ.합                      계</t>
  </si>
  <si>
    <t>Ⅸ.기 말  재 공 품   재 고 액</t>
  </si>
  <si>
    <t>Ⅹ.타 계 정 으 로  대  체  액</t>
  </si>
  <si>
    <t>ⅩⅠ.당  기 제  품  제 조 원 가</t>
  </si>
  <si>
    <t>제시후</t>
    <phoneticPr fontId="4" type="noConversion"/>
  </si>
  <si>
    <t>자산</t>
    <phoneticPr fontId="4" type="noConversion"/>
  </si>
  <si>
    <t>유동자산</t>
    <phoneticPr fontId="4" type="noConversion"/>
  </si>
  <si>
    <t>비유동자산</t>
    <phoneticPr fontId="4" type="noConversion"/>
  </si>
  <si>
    <t>집기비품</t>
  </si>
  <si>
    <t>무형자산</t>
    <phoneticPr fontId="4" type="noConversion"/>
  </si>
  <si>
    <t>자산총계</t>
    <phoneticPr fontId="4" type="noConversion"/>
  </si>
  <si>
    <t>부채</t>
    <phoneticPr fontId="4" type="noConversion"/>
  </si>
  <si>
    <t>유동부채</t>
    <phoneticPr fontId="4" type="noConversion"/>
  </si>
  <si>
    <t>예수금</t>
    <phoneticPr fontId="4" type="noConversion"/>
  </si>
  <si>
    <t>단기차입금</t>
    <phoneticPr fontId="4" type="noConversion"/>
  </si>
  <si>
    <t>환불부채</t>
    <phoneticPr fontId="4" type="noConversion"/>
  </si>
  <si>
    <t>비유동부채</t>
    <phoneticPr fontId="4" type="noConversion"/>
  </si>
  <si>
    <t>장기미지급금</t>
    <phoneticPr fontId="4" type="noConversion"/>
  </si>
  <si>
    <t>장기차입금</t>
    <phoneticPr fontId="4" type="noConversion"/>
  </si>
  <si>
    <t>퇴직급여충당부채</t>
  </si>
  <si>
    <t>부채총계</t>
    <phoneticPr fontId="4" type="noConversion"/>
  </si>
  <si>
    <t>자본금</t>
    <phoneticPr fontId="4" type="noConversion"/>
  </si>
  <si>
    <t>기타자본항목</t>
  </si>
  <si>
    <t>주식매수선택권</t>
  </si>
  <si>
    <t>이익잉여금(결손금)</t>
  </si>
  <si>
    <t>(1)제품매출원가</t>
  </si>
  <si>
    <t>기초제품재고액</t>
  </si>
  <si>
    <t>당기제품제조원가</t>
  </si>
  <si>
    <t>타계정대체</t>
  </si>
  <si>
    <t>기말제품재고액</t>
  </si>
  <si>
    <t>(2)상품매출원가</t>
  </si>
  <si>
    <t>기초상품재고액</t>
  </si>
  <si>
    <t>기말상품재고액</t>
  </si>
  <si>
    <t>기타영업수익</t>
  </si>
  <si>
    <t>유형자산처분이익</t>
    <phoneticPr fontId="4" type="noConversion"/>
  </si>
  <si>
    <t>기타영업비용</t>
  </si>
  <si>
    <t>당기순이익(손실)</t>
  </si>
  <si>
    <t>종업원급여 재측정요소</t>
  </si>
  <si>
    <t>종속기업투자</t>
  </si>
  <si>
    <t>관계기업투자</t>
  </si>
  <si>
    <t>17900</t>
  </si>
  <si>
    <t>17700</t>
  </si>
  <si>
    <t>17700</t>
    <phoneticPr fontId="3" type="noConversion"/>
  </si>
  <si>
    <t>25800</t>
  </si>
  <si>
    <t>25800</t>
    <phoneticPr fontId="3" type="noConversion"/>
  </si>
  <si>
    <t>BS</t>
    <phoneticPr fontId="4" type="noConversion"/>
  </si>
  <si>
    <t>IS</t>
    <phoneticPr fontId="4" type="noConversion"/>
  </si>
  <si>
    <t>MCS</t>
    <phoneticPr fontId="4" type="noConversion"/>
  </si>
  <si>
    <t>제 8 (당)기</t>
  </si>
  <si>
    <t>제 7 (전)기</t>
  </si>
  <si>
    <t xml:space="preserve"> 자             산 </t>
  </si>
  <si>
    <t xml:space="preserve"> Ⅰ. 유  동    자  산  </t>
  </si>
  <si>
    <t xml:space="preserve">      상    품   매   출</t>
  </si>
  <si>
    <t xml:space="preserve">    원   재    료   비</t>
  </si>
  <si>
    <t xml:space="preserve"> (1) 당  좌    자  산 </t>
  </si>
  <si>
    <t xml:space="preserve">      제    품   매   출</t>
  </si>
  <si>
    <t xml:space="preserve">      현              금</t>
  </si>
  <si>
    <t xml:space="preserve">      식  음  료  매  출</t>
  </si>
  <si>
    <t xml:space="preserve">      제      예      금</t>
  </si>
  <si>
    <t xml:space="preserve">      외  상  매  출  금</t>
  </si>
  <si>
    <t xml:space="preserve">      제 품 매 출  원 가</t>
  </si>
  <si>
    <t xml:space="preserve">      미      수      금</t>
  </si>
  <si>
    <t xml:space="preserve">        기초  제품  재고액</t>
  </si>
  <si>
    <t xml:space="preserve">      선      급      금</t>
  </si>
  <si>
    <t xml:space="preserve">        당기 제품 제조원가</t>
  </si>
  <si>
    <t xml:space="preserve">      선   급     비  용</t>
  </si>
  <si>
    <t xml:space="preserve">        타계정으로  대체액</t>
  </si>
  <si>
    <t xml:space="preserve"> (2) 재  고    자  산 </t>
  </si>
  <si>
    <t xml:space="preserve">        재고 자산 평가손실</t>
  </si>
  <si>
    <t xml:space="preserve">    부   재    료   비</t>
  </si>
  <si>
    <t xml:space="preserve">      제              품</t>
  </si>
  <si>
    <t xml:space="preserve">        기말  제품  재고액</t>
  </si>
  <si>
    <t xml:space="preserve">        기초 부재료 재고액</t>
  </si>
  <si>
    <t xml:space="preserve">      제품재고자산평가충당금</t>
  </si>
  <si>
    <t xml:space="preserve">      식 음 료 매 출원가</t>
  </si>
  <si>
    <t xml:space="preserve">        당기 부재료 매입액</t>
  </si>
  <si>
    <t xml:space="preserve">      원      재      료</t>
  </si>
  <si>
    <t xml:space="preserve">        기초  상품(식음료)  재고액</t>
  </si>
  <si>
    <t xml:space="preserve">      원재료재고자산평가충당금</t>
  </si>
  <si>
    <t xml:space="preserve">        당기 상품(식음료) 매 입 액</t>
  </si>
  <si>
    <t xml:space="preserve">      상 품 ( 식 음 료 )</t>
  </si>
  <si>
    <t xml:space="preserve">        기말  상품(식음료)  재고액</t>
  </si>
  <si>
    <t xml:space="preserve">      부      재      료</t>
  </si>
  <si>
    <t xml:space="preserve">        기말 부재료 재고액</t>
  </si>
  <si>
    <t xml:space="preserve">      부재료재고자산평가충당금</t>
  </si>
  <si>
    <t xml:space="preserve"> Ⅱ. 비  유  동  자  산  </t>
  </si>
  <si>
    <t xml:space="preserve">      직   원    급   여</t>
  </si>
  <si>
    <t xml:space="preserve"> (1) 투  자    자  산  </t>
  </si>
  <si>
    <t xml:space="preserve">      상      여      금</t>
  </si>
  <si>
    <t xml:space="preserve"> (2) 유  형    자  산  </t>
  </si>
  <si>
    <t xml:space="preserve">      퇴   직    급   여</t>
  </si>
  <si>
    <t xml:space="preserve">    퇴   직    급   여</t>
  </si>
  <si>
    <t xml:space="preserve">      기   계    장   치</t>
  </si>
  <si>
    <t xml:space="preserve">      복  리  후  생  비</t>
  </si>
  <si>
    <t xml:space="preserve">      감 가 상 각 누계액</t>
  </si>
  <si>
    <t xml:space="preserve">      여  비  교  통  비</t>
  </si>
  <si>
    <t xml:space="preserve">      차  량  운  반  구</t>
  </si>
  <si>
    <t xml:space="preserve">      통      신      비</t>
  </si>
  <si>
    <t xml:space="preserve">      수  도  광  열  비</t>
  </si>
  <si>
    <t xml:space="preserve">      비              품</t>
  </si>
  <si>
    <t xml:space="preserve">      전      력      비</t>
  </si>
  <si>
    <t xml:space="preserve">    가  스  수  도  료</t>
  </si>
  <si>
    <t xml:space="preserve">      세 금 과  공 과 금</t>
  </si>
  <si>
    <t xml:space="preserve">      시   설    장   치</t>
  </si>
  <si>
    <t xml:space="preserve">      감  가  상  각  비</t>
  </si>
  <si>
    <t xml:space="preserve">      수      선      비</t>
  </si>
  <si>
    <t xml:space="preserve">      사  용  권  자  산</t>
  </si>
  <si>
    <t xml:space="preserve">      보      험      료</t>
  </si>
  <si>
    <t xml:space="preserve">      차  량  유  지  비</t>
  </si>
  <si>
    <t xml:space="preserve">      인   테    리   어</t>
  </si>
  <si>
    <t xml:space="preserve">      운      반      비</t>
  </si>
  <si>
    <t xml:space="preserve"> (3) 무  형    자  산 </t>
  </si>
  <si>
    <t xml:space="preserve">      교  육  훈  련  비</t>
  </si>
  <si>
    <t xml:space="preserve">    소   모   품    비</t>
  </si>
  <si>
    <t xml:space="preserve"> (4) 기타  비유동자산  </t>
  </si>
  <si>
    <t xml:space="preserve">      사  무  용  품  비</t>
  </si>
  <si>
    <t xml:space="preserve">      임  차    보 증 금</t>
  </si>
  <si>
    <t xml:space="preserve">      소    모   품   비</t>
  </si>
  <si>
    <t xml:space="preserve">      기  타  보  증  금</t>
  </si>
  <si>
    <t xml:space="preserve">      지  급  수  수  료</t>
  </si>
  <si>
    <t>자    산    총    계</t>
  </si>
  <si>
    <t xml:space="preserve">      건  물  관  리  비</t>
  </si>
  <si>
    <t xml:space="preserve"> 부             채 </t>
  </si>
  <si>
    <t xml:space="preserve">      판  매  수  수  료</t>
  </si>
  <si>
    <t xml:space="preserve"> Ⅰ. 유  동    부  채  </t>
  </si>
  <si>
    <t>Ⅴ  . 영    업   손   실</t>
  </si>
  <si>
    <t xml:space="preserve">      외  상  매  입  금</t>
  </si>
  <si>
    <t xml:space="preserve">      미   지    급   금</t>
  </si>
  <si>
    <t xml:space="preserve">      이    자   수   익</t>
  </si>
  <si>
    <t xml:space="preserve">      예      수      금</t>
  </si>
  <si>
    <t xml:space="preserve">      외    환  차    익</t>
  </si>
  <si>
    <t xml:space="preserve">      선      수      금</t>
  </si>
  <si>
    <t xml:space="preserve">      잡      이      익</t>
  </si>
  <si>
    <t xml:space="preserve">      미  지  급  세  금</t>
  </si>
  <si>
    <t xml:space="preserve">      미  지  급  비  용</t>
  </si>
  <si>
    <t xml:space="preserve">      이   자    비   용</t>
  </si>
  <si>
    <t xml:space="preserve">      유 동 성 리 스부채</t>
  </si>
  <si>
    <t xml:space="preserve">      유 형 자산처분손실</t>
    <phoneticPr fontId="4" type="noConversion"/>
  </si>
  <si>
    <t xml:space="preserve"> Ⅱ. 비  유  동  부  채  </t>
  </si>
  <si>
    <t xml:space="preserve">      잡      손      실</t>
  </si>
  <si>
    <t xml:space="preserve">      퇴직 급여 충 당 금</t>
  </si>
  <si>
    <t>Ⅷ  . 법인세비용차감전순손실</t>
  </si>
  <si>
    <t xml:space="preserve">      리    스   부   채</t>
  </si>
  <si>
    <t>부    채    총    계</t>
  </si>
  <si>
    <t>Ⅹ  . 당  기  순  손  실</t>
  </si>
  <si>
    <t xml:space="preserve"> 자             본 </t>
  </si>
  <si>
    <t xml:space="preserve"> Ⅰ. 자      본      금  </t>
  </si>
  <si>
    <t>제품재고자산평가충당금</t>
    <phoneticPr fontId="4" type="noConversion"/>
  </si>
  <si>
    <t xml:space="preserve">      자     본       금</t>
  </si>
  <si>
    <t>원재료재고자산평가충당금</t>
    <phoneticPr fontId="4" type="noConversion"/>
  </si>
  <si>
    <t xml:space="preserve"> Ⅱ. 자  본  잉  여  금  </t>
  </si>
  <si>
    <t>부재료재고자산평가충당금</t>
    <phoneticPr fontId="4" type="noConversion"/>
  </si>
  <si>
    <t xml:space="preserve"> Ⅲ. 자   본    조   정  </t>
  </si>
  <si>
    <t>기계장치 누계액</t>
    <phoneticPr fontId="4" type="noConversion"/>
  </si>
  <si>
    <t xml:space="preserve">      주식 할인발행 차금</t>
  </si>
  <si>
    <t>차량운반구 누계액</t>
    <phoneticPr fontId="4" type="noConversion"/>
  </si>
  <si>
    <t xml:space="preserve"> Ⅳ. 기타포괄손익누계액  </t>
  </si>
  <si>
    <t>비품 누계액</t>
    <phoneticPr fontId="4" type="noConversion"/>
  </si>
  <si>
    <t xml:space="preserve"> Ⅴ. 결      손      금  </t>
  </si>
  <si>
    <t>시설장치 누계액</t>
    <phoneticPr fontId="4" type="noConversion"/>
  </si>
  <si>
    <t>인테리어</t>
    <phoneticPr fontId="4" type="noConversion"/>
  </si>
  <si>
    <t xml:space="preserve">  미 처 리  결 손 금</t>
  </si>
  <si>
    <t>사용권자산 누계액</t>
    <phoneticPr fontId="4" type="noConversion"/>
  </si>
  <si>
    <t>인테리어 누계액</t>
    <phoneticPr fontId="4" type="noConversion"/>
  </si>
  <si>
    <t xml:space="preserve">   당기 :      337,203,173</t>
  </si>
  <si>
    <t>퇴직급여충당금</t>
    <phoneticPr fontId="4" type="noConversion"/>
  </si>
  <si>
    <t xml:space="preserve">   전기 :      265,161,464</t>
  </si>
  <si>
    <t>자    본    총    계</t>
  </si>
  <si>
    <t>부 채 및 자 본 총 계</t>
  </si>
  <si>
    <t>일반기업회계기준</t>
    <phoneticPr fontId="4" type="noConversion"/>
  </si>
  <si>
    <t>HK $</t>
  </si>
  <si>
    <t>수정사항</t>
    <phoneticPr fontId="4" type="noConversion"/>
  </si>
  <si>
    <t>K-IFRS</t>
    <phoneticPr fontId="4" type="noConversion"/>
  </si>
  <si>
    <t>수준</t>
  </si>
  <si>
    <t>계정명</t>
    <phoneticPr fontId="4" type="noConversion"/>
  </si>
  <si>
    <t>최초제시</t>
  </si>
  <si>
    <t>공시계정</t>
    <phoneticPr fontId="4" type="noConversion"/>
  </si>
  <si>
    <t>*</t>
  </si>
  <si>
    <t xml:space="preserve">  I. 자 산</t>
  </si>
  <si>
    <t>**</t>
  </si>
  <si>
    <t xml:space="preserve">    (1) 유동자산</t>
  </si>
  <si>
    <t>***</t>
  </si>
  <si>
    <t xml:space="preserve">      1. 당좌자산</t>
  </si>
  <si>
    <t>****</t>
  </si>
  <si>
    <t xml:space="preserve">        1) 현금및현금성자산</t>
  </si>
  <si>
    <t>*****</t>
  </si>
  <si>
    <t xml:space="preserve">          1. 현금</t>
  </si>
  <si>
    <t>현금</t>
    <phoneticPr fontId="4" type="noConversion"/>
  </si>
  <si>
    <t>매출채권및기타채권_유동</t>
  </si>
  <si>
    <t xml:space="preserve">          2. 보통예금</t>
    <phoneticPr fontId="4" type="noConversion"/>
  </si>
  <si>
    <t>보통예금</t>
    <phoneticPr fontId="4" type="noConversion"/>
  </si>
  <si>
    <t xml:space="preserve">             국고보조금(현금)_차감계정</t>
  </si>
  <si>
    <t xml:space="preserve">          3. 외화보통예금</t>
    <phoneticPr fontId="4" type="noConversion"/>
  </si>
  <si>
    <t>외화보통예금</t>
    <phoneticPr fontId="4" type="noConversion"/>
  </si>
  <si>
    <t xml:space="preserve">        2) 단기투자자산</t>
  </si>
  <si>
    <t>미수법인세환급액</t>
    <phoneticPr fontId="4" type="noConversion"/>
  </si>
  <si>
    <t xml:space="preserve">          1. 정기예적금</t>
  </si>
  <si>
    <t>기타유동금융자산</t>
  </si>
  <si>
    <t>정기예적금</t>
    <phoneticPr fontId="4" type="noConversion"/>
  </si>
  <si>
    <t xml:space="preserve">          2. 단기대여금</t>
  </si>
  <si>
    <t>******</t>
  </si>
  <si>
    <t xml:space="preserve">            A. 단기대여금</t>
  </si>
  <si>
    <t>단기대여금</t>
    <phoneticPr fontId="4" type="noConversion"/>
  </si>
  <si>
    <t xml:space="preserve">            B. 가지급금</t>
    <phoneticPr fontId="4" type="noConversion"/>
  </si>
  <si>
    <t>가지급금</t>
    <phoneticPr fontId="4" type="noConversion"/>
  </si>
  <si>
    <t xml:space="preserve">          3. 단기금융상품</t>
    <phoneticPr fontId="4" type="noConversion"/>
  </si>
  <si>
    <t>단기금융상품</t>
    <phoneticPr fontId="4" type="noConversion"/>
  </si>
  <si>
    <t xml:space="preserve">        3) 매출채권</t>
  </si>
  <si>
    <t xml:space="preserve">          1. 외상매출금</t>
    <phoneticPr fontId="4" type="noConversion"/>
  </si>
  <si>
    <t>외상매출금</t>
    <phoneticPr fontId="4" type="noConversion"/>
  </si>
  <si>
    <t xml:space="preserve">             외상매출금대손충당금_차감계정</t>
  </si>
  <si>
    <t>외상매출금대손충당금_차감계정</t>
    <phoneticPr fontId="4" type="noConversion"/>
  </si>
  <si>
    <t xml:space="preserve">        4) 선급비용</t>
  </si>
  <si>
    <t>선급비용</t>
    <phoneticPr fontId="4" type="noConversion"/>
  </si>
  <si>
    <t xml:space="preserve">        5) 기타당좌자산</t>
  </si>
  <si>
    <t xml:space="preserve">          1. 미수금</t>
  </si>
  <si>
    <t>미수금</t>
    <phoneticPr fontId="4" type="noConversion"/>
  </si>
  <si>
    <t xml:space="preserve">             미수금대손충당금_차감계정</t>
  </si>
  <si>
    <t>미수금대손충당금_차감계정</t>
    <phoneticPr fontId="4" type="noConversion"/>
  </si>
  <si>
    <t xml:space="preserve">          2. 미수수익</t>
  </si>
  <si>
    <t>미수수익</t>
    <phoneticPr fontId="4" type="noConversion"/>
  </si>
  <si>
    <t>매입채무및기타채무_유동</t>
  </si>
  <si>
    <t xml:space="preserve">             미수수익대손충당금_차감계정</t>
  </si>
  <si>
    <t>미수수익대손충당금_차감계정</t>
    <phoneticPr fontId="4" type="noConversion"/>
  </si>
  <si>
    <t xml:space="preserve">          3. 선급금</t>
  </si>
  <si>
    <t>당기손익인식금융부채</t>
  </si>
  <si>
    <t xml:space="preserve">            A. 선급금</t>
  </si>
  <si>
    <t>선급금</t>
    <phoneticPr fontId="4" type="noConversion"/>
  </si>
  <si>
    <t xml:space="preserve">               선급금대손충당금_차감계정</t>
  </si>
  <si>
    <t>선급금대손충당금_차감계정</t>
    <phoneticPr fontId="4" type="noConversion"/>
  </si>
  <si>
    <t>미수법인세환급액</t>
  </si>
  <si>
    <t xml:space="preserve">      2. 재고자산</t>
  </si>
  <si>
    <t>상품</t>
    <phoneticPr fontId="4" type="noConversion"/>
  </si>
  <si>
    <t xml:space="preserve">           상품 재고자산평가충당금_차감계정</t>
  </si>
  <si>
    <t>상품 재고자산평가충당금_차감계정</t>
    <phoneticPr fontId="4" type="noConversion"/>
  </si>
  <si>
    <t>제품</t>
    <phoneticPr fontId="4" type="noConversion"/>
  </si>
  <si>
    <t>제품 재고자산평가충당금_차감계정</t>
    <phoneticPr fontId="4" type="noConversion"/>
  </si>
  <si>
    <t xml:space="preserve">        3) 원재료</t>
    <phoneticPr fontId="4" type="noConversion"/>
  </si>
  <si>
    <t>원재료</t>
    <phoneticPr fontId="4" type="noConversion"/>
  </si>
  <si>
    <t xml:space="preserve">           원재료 재고자산평가충당금_차감계정</t>
    <phoneticPr fontId="4" type="noConversion"/>
  </si>
  <si>
    <t xml:space="preserve">        4) 부재료</t>
  </si>
  <si>
    <t xml:space="preserve">    (2) 비유동자산</t>
  </si>
  <si>
    <t xml:space="preserve">      1. 투자주식</t>
    <phoneticPr fontId="4" type="noConversion"/>
  </si>
  <si>
    <t xml:space="preserve">        1) 종속기업투자주식</t>
    <phoneticPr fontId="4" type="noConversion"/>
  </si>
  <si>
    <t>종속기업에대한 투자자산</t>
  </si>
  <si>
    <t>종속기업투자주식</t>
    <phoneticPr fontId="4" type="noConversion"/>
  </si>
  <si>
    <t xml:space="preserve">      2. 비유동기타채권</t>
    <phoneticPr fontId="4" type="noConversion"/>
  </si>
  <si>
    <t xml:space="preserve">        1) 보증금</t>
    <phoneticPr fontId="4" type="noConversion"/>
  </si>
  <si>
    <t xml:space="preserve">          1. 임차보증금</t>
  </si>
  <si>
    <t>기타비유동금융자산</t>
  </si>
  <si>
    <t>임차보증금</t>
    <phoneticPr fontId="4" type="noConversion"/>
  </si>
  <si>
    <t xml:space="preserve">          2. 기타보증금</t>
  </si>
  <si>
    <t>기타보증금</t>
    <phoneticPr fontId="4" type="noConversion"/>
  </si>
  <si>
    <t xml:space="preserve">        2) 장기대여금</t>
    <phoneticPr fontId="4" type="noConversion"/>
  </si>
  <si>
    <t>장기대여금</t>
    <phoneticPr fontId="4" type="noConversion"/>
  </si>
  <si>
    <t xml:space="preserve">      3. 비유동기타자산</t>
    <phoneticPr fontId="4" type="noConversion"/>
  </si>
  <si>
    <t xml:space="preserve">        1) 장기선급금</t>
    <phoneticPr fontId="4" type="noConversion"/>
  </si>
  <si>
    <t>비유동기타자산</t>
    <phoneticPr fontId="4" type="noConversion"/>
  </si>
  <si>
    <t>장기선급금</t>
    <phoneticPr fontId="4" type="noConversion"/>
  </si>
  <si>
    <t>***</t>
    <phoneticPr fontId="4" type="noConversion"/>
  </si>
  <si>
    <t xml:space="preserve">      4. 유형자산</t>
    <phoneticPr fontId="4" type="noConversion"/>
  </si>
  <si>
    <t xml:space="preserve">        1) 기계장치</t>
    <phoneticPr fontId="4" type="noConversion"/>
  </si>
  <si>
    <t>기계장치</t>
    <phoneticPr fontId="4" type="noConversion"/>
  </si>
  <si>
    <t xml:space="preserve">           기계장치감가상각누계액_차감계정</t>
  </si>
  <si>
    <t>기계장치감가상각누계액_차감계정</t>
  </si>
  <si>
    <t>부채및자본총계</t>
  </si>
  <si>
    <t xml:space="preserve">        2) 차량운반구</t>
    <phoneticPr fontId="4" type="noConversion"/>
  </si>
  <si>
    <t>차량운반구</t>
    <phoneticPr fontId="4" type="noConversion"/>
  </si>
  <si>
    <t xml:space="preserve">           차량운반구감가상각누계액_차감계정</t>
  </si>
  <si>
    <t>차량운반구감가상각누계액_차감계정</t>
  </si>
  <si>
    <t xml:space="preserve">        3) 공구와기구</t>
    <phoneticPr fontId="4" type="noConversion"/>
  </si>
  <si>
    <t>공구와기구</t>
    <phoneticPr fontId="4" type="noConversion"/>
  </si>
  <si>
    <t xml:space="preserve">           공구와기구감가상각누계액_차감계정</t>
  </si>
  <si>
    <t>공구와기구감가상각누계액_차감계정</t>
  </si>
  <si>
    <t xml:space="preserve">        4) 비품</t>
    <phoneticPr fontId="4" type="noConversion"/>
  </si>
  <si>
    <t>비품</t>
    <phoneticPr fontId="4" type="noConversion"/>
  </si>
  <si>
    <t xml:space="preserve">           비품 감가상각누계액_차감계정</t>
  </si>
  <si>
    <t>비품 감가상각누계액_차감계정</t>
  </si>
  <si>
    <t xml:space="preserve">        5) 건설중인자산</t>
    <phoneticPr fontId="4" type="noConversion"/>
  </si>
  <si>
    <t>건설중인자산</t>
    <phoneticPr fontId="4" type="noConversion"/>
  </si>
  <si>
    <t xml:space="preserve">        6) 인테리어</t>
    <phoneticPr fontId="4" type="noConversion"/>
  </si>
  <si>
    <t xml:space="preserve">           인테리어감가상각누계액_차감계정</t>
    <phoneticPr fontId="4" type="noConversion"/>
  </si>
  <si>
    <t>인테리어감가상각누계액_차감계정</t>
  </si>
  <si>
    <t>시설장치</t>
    <phoneticPr fontId="4" type="noConversion"/>
  </si>
  <si>
    <t>시설장치감가상각누계액_차감계정</t>
  </si>
  <si>
    <t xml:space="preserve">      5. 무형자산</t>
    <phoneticPr fontId="4" type="noConversion"/>
  </si>
  <si>
    <t xml:space="preserve">        1) 산업재산권</t>
    <phoneticPr fontId="4" type="noConversion"/>
  </si>
  <si>
    <t>산업재산권</t>
    <phoneticPr fontId="4" type="noConversion"/>
  </si>
  <si>
    <t xml:space="preserve">        2) 개발비</t>
  </si>
  <si>
    <t>개발비</t>
    <phoneticPr fontId="4" type="noConversion"/>
  </si>
  <si>
    <t xml:space="preserve">           개발비(국고)_차감계정</t>
  </si>
  <si>
    <t>개발비(국고)_차감계정</t>
  </si>
  <si>
    <t xml:space="preserve">        3) 기타무형자산</t>
  </si>
  <si>
    <t xml:space="preserve">          1. 상표권</t>
  </si>
  <si>
    <t>상표권</t>
    <phoneticPr fontId="4" type="noConversion"/>
  </si>
  <si>
    <t xml:space="preserve">          2. 소프트웨어</t>
  </si>
  <si>
    <t>소프트웨어</t>
    <phoneticPr fontId="4" type="noConversion"/>
  </si>
  <si>
    <t xml:space="preserve">        4) 회원권</t>
    <phoneticPr fontId="4" type="noConversion"/>
  </si>
  <si>
    <t>회원권</t>
    <phoneticPr fontId="4" type="noConversion"/>
  </si>
  <si>
    <t xml:space="preserve">        5) 영업권</t>
    <phoneticPr fontId="4" type="noConversion"/>
  </si>
  <si>
    <t xml:space="preserve">      6. 이연법인세자산</t>
    <phoneticPr fontId="4" type="noConversion"/>
  </si>
  <si>
    <t>이연법인세자산</t>
    <phoneticPr fontId="4" type="noConversion"/>
  </si>
  <si>
    <t xml:space="preserve">  II. 부 채</t>
  </si>
  <si>
    <t xml:space="preserve">    (1) 유동부채</t>
  </si>
  <si>
    <t xml:space="preserve">      1. 단기차입금</t>
  </si>
  <si>
    <t xml:space="preserve">      2. 당기손익인식금융부채</t>
  </si>
  <si>
    <t>당기손익인식금융부채</t>
    <phoneticPr fontId="4" type="noConversion"/>
  </si>
  <si>
    <t xml:space="preserve">      3. 신주인수권대가</t>
    <phoneticPr fontId="4" type="noConversion"/>
  </si>
  <si>
    <t>파생부채</t>
    <phoneticPr fontId="4" type="noConversion"/>
  </si>
  <si>
    <t>신주인수권대가(파생부채)</t>
  </si>
  <si>
    <t xml:space="preserve">      3. 매입채무</t>
  </si>
  <si>
    <t xml:space="preserve">        1) 외상매입금</t>
  </si>
  <si>
    <t xml:space="preserve">      4. 미지급금</t>
  </si>
  <si>
    <t xml:space="preserve">        1) 미지급금</t>
  </si>
  <si>
    <t>미지급금</t>
    <phoneticPr fontId="4" type="noConversion"/>
  </si>
  <si>
    <t xml:space="preserve">        2) 미지급비용</t>
  </si>
  <si>
    <t>미지급비용</t>
    <phoneticPr fontId="4" type="noConversion"/>
  </si>
  <si>
    <t xml:space="preserve">      5. 미지급법인세</t>
  </si>
  <si>
    <t>미지급법인세</t>
    <phoneticPr fontId="4" type="noConversion"/>
  </si>
  <si>
    <t xml:space="preserve">      6. 미지급세금</t>
  </si>
  <si>
    <t>미지급세금</t>
    <phoneticPr fontId="4" type="noConversion"/>
  </si>
  <si>
    <t xml:space="preserve">      7. 기타유동부채</t>
    <phoneticPr fontId="4" type="noConversion"/>
  </si>
  <si>
    <t xml:space="preserve">        1) 선수금</t>
  </si>
  <si>
    <t>선수금</t>
    <phoneticPr fontId="4" type="noConversion"/>
  </si>
  <si>
    <t xml:space="preserve">        2) 예수금</t>
  </si>
  <si>
    <t>예수금</t>
    <phoneticPr fontId="4" type="noConversion"/>
  </si>
  <si>
    <t>부가세예수금</t>
    <phoneticPr fontId="4" type="noConversion"/>
  </si>
  <si>
    <t xml:space="preserve">        4) 유동성신주인수권부사채</t>
    <phoneticPr fontId="4" type="noConversion"/>
  </si>
  <si>
    <t>유동성신주인수권부사채</t>
  </si>
  <si>
    <t xml:space="preserve">        5) 유동성상환할증금(신주인수권부사채)</t>
    <phoneticPr fontId="4" type="noConversion"/>
  </si>
  <si>
    <t>유동성상환할증금(신주인수권부사채)</t>
  </si>
  <si>
    <t xml:space="preserve">        6) 유동성신주인수권조정(신주인수권부사채)</t>
    <phoneticPr fontId="4" type="noConversion"/>
  </si>
  <si>
    <t>유동성신주인수권조정(신주인수권부사채)</t>
  </si>
  <si>
    <t xml:space="preserve">      8. 반품충당부채</t>
  </si>
  <si>
    <t xml:space="preserve">    (2) 비유동부채</t>
  </si>
  <si>
    <t xml:space="preserve">      1. 퇴직급여충당부채</t>
    <phoneticPr fontId="4" type="noConversion"/>
  </si>
  <si>
    <t xml:space="preserve">        1) 퇴직급여충당부채</t>
  </si>
  <si>
    <t>퇴직급여충당부채</t>
    <phoneticPr fontId="4" type="noConversion"/>
  </si>
  <si>
    <t xml:space="preserve">           퇴직연금운용자산_차감계정</t>
    <phoneticPr fontId="4" type="noConversion"/>
  </si>
  <si>
    <t>퇴직연금운용자산_차감계정</t>
    <phoneticPr fontId="4" type="noConversion"/>
  </si>
  <si>
    <t xml:space="preserve">      2. 비유동금융부채</t>
    <phoneticPr fontId="4" type="noConversion"/>
  </si>
  <si>
    <t xml:space="preserve">           신주인수권부사채</t>
    <phoneticPr fontId="4" type="noConversion"/>
  </si>
  <si>
    <t xml:space="preserve">           사채할인발행차금(신주인수권부사채)</t>
    <phoneticPr fontId="4" type="noConversion"/>
  </si>
  <si>
    <t>상환할증금(신주인수권부사채)</t>
  </si>
  <si>
    <t xml:space="preserve">           신주인수권조정(신주인수권부사채)</t>
    <phoneticPr fontId="4" type="noConversion"/>
  </si>
  <si>
    <t>신주인수권조정(신주인수권부사채)</t>
  </si>
  <si>
    <t xml:space="preserve">      3. 파생부채</t>
    <phoneticPr fontId="4" type="noConversion"/>
  </si>
  <si>
    <t xml:space="preserve">      4. 이연법인세부채</t>
    <phoneticPr fontId="4" type="noConversion"/>
  </si>
  <si>
    <t xml:space="preserve">      7. 기타비유동부채</t>
    <phoneticPr fontId="4" type="noConversion"/>
  </si>
  <si>
    <t xml:space="preserve">        1) 장기미지급금</t>
    <phoneticPr fontId="4" type="noConversion"/>
  </si>
  <si>
    <t>기타비유동부채</t>
    <phoneticPr fontId="4" type="noConversion"/>
  </si>
  <si>
    <t xml:space="preserve">        2) 장기차입금</t>
  </si>
  <si>
    <t xml:space="preserve">  III. 자 본</t>
  </si>
  <si>
    <t xml:space="preserve">    (1) 자본금</t>
  </si>
  <si>
    <t xml:space="preserve">      1. 자본금</t>
  </si>
  <si>
    <t xml:space="preserve">      2. 우선주자본금</t>
  </si>
  <si>
    <t>우선주자본금</t>
    <phoneticPr fontId="4" type="noConversion"/>
  </si>
  <si>
    <t xml:space="preserve">    (2) 자본잉여금</t>
  </si>
  <si>
    <t xml:space="preserve">      1. 주식발행초과금</t>
  </si>
  <si>
    <t>자본잉여금</t>
    <phoneticPr fontId="4" type="noConversion"/>
  </si>
  <si>
    <t>주식발행초과금</t>
    <phoneticPr fontId="4" type="noConversion"/>
  </si>
  <si>
    <t xml:space="preserve">      2. 신주인수권대가</t>
    <phoneticPr fontId="4" type="noConversion"/>
  </si>
  <si>
    <t>신주인수권대가</t>
    <phoneticPr fontId="4" type="noConversion"/>
  </si>
  <si>
    <t xml:space="preserve">    (3) 자본조정</t>
  </si>
  <si>
    <t xml:space="preserve">      1. 주식할인발행차금</t>
  </si>
  <si>
    <t xml:space="preserve">    (4) 기타자본구성요소</t>
  </si>
  <si>
    <t xml:space="preserve">      1. 주식선택권</t>
  </si>
  <si>
    <t>기타자본구성요소</t>
  </si>
  <si>
    <t xml:space="preserve">      2. 해외사업장환산차이</t>
    <phoneticPr fontId="4" type="noConversion"/>
  </si>
  <si>
    <t>해외사업장환산차이</t>
    <phoneticPr fontId="4" type="noConversion"/>
  </si>
  <si>
    <t xml:space="preserve">    (5) 이익잉여금</t>
  </si>
  <si>
    <t xml:space="preserve">      1. 미처분이익잉여금</t>
  </si>
  <si>
    <t>****</t>
    <phoneticPr fontId="4" type="noConversion"/>
  </si>
  <si>
    <t xml:space="preserve">        1) 미처분이익잉여금</t>
    <phoneticPr fontId="4" type="noConversion"/>
  </si>
  <si>
    <t>이익잉여금</t>
    <phoneticPr fontId="4" type="noConversion"/>
  </si>
  <si>
    <t>미처분이익잉여금</t>
    <phoneticPr fontId="4" type="noConversion"/>
  </si>
  <si>
    <t xml:space="preserve">        2) 전기오류수정손실</t>
    <phoneticPr fontId="4" type="noConversion"/>
  </si>
  <si>
    <t>전기오류수정손실</t>
    <phoneticPr fontId="4" type="noConversion"/>
  </si>
  <si>
    <t xml:space="preserve">        3) 보험수리적손익누계액</t>
    <phoneticPr fontId="4" type="noConversion"/>
  </si>
  <si>
    <t>보험수리적손익누계액</t>
    <phoneticPr fontId="4" type="noConversion"/>
  </si>
  <si>
    <t xml:space="preserve">        4) 당기순이익</t>
    <phoneticPr fontId="4" type="noConversion"/>
  </si>
  <si>
    <t>계정과목</t>
  </si>
  <si>
    <t xml:space="preserve">  I. 매출액</t>
  </si>
  <si>
    <t xml:space="preserve">      1. 상품매출(내수)</t>
  </si>
  <si>
    <t xml:space="preserve">      2. 제품매출(수출)</t>
  </si>
  <si>
    <t xml:space="preserve">  II. 매출원가</t>
  </si>
  <si>
    <t xml:space="preserve">        기초 상품 재고액</t>
  </si>
  <si>
    <t xml:space="preserve">        당기 상품 매입액</t>
  </si>
  <si>
    <t xml:space="preserve">        기말 상품 재고액</t>
  </si>
  <si>
    <t xml:space="preserve">  III. 매출총이익</t>
  </si>
  <si>
    <t xml:space="preserve">  IV. 판매비와 관리비</t>
  </si>
  <si>
    <t>**</t>
    <phoneticPr fontId="4" type="noConversion"/>
  </si>
  <si>
    <t xml:space="preserve">    (1) 직원급여</t>
  </si>
  <si>
    <t>판매비와관리비</t>
    <phoneticPr fontId="4" type="noConversion"/>
  </si>
  <si>
    <t xml:space="preserve">    (2) 상여금</t>
  </si>
  <si>
    <t xml:space="preserve">    (3) 주식보상비</t>
  </si>
  <si>
    <t xml:space="preserve">    (4) 퇴직급여충당금전입</t>
    <phoneticPr fontId="4" type="noConversion"/>
  </si>
  <si>
    <t>퇴직급여충당금전입</t>
  </si>
  <si>
    <t xml:space="preserve">    (4) 퇴직급여</t>
  </si>
  <si>
    <t xml:space="preserve">    (5) 복리후생비</t>
  </si>
  <si>
    <t xml:space="preserve">    (6) 여비교통비</t>
  </si>
  <si>
    <t xml:space="preserve">    (7) 접대비</t>
  </si>
  <si>
    <t xml:space="preserve">    (8) 통신비</t>
  </si>
  <si>
    <t xml:space="preserve">    (9) 수도광열비</t>
  </si>
  <si>
    <t xml:space="preserve">    (10) 세금과공과</t>
    <phoneticPr fontId="4" type="noConversion"/>
  </si>
  <si>
    <t xml:space="preserve">    (11) 감가상각비</t>
    <phoneticPr fontId="4" type="noConversion"/>
  </si>
  <si>
    <t>감가상각비</t>
    <phoneticPr fontId="4" type="noConversion"/>
  </si>
  <si>
    <t xml:space="preserve">    (12) 임차료</t>
    <phoneticPr fontId="4" type="noConversion"/>
  </si>
  <si>
    <t>임차료</t>
  </si>
  <si>
    <t xml:space="preserve">    (13) 수선비</t>
    <phoneticPr fontId="4" type="noConversion"/>
  </si>
  <si>
    <t xml:space="preserve">    (14) 보험료</t>
    <phoneticPr fontId="4" type="noConversion"/>
  </si>
  <si>
    <t xml:space="preserve">    (15) 차량유지비</t>
    <phoneticPr fontId="4" type="noConversion"/>
  </si>
  <si>
    <t xml:space="preserve">    (16) 경상연구개발비</t>
    <phoneticPr fontId="4" type="noConversion"/>
  </si>
  <si>
    <t>경상연구개발비</t>
    <phoneticPr fontId="4" type="noConversion"/>
  </si>
  <si>
    <t xml:space="preserve">    (17) 운반비</t>
  </si>
  <si>
    <t xml:space="preserve">    (18) 반품충당비용</t>
  </si>
  <si>
    <t>반품충당비용</t>
  </si>
  <si>
    <t xml:space="preserve">    (18) 교육훈련비</t>
  </si>
  <si>
    <t xml:space="preserve">    (19) 도서인쇄비</t>
  </si>
  <si>
    <t xml:space="preserve">    (20) 포장비</t>
  </si>
  <si>
    <t xml:space="preserve">    (21) 사무용품비</t>
  </si>
  <si>
    <t xml:space="preserve">    (22) 소모품비</t>
  </si>
  <si>
    <t xml:space="preserve">    (23) 지급수수료</t>
  </si>
  <si>
    <t xml:space="preserve">    (24) 보관료</t>
    <phoneticPr fontId="4" type="noConversion"/>
  </si>
  <si>
    <t>보관료</t>
    <phoneticPr fontId="4" type="noConversion"/>
  </si>
  <si>
    <t xml:space="preserve">    (25) 광고선전비</t>
    <phoneticPr fontId="4" type="noConversion"/>
  </si>
  <si>
    <t xml:space="preserve">    (26) 대손상각비</t>
    <phoneticPr fontId="4" type="noConversion"/>
  </si>
  <si>
    <t xml:space="preserve">    (27) 건물관리비</t>
    <phoneticPr fontId="4" type="noConversion"/>
  </si>
  <si>
    <t>건물관리비</t>
    <phoneticPr fontId="4" type="noConversion"/>
  </si>
  <si>
    <t xml:space="preserve">    (28) 수출제비용</t>
    <phoneticPr fontId="4" type="noConversion"/>
  </si>
  <si>
    <t>수출제비용</t>
    <phoneticPr fontId="4" type="noConversion"/>
  </si>
  <si>
    <t xml:space="preserve">    (29) 판매수수료</t>
    <phoneticPr fontId="4" type="noConversion"/>
  </si>
  <si>
    <t>판매수수료</t>
    <phoneticPr fontId="4" type="noConversion"/>
  </si>
  <si>
    <t xml:space="preserve">    (30) 무형고정자산상각</t>
    <phoneticPr fontId="4" type="noConversion"/>
  </si>
  <si>
    <t xml:space="preserve">    (31) 리스료</t>
    <phoneticPr fontId="4" type="noConversion"/>
  </si>
  <si>
    <t>리스료</t>
  </si>
  <si>
    <t xml:space="preserve">  V. 영업이익</t>
  </si>
  <si>
    <t xml:space="preserve">  VI. 영업외수익</t>
  </si>
  <si>
    <t xml:space="preserve">    (1) 이자수익</t>
  </si>
  <si>
    <t>파생부채평가이익</t>
  </si>
  <si>
    <t>당기손익인식금융평가이익</t>
  </si>
  <si>
    <t xml:space="preserve">  VII. 영업외비용</t>
  </si>
  <si>
    <t xml:space="preserve">    (1) 이자비용</t>
  </si>
  <si>
    <t xml:space="preserve">    (4) 파생부채평가손실</t>
  </si>
  <si>
    <t>파생부채평가손실</t>
  </si>
  <si>
    <t>사채상환손실</t>
  </si>
  <si>
    <t xml:space="preserve">  VIII. 법인세비용차감전 순손익</t>
  </si>
  <si>
    <t xml:space="preserve">  IX. 법인세비용</t>
  </si>
  <si>
    <t xml:space="preserve">    (1) 법인세비용</t>
  </si>
  <si>
    <t xml:space="preserve">  X. 당기순이익(당기순손실)</t>
  </si>
  <si>
    <t xml:space="preserve">        1) 상품</t>
  </si>
  <si>
    <t xml:space="preserve">        2) 제품</t>
    <phoneticPr fontId="4" type="noConversion"/>
  </si>
  <si>
    <t xml:space="preserve">           제품 재고자산평가충당금_차감계정</t>
    <phoneticPr fontId="4" type="noConversion"/>
  </si>
  <si>
    <t>*</t>
    <phoneticPr fontId="4" type="noConversion"/>
  </si>
  <si>
    <t xml:space="preserve">    (1) 제품매출</t>
  </si>
  <si>
    <t xml:space="preserve">      1. 제품매출(내수)</t>
  </si>
  <si>
    <t>매출액</t>
    <phoneticPr fontId="4" type="noConversion"/>
  </si>
  <si>
    <t>제품매출(내수)</t>
    <phoneticPr fontId="4" type="noConversion"/>
  </si>
  <si>
    <t>제품매출(수출)</t>
    <phoneticPr fontId="4" type="noConversion"/>
  </si>
  <si>
    <t xml:space="preserve">    (2) 상품매출</t>
  </si>
  <si>
    <t>상품매출(내수)</t>
    <phoneticPr fontId="4" type="noConversion"/>
  </si>
  <si>
    <t xml:space="preserve">    (1) 제품매출원가</t>
  </si>
  <si>
    <t xml:space="preserve">        기초 제품 재고액</t>
  </si>
  <si>
    <t>당기제품제조원가</t>
    <phoneticPr fontId="4" type="noConversion"/>
  </si>
  <si>
    <t xml:space="preserve">        당기 제품 매입액</t>
  </si>
  <si>
    <t xml:space="preserve">        타계정에서 대체액</t>
    <phoneticPr fontId="4" type="noConversion"/>
  </si>
  <si>
    <t xml:space="preserve">        타계정으로 대체액</t>
    <phoneticPr fontId="4" type="noConversion"/>
  </si>
  <si>
    <t xml:space="preserve">        기말 제품 재고액</t>
  </si>
  <si>
    <t xml:space="preserve">    (2) 상품매출원가</t>
  </si>
  <si>
    <t>상품매출원가</t>
    <phoneticPr fontId="4" type="noConversion"/>
  </si>
  <si>
    <t>금융수익</t>
    <phoneticPr fontId="4" type="noConversion"/>
  </si>
  <si>
    <t xml:space="preserve">    (2) 수입임대료</t>
    <phoneticPr fontId="4" type="noConversion"/>
  </si>
  <si>
    <t>기타수익</t>
    <phoneticPr fontId="4" type="noConversion"/>
  </si>
  <si>
    <t>수입임대료</t>
    <phoneticPr fontId="4" type="noConversion"/>
  </si>
  <si>
    <t xml:space="preserve">    (3) 외환차익</t>
    <phoneticPr fontId="4" type="noConversion"/>
  </si>
  <si>
    <t xml:space="preserve">    (4) 외화환산이익</t>
    <phoneticPr fontId="4" type="noConversion"/>
  </si>
  <si>
    <t xml:space="preserve">    (5) 유형자산처분이익</t>
    <phoneticPr fontId="4" type="noConversion"/>
  </si>
  <si>
    <t xml:space="preserve">    (6) 잡이익</t>
    <phoneticPr fontId="4" type="noConversion"/>
  </si>
  <si>
    <t xml:space="preserve">    (7) 기타의 대손상각비 환입</t>
    <phoneticPr fontId="4" type="noConversion"/>
  </si>
  <si>
    <t>기타의 대손상각비환입</t>
    <phoneticPr fontId="4" type="noConversion"/>
  </si>
  <si>
    <t xml:space="preserve">    (8) 파생부채평가이익</t>
    <phoneticPr fontId="4" type="noConversion"/>
  </si>
  <si>
    <t xml:space="preserve">    (9) 퇴직급여충당금환입</t>
    <phoneticPr fontId="4" type="noConversion"/>
  </si>
  <si>
    <t>퇴직급여충당금환입</t>
    <phoneticPr fontId="4" type="noConversion"/>
  </si>
  <si>
    <t xml:space="preserve">    (10) 당기손익인식금융평가이익</t>
    <phoneticPr fontId="4" type="noConversion"/>
  </si>
  <si>
    <t>금융비용</t>
    <phoneticPr fontId="4" type="noConversion"/>
  </si>
  <si>
    <t xml:space="preserve">    (2) 외환차손</t>
    <phoneticPr fontId="4" type="noConversion"/>
  </si>
  <si>
    <t xml:space="preserve">    (4) 외화환산손실</t>
    <phoneticPr fontId="4" type="noConversion"/>
  </si>
  <si>
    <t>외화환산손실</t>
    <phoneticPr fontId="4" type="noConversion"/>
  </si>
  <si>
    <t xml:space="preserve">    (3) 기타의 대손상각비</t>
    <phoneticPr fontId="4" type="noConversion"/>
  </si>
  <si>
    <t xml:space="preserve">    (5) 잡손실</t>
    <phoneticPr fontId="4" type="noConversion"/>
  </si>
  <si>
    <t xml:space="preserve">    (6) 유형자산처분손실</t>
    <phoneticPr fontId="4" type="noConversion"/>
  </si>
  <si>
    <t xml:space="preserve">    (7) 당기손익인식금융평가손실</t>
    <phoneticPr fontId="4" type="noConversion"/>
  </si>
  <si>
    <t>당기손익인식금융평가손실</t>
    <phoneticPr fontId="4" type="noConversion"/>
  </si>
  <si>
    <t xml:space="preserve">    (8) 종속기업투자주식손상차손</t>
    <phoneticPr fontId="4" type="noConversion"/>
  </si>
  <si>
    <t>영업권손상차손</t>
    <phoneticPr fontId="4" type="noConversion"/>
  </si>
  <si>
    <t>법인세비용</t>
    <phoneticPr fontId="4" type="noConversion"/>
  </si>
  <si>
    <t xml:space="preserve">      기타포괄손익</t>
    <phoneticPr fontId="4" type="noConversion"/>
  </si>
  <si>
    <t>기타포괄손익</t>
    <phoneticPr fontId="4" type="noConversion"/>
  </si>
  <si>
    <t>총포괄손익</t>
    <phoneticPr fontId="4" type="noConversion"/>
  </si>
  <si>
    <t>지분율</t>
    <phoneticPr fontId="4" type="noConversion"/>
  </si>
  <si>
    <t>시설장치</t>
  </si>
  <si>
    <t>해외사업장환산차이</t>
  </si>
  <si>
    <t>15000</t>
  </si>
  <si>
    <t>15000</t>
    <phoneticPr fontId="3" type="noConversion"/>
  </si>
  <si>
    <t>15100</t>
  </si>
  <si>
    <t>15100</t>
    <phoneticPr fontId="3" type="noConversion"/>
  </si>
  <si>
    <t>부재료</t>
  </si>
  <si>
    <t>부재료</t>
    <phoneticPr fontId="3" type="noConversion"/>
  </si>
  <si>
    <t>부재료재고자산평가충당금</t>
  </si>
  <si>
    <t>부재료재고자산평가충당금</t>
    <phoneticPr fontId="3" type="noConversion"/>
  </si>
  <si>
    <t>주식할인발행차금</t>
    <phoneticPr fontId="3" type="noConversion"/>
  </si>
  <si>
    <t>35100</t>
  </si>
  <si>
    <t>35100</t>
    <phoneticPr fontId="3" type="noConversion"/>
  </si>
  <si>
    <t>40500</t>
  </si>
  <si>
    <t>40500</t>
    <phoneticPr fontId="3" type="noConversion"/>
  </si>
  <si>
    <t>40600</t>
  </si>
  <si>
    <t>40600</t>
    <phoneticPr fontId="3" type="noConversion"/>
  </si>
  <si>
    <t>서비스매출</t>
  </si>
  <si>
    <t>서비스매출</t>
    <phoneticPr fontId="3" type="noConversion"/>
  </si>
  <si>
    <t>식음료매출</t>
  </si>
  <si>
    <t>식음료매출</t>
    <phoneticPr fontId="3" type="noConversion"/>
  </si>
  <si>
    <t>서비스매출원가</t>
  </si>
  <si>
    <t>식음료매출원가</t>
  </si>
  <si>
    <t>전력비</t>
    <phoneticPr fontId="3" type="noConversion"/>
  </si>
  <si>
    <t>ULTRA V (SG) PTE.LTD
(24년 설립)</t>
    <phoneticPr fontId="3" type="noConversion"/>
  </si>
  <si>
    <t>85200</t>
  </si>
  <si>
    <t>85200</t>
    <phoneticPr fontId="3" type="noConversion"/>
  </si>
  <si>
    <t>85300</t>
  </si>
  <si>
    <t>85300</t>
    <phoneticPr fontId="3" type="noConversion"/>
  </si>
  <si>
    <t>93600</t>
    <phoneticPr fontId="3" type="noConversion"/>
  </si>
  <si>
    <t>유형자산처분손실</t>
    <phoneticPr fontId="3" type="noConversion"/>
  </si>
  <si>
    <t>울트라팜</t>
    <phoneticPr fontId="3" type="noConversion"/>
  </si>
  <si>
    <t>SG</t>
    <phoneticPr fontId="3" type="noConversion"/>
  </si>
  <si>
    <t>㈜울트라브이팜</t>
    <phoneticPr fontId="3" type="noConversion"/>
  </si>
  <si>
    <t>대한민국</t>
    <phoneticPr fontId="3" type="noConversion"/>
  </si>
  <si>
    <t>홍콩</t>
    <phoneticPr fontId="3" type="noConversion"/>
  </si>
  <si>
    <t>HK</t>
    <phoneticPr fontId="3" type="noConversion"/>
  </si>
  <si>
    <t>DHK</t>
    <phoneticPr fontId="3" type="noConversion"/>
  </si>
  <si>
    <t>상해</t>
    <phoneticPr fontId="3" type="noConversion"/>
  </si>
  <si>
    <t>중국</t>
    <phoneticPr fontId="3" type="noConversion"/>
  </si>
  <si>
    <t>울트라브이</t>
  </si>
  <si>
    <t>ULTRAV 
HONGKONG 
 LIMITED</t>
    <phoneticPr fontId="3" type="noConversion"/>
  </si>
  <si>
    <t>울트라브이
 직접지분율</t>
    <phoneticPr fontId="3" type="noConversion"/>
  </si>
  <si>
    <t>울트라브이 
간접지분율</t>
    <phoneticPr fontId="3" type="noConversion"/>
  </si>
  <si>
    <t>지배지분(울트라브이)</t>
  </si>
  <si>
    <t>지배지분(울트라브이)</t>
    <phoneticPr fontId="3" type="noConversion"/>
  </si>
  <si>
    <t>3. 순자산변동내역</t>
    <phoneticPr fontId="3" type="noConversion"/>
  </si>
  <si>
    <t>1) 순자산변동</t>
    <phoneticPr fontId="3" type="noConversion"/>
  </si>
  <si>
    <t>설립(2016년 01월)</t>
    <phoneticPr fontId="3" type="noConversion"/>
  </si>
  <si>
    <t>HKD</t>
    <phoneticPr fontId="3" type="noConversion"/>
  </si>
  <si>
    <t>1) 외화기준(HKD)</t>
    <phoneticPr fontId="3" type="noConversion"/>
  </si>
  <si>
    <t>잉여금전입</t>
    <phoneticPr fontId="3" type="noConversion"/>
  </si>
  <si>
    <t>국내 자회사. 해당사항 없음</t>
    <phoneticPr fontId="3" type="noConversion"/>
  </si>
  <si>
    <t>&gt;&gt; 24년 중 합병으로 소멸됨</t>
    <phoneticPr fontId="3" type="noConversion"/>
  </si>
  <si>
    <t>울트라브이와의 내부거래가 존재하나 내부거래시 마진이 미미하기 때문에 미실현손익은 고려하지 아니함</t>
    <phoneticPr fontId="3" type="noConversion"/>
  </si>
  <si>
    <t>설립(2017년 6월말)</t>
    <phoneticPr fontId="3" type="noConversion"/>
  </si>
  <si>
    <t>설립(2017년 6월)</t>
    <phoneticPr fontId="3" type="noConversion"/>
  </si>
  <si>
    <t>지배지분(HK)</t>
    <phoneticPr fontId="3" type="noConversion"/>
  </si>
  <si>
    <t>설립(2023년 9월)</t>
  </si>
  <si>
    <t>설립(2023년 9월)</t>
    <phoneticPr fontId="3" type="noConversion"/>
  </si>
  <si>
    <t xml:space="preserve">DERMASTER HONG KONG LIMITED	</t>
  </si>
  <si>
    <t>상해</t>
  </si>
  <si>
    <t>ULTRA V SHANGHAI LIMITED</t>
  </si>
  <si>
    <t>RMB(CNH)</t>
  </si>
  <si>
    <t>평균환율</t>
  </si>
  <si>
    <t>기말환율</t>
  </si>
  <si>
    <t>설립(2019년 4월)</t>
    <phoneticPr fontId="3" type="noConversion"/>
  </si>
  <si>
    <t>울트라팜</t>
  </si>
  <si>
    <t>HK</t>
  </si>
  <si>
    <t>신규설립</t>
    <phoneticPr fontId="3" type="noConversion"/>
  </si>
  <si>
    <t>잉여금 전입 취소</t>
    <phoneticPr fontId="3" type="noConversion"/>
  </si>
  <si>
    <t>회사명</t>
    <phoneticPr fontId="3" type="noConversion"/>
  </si>
  <si>
    <t>2018년 종속기업투자주식 손상차손 제거</t>
    <phoneticPr fontId="3" type="noConversion"/>
  </si>
  <si>
    <t>2019년 종속기업투자주식 손상차손 제거</t>
    <phoneticPr fontId="3" type="noConversion"/>
  </si>
  <si>
    <t>2020년 종속기업투자주식 손상차손 제거</t>
    <phoneticPr fontId="3" type="noConversion"/>
  </si>
  <si>
    <t>2021년 종속기업투자주식 손상차손 제거</t>
    <phoneticPr fontId="3" type="noConversion"/>
  </si>
  <si>
    <t>2022년 종속기업투자주식 손상차손 제거</t>
    <phoneticPr fontId="3" type="noConversion"/>
  </si>
  <si>
    <t>2023년 종속기업투자주식 손상차손 제거</t>
    <phoneticPr fontId="3" type="noConversion"/>
  </si>
  <si>
    <t>차변코드</t>
    <phoneticPr fontId="3" type="noConversion"/>
  </si>
  <si>
    <t>차변계정명</t>
    <phoneticPr fontId="3" type="noConversion"/>
  </si>
  <si>
    <t>차변금액</t>
    <phoneticPr fontId="3" type="noConversion"/>
  </si>
  <si>
    <t>대변코드</t>
    <phoneticPr fontId="3" type="noConversion"/>
  </si>
  <si>
    <t>대변계정명</t>
    <phoneticPr fontId="3" type="noConversion"/>
  </si>
  <si>
    <t>대변금액</t>
    <phoneticPr fontId="3" type="noConversion"/>
  </si>
  <si>
    <t>2022년에 과거(2018년)에 인식한 종속기업투자주식 손상차손 환입 제거</t>
    <phoneticPr fontId="3" type="noConversion"/>
  </si>
  <si>
    <t>주석</t>
    <phoneticPr fontId="4" type="noConversion"/>
  </si>
  <si>
    <t>영업권</t>
    <phoneticPr fontId="4" type="noConversion"/>
  </si>
  <si>
    <t>이연법인세자산</t>
    <phoneticPr fontId="4" type="noConversion"/>
  </si>
  <si>
    <t>자본과부채총계</t>
  </si>
  <si>
    <t>차대검증</t>
    <phoneticPr fontId="4" type="noConversion"/>
  </si>
  <si>
    <t>정산표대조</t>
    <phoneticPr fontId="4" type="noConversion"/>
  </si>
  <si>
    <t>서비스매출</t>
    <phoneticPr fontId="4" type="noConversion"/>
  </si>
  <si>
    <t>수입임대료</t>
    <phoneticPr fontId="4" type="noConversion"/>
  </si>
  <si>
    <t>기타의대손상각비환입</t>
    <phoneticPr fontId="4" type="noConversion"/>
  </si>
  <si>
    <t>유형자산처분이익</t>
    <phoneticPr fontId="4" type="noConversion"/>
  </si>
  <si>
    <t>종속기업투자주식손상차손환입</t>
  </si>
  <si>
    <t>잡이익</t>
    <phoneticPr fontId="4" type="noConversion"/>
  </si>
  <si>
    <t>파생금융자산평가이익</t>
    <phoneticPr fontId="4" type="noConversion"/>
  </si>
  <si>
    <t>사채상환손실</t>
    <phoneticPr fontId="4" type="noConversion"/>
  </si>
  <si>
    <t>관계기업투자이익(손실)</t>
    <phoneticPr fontId="4" type="noConversion"/>
  </si>
  <si>
    <t>관계기업투자이익</t>
    <phoneticPr fontId="4" type="noConversion"/>
  </si>
  <si>
    <t>관계기업투자손실</t>
    <phoneticPr fontId="4" type="noConversion"/>
  </si>
  <si>
    <t>1.지배기업소유주지분</t>
  </si>
  <si>
    <t>2.비지배주주지분</t>
  </si>
  <si>
    <t>당기손익으로 재분류되지 않는 포괄손익</t>
    <phoneticPr fontId="4" type="noConversion"/>
  </si>
  <si>
    <t>후속적으로 당기손익으로 재분류되는 항목</t>
    <phoneticPr fontId="4" type="noConversion"/>
  </si>
  <si>
    <t>해외사업환산손익</t>
    <phoneticPr fontId="4" type="noConversion"/>
  </si>
  <si>
    <t>주당이익</t>
    <phoneticPr fontId="4" type="noConversion"/>
  </si>
  <si>
    <t>기본주당순이익</t>
    <phoneticPr fontId="4" type="noConversion"/>
  </si>
  <si>
    <t>희석주당순이익</t>
    <phoneticPr fontId="4" type="noConversion"/>
  </si>
  <si>
    <t>과       목</t>
  </si>
  <si>
    <t>11기 4분기</t>
    <phoneticPr fontId="4" type="noConversion"/>
  </si>
  <si>
    <r>
      <t>제 12</t>
    </r>
    <r>
      <rPr>
        <b/>
        <sz val="10"/>
        <color indexed="8"/>
        <rFont val="맑은 고딕"/>
        <family val="3"/>
        <charset val="129"/>
      </rPr>
      <t xml:space="preserve"> 기 </t>
    </r>
    <r>
      <rPr>
        <b/>
        <sz val="10"/>
        <color indexed="8"/>
        <rFont val="맑은 고딕"/>
        <family val="3"/>
        <charset val="129"/>
      </rPr>
      <t>4</t>
    </r>
    <r>
      <rPr>
        <b/>
        <sz val="10"/>
        <color indexed="8"/>
        <rFont val="맑은 고딕"/>
        <family val="3"/>
        <charset val="129"/>
      </rPr>
      <t>분기</t>
    </r>
    <phoneticPr fontId="4" type="noConversion"/>
  </si>
  <si>
    <t>3개월</t>
    <phoneticPr fontId="4" type="noConversion"/>
  </si>
  <si>
    <t>누적</t>
    <phoneticPr fontId="4" type="noConversion"/>
  </si>
  <si>
    <t>판매비와관리비 </t>
  </si>
  <si>
    <t>영업이익(손실) </t>
  </si>
  <si>
    <t>기타수익 </t>
  </si>
  <si>
    <t>기타비용 </t>
  </si>
  <si>
    <t>금융수익 </t>
  </si>
  <si>
    <t>금융비용 </t>
  </si>
  <si>
    <t>법인세비용차감전순이익(손실)</t>
  </si>
  <si>
    <t>법인세비용(수익) </t>
  </si>
  <si>
    <t>당기손익으로 재분류되지 않는 항목</t>
  </si>
  <si>
    <t>주당이익(손실)</t>
  </si>
  <si>
    <t>　기본주당이익(손실)</t>
  </si>
  <si>
    <t>　희석주당손익(손실)</t>
  </si>
  <si>
    <t>자본변동표</t>
    <phoneticPr fontId="4" type="noConversion"/>
  </si>
  <si>
    <t>과목</t>
    <phoneticPr fontId="4" type="noConversion"/>
  </si>
  <si>
    <t>이익잉여금(결손금)</t>
    <phoneticPr fontId="4" type="noConversion"/>
  </si>
  <si>
    <t>총계</t>
  </si>
  <si>
    <t>총포괄손익:</t>
  </si>
  <si>
    <t xml:space="preserve">    유상증자</t>
    <phoneticPr fontId="4" type="noConversion"/>
  </si>
  <si>
    <t xml:space="preserve">    주식보상비용</t>
    <phoneticPr fontId="4" type="noConversion"/>
  </si>
  <si>
    <t>총포괄손익:</t>
    <phoneticPr fontId="4" type="noConversion"/>
  </si>
  <si>
    <t>순확정급여부채의 재측정요소</t>
    <phoneticPr fontId="4" type="noConversion"/>
  </si>
  <si>
    <t>자본에 직접 반영된 소유주와의 거래:</t>
    <phoneticPr fontId="4" type="noConversion"/>
  </si>
  <si>
    <t xml:space="preserve">    주식매수선택권의 행사</t>
    <phoneticPr fontId="4" type="noConversion"/>
  </si>
  <si>
    <t>미수수익대손충당금</t>
  </si>
  <si>
    <t>선급금대손충당금</t>
  </si>
  <si>
    <t xml:space="preserve"> 주 . 임.종단기채권</t>
  </si>
  <si>
    <t>상품평가충당금</t>
  </si>
  <si>
    <t>제품평가충당금</t>
  </si>
  <si>
    <t>원재료평가충당금</t>
  </si>
  <si>
    <t>부재료평가충당금</t>
    <phoneticPr fontId="3" type="noConversion"/>
  </si>
  <si>
    <t>당기손익-공정가치금융자산</t>
  </si>
  <si>
    <t>차량감가상각누계액</t>
  </si>
  <si>
    <t>사용권자산상각누계액</t>
  </si>
  <si>
    <t>순확정급여부채</t>
  </si>
  <si>
    <t>인테리어감가상각누계액</t>
  </si>
  <si>
    <t>인테리어감가상각누계액</t>
    <phoneticPr fontId="3" type="noConversion"/>
  </si>
  <si>
    <t>집기비품감가상각누계액</t>
  </si>
  <si>
    <t>집기비품감가상각누계액</t>
    <phoneticPr fontId="3" type="noConversion"/>
  </si>
  <si>
    <t>공구와기구감가상각누계액</t>
  </si>
  <si>
    <t>공구와기구감가상각누계액</t>
    <phoneticPr fontId="3" type="noConversion"/>
  </si>
  <si>
    <t>기계감가상각누계액</t>
  </si>
  <si>
    <t>기계감가상각누계액</t>
    <phoneticPr fontId="3" type="noConversion"/>
  </si>
  <si>
    <t>23400</t>
    <phoneticPr fontId="3" type="noConversion"/>
  </si>
  <si>
    <t>투자부동산_토지</t>
    <phoneticPr fontId="3" type="noConversion"/>
  </si>
  <si>
    <t>투자부동산_건물</t>
    <phoneticPr fontId="3" type="noConversion"/>
  </si>
  <si>
    <t>투자부동산_건물상각누계액</t>
    <phoneticPr fontId="3" type="noConversion"/>
  </si>
  <si>
    <t>19100</t>
    <phoneticPr fontId="3" type="noConversion"/>
  </si>
  <si>
    <t>부가세예수금</t>
    <phoneticPr fontId="3" type="noConversion"/>
  </si>
  <si>
    <t>당기법인세부채</t>
    <phoneticPr fontId="3" type="noConversion"/>
  </si>
  <si>
    <t>비지배지분</t>
  </si>
  <si>
    <t>제품매출</t>
    <phoneticPr fontId="3" type="noConversion"/>
  </si>
  <si>
    <t>지분법, 법인세, 기타조정</t>
    <phoneticPr fontId="11" type="noConversion"/>
  </si>
  <si>
    <t>보관료</t>
    <phoneticPr fontId="3" type="noConversion"/>
  </si>
  <si>
    <t>선급금</t>
    <phoneticPr fontId="3" type="noConversion"/>
  </si>
  <si>
    <t>DHK</t>
  </si>
  <si>
    <t>2) 차량운반구 상각거래</t>
    <phoneticPr fontId="3" type="noConversion"/>
  </si>
  <si>
    <t>차량운반구 미실현손익 발생액</t>
    <phoneticPr fontId="3" type="noConversion"/>
  </si>
  <si>
    <t>2022년 상각 실현분</t>
    <phoneticPr fontId="3" type="noConversion"/>
  </si>
  <si>
    <t>2023년 상각 실현분</t>
    <phoneticPr fontId="3" type="noConversion"/>
  </si>
  <si>
    <t>FY2024</t>
  </si>
  <si>
    <t>FY2025</t>
  </si>
  <si>
    <t>FY2025</t>
    <phoneticPr fontId="3" type="noConversion"/>
  </si>
  <si>
    <t>FY2026</t>
  </si>
  <si>
    <t>FY2026</t>
    <phoneticPr fontId="3" type="noConversion"/>
  </si>
  <si>
    <t>FY2027</t>
  </si>
  <si>
    <t>FY2027</t>
    <phoneticPr fontId="3" type="noConversion"/>
  </si>
  <si>
    <t>주2) 기말 HK재고 직접파악 가능</t>
  </si>
  <si>
    <t>주2) 기말 HK재고 직접파악 가능</t>
    <phoneticPr fontId="3" type="noConversion"/>
  </si>
  <si>
    <t>주3) 다음분기에 바로 실현가정</t>
  </si>
  <si>
    <t>주3) 다음분기에 바로 실현가정</t>
    <phoneticPr fontId="3" type="noConversion"/>
  </si>
  <si>
    <t>주1) 제품 상품 매출액</t>
  </si>
  <si>
    <t>주1) 제품 상품 매출액</t>
    <phoneticPr fontId="3" type="noConversion"/>
  </si>
  <si>
    <t>FY2028</t>
    <phoneticPr fontId="3" type="noConversion"/>
  </si>
  <si>
    <t>#1. 상품재고 (주2)</t>
    <phoneticPr fontId="3" type="noConversion"/>
  </si>
  <si>
    <t>전기 미실현손익 실현(주3)</t>
    <phoneticPr fontId="3" type="noConversion"/>
  </si>
  <si>
    <t>미실현손익차감액(주3)</t>
    <phoneticPr fontId="3" type="noConversion"/>
  </si>
  <si>
    <t>재고자산 미실현손익 당기 발생분</t>
    <phoneticPr fontId="3" type="noConversion"/>
  </si>
  <si>
    <t>취득원가 (33,333주/6,000원)</t>
    <phoneticPr fontId="4" type="noConversion"/>
  </si>
  <si>
    <t>취득일자</t>
    <phoneticPr fontId="4" type="noConversion"/>
  </si>
  <si>
    <t>총발행주식수</t>
    <phoneticPr fontId="4" type="noConversion"/>
  </si>
  <si>
    <t>간주취득일</t>
    <phoneticPr fontId="4" type="noConversion"/>
  </si>
  <si>
    <t>기말</t>
    <phoneticPr fontId="4" type="noConversion"/>
  </si>
  <si>
    <t>기초</t>
    <phoneticPr fontId="4" type="noConversion"/>
  </si>
  <si>
    <t>증가</t>
    <phoneticPr fontId="4" type="noConversion"/>
  </si>
  <si>
    <t>2022년</t>
    <phoneticPr fontId="4" type="noConversion"/>
  </si>
  <si>
    <t>기말순자산 공정가치</t>
    <phoneticPr fontId="4" type="noConversion"/>
  </si>
  <si>
    <t>/ 피투자회사 2212재무제표 확인</t>
    <phoneticPr fontId="4" type="noConversion"/>
  </si>
  <si>
    <t>주발초</t>
    <phoneticPr fontId="4" type="noConversion"/>
  </si>
  <si>
    <t>기말관계기업투자주식 (tobe)</t>
    <phoneticPr fontId="4" type="noConversion"/>
  </si>
  <si>
    <t>취득일 순자산 공정가치</t>
    <phoneticPr fontId="4" type="noConversion"/>
  </si>
  <si>
    <t>/ 피투자회사 2112재무제표 확인</t>
    <phoneticPr fontId="4" type="noConversion"/>
  </si>
  <si>
    <t>액면가</t>
    <phoneticPr fontId="4" type="noConversion"/>
  </si>
  <si>
    <t>회사의 증자금액 반영</t>
    <phoneticPr fontId="4" type="noConversion"/>
  </si>
  <si>
    <t>증자주식수</t>
    <phoneticPr fontId="4" type="noConversion"/>
  </si>
  <si>
    <t>순자산공정가치*지분율</t>
    <phoneticPr fontId="4" type="noConversion"/>
  </si>
  <si>
    <t>자본금증가</t>
    <phoneticPr fontId="4" type="noConversion"/>
  </si>
  <si>
    <t>투자차액</t>
    <phoneticPr fontId="4" type="noConversion"/>
  </si>
  <si>
    <t>&lt;연결지분법분개&gt;</t>
    <phoneticPr fontId="4" type="noConversion"/>
  </si>
  <si>
    <t>관계기업투자주식</t>
    <phoneticPr fontId="4" type="noConversion"/>
  </si>
  <si>
    <t>지분법이익</t>
  </si>
  <si>
    <t>&lt;염가매수차익</t>
    <phoneticPr fontId="4" type="noConversion"/>
  </si>
  <si>
    <t>관계기업투자주식</t>
  </si>
  <si>
    <t>&lt; 당기지분법손익</t>
    <phoneticPr fontId="4" type="noConversion"/>
  </si>
  <si>
    <t>연결 지분법투자주식장부금액</t>
    <phoneticPr fontId="4" type="noConversion"/>
  </si>
  <si>
    <t>2023년</t>
    <phoneticPr fontId="4" type="noConversion"/>
  </si>
  <si>
    <t>/ 피투자회사 2312재무제표 확인</t>
    <phoneticPr fontId="4" type="noConversion"/>
  </si>
  <si>
    <t>당기재무제표상 전기말 순자산</t>
    <phoneticPr fontId="4" type="noConversion"/>
  </si>
  <si>
    <t>기초차이</t>
    <phoneticPr fontId="4" type="noConversion"/>
  </si>
  <si>
    <t>엠에이치메디 재고현황</t>
    <phoneticPr fontId="4" type="noConversion"/>
  </si>
  <si>
    <t>품번</t>
    <phoneticPr fontId="4" type="noConversion"/>
  </si>
  <si>
    <t>품목</t>
    <phoneticPr fontId="4" type="noConversion"/>
  </si>
  <si>
    <t>창고</t>
    <phoneticPr fontId="4" type="noConversion"/>
  </si>
  <si>
    <t>입고단가 (부가별도)</t>
    <phoneticPr fontId="4" type="noConversion"/>
  </si>
  <si>
    <t>2022년 12월말 재고</t>
    <phoneticPr fontId="4" type="noConversion"/>
  </si>
  <si>
    <t>A21001</t>
  </si>
  <si>
    <t>Mono-M 29G 25/30mm</t>
  </si>
  <si>
    <t>본사창고</t>
    <phoneticPr fontId="4" type="noConversion"/>
  </si>
  <si>
    <t>A21002</t>
  </si>
  <si>
    <t>Mono-M 29G 38/50mm</t>
  </si>
  <si>
    <t>A21003</t>
  </si>
  <si>
    <t>Mono-M 25G 60/80mm HIKO</t>
  </si>
  <si>
    <t>A21006</t>
  </si>
  <si>
    <t>Mono-M 29G 30/40mm(6-0)</t>
  </si>
  <si>
    <t>A21007</t>
  </si>
  <si>
    <t>Mono-M 29G 40/60mm(6-0)</t>
  </si>
  <si>
    <t>A21008</t>
  </si>
  <si>
    <t>Mono-M 25G 90/150mm S Line</t>
  </si>
  <si>
    <t>A23001</t>
  </si>
  <si>
    <t>Tornado-M 29G 38/50mm</t>
  </si>
  <si>
    <t>&lt; 당기지분법손익(전기말차이)</t>
    <phoneticPr fontId="4" type="noConversion"/>
  </si>
  <si>
    <t>A23002</t>
  </si>
  <si>
    <t>Tornado-M 26G 60/90mm</t>
  </si>
  <si>
    <t>A24001</t>
  </si>
  <si>
    <t>Cog-M 23G 60/90mm</t>
  </si>
  <si>
    <t>A24003</t>
  </si>
  <si>
    <t>Cog-M 23G 90/150mm</t>
  </si>
  <si>
    <t>A25001</t>
  </si>
  <si>
    <t>Pcog-M 21G 60/110mm</t>
  </si>
  <si>
    <t>A25002</t>
  </si>
  <si>
    <t>Pcog-M 21G 90/150mm</t>
  </si>
  <si>
    <t>A25004</t>
  </si>
  <si>
    <t>Pcog-M 23G 90/150mm</t>
  </si>
  <si>
    <t>&lt;미실현손익 고려&gt;</t>
    <phoneticPr fontId="4" type="noConversion"/>
  </si>
  <si>
    <t>A26011</t>
  </si>
  <si>
    <t>Ez Cannula M-MOLD-L 18G 100/180mm (2pt)</t>
  </si>
  <si>
    <t>울트라브이의 원재료 매입액</t>
    <phoneticPr fontId="4" type="noConversion"/>
  </si>
  <si>
    <t>A26015</t>
  </si>
  <si>
    <t>Ez Cannula M-MOLD-L 19G 100/180mm (0-0)</t>
  </si>
  <si>
    <t>기말 재고자산 잔액</t>
    <phoneticPr fontId="4" type="noConversion"/>
  </si>
  <si>
    <t>A26021</t>
  </si>
  <si>
    <t>Ez Cannula M-MOLD-W 18G 100/180mm (2pt)</t>
  </si>
  <si>
    <t>미실현비율</t>
    <phoneticPr fontId="4" type="noConversion"/>
  </si>
  <si>
    <t>A26025</t>
  </si>
  <si>
    <t>Ez Cannula M-MOLD-W 19G 100/180mm (0-0)</t>
  </si>
  <si>
    <t>엠에이치메디 매출총이익률</t>
    <phoneticPr fontId="4" type="noConversion"/>
  </si>
  <si>
    <t>A26031</t>
  </si>
  <si>
    <t>Ez Cannula(Double Cog)-M-L 20G60/250(2-0</t>
  </si>
  <si>
    <t>A28601</t>
  </si>
  <si>
    <t>Ez Cannula(Double Mold)-M-PCL-W 18G 100</t>
  </si>
  <si>
    <t>미실현손익</t>
    <phoneticPr fontId="4" type="noConversion"/>
  </si>
  <si>
    <t>/금액적으로 유의적이지 않아 minor pass</t>
    <phoneticPr fontId="4" type="noConversion"/>
  </si>
  <si>
    <t>A28605</t>
  </si>
  <si>
    <t>Ez Cannula(Double Mold)-M-PCL-A 18G 100</t>
  </si>
  <si>
    <t>2022 해외전시회</t>
  </si>
  <si>
    <t>2023 해외전시회</t>
  </si>
  <si>
    <t>수량합계</t>
    <phoneticPr fontId="4" type="noConversion"/>
  </si>
  <si>
    <t>2022년 이전 리스 컨버전 누적분개. 2024년부터 HK별도 재무제표에 직접 반영예정</t>
    <phoneticPr fontId="3" type="noConversion"/>
  </si>
  <si>
    <t>2023년 리스 관련 컨버전 분개. 2024년부터 HK별도 재무제표에 직접 반영예정</t>
    <phoneticPr fontId="3" type="noConversion"/>
  </si>
  <si>
    <t>사무실종료 11층</t>
  </si>
  <si>
    <t>사무실연장 11층</t>
  </si>
  <si>
    <t>사무실연장 5층</t>
  </si>
  <si>
    <t>2023년 리스 관련 컨버전 분개. 2024년부터 DHK별도 재무제표에 직접 반영예정</t>
    <phoneticPr fontId="3" type="noConversion"/>
  </si>
  <si>
    <t>유형자산처분이익</t>
    <phoneticPr fontId="3" type="noConversion"/>
  </si>
  <si>
    <t>엠에이치메디</t>
  </si>
  <si>
    <t>당기지분법손익</t>
    <phoneticPr fontId="3" type="noConversion"/>
  </si>
  <si>
    <t>염가매수차익</t>
    <phoneticPr fontId="3" type="noConversion"/>
  </si>
  <si>
    <t>2022년지분법손익</t>
    <phoneticPr fontId="3" type="noConversion"/>
  </si>
  <si>
    <t>지분법손익</t>
    <phoneticPr fontId="3" type="noConversion"/>
  </si>
  <si>
    <t>당기지분법손익(전기말차이)</t>
    <phoneticPr fontId="3" type="noConversion"/>
  </si>
  <si>
    <t>97000</t>
  </si>
  <si>
    <t>97000</t>
    <phoneticPr fontId="3" type="noConversion"/>
  </si>
  <si>
    <t>개발비</t>
    <phoneticPr fontId="3" type="noConversion"/>
  </si>
  <si>
    <t>외화환산손실(기타)</t>
  </si>
  <si>
    <t>유 형 자산처분손실</t>
  </si>
  <si>
    <t>종속기업투자손상차손</t>
  </si>
  <si>
    <t>관계기업투자이익</t>
  </si>
  <si>
    <t>관계기업투자손실</t>
  </si>
  <si>
    <t>해외사업환산손익</t>
  </si>
  <si>
    <t>외환차익(기타)</t>
    <phoneticPr fontId="3" type="noConversion"/>
  </si>
  <si>
    <t>외화환산이익(기타)</t>
    <phoneticPr fontId="3" type="noConversion"/>
  </si>
  <si>
    <t>이자수익</t>
    <phoneticPr fontId="3" type="noConversion"/>
  </si>
  <si>
    <t>이자비용</t>
    <phoneticPr fontId="3" type="noConversion"/>
  </si>
  <si>
    <t>97100</t>
    <phoneticPr fontId="3" type="noConversion"/>
  </si>
  <si>
    <t>주식발행비용을 울트라팜에서는 주할차, 울트라브이에서는 비용처리함</t>
  </si>
  <si>
    <t>주식발행비용을 울트라팜에서는 주할차, 울트라브이에서는 비용처리함</t>
    <phoneticPr fontId="3" type="noConversion"/>
  </si>
  <si>
    <t>제품재고 판매원가(울트라브이)</t>
    <phoneticPr fontId="3" type="noConversion"/>
  </si>
  <si>
    <t xml:space="preserve">    상품재고 매입금액(HK)(울트라브이 매출액)</t>
    <phoneticPr fontId="3" type="noConversion"/>
  </si>
  <si>
    <t xml:space="preserve">    제품재고 판매원가(울트라브이 매출원가)</t>
    <phoneticPr fontId="3" type="noConversion"/>
  </si>
  <si>
    <t>울트라브이 별도 인식 HK채권 대손상각비 취소</t>
    <phoneticPr fontId="3" type="noConversion"/>
  </si>
  <si>
    <t>-울트라팜</t>
    <phoneticPr fontId="13" type="noConversion"/>
  </si>
  <si>
    <t>- HK</t>
    <phoneticPr fontId="13" type="noConversion"/>
  </si>
  <si>
    <t>- DHK</t>
    <phoneticPr fontId="13" type="noConversion"/>
  </si>
  <si>
    <t>- 상해</t>
    <phoneticPr fontId="13" type="noConversion"/>
  </si>
  <si>
    <t>- SG</t>
    <phoneticPr fontId="13" type="noConversion"/>
  </si>
  <si>
    <t>타계정대체(상품)</t>
    <phoneticPr fontId="3" type="noConversion"/>
  </si>
  <si>
    <t>타계정대체(서비스)</t>
    <phoneticPr fontId="3" type="noConversion"/>
  </si>
  <si>
    <t>당기상품제조원가(서비스)</t>
    <phoneticPr fontId="3" type="noConversion"/>
  </si>
  <si>
    <t>기초상품재고액(서비스)</t>
    <phoneticPr fontId="3" type="noConversion"/>
  </si>
  <si>
    <t>기말상품재고액(서비스)</t>
    <phoneticPr fontId="3" type="noConversion"/>
  </si>
  <si>
    <t>기초상품재고액(식음료)</t>
    <phoneticPr fontId="3" type="noConversion"/>
  </si>
  <si>
    <t>당기상품제조원가(식음료)</t>
    <phoneticPr fontId="3" type="noConversion"/>
  </si>
  <si>
    <t>타계정대체(식음료)</t>
    <phoneticPr fontId="3" type="noConversion"/>
  </si>
  <si>
    <t>기말상품재고액(식음료)</t>
    <phoneticPr fontId="3" type="noConversion"/>
  </si>
  <si>
    <t>기초상품재고액(상품)</t>
    <phoneticPr fontId="3" type="noConversion"/>
  </si>
  <si>
    <t>당기상품제조원가(상품)</t>
    <phoneticPr fontId="3" type="noConversion"/>
  </si>
  <si>
    <t>기말상품재고액(상품)</t>
    <phoneticPr fontId="3" type="noConversion"/>
  </si>
  <si>
    <t xml:space="preserve">   기초제품재고액</t>
  </si>
  <si>
    <t xml:space="preserve">   기초제품재고액</t>
    <phoneticPr fontId="3" type="noConversion"/>
  </si>
  <si>
    <t xml:space="preserve">   당기제품제조원가</t>
  </si>
  <si>
    <t xml:space="preserve">   당기제품제조원가</t>
    <phoneticPr fontId="3" type="noConversion"/>
  </si>
  <si>
    <t xml:space="preserve">   계(제품)</t>
  </si>
  <si>
    <t xml:space="preserve">   계(제품)</t>
    <phoneticPr fontId="3" type="noConversion"/>
  </si>
  <si>
    <t xml:space="preserve">   타계정대체(제품)</t>
  </si>
  <si>
    <t xml:space="preserve">   타계정대체(제품)</t>
    <phoneticPr fontId="3" type="noConversion"/>
  </si>
  <si>
    <t xml:space="preserve">   기말제품재고액</t>
  </si>
  <si>
    <t xml:space="preserve">   기말제품재고액</t>
    <phoneticPr fontId="3" type="noConversion"/>
  </si>
  <si>
    <t>상품매출원가</t>
    <phoneticPr fontId="3" type="noConversion"/>
  </si>
  <si>
    <t xml:space="preserve">   기초상품재고액(상품)</t>
  </si>
  <si>
    <t xml:space="preserve">   기초상품재고액(상품)</t>
    <phoneticPr fontId="3" type="noConversion"/>
  </si>
  <si>
    <t xml:space="preserve">   당기상품제조원가(상품)</t>
  </si>
  <si>
    <t xml:space="preserve">   당기상품제조원가(상품)</t>
    <phoneticPr fontId="3" type="noConversion"/>
  </si>
  <si>
    <t xml:space="preserve">   계(상품)</t>
  </si>
  <si>
    <t xml:space="preserve">   계(상품)</t>
    <phoneticPr fontId="3" type="noConversion"/>
  </si>
  <si>
    <t xml:space="preserve">   타계정대체(상품)</t>
  </si>
  <si>
    <t xml:space="preserve">   타계정대체(상품)</t>
    <phoneticPr fontId="3" type="noConversion"/>
  </si>
  <si>
    <t xml:space="preserve">   기말상품재고액(상품)</t>
  </si>
  <si>
    <t xml:space="preserve">   기말상품재고액(상품)</t>
    <phoneticPr fontId="3" type="noConversion"/>
  </si>
  <si>
    <t>서비스매출원가</t>
    <phoneticPr fontId="3" type="noConversion"/>
  </si>
  <si>
    <t xml:space="preserve">   기초상품재고액(서비스)</t>
  </si>
  <si>
    <t xml:space="preserve">   기초상품재고액(서비스)</t>
    <phoneticPr fontId="3" type="noConversion"/>
  </si>
  <si>
    <t xml:space="preserve">   당기상품제조원가(서비스)</t>
  </si>
  <si>
    <t xml:space="preserve">   당기상품제조원가(서비스)</t>
    <phoneticPr fontId="3" type="noConversion"/>
  </si>
  <si>
    <t xml:space="preserve">   계(서비스)</t>
  </si>
  <si>
    <t xml:space="preserve">   계(서비스)</t>
    <phoneticPr fontId="3" type="noConversion"/>
  </si>
  <si>
    <t xml:space="preserve">   타계정대체(서비스)</t>
  </si>
  <si>
    <t xml:space="preserve">   타계정대체(서비스)</t>
    <phoneticPr fontId="3" type="noConversion"/>
  </si>
  <si>
    <t xml:space="preserve">   기말상품재고액(서비스)</t>
  </si>
  <si>
    <t xml:space="preserve">   기말상품재고액(서비스)</t>
    <phoneticPr fontId="3" type="noConversion"/>
  </si>
  <si>
    <t>식음료매출원가</t>
    <phoneticPr fontId="3" type="noConversion"/>
  </si>
  <si>
    <t xml:space="preserve">   기초상품재고액(식음료)</t>
  </si>
  <si>
    <t xml:space="preserve">   기초상품재고액(식음료)</t>
    <phoneticPr fontId="3" type="noConversion"/>
  </si>
  <si>
    <t xml:space="preserve">   당기상품제조원가(식음료)</t>
  </si>
  <si>
    <t xml:space="preserve">   당기상품제조원가(식음료)</t>
    <phoneticPr fontId="3" type="noConversion"/>
  </si>
  <si>
    <t xml:space="preserve">   계(식음료)</t>
  </si>
  <si>
    <t xml:space="preserve">   계(식음료)</t>
    <phoneticPr fontId="3" type="noConversion"/>
  </si>
  <si>
    <t xml:space="preserve">   타계정대체(식음료)</t>
  </si>
  <si>
    <t xml:space="preserve">   타계정대체(식음료)</t>
    <phoneticPr fontId="3" type="noConversion"/>
  </si>
  <si>
    <t xml:space="preserve">   기말상품재고액(식음료)</t>
  </si>
  <si>
    <t xml:space="preserve">   기말상품재고액(식음료)</t>
    <phoneticPr fontId="3" type="noConversion"/>
  </si>
  <si>
    <t>45100</t>
    <phoneticPr fontId="3" type="noConversion"/>
  </si>
  <si>
    <t>45200</t>
  </si>
  <si>
    <t>45200</t>
    <phoneticPr fontId="3" type="noConversion"/>
  </si>
  <si>
    <t>45300</t>
  </si>
  <si>
    <t>45300</t>
    <phoneticPr fontId="3" type="noConversion"/>
  </si>
  <si>
    <t>45400</t>
  </si>
  <si>
    <t>45400</t>
    <phoneticPr fontId="3" type="noConversion"/>
  </si>
  <si>
    <t>46100</t>
  </si>
  <si>
    <t>46100</t>
    <phoneticPr fontId="3" type="noConversion"/>
  </si>
  <si>
    <t>46200</t>
  </si>
  <si>
    <t>46200</t>
    <phoneticPr fontId="3" type="noConversion"/>
  </si>
  <si>
    <t>46300</t>
    <phoneticPr fontId="3" type="noConversion"/>
  </si>
  <si>
    <t>46400</t>
  </si>
  <si>
    <t>46400</t>
    <phoneticPr fontId="3" type="noConversion"/>
  </si>
  <si>
    <t>47100</t>
    <phoneticPr fontId="3" type="noConversion"/>
  </si>
  <si>
    <t>47200</t>
  </si>
  <si>
    <t>47200</t>
    <phoneticPr fontId="3" type="noConversion"/>
  </si>
  <si>
    <t>47300</t>
    <phoneticPr fontId="3" type="noConversion"/>
  </si>
  <si>
    <t>47400</t>
    <phoneticPr fontId="3" type="noConversion"/>
  </si>
  <si>
    <t>48100</t>
  </si>
  <si>
    <t>48100</t>
    <phoneticPr fontId="3" type="noConversion"/>
  </si>
  <si>
    <t>48200</t>
  </si>
  <si>
    <t>48200</t>
    <phoneticPr fontId="3" type="noConversion"/>
  </si>
  <si>
    <t>48300</t>
    <phoneticPr fontId="3" type="noConversion"/>
  </si>
  <si>
    <t>48400</t>
  </si>
  <si>
    <t>48400</t>
    <phoneticPr fontId="3" type="noConversion"/>
  </si>
  <si>
    <t>타계정으로대체(제품)</t>
    <phoneticPr fontId="3" type="noConversion"/>
  </si>
  <si>
    <t>타계정에서대체(제품)</t>
    <phoneticPr fontId="3" type="noConversion"/>
  </si>
  <si>
    <t>45500</t>
    <phoneticPr fontId="3" type="noConversion"/>
  </si>
  <si>
    <t>(3)서비스매출원가</t>
  </si>
  <si>
    <t>(4)식음료매출원가</t>
  </si>
  <si>
    <t xml:space="preserve">&gt;&gt; 재고이동과 관련하여 22년까지 누적 분개. </t>
    <phoneticPr fontId="3" type="noConversion"/>
  </si>
  <si>
    <t>결산월</t>
  </si>
  <si>
    <t>업종</t>
  </si>
  <si>
    <t>한국</t>
  </si>
  <si>
    <t>12월</t>
  </si>
  <si>
    <t>ULTRA V HONG KONG LIMITED  </t>
  </si>
  <si>
    <t>홍콩</t>
  </si>
  <si>
    <t>도소매</t>
  </si>
  <si>
    <t>DERMASTER HONG KONG LIMITED</t>
  </si>
  <si>
    <t>서비스</t>
  </si>
  <si>
    <t>중국</t>
  </si>
  <si>
    <t>1.1 종속기업 및 관계회사 현황</t>
    <phoneticPr fontId="3" type="noConversion"/>
  </si>
  <si>
    <t>1.2 종속기업의 요약 재무정보</t>
    <phoneticPr fontId="3" type="noConversion"/>
  </si>
  <si>
    <t>종속기업명</t>
  </si>
  <si>
    <t xml:space="preserve">&gt;&gt; 재고이동과 관련하여 22년까지 누적 분개. </t>
  </si>
  <si>
    <t xml:space="preserve">  보험수리적손익</t>
    <phoneticPr fontId="3" type="noConversion"/>
  </si>
  <si>
    <t xml:space="preserve">  해외사업장환산손익</t>
    <phoneticPr fontId="3" type="noConversion"/>
  </si>
  <si>
    <t xml:space="preserve">  지분법 자본변동</t>
    <phoneticPr fontId="3" type="noConversion"/>
  </si>
  <si>
    <t>법인세</t>
    <phoneticPr fontId="3" type="noConversion"/>
  </si>
  <si>
    <t>100100</t>
  </si>
  <si>
    <t>100100</t>
    <phoneticPr fontId="3" type="noConversion"/>
  </si>
  <si>
    <t>100200</t>
  </si>
  <si>
    <t>100200</t>
    <phoneticPr fontId="3" type="noConversion"/>
  </si>
  <si>
    <t>100300</t>
  </si>
  <si>
    <t>100300</t>
    <phoneticPr fontId="3" type="noConversion"/>
  </si>
  <si>
    <t>Ⅰ.영업활동으로인한현금흐름</t>
  </si>
  <si>
    <t>1.영업에서창출된현금</t>
  </si>
  <si>
    <t>가.당기순이익</t>
  </si>
  <si>
    <t>나.조정</t>
    <phoneticPr fontId="4" type="noConversion"/>
  </si>
  <si>
    <t>유형자산처분손실</t>
    <phoneticPr fontId="4" type="noConversion"/>
  </si>
  <si>
    <t>상환전환우선주부채평가손실</t>
  </si>
  <si>
    <t>다.영업활동으로인한자산부채의변동</t>
  </si>
  <si>
    <t>매출채권및기타채권의 감소(증가)</t>
  </si>
  <si>
    <t>기타유동자산의 감소(증가)</t>
  </si>
  <si>
    <t>재고자산의 감소(증가)</t>
    <phoneticPr fontId="4" type="noConversion"/>
  </si>
  <si>
    <t>매입채무및기타채무의 증가(감소)</t>
    <phoneticPr fontId="4" type="noConversion"/>
  </si>
  <si>
    <t>임차보증금유동</t>
    <phoneticPr fontId="4" type="noConversion"/>
  </si>
  <si>
    <t>기타유동부채의 증가(감소)</t>
    <phoneticPr fontId="4" type="noConversion"/>
  </si>
  <si>
    <t>퇴직금의 지급</t>
    <phoneticPr fontId="4" type="noConversion"/>
  </si>
  <si>
    <t>2.이자의수취</t>
    <phoneticPr fontId="4" type="noConversion"/>
  </si>
  <si>
    <t>3.이자의지급</t>
    <phoneticPr fontId="4" type="noConversion"/>
  </si>
  <si>
    <t>4.법인세등환급액(부담액)</t>
    <phoneticPr fontId="4" type="noConversion"/>
  </si>
  <si>
    <t>Ⅱ.투자활동으로인한현금흐름</t>
  </si>
  <si>
    <t xml:space="preserve"> 1. 투자활동으로 인한 현금유입액</t>
    <phoneticPr fontId="4" type="noConversion"/>
  </si>
  <si>
    <t>유형자산의 처분</t>
  </si>
  <si>
    <t xml:space="preserve"> 2. 투자활동으로 인한 현금유출액</t>
    <phoneticPr fontId="4" type="noConversion"/>
  </si>
  <si>
    <t>단기대여금의 증가</t>
    <phoneticPr fontId="4" type="noConversion"/>
  </si>
  <si>
    <t>유형자산의 취득</t>
    <phoneticPr fontId="4" type="noConversion"/>
  </si>
  <si>
    <t>무형자산의 취득</t>
    <phoneticPr fontId="4" type="noConversion"/>
  </si>
  <si>
    <t>기타비유동금융자산의 증가</t>
    <phoneticPr fontId="4" type="noConversion"/>
  </si>
  <si>
    <t>Ⅲ.재무활동으로인한현금흐름</t>
  </si>
  <si>
    <t>1.재무활동으로인한현금유입액</t>
  </si>
  <si>
    <t>단기차입금의 차입</t>
    <phoneticPr fontId="4" type="noConversion"/>
  </si>
  <si>
    <t>장기차입금의 차입</t>
    <phoneticPr fontId="4" type="noConversion"/>
  </si>
  <si>
    <t>2.재무활동으로인한현금유출액</t>
  </si>
  <si>
    <t>단기차입금의 상환</t>
    <phoneticPr fontId="4" type="noConversion"/>
  </si>
  <si>
    <t>리스부채의 상환</t>
    <phoneticPr fontId="4" type="noConversion"/>
  </si>
  <si>
    <t>유동성장기차입금 상환</t>
    <phoneticPr fontId="4" type="noConversion"/>
  </si>
  <si>
    <t>IV.현금및현금성자산의 환율변동효과</t>
    <phoneticPr fontId="4" type="noConversion"/>
  </si>
  <si>
    <t>V.현금의증가(Ⅰ+Ⅱ+Ⅲ+IV)</t>
    <phoneticPr fontId="4" type="noConversion"/>
  </si>
  <si>
    <t>VI.기초의현금</t>
    <phoneticPr fontId="4" type="noConversion"/>
  </si>
  <si>
    <t>VII.기말의현금</t>
    <phoneticPr fontId="4" type="noConversion"/>
  </si>
  <si>
    <t>KRW</t>
  </si>
  <si>
    <t>코드</t>
  </si>
  <si>
    <t>계정과목(중분류)</t>
  </si>
  <si>
    <t>환율변동효과</t>
  </si>
  <si>
    <t>자산감소, 부채증가</t>
  </si>
  <si>
    <t>외화증감액</t>
  </si>
  <si>
    <t>원화</t>
  </si>
  <si>
    <t>사용통화</t>
  </si>
  <si>
    <t>환율변동효과 집계</t>
  </si>
  <si>
    <t>ULTRA V HONG KONG LIMITED</t>
    <phoneticPr fontId="4" type="noConversion"/>
  </si>
  <si>
    <t xml:space="preserve">DERMASTER HONG KONG LIMITED	</t>
    <phoneticPr fontId="4" type="noConversion"/>
  </si>
  <si>
    <t>ULTRA V SHANGHAI LIMITED</t>
    <phoneticPr fontId="3" type="noConversion"/>
  </si>
  <si>
    <t>HKD</t>
  </si>
  <si>
    <t>38100</t>
  </si>
  <si>
    <t>38200</t>
  </si>
  <si>
    <t>부재료평가충당금</t>
  </si>
  <si>
    <t>반품충당부채</t>
    <phoneticPr fontId="3" type="noConversion"/>
  </si>
  <si>
    <t>SGD</t>
  </si>
  <si>
    <t>단기금융상품 처분</t>
    <phoneticPr fontId="56" type="noConversion"/>
  </si>
  <si>
    <t>매출채권 제각</t>
    <phoneticPr fontId="56" type="noConversion"/>
  </si>
  <si>
    <t>미수수익의 감소(증가)</t>
    <phoneticPr fontId="56" type="noConversion"/>
  </si>
  <si>
    <t>상품평가손실환입</t>
    <phoneticPr fontId="56" type="noConversion"/>
  </si>
  <si>
    <t>제품평가손실환입</t>
    <phoneticPr fontId="56" type="noConversion"/>
  </si>
  <si>
    <t>원재료평가손실환입</t>
    <phoneticPr fontId="56" type="noConversion"/>
  </si>
  <si>
    <t>상품평가손실</t>
    <phoneticPr fontId="56" type="noConversion"/>
  </si>
  <si>
    <t>제품평가손실</t>
    <phoneticPr fontId="56" type="noConversion"/>
  </si>
  <si>
    <t>원재료평가손실</t>
    <phoneticPr fontId="56" type="noConversion"/>
  </si>
  <si>
    <t xml:space="preserve"> 주 . 임.종단기채권의 증가</t>
    <phoneticPr fontId="56" type="noConversion"/>
  </si>
  <si>
    <t xml:space="preserve"> 주 . 임.종단기채권의 감소</t>
    <phoneticPr fontId="56" type="noConversion"/>
  </si>
  <si>
    <t>유형자산 취득 미지급금</t>
  </si>
  <si>
    <t>무형자산의 처분</t>
  </si>
  <si>
    <t>보험수리적손익 법인세효과</t>
    <phoneticPr fontId="56" type="noConversion"/>
  </si>
  <si>
    <t>기타보증금의 감소</t>
  </si>
  <si>
    <t>기타보증금의 증가</t>
    <phoneticPr fontId="56" type="noConversion"/>
  </si>
  <si>
    <t>임차보증금의 증가</t>
    <phoneticPr fontId="56" type="noConversion"/>
  </si>
  <si>
    <t>임차보증금의 감소</t>
    <phoneticPr fontId="56" type="noConversion"/>
  </si>
  <si>
    <t>3. 유의적인 회계정책</t>
    <phoneticPr fontId="3" type="noConversion"/>
  </si>
  <si>
    <t>6. 범주별 금융상품</t>
  </si>
  <si>
    <t>6.1 금융상품 범주별 장부금액</t>
  </si>
  <si>
    <t>재무상태표 상 자산</t>
  </si>
  <si>
    <t>상각후원가 측정 금융자산:</t>
  </si>
  <si>
    <t>(단위 : 원) </t>
  </si>
  <si>
    <t>재무상태표 상 부채</t>
  </si>
  <si>
    <t>상각후원가 측정 금융부채:</t>
  </si>
  <si>
    <t>리스부채(유동성리스부채 포함)</t>
  </si>
  <si>
    <t>장기차입금(유동성장기차입금 포함)</t>
  </si>
  <si>
    <t>6.2 금융상품 범주별 순손익</t>
  </si>
  <si>
    <t>금융부채</t>
  </si>
  <si>
    <t>상각후원가 측정 금융자산</t>
    <phoneticPr fontId="3" type="noConversion"/>
  </si>
  <si>
    <t>상각후원가 측정 금융부채</t>
    <phoneticPr fontId="3" type="noConversion"/>
  </si>
  <si>
    <t>8. 매출채권및기타수취채권</t>
  </si>
  <si>
    <t>(1) 보고기간종료일 현재 매출채권및기타수취채권의 내역은 다음과 같습니다.</t>
  </si>
  <si>
    <t>채권액</t>
  </si>
  <si>
    <t>(2) 매출채권의 연령 분석</t>
  </si>
  <si>
    <t>연결회사는 매 보고기간 말마다 매출채권에 대한 신용이 손상되었는지 평가합니다. 매출채권의 손상발생에 대한 객관적인 증거가 있어 유의적인 항목에 대하여는 개별적으로 대손충당금을 설정하고 있으며, 개별평가를 제외한 채권에 대하여 집합평가대상 채권으로 분류하고 있으며, 기대신용손실모형에 따라 대손충당금을 설정하고 있습니다.</t>
  </si>
  <si>
    <t>(단위: 원) </t>
  </si>
  <si>
    <t>정상</t>
  </si>
  <si>
    <t>손상</t>
  </si>
  <si>
    <t>총 장부금액-매출채권</t>
  </si>
  <si>
    <t>기대 손실률</t>
  </si>
  <si>
    <t>손실충당금</t>
  </si>
  <si>
    <t>(3) 손실충당금의 변동내역은 다음과 같습니다.</t>
  </si>
  <si>
    <t> (단위: 원)</t>
  </si>
  <si>
    <t>제각</t>
  </si>
  <si>
    <t>9. 재고자산</t>
  </si>
  <si>
    <t>보고기간종료일 현재 재고자산의 내역은 다음과 같습니다.</t>
  </si>
  <si>
    <t>차감 : 평가충당금</t>
  </si>
  <si>
    <t>보고기간종료일 현재 기타유동자산의 내역은 다음과 같습니다.</t>
  </si>
  <si>
    <t>주요영업활동</t>
  </si>
  <si>
    <t>지분율</t>
  </si>
  <si>
    <t>(2) 당기와 전기의 지분법적용투자주식의 변동내역은 아래와 같습니다.</t>
  </si>
  <si>
    <t>지분법손익(*1)</t>
  </si>
  <si>
    <t>(단위: 원)</t>
  </si>
  <si>
    <t>총포괄이익</t>
  </si>
  <si>
    <t>15. 매입채무및기타채무</t>
  </si>
  <si>
    <t>보고기간종료일 현재 매입채무및기타채무의 내역은 다음과 같습니다.</t>
  </si>
  <si>
    <t>17. 환불부채</t>
  </si>
  <si>
    <t>보고기간종료일 현재  환불부채의 내역은 다음과 같습니다.</t>
  </si>
  <si>
    <t>연결회사의 환불부채는 판매후 일정기간 반품할 수 있는 고객의 권리와 관련하여 고객이 반품할 것으로 추정되는 금액이며, 동 환불부채에 상응하여 수익인식금액이 조정됩니다.</t>
  </si>
  <si>
    <t>연결회사는 반품수량을 추정하기 위하여 누적 역사적 경험을 사용하고 있으며, 포트폴리오 수준에서 기댓값모형을 사용하고 있습니다.</t>
  </si>
  <si>
    <t>18. 장단기차입금</t>
  </si>
  <si>
    <t>(1) 보고기간종료일 현재 장단기차입금의 내역은 다음과 같습니다.</t>
  </si>
  <si>
    <t>이자율(%)</t>
  </si>
  <si>
    <t>최장만기일</t>
  </si>
  <si>
    <t>중소기업진흥공단</t>
  </si>
  <si>
    <t>(2) 장기차입금의 상환계획은 다음과 같습니다.</t>
  </si>
  <si>
    <t>1년이내</t>
  </si>
  <si>
    <t>1년 초과 2년이내</t>
  </si>
  <si>
    <t>2년 초과</t>
  </si>
  <si>
    <t>19. 리스</t>
  </si>
  <si>
    <t>(1) 당기 중 사용권자산의 장부금액과 변동내역은 다음과 같습니다.</t>
  </si>
  <si>
    <t>취득가액:</t>
  </si>
  <si>
    <t> 당기초</t>
  </si>
  <si>
    <t> 기중 변동분</t>
  </si>
  <si>
    <t> 당기말</t>
  </si>
  <si>
    <t>감가상각누계액 </t>
  </si>
  <si>
    <t> 기중변동분</t>
  </si>
  <si>
    <t> 감가상각비</t>
  </si>
  <si>
    <t>순장부금액:</t>
  </si>
  <si>
    <t>(2) 당기말과 전기말 현재 리스부채의 변동내역은 다음과 같습니다.</t>
  </si>
  <si>
    <t>당기증감분</t>
  </si>
  <si>
    <t>지급리스료(주1)</t>
  </si>
  <si>
    <t>(주1) 고정리스료로만 구성되어 있습니다.</t>
  </si>
  <si>
    <t>(3) 당사가 제공받는 리스로 인하여 미래에 발생할 현금유출 예상액은 다음과 같습니다.</t>
  </si>
  <si>
    <t>1년 초과 5년 미만</t>
  </si>
  <si>
    <t>합 계</t>
  </si>
  <si>
    <t>현금유출예상액</t>
  </si>
  <si>
    <t>(4) 당기와 전기 중 리스계약에서 인식한 수익과 비용은 다음과 같습니다.</t>
  </si>
  <si>
    <t>영업비용</t>
  </si>
  <si>
    <t> 사용권자산의 상각</t>
  </si>
  <si>
    <t> 단기리스료</t>
  </si>
  <si>
    <t> 소액리스료</t>
  </si>
  <si>
    <t> 리스부채 이자비용</t>
  </si>
  <si>
    <t>20. 확정급여부채</t>
  </si>
  <si>
    <t>(1) 당기 및 전기 중 확정급여채무의 현재가치 변동내역은 다음과 같습니다.</t>
  </si>
  <si>
    <t>재측정요소</t>
  </si>
  <si>
    <t> - 재무적가정 등의 변동</t>
  </si>
  <si>
    <t> - 경험적 조정</t>
  </si>
  <si>
    <t>퇴직급여지급액</t>
  </si>
  <si>
    <t>당기말잔액</t>
  </si>
  <si>
    <t>(2) 당기 및 전기 중 확정급여제도와 관련하여 손익으로 인식된 비용은 다음과 같습니다.</t>
  </si>
  <si>
    <t>순이자원가</t>
  </si>
  <si>
    <t>(3) 당기 및 전기 중 기타포괄손익으로 인식하는 재측정요소는 다음과 같습니다.</t>
  </si>
  <si>
    <t>법인세차감전 재측정요소</t>
  </si>
  <si>
    <t>법인세차감후 재측정요소</t>
  </si>
  <si>
    <t>(4) 보험수리적가정</t>
  </si>
  <si>
    <t>1) 보험수리적가정의 주요 내용은 다음과 같습니다.</t>
  </si>
  <si>
    <t>(단위 : %)</t>
  </si>
  <si>
    <t>할인율</t>
  </si>
  <si>
    <t>미래임금상승률</t>
  </si>
  <si>
    <t>2) 보고기간말 현재 주요 가정의 변동에 따른 확정급여채무의 민감도 분석은 다음과 같습니다.</t>
  </si>
  <si>
    <t>(단위 : 원, %)</t>
  </si>
  <si>
    <t>비율</t>
  </si>
  <si>
    <t>&lt;할인율&gt;</t>
  </si>
  <si>
    <t> 1%증가</t>
  </si>
  <si>
    <t> 1%감소</t>
  </si>
  <si>
    <t>&lt;임금상승률&gt;</t>
  </si>
  <si>
    <t>21. 법인세 비용(수익) 및 이연법인세</t>
  </si>
  <si>
    <t>(1) 법인세 비용(수익) 내역</t>
  </si>
  <si>
    <t>당기 법인세 부담액</t>
  </si>
  <si>
    <t>일시적차이 등으로 인한 이연법인세 변동액</t>
  </si>
  <si>
    <t>기타포괄손익에 직접 반영된 법인세</t>
  </si>
  <si>
    <t>법인세비용(수익)</t>
  </si>
  <si>
    <t>(2) 연결실체의 법인세비용차감전순이익에 대한 법인세 비용(수익)과 연결실체 내 기업들의 이익에 대해 적용되는 가중평균세율을 사용하여 이론적으로 계산한 금액과의차이는 다음과 같습니다.</t>
  </si>
  <si>
    <t>조정사항:</t>
  </si>
  <si>
    <t> 세무상 과세되지 않는 수익/비용</t>
  </si>
  <si>
    <t> 세액공제 및 감면세액</t>
  </si>
  <si>
    <t> 미인식이연법인세</t>
  </si>
  <si>
    <t>(3) 당기 및 전기 중 이연법인세자산(부채)의 증감내역은 다음과 같습니다.</t>
  </si>
  <si>
    <t>재고자산평가충당금</t>
  </si>
  <si>
    <t>주식보상비용</t>
  </si>
  <si>
    <t>리스자산(사용권자산)</t>
  </si>
  <si>
    <t>리스자산(감가상각누계액)</t>
  </si>
  <si>
    <t>세액공제</t>
  </si>
  <si>
    <t>합계(*)</t>
  </si>
  <si>
    <t>(4) 미사용 이월결손금의 만료 시기는 다음과 같습니다. </t>
  </si>
  <si>
    <t>만료시기</t>
  </si>
  <si>
    <t>2028년 이후</t>
  </si>
  <si>
    <t>22. 우발상황과 약정사항</t>
  </si>
  <si>
    <t>(1) 금융기관 약정한도</t>
  </si>
  <si>
    <t>금융기관</t>
  </si>
  <si>
    <t>한도</t>
  </si>
  <si>
    <t>실행</t>
  </si>
  <si>
    <t>운전자금대출</t>
  </si>
  <si>
    <t>(2) 제공받은 보증</t>
  </si>
  <si>
    <t>보증제공자</t>
  </si>
  <si>
    <t> 내용</t>
  </si>
  <si>
    <t>보증기간</t>
  </si>
  <si>
    <t>부보금액</t>
  </si>
  <si>
    <t>(특수관계자)</t>
  </si>
  <si>
    <t>차입금 지급보증</t>
  </si>
  <si>
    <t>차입금 상환시까지</t>
  </si>
  <si>
    <t>(기타)</t>
  </si>
  <si>
    <t>신용보증기금</t>
  </si>
  <si>
    <t>서울보증보험㈜</t>
  </si>
  <si>
    <t>이행보증</t>
  </si>
  <si>
    <t>계약종료시까지</t>
  </si>
  <si>
    <t>23. 자본금과 자본잉여금</t>
  </si>
  <si>
    <t>(단위 : 주,원) </t>
  </si>
  <si>
    <t>당기말 현재 지배기업의 발행주식수 중 상법에 의하여 의결권이 제한되어 있는 주식수는 없습니다.</t>
  </si>
  <si>
    <t>24. 주식기준보상</t>
  </si>
  <si>
    <t>연결회사는 경영진과 종업원에 대하여 주식기준보상제도를 시행하고 있습니다.</t>
  </si>
  <si>
    <t>종업원주식선택권은 행사시점에 연결실체의 주식으로 전환됩니다. 종업원이 주식선택권을 부여 받을 때 지급하였거나 지급할 금액은 없습니다. 주식선택권은 배당에 대한 권리나 의결권을 가지지 않습니다. 주식선택권은 가득일로부터 만기일까지의 기간 동안에 행사될 수 있습니다.</t>
  </si>
  <si>
    <t>(1) 보고기간종료일 현재 존재하는 주식기준보상계약의 내역은 다음과 같습니다.</t>
  </si>
  <si>
    <t>제1차</t>
  </si>
  <si>
    <t>제4차</t>
  </si>
  <si>
    <t>제5차</t>
  </si>
  <si>
    <t>제6차</t>
  </si>
  <si>
    <t>제7차</t>
  </si>
  <si>
    <t>결제방식</t>
  </si>
  <si>
    <t>신주발행/자기주식교부형</t>
  </si>
  <si>
    <t>부여할 주식</t>
  </si>
  <si>
    <t>248,319 주</t>
  </si>
  <si>
    <t>224,000주</t>
  </si>
  <si>
    <t>75,000주</t>
  </si>
  <si>
    <t>103,000주</t>
  </si>
  <si>
    <t> 50,000주</t>
  </si>
  <si>
    <t>부여일</t>
  </si>
  <si>
    <t>2016.03.21</t>
  </si>
  <si>
    <t>2018.03.29</t>
  </si>
  <si>
    <t>2019.03.27</t>
  </si>
  <si>
    <t>2020.03.25</t>
  </si>
  <si>
    <t>2022.03.28</t>
  </si>
  <si>
    <t>권리행사기간</t>
  </si>
  <si>
    <t>2018.03.20 ~ 2025.03.28</t>
  </si>
  <si>
    <t>2020.03.28~ 2025.03.28</t>
  </si>
  <si>
    <t>2021.03.26 ~ 2024.03.26</t>
  </si>
  <si>
    <t>2022.03.24 ~ 2025.03.24</t>
  </si>
  <si>
    <t>2024.03.29 ~ 2029.03.28</t>
  </si>
  <si>
    <t>총 부여수량</t>
  </si>
  <si>
    <t>248,319주</t>
  </si>
  <si>
    <t>당분기말 미행사수량</t>
  </si>
  <si>
    <t> 167,460주</t>
  </si>
  <si>
    <t>147,000주</t>
  </si>
  <si>
    <t>35,000주</t>
  </si>
  <si>
    <t>67,000주</t>
  </si>
  <si>
    <t>행사가격</t>
  </si>
  <si>
    <t>2,346원</t>
  </si>
  <si>
    <t>6,500원</t>
  </si>
  <si>
    <t>8,000원</t>
  </si>
  <si>
    <t>8,500원</t>
  </si>
  <si>
    <t>가득조건</t>
  </si>
  <si>
    <t>약정용역제공 2년</t>
  </si>
  <si>
    <t>(2) 당기 및 전기 중 주식매수선택권 수량의 변동내역은 다음과 같습니다.</t>
  </si>
  <si>
    <t>주식선택권 수량</t>
  </si>
  <si>
    <t>부여</t>
  </si>
  <si>
    <t>소멸</t>
  </si>
  <si>
    <t>행사</t>
  </si>
  <si>
    <t>(3) 당기와 전기 중 비용으로 인식한 주식기준보상은 다음과 같으며, 전액 주식결제형 주식기준보상과 관련된 비용입니다.</t>
  </si>
  <si>
    <t>총 보상원가</t>
  </si>
  <si>
    <t>당기이전보상원가</t>
  </si>
  <si>
    <t>당기보상원가</t>
  </si>
  <si>
    <t>잔여보상원가</t>
  </si>
  <si>
    <t>당기에 소멸된 총 보상원가는 없습니다.</t>
  </si>
  <si>
    <t>(4) 당기말 현재 발행되어 있는 주식옵션의 가중평균행사가격은 5,409원이며, 가중 평균 잔여계약 만기는 1.5년 입니다.</t>
  </si>
  <si>
    <t>25. 결손금</t>
  </si>
  <si>
    <t>(1) 보고기간종료일 현재 결손금의 구성내역은 다음과 같습니다.</t>
  </si>
  <si>
    <t>결손금</t>
  </si>
  <si>
    <t>(2) 당기 및 전기 중 결손금의 변동내역은 다음과 같습니다.</t>
  </si>
  <si>
    <t>기초 금액</t>
  </si>
  <si>
    <t>기말 금액</t>
  </si>
  <si>
    <t>(1) 당기및 전기 중 연결회사가 수익으로 인식한 금액은 다음과 같습니다. </t>
  </si>
  <si>
    <t>고객과의 계약에서 생기는 수익</t>
  </si>
  <si>
    <t>(2) 고객과의 계약에서 생기는 수익의 구분</t>
  </si>
  <si>
    <t>연결회사는 다음의 주요 제품라인과 지역에서 재화나 용역을 한 시점에 이전함으로써 수익을 창출합니다.</t>
  </si>
  <si>
    <t>수익인식 시점</t>
  </si>
  <si>
    <t>한 시점에 인식</t>
  </si>
  <si>
    <t>지배기업은 국내에 소재하고 있으며, 외부고객으로부터의 수익금액은 국내, 해외에서 발생하였습니다.</t>
  </si>
  <si>
    <t>27. 판매비와관리비</t>
  </si>
  <si>
    <t>당기 및 전기 중 판매비와관리비의 내역은 다음과 같습니다.</t>
  </si>
  <si>
    <t>28. 비용의 성격별 분류</t>
  </si>
  <si>
    <t>당기 및 전기 중 비용의 성격별 분류는 다음과 같습니다.</t>
  </si>
  <si>
    <t>원재료 및 상품매입액</t>
  </si>
  <si>
    <t>감가상각비 및 무형자산상각비</t>
  </si>
  <si>
    <t>외주비</t>
  </si>
  <si>
    <t>매출원가 및 판관비의 합계</t>
  </si>
  <si>
    <t>29. 기타수익과 기타비용</t>
  </si>
  <si>
    <t>당기 및 전기 중 기타수익과 기타비용의 내역은 다음과 같습니다.</t>
  </si>
  <si>
    <t>(1) 기타수익</t>
  </si>
  <si>
    <t>(2) 기타 비용</t>
  </si>
  <si>
    <t>30. 금융수익과 금융원가</t>
  </si>
  <si>
    <t>당기 및 전기 중 금융수익과 금융비용의 내역은 다음과 같습니다.</t>
  </si>
  <si>
    <t>(1) 금융수익</t>
  </si>
  <si>
    <t>(2) 금융비용</t>
  </si>
  <si>
    <t>31. 주당순이익  </t>
  </si>
  <si>
    <t>(1) 기본주당이익(손실)</t>
  </si>
  <si>
    <t>당기 및 전기의 주당이익(손실)의 계산내용은 다음과 같습니다.</t>
  </si>
  <si>
    <t>(단위 : 주, 원)</t>
  </si>
  <si>
    <t>보통주당기순이익(손실)</t>
  </si>
  <si>
    <t>기본주당순이익(손실)</t>
  </si>
  <si>
    <t>가중평균유통보통주식수 산정내역은 다음과 같습니다.</t>
  </si>
  <si>
    <t>(2) 희석주당이익(손실)</t>
  </si>
  <si>
    <t>32. 현금흐름표</t>
  </si>
  <si>
    <t>(1) 영업활동현금흐름 조정내역</t>
  </si>
  <si>
    <t>(2) 자산부채의 변동</t>
  </si>
  <si>
    <t>매입채무및기타채무의 증가(감소)</t>
  </si>
  <si>
    <t>기타유동부채의 증가(감소)</t>
  </si>
  <si>
    <t>퇴직금의 지급</t>
  </si>
  <si>
    <t>(3) 현금의 유입과 유출이 없는 주요 거래</t>
  </si>
  <si>
    <t>34. 특수관계자 거래</t>
  </si>
  <si>
    <t>(1) 특수관계자 현황</t>
  </si>
  <si>
    <t>관계기업</t>
  </si>
  <si>
    <t>유의적인 영향력 행사</t>
  </si>
  <si>
    <t>특수관계자</t>
  </si>
  <si>
    <t>더마스터의원</t>
  </si>
  <si>
    <t>대표이사 개인사업자 </t>
  </si>
  <si>
    <t>대표이사 친인척 및 주주</t>
  </si>
  <si>
    <t>팜프라자약국</t>
  </si>
  <si>
    <t>(2) 매출 등</t>
  </si>
  <si>
    <t>기타 특수관계자</t>
  </si>
  <si>
    <t>(3) 매입 등</t>
  </si>
  <si>
    <t>매입</t>
  </si>
  <si>
    <t>(4) 특수관계자에 대한 채권ㆍ채무 잔액</t>
  </si>
  <si>
    <t>1) 채권 등 </t>
  </si>
  <si>
    <t>2) 채무 등</t>
  </si>
  <si>
    <t>(5) 특수관계자와의 자금 거래</t>
  </si>
  <si>
    <t>(6) 지급보증 및 담보제공</t>
  </si>
  <si>
    <t>보고기간종료일 현재 특수관계자로부터 제공받은 지급보증의 내용은 다음과 같습니다.</t>
  </si>
  <si>
    <t>제공자</t>
  </si>
  <si>
    <t>보증내용</t>
  </si>
  <si>
    <t>보증금액</t>
  </si>
  <si>
    <t>개인주주</t>
  </si>
  <si>
    <t>은행차입금 지급보증</t>
  </si>
  <si>
    <t>(7) 주요 경영진에 대한 보상</t>
  </si>
  <si>
    <t>연결회사는 기업활동의 계획, 운영 및 통제에 대한 중요한 권한과 책임을 가진 임원을 주요 경영진으로 판단하고 있으며, 당기 및 전기 중 주요 경영진(등기임원 및 이사)에 대한 보상금액은 다음과 같습니다.</t>
  </si>
  <si>
    <t>주요경영진 보상</t>
  </si>
  <si>
    <t>단기종업원급여</t>
  </si>
  <si>
    <t>주식기준보상</t>
  </si>
  <si>
    <t>33. 영업부문 정보</t>
  </si>
  <si>
    <t>연결회사는 영업수익을 창출하는 재화나 용역의 성격 및 서비스를 제공하기 위한 자산의 특성 등을 고려하여 연결회사 전체를 단일 보고부문으로 결정하였습니다. 최고영업의사결정자에게 보고된 영업부문 정보는 공시된 재무정보와 동일합니다.</t>
  </si>
  <si>
    <t>(1) 당기 및 전기 중 연결실체 수익의 상세내역은 다음과 같습니다.</t>
  </si>
  <si>
    <t>(2) 당기 및 전기 중 국가별 외부고객으로부터의 수익의 상세내역은 다음과 같습니다.</t>
  </si>
  <si>
    <t>단위 : 원)</t>
  </si>
  <si>
    <t>해당국가</t>
  </si>
  <si>
    <t>외부 고객으로부터의 수익</t>
  </si>
  <si>
    <t>대한민국</t>
  </si>
  <si>
    <t>기타국가</t>
  </si>
  <si>
    <t>  합계</t>
  </si>
  <si>
    <t>4. 재무위험관리</t>
  </si>
  <si>
    <t>4.1 재무위험관리요소</t>
  </si>
  <si>
    <t>연결회사는 여러 활동으로 인하여 시장위험(환위험, 공정가치이자율위험, 현금흐름이자율위험 및 가격위험), 신용위험 및 유동성위험과 같은 다양한 재무위험에 노출돼있습니다. 연결회사의 전반적인 위험관리정책은 금융시장의 변동성에 초점을 맞추고있으며 재무성과에 미치는 부정적 영향을 최소화하는데 중점을 두고 있습니다. 연결회사는 특정 위험을 회피하기 위하여 파생상품을 이용하고 있습니다.</t>
  </si>
  <si>
    <t>위험관리는 이사회에서 승인한 정책에 따라 이루어지고 있습니다. 이사회는 전반적인 위험관리에 대한 문서화된 정책, 외환위험, 이자율 위험, 신용 위험, 파생금융상품과 비파생금융상품의 이용 및 유동성을 초과하는 투자와 같은 특정 분야에 관한 문서화된 정책을 검토하고 승인합니다.</t>
  </si>
  <si>
    <t>4.1.1 시장위험  </t>
  </si>
  <si>
    <t>(1) 외환위험  </t>
  </si>
  <si>
    <t>연결회사는 국제적으로 영업활동을 영위하고 있기 때문에 외환 위험, 특히 주로 미국달러화 관련된 환율 변동 위험에 노출돼 있습니다. 외환 위험은 미래예상거래, 인식된 자산과 부채가 기능통화이외의 통화로 표시될 때 발생하고 있습니다.</t>
  </si>
  <si>
    <t>경영진은 연결회사 내의 회사들이 각각의 기능통화에 대한 외환 위험을 관리하도록 하는 정책을 수립하고 있습니다.</t>
  </si>
  <si>
    <t>보고기간말 현재 외환 위험에 노출되어 있는 연결회사의 금융자산ㆍ부채의 내역은 다음과 같습니다.</t>
  </si>
  <si>
    <t>외화</t>
  </si>
  <si>
    <t>원화환산액</t>
  </si>
  <si>
    <t>GBP</t>
  </si>
  <si>
    <t>CNY</t>
  </si>
  <si>
    <t>보고기간말 현재 다른 모든 변수가 일정하고 각 외화에 대한 원화의 환율 10% 변동 시 연결회사의 당기손익에 미치는 영향(법인세 차감전)은 다음과 같습니다. </t>
  </si>
  <si>
    <t>세전 이익에 대한 영향</t>
  </si>
  <si>
    <t>상승시</t>
  </si>
  <si>
    <t>하락시</t>
  </si>
  <si>
    <t>(2) 가격위험  </t>
  </si>
  <si>
    <t>연결회사는 연결재무상태표상 기타포괄손익-공정가치 금융자산 또는 당기손익-공정가치 금융자산으로 분류되는 지분증권을 보유하지 않으므로 가격위험에 노출되어 있지 않습니다.</t>
  </si>
  <si>
    <t>(3) 이자율 위험</t>
  </si>
  <si>
    <t>이자율 위험은 미래의 시장 이자율 변동에 따라 예금 또는 차입금 등에서 발생하는 이자수익 및 이자비용이 변동될 위험을 뜻하며, 이는 주로 변동금리부 조건의 예금과차입금에서 발생하고 있습니다. 연결실체의 이자율 위험관리의 목표는 이자율 변동으로 인한 불확실성과 순이자비용의 최소화를 추구함으로써 기업의 가치를 극대화하는데 있습니다.</t>
  </si>
  <si>
    <t>연결회사는 내부자금 공유 확대를 통한 외부차입 최소화, 고금리 차입금 감축, 장/단기 차입구조 개선, 고정 대 변동이자 차입조건의 적정비율 유지, 일간/주간/월간 단위의 국내외 금리동향 모니터링 실시, 대응방안 수립 및 변동금리부 조건의 단기차입금과 예금을 적절히 운영함으로써 이자율 변동에 따른 위험을 최소화하고 있습니다.</t>
  </si>
  <si>
    <t>4.1.2 신용위험</t>
  </si>
  <si>
    <t>신용위험은 연결실체의 통상적인 거래 및 투자활동에서 발생하며 고객 또는 거래상대방이 계약조건상 의무사항을 지키지 못하였을 때 발생합니다. 이러한 신용위험을 관리하기 위하여 연결실체는 주기적으로 고객과 거래상대방의 재무상태와 과거 경험및 기타 요소들을 고려하여 재무신용도를 평가하고 있으며 고객과 거래상대방 각각에 대한 신용한도를 설정하고 있습니다.</t>
  </si>
  <si>
    <t>신용위험은 현금 및 현금성자산, 각종 예금 등과 같은 금융기관과의 거래에서도 발생할 수 있습니다. 이러한 위험을 줄이기 위해, 연결회사는 신용도가 높은 금융기관들에 대해서만 거래를 하고 있습니다.</t>
  </si>
  <si>
    <t>보고기간종료일 현재 연결회사는 재화의 제공에 따른 매출채권, 상각후원가로 측정하는 기타 금융자산에 대해서 기대신용손실 모형을 적용하고 있습니다. 현금성자산도 손상 규정의 적용대상에 포함되나 식별된 기대신용손실은 유의적이지 않습니다.</t>
  </si>
  <si>
    <t>연결회사는 미사용 차입금 한도를 적정 수준으로 유지하고, 영업 자금 수요를 충족시키기위해 차입금 한도나 약정을 위반하는 일이 없도록 유동성에 대한 예측을 항시 모니터링하고있습니다. 유동성을 예측하는데 있어 연결회사의 자금조달 계획, 약정 준수, 연결회사 내부의 목표재무비율 및 통화에 대한 제한과 같은 외부 법규나 법률 요구사항도 고려하고 있습니다.</t>
  </si>
  <si>
    <t>연결회사의 유동성 위험 분석 내역은 다음과 같습니다.</t>
  </si>
  <si>
    <t>2년이내</t>
  </si>
  <si>
    <t>3년이내</t>
  </si>
  <si>
    <t>3년초과</t>
  </si>
  <si>
    <t>매입채무및기타지급채무</t>
  </si>
  <si>
    <t>4.2. 자본위험관리  </t>
  </si>
  <si>
    <t>연결회사의 자본 관리 목적은 계속기업으로서 주주 및 이해당사자들에게 이익을 지속적으로 제공할 수 있는 능력을 보호하고 자본 비용을 절감하기 위해 최적의 자본 구조를 유지하는 것입니다. </t>
  </si>
  <si>
    <t>연결회사는 부채총계를 자본총계로 나누어 산출되는 부채비율을 기준으로 하여 자본을 관리하고 있으며, 매월 부채비율을 모니터링하고 필요한 경우 적절한 재무구조 개선 방안을 수립하여 실행하고 있습니다.</t>
  </si>
  <si>
    <t>부채 총계(A)</t>
  </si>
  <si>
    <t>자본 총계(B)</t>
  </si>
  <si>
    <t>부채 비율(A/B)</t>
  </si>
  <si>
    <t>5. 금융상품 공정가치</t>
  </si>
  <si>
    <t>(1) 금융상품 종류별 공정가치  </t>
  </si>
  <si>
    <t>금융상품의 종류별 장부금액 및 공정가치는 다음과 같습니다. </t>
  </si>
  <si>
    <t>(*1)</t>
  </si>
  <si>
    <t>매출채권및기타수취채권</t>
  </si>
  <si>
    <t>(*2)</t>
  </si>
  <si>
    <t>(*1) 장부금액이 공정가치의 합리적인 근사치이므로, 공정가치 공시에서 제외 하였습니다.</t>
  </si>
  <si>
    <t>(*2) 리스부채는 기업회계기준서 제 1107호 '금융상품 공시' 문단 29(4)에 따라 공정가치 공시에서 제외하였습니다.</t>
  </si>
  <si>
    <t>(2) 금융상품 공정가치 서열 체계</t>
  </si>
  <si>
    <t>공정가치로 측정되거나 공정가치가 공시되는 항목은 공정가치 서열체계에 따라 구분하며, 정의된 수준들은 다음과 같습니다.</t>
  </si>
  <si>
    <t>- 동일한 자산이나 부채에 대한 활성시장의 (조정되지 않은) 공시가격(수준 1)</t>
  </si>
  <si>
    <t>- 직접적으로(예: 가격) 또는 간접적으로(예: 가격에서 도출되어) 관측 가능한, 자산이나 부채에 대한 투입 변수를 이용하여 산정한 공정가치. 단, 수준 1에 포함된 공시가격은 제외함(수준 2)</t>
  </si>
  <si>
    <t>- 관측 가능한 시장자료에 기초하지 않은, 자산이나 부채에 대한 투입 변수(관측 가능하지 않은 투입 변수)를 이용하여 산정한 공정가치 (수준 3)</t>
  </si>
  <si>
    <t>7. 현금및현금성자산</t>
  </si>
  <si>
    <t>보고기간 종료일 현재 현금및현금성자산의 구성 내역은 다음과 같습니다.  </t>
  </si>
  <si>
    <t>은행예금 및 보유현금 </t>
  </si>
  <si>
    <t>차입금 잔액</t>
    <phoneticPr fontId="3" type="noConversion"/>
  </si>
  <si>
    <t>울트라브이_별도</t>
    <phoneticPr fontId="3" type="noConversion"/>
  </si>
  <si>
    <t>ULTRA V (SG) PTE.LTD</t>
  </si>
  <si>
    <t>별도 제외하고 차입금 잔액없음</t>
    <phoneticPr fontId="3" type="noConversion"/>
  </si>
  <si>
    <t>원가</t>
  </si>
  <si>
    <t>외화환산차이</t>
  </si>
  <si>
    <t>12. 유형자산</t>
  </si>
  <si>
    <t>(1) 보고기간종료일 현재 유형자산의 내역은 다음과 같습니다.</t>
  </si>
  <si>
    <t>(2) 당기 및 전기 중 유형자산의 장부가액의 변동내용은 다음과 같습니다.</t>
  </si>
  <si>
    <t>13. 무형자산</t>
  </si>
  <si>
    <t>(1) 보고기간종료일 현재  무형자산의 내역은 다음과 같습니다.</t>
  </si>
  <si>
    <t> 구분</t>
  </si>
  <si>
    <t>상각누계</t>
  </si>
  <si>
    <t>(2) 당기 및 전기 중 무형자산 장부가액의 변동 내역은 다음과 같습니다.</t>
  </si>
  <si>
    <t>증가</t>
  </si>
  <si>
    <t>당기상각</t>
  </si>
  <si>
    <t>(3) 보기기간종료일 현재 연결실체의 중요한 개별 무형자산인 개발비의 내역은 다음과 같습니다.</t>
  </si>
  <si>
    <t>자산명</t>
  </si>
  <si>
    <t>장부가액</t>
  </si>
  <si>
    <t>잔여 상각기간</t>
  </si>
  <si>
    <t>PDO고분자 필러 ULTRACOL</t>
  </si>
  <si>
    <t>(4) 당기 및 전기 중 비용으로 인식한 연구 개발 관련 지출 총액은 다음과 같습니다.</t>
  </si>
  <si>
    <t>외화표시 채무 존재하지 않기 떄문에 이자비용 외에 모두 자산에서 발생</t>
    <phoneticPr fontId="3" type="noConversion"/>
  </si>
  <si>
    <t>정산표</t>
    <phoneticPr fontId="3" type="noConversion"/>
  </si>
  <si>
    <t>조정분개</t>
    <phoneticPr fontId="3" type="noConversion"/>
  </si>
  <si>
    <t>울트라브이팜</t>
  </si>
  <si>
    <t xml:space="preserve">ULTRA V SHANGHAI LIMITED	</t>
  </si>
  <si>
    <t>ULTRA V (SG) PTE.LTD
(24년 설립)</t>
  </si>
  <si>
    <t>별도주석 값복사</t>
    <phoneticPr fontId="3" type="noConversion"/>
  </si>
  <si>
    <t>기타비용</t>
    <phoneticPr fontId="3" type="noConversion"/>
  </si>
  <si>
    <t>복리후생비</t>
    <phoneticPr fontId="3" type="noConversion"/>
  </si>
  <si>
    <t>별도에서 개발비 상각비는 매출원가에 포함됨</t>
    <phoneticPr fontId="3" type="noConversion"/>
  </si>
  <si>
    <t>From 리스결산파일</t>
    <phoneticPr fontId="3" type="noConversion"/>
  </si>
  <si>
    <t>별도주석 금액</t>
  </si>
  <si>
    <t>별도주석금액</t>
    <phoneticPr fontId="3" type="noConversion"/>
  </si>
  <si>
    <t>통화</t>
    <phoneticPr fontId="3" type="noConversion"/>
  </si>
  <si>
    <t>종속회사별 외화자산 정보 필요</t>
    <phoneticPr fontId="3" type="noConversion"/>
  </si>
  <si>
    <t>4번주석 완료 시 자동 완성</t>
    <phoneticPr fontId="3" type="noConversion"/>
  </si>
  <si>
    <t>별도 주석 값복사</t>
    <phoneticPr fontId="3" type="noConversion"/>
  </si>
  <si>
    <t>별도와 동일, 추후 종속회사의 특관자 거래 검토 필요</t>
    <phoneticPr fontId="3" type="noConversion"/>
  </si>
  <si>
    <t>&gt;&gt; 재고이동과 관련하여 22년까지 누적 분개 조정</t>
  </si>
  <si>
    <t>&gt;&gt; 재고이동과 관련하여 22년까지 누적 분개 조정</t>
    <phoneticPr fontId="3" type="noConversion"/>
  </si>
  <si>
    <t>모두 100% 종속회사이기 때문에 비지배지분 발생하지 않음</t>
    <phoneticPr fontId="3" type="noConversion"/>
  </si>
  <si>
    <t>울트라브이 세율</t>
  </si>
  <si>
    <t>울트라브이 세율</t>
    <phoneticPr fontId="13" type="noConversion"/>
  </si>
  <si>
    <t>출처</t>
    <phoneticPr fontId="3" type="noConversion"/>
  </si>
  <si>
    <t>https://www.dits.deloitte.com/#DomesticRatesSubMenu</t>
    <phoneticPr fontId="3" type="noConversion"/>
  </si>
  <si>
    <t>Corporate tax</t>
  </si>
  <si>
    <t>Jurisdiction</t>
  </si>
  <si>
    <t>Statutory rate</t>
  </si>
  <si>
    <t>Combined rate</t>
  </si>
  <si>
    <t>Branch rate</t>
  </si>
  <si>
    <t>Albania</t>
  </si>
  <si>
    <t>0/15</t>
  </si>
  <si>
    <t>Andorra</t>
  </si>
  <si>
    <t>Angola</t>
  </si>
  <si>
    <t>25, 10</t>
  </si>
  <si>
    <t>Anguilla</t>
  </si>
  <si>
    <t>Antigua &amp; Barbuda</t>
  </si>
  <si>
    <t>Argentina</t>
  </si>
  <si>
    <t>35, 7</t>
  </si>
  <si>
    <t>Aruba</t>
  </si>
  <si>
    <t>Australia</t>
  </si>
  <si>
    <t>Austria</t>
  </si>
  <si>
    <t>Azerbaijan</t>
  </si>
  <si>
    <t>20, 10</t>
  </si>
  <si>
    <t>Bahamas</t>
  </si>
  <si>
    <t>Bahrain</t>
  </si>
  <si>
    <t>Bangladesh</t>
  </si>
  <si>
    <t>20-45</t>
  </si>
  <si>
    <t>20-45, 20</t>
  </si>
  <si>
    <t>Barbados</t>
  </si>
  <si>
    <t>9, 5</t>
  </si>
  <si>
    <t>Belgium</t>
  </si>
  <si>
    <t>Bermuda</t>
  </si>
  <si>
    <t>Bolivia</t>
  </si>
  <si>
    <t>Bosnia and Herzegovina</t>
  </si>
  <si>
    <t>Botswana</t>
  </si>
  <si>
    <t>Brazil</t>
  </si>
  <si>
    <t>British Virgin Islands</t>
  </si>
  <si>
    <t>Brunei Darussalam</t>
  </si>
  <si>
    <t>Bulgaria</t>
  </si>
  <si>
    <t>Cambodia</t>
  </si>
  <si>
    <t>20, 14</t>
  </si>
  <si>
    <t>Canada</t>
  </si>
  <si>
    <t>Varies</t>
  </si>
  <si>
    <t>15, 25</t>
  </si>
  <si>
    <t>Cayman Islands</t>
  </si>
  <si>
    <t>Chile</t>
  </si>
  <si>
    <t>27, 35</t>
  </si>
  <si>
    <t>China</t>
  </si>
  <si>
    <t>Colombia</t>
  </si>
  <si>
    <t>Costa Rica</t>
  </si>
  <si>
    <t>30, 15</t>
  </si>
  <si>
    <t>Croatia</t>
  </si>
  <si>
    <t>Curaçao</t>
  </si>
  <si>
    <t>Cyprus</t>
  </si>
  <si>
    <t>Czech Republic</t>
  </si>
  <si>
    <t>Denmark</t>
  </si>
  <si>
    <t>Dominica</t>
  </si>
  <si>
    <t>25, 15</t>
  </si>
  <si>
    <t>Dominican Republic</t>
  </si>
  <si>
    <t>27, 10</t>
  </si>
  <si>
    <t>Ecuador</t>
  </si>
  <si>
    <t>Egypt</t>
  </si>
  <si>
    <t>22.5, 10</t>
  </si>
  <si>
    <t>El Salvador</t>
  </si>
  <si>
    <t>Estonia</t>
  </si>
  <si>
    <t>Finland</t>
  </si>
  <si>
    <t>France</t>
  </si>
  <si>
    <t>25, 25</t>
  </si>
  <si>
    <t>Georgia</t>
  </si>
  <si>
    <t>Germany</t>
  </si>
  <si>
    <t>30-33</t>
  </si>
  <si>
    <t>Ghana</t>
  </si>
  <si>
    <t>25, 8</t>
  </si>
  <si>
    <t>Gibraltar</t>
  </si>
  <si>
    <t>Greece</t>
  </si>
  <si>
    <t>Grenada</t>
  </si>
  <si>
    <t>Guatemala</t>
  </si>
  <si>
    <t>25, 5</t>
  </si>
  <si>
    <t>Guernsey</t>
  </si>
  <si>
    <t>Honduras</t>
  </si>
  <si>
    <t>Hong Kong SAR</t>
  </si>
  <si>
    <t>Hungary</t>
  </si>
  <si>
    <t>Iceland</t>
  </si>
  <si>
    <t>India</t>
  </si>
  <si>
    <t>15/22/25/30/35/40</t>
  </si>
  <si>
    <t>35/40</t>
  </si>
  <si>
    <t>Indonesia</t>
  </si>
  <si>
    <t>22, 20</t>
  </si>
  <si>
    <t>Iraq</t>
  </si>
  <si>
    <t>Ireland</t>
  </si>
  <si>
    <t>12.5/25</t>
  </si>
  <si>
    <t>Isle of Man</t>
  </si>
  <si>
    <t>Israel</t>
  </si>
  <si>
    <t>Italy</t>
  </si>
  <si>
    <t>Jamaica</t>
  </si>
  <si>
    <t>Japan</t>
  </si>
  <si>
    <t>Jersey</t>
  </si>
  <si>
    <t>Jordan</t>
  </si>
  <si>
    <t>Kazakhstan</t>
  </si>
  <si>
    <t>20, 15</t>
  </si>
  <si>
    <t>Kenya</t>
  </si>
  <si>
    <t>Korea (ROK)</t>
  </si>
  <si>
    <t>24, 2-15</t>
  </si>
  <si>
    <t>Kosovo</t>
  </si>
  <si>
    <t>Kuwait</t>
  </si>
  <si>
    <t>Laos</t>
  </si>
  <si>
    <t>Latvia</t>
  </si>
  <si>
    <t>Lebanon</t>
  </si>
  <si>
    <t>17, 10</t>
  </si>
  <si>
    <t>Liechtenstein</t>
  </si>
  <si>
    <t>Lithuania</t>
  </si>
  <si>
    <t>Luxembourg</t>
  </si>
  <si>
    <t>Macau SAR</t>
  </si>
  <si>
    <t>Malaysia</t>
  </si>
  <si>
    <t>Malta</t>
  </si>
  <si>
    <t>Mauritius</t>
  </si>
  <si>
    <t>Mexico</t>
  </si>
  <si>
    <t>30, 10</t>
  </si>
  <si>
    <t>Moldova</t>
  </si>
  <si>
    <t>Montenegro</t>
  </si>
  <si>
    <t>Morocco</t>
  </si>
  <si>
    <t>33, 12.5</t>
  </si>
  <si>
    <t>Myanmar</t>
  </si>
  <si>
    <t>Netherlands</t>
  </si>
  <si>
    <t>New Zealand</t>
  </si>
  <si>
    <t>Nicaragua</t>
  </si>
  <si>
    <t>Nigeria</t>
  </si>
  <si>
    <t>North Macedonia</t>
  </si>
  <si>
    <t>Norway</t>
  </si>
  <si>
    <t>Oman</t>
  </si>
  <si>
    <t>Palestinian Territories</t>
  </si>
  <si>
    <t>Panama</t>
  </si>
  <si>
    <t>Papua New Guinea</t>
  </si>
  <si>
    <t>Paraguay</t>
  </si>
  <si>
    <t>10, 15</t>
  </si>
  <si>
    <t>Peru</t>
  </si>
  <si>
    <t>29.5, 5</t>
  </si>
  <si>
    <t>Philippines</t>
  </si>
  <si>
    <t>Poland</t>
  </si>
  <si>
    <t>Portugal</t>
  </si>
  <si>
    <t>Puerto Rico</t>
  </si>
  <si>
    <t>18.5, 10</t>
  </si>
  <si>
    <t>Qatar</t>
  </si>
  <si>
    <t>Romania</t>
  </si>
  <si>
    <t>Saudi Arabia</t>
  </si>
  <si>
    <t>20, 5</t>
  </si>
  <si>
    <t>Senegal</t>
  </si>
  <si>
    <t>Serbia</t>
  </si>
  <si>
    <t>Singapore</t>
  </si>
  <si>
    <t>Sint Maarten</t>
  </si>
  <si>
    <t>Slovakia</t>
  </si>
  <si>
    <t>Slovenia</t>
  </si>
  <si>
    <t>South Africa</t>
  </si>
  <si>
    <t>South Sudan</t>
  </si>
  <si>
    <t>Spain</t>
  </si>
  <si>
    <t>25, 19</t>
  </si>
  <si>
    <t>St. Kitts &amp; Nevis</t>
  </si>
  <si>
    <t>St. Lucia</t>
  </si>
  <si>
    <t>St. Vincent/Grenadines</t>
  </si>
  <si>
    <t>Sweden</t>
  </si>
  <si>
    <t>Switzerland</t>
  </si>
  <si>
    <t>Taiwan (China)</t>
  </si>
  <si>
    <t>Tanzania</t>
  </si>
  <si>
    <t>Thailand</t>
  </si>
  <si>
    <t>Timor-Leste</t>
  </si>
  <si>
    <t>Trinidad and Tobago</t>
  </si>
  <si>
    <t>30, 3</t>
  </si>
  <si>
    <t>Turkey/Türkiye</t>
  </si>
  <si>
    <t>Uganda</t>
  </si>
  <si>
    <t>30,15</t>
  </si>
  <si>
    <t>Ukraine</t>
  </si>
  <si>
    <t>United Arab Emirates</t>
  </si>
  <si>
    <t>United Kingdom</t>
  </si>
  <si>
    <t>United States</t>
  </si>
  <si>
    <t>21, 30</t>
  </si>
  <si>
    <t>United States Virgin Islands</t>
  </si>
  <si>
    <t>21, 10/30</t>
  </si>
  <si>
    <t>Uruguay</t>
  </si>
  <si>
    <t>25, 7</t>
  </si>
  <si>
    <t>Uzbekistan</t>
  </si>
  <si>
    <t>15, 10</t>
  </si>
  <si>
    <t>Venezuela</t>
  </si>
  <si>
    <t>34, 34</t>
  </si>
  <si>
    <t>Vietnam</t>
  </si>
  <si>
    <t>Yemen</t>
  </si>
  <si>
    <t>Zambia</t>
  </si>
  <si>
    <t>30, 20</t>
  </si>
  <si>
    <t>Zimbabwe</t>
  </si>
  <si>
    <t>(*) 중국의 법인세율이 한국보다 높아 외국납부세액공제 관련을 100%로 인식함.</t>
    <phoneticPr fontId="3" type="noConversion"/>
  </si>
  <si>
    <t>재고자산미실현손익</t>
  </si>
  <si>
    <t>과거 누적</t>
    <phoneticPr fontId="13" type="noConversion"/>
  </si>
  <si>
    <t>이연법인세부채</t>
    <phoneticPr fontId="3" type="noConversion"/>
  </si>
  <si>
    <t>31600</t>
  </si>
  <si>
    <t>향후 과세소득의 불확실성으로 인해 이연법인세 자산 미인식</t>
  </si>
  <si>
    <t>향후 과세소득의 불확실성으로 인해 이연법인세 자산 미인식</t>
    <phoneticPr fontId="13" type="noConversion"/>
  </si>
  <si>
    <t>외국납부세액공제(*)</t>
    <phoneticPr fontId="3" type="noConversion"/>
  </si>
  <si>
    <t>(*) 싱가포르의 법인세율과 대한민국의 법인세율 차이비율로 가정함</t>
    <phoneticPr fontId="3" type="noConversion"/>
  </si>
  <si>
    <t>(*) 홍콩의 법인세율과 대한민국의 법인세율 차이비율로 가정함</t>
  </si>
  <si>
    <t>(*) 홍콩의 법인세율과 대한민국의 법인세율 차이비율로 가정함</t>
    <phoneticPr fontId="13" type="noConversion"/>
  </si>
  <si>
    <t>유동성대체</t>
    <phoneticPr fontId="56" type="noConversion"/>
  </si>
  <si>
    <t>단기차입금 상환</t>
    <phoneticPr fontId="56" type="noConversion"/>
  </si>
  <si>
    <t>단기차입금 차입</t>
    <phoneticPr fontId="56" type="noConversion"/>
  </si>
  <si>
    <t>유동성장기차입금 상환</t>
    <phoneticPr fontId="56" type="noConversion"/>
  </si>
  <si>
    <t>보험수리적손실법인세효과</t>
    <phoneticPr fontId="56" type="noConversion"/>
  </si>
  <si>
    <t>사용권자산 종료</t>
    <phoneticPr fontId="56" type="noConversion"/>
  </si>
  <si>
    <t>리스부채의 상환</t>
  </si>
  <si>
    <t>리스부채의 상환</t>
    <phoneticPr fontId="56" type="noConversion"/>
  </si>
  <si>
    <t>리스부채 발생</t>
    <phoneticPr fontId="56" type="noConversion"/>
  </si>
  <si>
    <t>리스부채 유동성대체</t>
  </si>
  <si>
    <t>리스부채 유동성 대체</t>
  </si>
  <si>
    <t>&lt;별도동일</t>
  </si>
  <si>
    <t>기타종속회사</t>
    <phoneticPr fontId="3" type="noConversion"/>
  </si>
  <si>
    <t>리스자산 증감</t>
    <phoneticPr fontId="3" type="noConversion"/>
  </si>
  <si>
    <t>상각누계액 증감</t>
    <phoneticPr fontId="3" type="noConversion"/>
  </si>
  <si>
    <t>리스부채 증감</t>
    <phoneticPr fontId="3" type="noConversion"/>
  </si>
  <si>
    <t>사용권자산감가상각누계액</t>
  </si>
  <si>
    <t>당기상품매입액</t>
  </si>
  <si>
    <t>상품타계정대체</t>
  </si>
  <si>
    <t>END USER 매출,판매수수료 &gt;&gt; HK관련 회계처리 수정시 발생하지 않을 분개 &gt;&gt; 별도에서 취소했으므로 추가 조정분개 없음</t>
  </si>
  <si>
    <t>END USER 매출,판매수수료 &gt;&gt; HK관련 회계처리 수정시 발생하지 않을 분개 &gt;&gt; 별도에서 취소했으므로 추가 조정분개 없음</t>
    <phoneticPr fontId="3" type="noConversion"/>
  </si>
  <si>
    <t>별도에서 인식한 재고이동 회계처리 취소(HK는 해당회계처리 수행하지 않았으므로 연결FS작성을 위해 울트라브이 별도에서 발생한 해당회계처리를 취소) &gt;&gt; HK 관련 회계처리 수정시 발생하지 않을 분개 &gt;&gt; 별도에서 취소했으므로 추가 조정분개 없음</t>
    <phoneticPr fontId="3" type="noConversion"/>
  </si>
  <si>
    <t>&gt;&gt; 22년 재고이동 관련 별도에서 전기 취소한걸 역분개침. 홍콩에서 해당 재고 판매했다고 가정하므로 들어가는것 OK. But 22년말에 채권대신 선수금 들어감 &gt;&gt; 별도에서 취소했으므로 추가 조정분개 없음</t>
    <phoneticPr fontId="3" type="noConversion"/>
  </si>
  <si>
    <t>&gt;&gt; 22년 재고이동 관련 별도에서 전기 취소한걸 역분개침. 홍콩에서 해당 재고 판매했다고 가정하므로 들어가는것 OK &gt;&gt; 별도에서 취소했으므로 추가 조정분개 없음</t>
    <phoneticPr fontId="3" type="noConversion"/>
  </si>
  <si>
    <t>사용권자산 신규</t>
  </si>
  <si>
    <t>리스중단</t>
    <phoneticPr fontId="56" type="noConversion"/>
  </si>
  <si>
    <t>주식보상비용</t>
    <phoneticPr fontId="56" type="noConversion"/>
  </si>
  <si>
    <t>단기금융상품평가이익</t>
  </si>
  <si>
    <t>단기금융상품처분이익</t>
  </si>
  <si>
    <t>원재료평가손실환입</t>
  </si>
  <si>
    <t>배당금수익</t>
  </si>
  <si>
    <t>제품평가손실</t>
  </si>
  <si>
    <t>현금및현금성자산의 증가(감소)</t>
  </si>
  <si>
    <t>매출채권의 감소(증가)</t>
  </si>
  <si>
    <t>미수수익의 감소(증가)</t>
  </si>
  <si>
    <t>미수금의 감소(증가)</t>
  </si>
  <si>
    <t>선급금의 감소(증가)</t>
  </si>
  <si>
    <t>선급비용의 감소(증가)</t>
  </si>
  <si>
    <t>법인세의 납부1</t>
  </si>
  <si>
    <t>매입채무의 증가(감소)</t>
  </si>
  <si>
    <t>미지급금의 증가(감소)</t>
  </si>
  <si>
    <t>미지급비용의 증가(감소)</t>
  </si>
  <si>
    <t>이자의 지급</t>
  </si>
  <si>
    <t>예수금의 증가(감소)</t>
  </si>
  <si>
    <t>선수금의 증가(감소)</t>
  </si>
  <si>
    <t>법인세의 납부3</t>
  </si>
  <si>
    <t>유형자산의 취득</t>
  </si>
  <si>
    <t>임차보증금의 증가</t>
  </si>
  <si>
    <t>단기금융상품 처분</t>
  </si>
  <si>
    <t xml:space="preserve"> 주 . 임.종단기채권의 감소</t>
  </si>
  <si>
    <t>당기손익공정가치측정금융자산의 처분</t>
  </si>
  <si>
    <t>임차보증금의 감소</t>
  </si>
  <si>
    <t>단기차입금 상환</t>
  </si>
  <si>
    <t>유동성장기차입금 상환</t>
  </si>
  <si>
    <t>장기차입금의 상환</t>
  </si>
  <si>
    <t>자기주식의 취득</t>
  </si>
  <si>
    <t>단기차입금 차입</t>
  </si>
  <si>
    <t>장기차입금의 차입</t>
  </si>
  <si>
    <t>4.법인세등환급액(부담액)</t>
  </si>
  <si>
    <t>3.이자의지급</t>
  </si>
  <si>
    <t>2.이자의수취</t>
  </si>
  <si>
    <t>임차보증금(유동)</t>
  </si>
  <si>
    <t>12400</t>
  </si>
  <si>
    <t>12400</t>
    <phoneticPr fontId="3" type="noConversion"/>
  </si>
  <si>
    <t>토지</t>
    <phoneticPr fontId="3" type="noConversion"/>
  </si>
  <si>
    <t>20100</t>
  </si>
  <si>
    <t>20100</t>
    <phoneticPr fontId="3" type="noConversion"/>
  </si>
  <si>
    <t>건설중인자산</t>
    <phoneticPr fontId="3" type="noConversion"/>
  </si>
  <si>
    <t>21400</t>
  </si>
  <si>
    <t>21400</t>
    <phoneticPr fontId="3" type="noConversion"/>
  </si>
  <si>
    <t>22100</t>
  </si>
  <si>
    <t>22100</t>
    <phoneticPr fontId="3" type="noConversion"/>
  </si>
  <si>
    <t>22200</t>
  </si>
  <si>
    <t>22200</t>
    <phoneticPr fontId="3" type="noConversion"/>
  </si>
  <si>
    <t>감가상각누계액시설장치</t>
    <phoneticPr fontId="3" type="noConversion"/>
  </si>
  <si>
    <t>재고자산평가</t>
  </si>
  <si>
    <t>45600</t>
  </si>
  <si>
    <t>45600</t>
    <phoneticPr fontId="3" type="noConversion"/>
  </si>
  <si>
    <t>재고자산평가(제품)</t>
    <phoneticPr fontId="3" type="noConversion"/>
  </si>
  <si>
    <t>46500</t>
  </si>
  <si>
    <t>46500</t>
    <phoneticPr fontId="3" type="noConversion"/>
  </si>
  <si>
    <t>재고자산평가(상품)</t>
    <phoneticPr fontId="3" type="noConversion"/>
  </si>
  <si>
    <t>81600</t>
  </si>
  <si>
    <t>81600</t>
    <phoneticPr fontId="3" type="noConversion"/>
  </si>
  <si>
    <t>전력비</t>
    <phoneticPr fontId="3" type="noConversion"/>
  </si>
  <si>
    <t xml:space="preserve">   재고자산평가</t>
    <phoneticPr fontId="3" type="noConversion"/>
  </si>
  <si>
    <t>토지</t>
    <phoneticPr fontId="3" type="noConversion"/>
  </si>
  <si>
    <t>건설중인자산</t>
    <phoneticPr fontId="3" type="noConversion"/>
  </si>
  <si>
    <t>지급임차료</t>
    <phoneticPr fontId="3" type="noConversion"/>
  </si>
  <si>
    <t>Conversion 후</t>
    <phoneticPr fontId="3" type="noConversion"/>
  </si>
  <si>
    <t>기준일</t>
    <phoneticPr fontId="3" type="noConversion"/>
  </si>
  <si>
    <t xml:space="preserve">          4. 임차보증금</t>
    <phoneticPr fontId="4" type="noConversion"/>
  </si>
  <si>
    <t>Current Account Subsidiary - Dermaster Hong Kong Limited</t>
  </si>
  <si>
    <t>15800</t>
  </si>
  <si>
    <t>15800</t>
    <phoneticPr fontId="3" type="noConversion"/>
  </si>
  <si>
    <t xml:space="preserve">        타계정에서 대체액</t>
  </si>
  <si>
    <t>46300</t>
  </si>
  <si>
    <t xml:space="preserve">        7) 사용권자산</t>
    <phoneticPr fontId="4" type="noConversion"/>
  </si>
  <si>
    <t xml:space="preserve">           사용권자산감가상각누계액_차감계정</t>
    <phoneticPr fontId="4" type="noConversion"/>
  </si>
  <si>
    <t xml:space="preserve">        3) 유동성리스부채</t>
    <phoneticPr fontId="4" type="noConversion"/>
  </si>
  <si>
    <t>기초잉여금_From 전기정산표</t>
    <phoneticPr fontId="4" type="noConversion"/>
  </si>
  <si>
    <t>차이</t>
    <phoneticPr fontId="4" type="noConversion"/>
  </si>
  <si>
    <t>RMB</t>
    <phoneticPr fontId="3" type="noConversion"/>
  </si>
  <si>
    <t xml:space="preserve">          5. 선납법인세</t>
    <phoneticPr fontId="4" type="noConversion"/>
  </si>
  <si>
    <t>RMB(CNH)</t>
    <phoneticPr fontId="3" type="noConversion"/>
  </si>
  <si>
    <t>상해 유상증자</t>
    <phoneticPr fontId="3" type="noConversion"/>
  </si>
  <si>
    <t>설립(2024년 7월)</t>
    <phoneticPr fontId="3" type="noConversion"/>
  </si>
  <si>
    <t>1) 외화기준(SGD)</t>
    <phoneticPr fontId="3" type="noConversion"/>
  </si>
  <si>
    <t>설립(2024년 7월)</t>
    <phoneticPr fontId="3" type="noConversion"/>
  </si>
  <si>
    <t>SG</t>
    <phoneticPr fontId="3" type="noConversion"/>
  </si>
  <si>
    <t>SG 유상증자</t>
    <phoneticPr fontId="3" type="noConversion"/>
  </si>
  <si>
    <t>합병으로 인해 입력 취소</t>
  </si>
  <si>
    <t>합병으로 인해 입력 취소</t>
    <phoneticPr fontId="3" type="noConversion"/>
  </si>
  <si>
    <t>HK</t>
    <phoneticPr fontId="3" type="noConversion"/>
  </si>
  <si>
    <t>HK보유 DHK 종투주식 역사적원가로 환원</t>
    <phoneticPr fontId="3" type="noConversion"/>
  </si>
  <si>
    <t>2024년</t>
    <phoneticPr fontId="4" type="noConversion"/>
  </si>
  <si>
    <t>23년자산</t>
    <phoneticPr fontId="4" type="noConversion"/>
  </si>
  <si>
    <t>잉여금</t>
    <phoneticPr fontId="3" type="noConversion"/>
  </si>
  <si>
    <t>기초</t>
    <phoneticPr fontId="3" type="noConversion"/>
  </si>
  <si>
    <t>NI</t>
    <phoneticPr fontId="3" type="noConversion"/>
  </si>
  <si>
    <t>기말</t>
    <phoneticPr fontId="3" type="noConversion"/>
  </si>
  <si>
    <t>검증</t>
    <phoneticPr fontId="3" type="noConversion"/>
  </si>
  <si>
    <t>해외사업환산</t>
    <phoneticPr fontId="3" type="noConversion"/>
  </si>
  <si>
    <t>기타유동금융자산</t>
    <phoneticPr fontId="3" type="noConversion"/>
  </si>
  <si>
    <t>시설장치</t>
    <phoneticPr fontId="3" type="noConversion"/>
  </si>
  <si>
    <t>시설장치감가상각누계액</t>
  </si>
  <si>
    <t>시설장치감가상각누계액</t>
    <phoneticPr fontId="3" type="noConversion"/>
  </si>
  <si>
    <t>건설중인자산</t>
    <phoneticPr fontId="3" type="noConversion"/>
  </si>
  <si>
    <t>토지</t>
    <phoneticPr fontId="3" type="noConversion"/>
  </si>
  <si>
    <t>기계장치</t>
    <phoneticPr fontId="3" type="noConversion"/>
  </si>
  <si>
    <t>토지</t>
    <phoneticPr fontId="3" type="noConversion"/>
  </si>
  <si>
    <t xml:space="preserve">   재고자산평가(제품)</t>
  </si>
  <si>
    <t xml:space="preserve">   재고자산평가(제품)</t>
    <phoneticPr fontId="3" type="noConversion"/>
  </si>
  <si>
    <t xml:space="preserve">   재고자산평가(상품)</t>
  </si>
  <si>
    <t xml:space="preserve">   재고자산평가(상품)</t>
    <phoneticPr fontId="3" type="noConversion"/>
  </si>
  <si>
    <t>전기 conversion 효과</t>
    <phoneticPr fontId="3" type="noConversion"/>
  </si>
  <si>
    <t>전기이전Conversion차이</t>
  </si>
  <si>
    <t>전기이전Conversion차이</t>
    <phoneticPr fontId="3" type="noConversion"/>
  </si>
  <si>
    <t>HK &amp; DHK(환산)</t>
    <phoneticPr fontId="3" type="noConversion"/>
  </si>
  <si>
    <t>해당없음</t>
  </si>
  <si>
    <t>해당없음</t>
    <phoneticPr fontId="3" type="noConversion"/>
  </si>
  <si>
    <t>환율</t>
    <phoneticPr fontId="3" type="noConversion"/>
  </si>
  <si>
    <t>기초</t>
    <phoneticPr fontId="3" type="noConversion"/>
  </si>
  <si>
    <t>기말</t>
    <phoneticPr fontId="3" type="noConversion"/>
  </si>
  <si>
    <t>평균</t>
    <phoneticPr fontId="3" type="noConversion"/>
  </si>
  <si>
    <t>팜합병</t>
    <phoneticPr fontId="56" type="noConversion"/>
  </si>
  <si>
    <t>유동성대체</t>
    <phoneticPr fontId="56" type="noConversion"/>
  </si>
  <si>
    <t>차입금대환(유동성-&gt;장기)</t>
  </si>
  <si>
    <t>주식선택권 행사</t>
  </si>
  <si>
    <t>주식선택권 행사</t>
    <phoneticPr fontId="3" type="noConversion"/>
  </si>
  <si>
    <t>단기대여금의 감소</t>
    <phoneticPr fontId="3" type="noConversion"/>
  </si>
  <si>
    <t>토지</t>
    <phoneticPr fontId="3" type="noConversion"/>
  </si>
  <si>
    <t>범위변동</t>
    <phoneticPr fontId="3" type="noConversion"/>
  </si>
  <si>
    <t>건설중인자산</t>
    <phoneticPr fontId="3" type="noConversion"/>
  </si>
  <si>
    <t>시설장치</t>
    <phoneticPr fontId="3" type="noConversion"/>
  </si>
  <si>
    <t>시설장치 포함</t>
    <phoneticPr fontId="3" type="noConversion"/>
  </si>
  <si>
    <t>부재료평가손실환입</t>
    <phoneticPr fontId="56" type="noConversion"/>
  </si>
  <si>
    <t>부재료평가손실</t>
    <phoneticPr fontId="56" type="noConversion"/>
  </si>
  <si>
    <t>HK&amp;DHK(외화)</t>
    <phoneticPr fontId="3" type="noConversion"/>
  </si>
  <si>
    <t>HK&amp;DHK(원화)</t>
    <phoneticPr fontId="3" type="noConversion"/>
  </si>
  <si>
    <t>상해(해당없음)</t>
    <phoneticPr fontId="3" type="noConversion"/>
  </si>
  <si>
    <t>SG(해당없음)</t>
    <phoneticPr fontId="3" type="noConversion"/>
  </si>
  <si>
    <t>환율변동효과</t>
    <phoneticPr fontId="3" type="noConversion"/>
  </si>
  <si>
    <t>자산</t>
    <phoneticPr fontId="3" type="noConversion"/>
  </si>
  <si>
    <t>부채</t>
    <phoneticPr fontId="3" type="noConversion"/>
  </si>
  <si>
    <t>임차보증금(유동)</t>
    <phoneticPr fontId="3" type="noConversion"/>
  </si>
  <si>
    <t>기타유동금융자산</t>
    <phoneticPr fontId="3" type="noConversion"/>
  </si>
  <si>
    <t>재고자산평가손실(환입)</t>
    <phoneticPr fontId="3" type="noConversion"/>
  </si>
  <si>
    <t>임차보증금의 증가</t>
    <phoneticPr fontId="4" type="noConversion"/>
  </si>
  <si>
    <t>단기금융상품의 감소</t>
    <phoneticPr fontId="3" type="noConversion"/>
  </si>
  <si>
    <t>PL</t>
    <phoneticPr fontId="3" type="noConversion"/>
  </si>
  <si>
    <t>차이</t>
    <phoneticPr fontId="3" type="noConversion"/>
  </si>
  <si>
    <t>지급수수료</t>
    <phoneticPr fontId="3" type="noConversion"/>
  </si>
  <si>
    <t>환율(HKD)</t>
    <phoneticPr fontId="3" type="noConversion"/>
  </si>
  <si>
    <t>평균</t>
    <phoneticPr fontId="3" type="noConversion"/>
  </si>
  <si>
    <t>기말</t>
    <phoneticPr fontId="3" type="noConversion"/>
  </si>
  <si>
    <t>예수금</t>
    <phoneticPr fontId="3" type="noConversion"/>
  </si>
  <si>
    <t>SG</t>
    <phoneticPr fontId="3" type="noConversion"/>
  </si>
  <si>
    <t>상해</t>
    <phoneticPr fontId="3" type="noConversion"/>
  </si>
  <si>
    <t>DHK</t>
    <phoneticPr fontId="3" type="noConversion"/>
  </si>
  <si>
    <t>상해</t>
    <phoneticPr fontId="3" type="noConversion"/>
  </si>
  <si>
    <t>3개월</t>
  </si>
  <si>
    <t>누적</t>
  </si>
  <si>
    <t>지분법손익</t>
  </si>
  <si>
    <t>분기순이익(손실)</t>
  </si>
  <si>
    <t>  지배기업의 소유주 귀속 분기순이익</t>
  </si>
  <si>
    <t>  비지배지분 귀속 분기순이익</t>
  </si>
  <si>
    <t> 순확정급여부채의 재측정요소</t>
  </si>
  <si>
    <t>후속적으로당기손익으로 재분류되는항목</t>
  </si>
  <si>
    <t> 해외사업장환산외화차이</t>
  </si>
  <si>
    <t>  지배기업의 소유주 귀속 총포괄손익</t>
  </si>
  <si>
    <t>  비지배지분 귀속 총포괄손익</t>
  </si>
  <si>
    <t>3개월</t>
    <phoneticPr fontId="74" type="noConversion"/>
  </si>
  <si>
    <t>누적</t>
    <phoneticPr fontId="74" type="noConversion"/>
  </si>
  <si>
    <t>과목</t>
    <phoneticPr fontId="74" type="noConversion"/>
  </si>
  <si>
    <t>반기순이익(손실)</t>
  </si>
  <si>
    <t>  지배기업의 소유주 귀속 반기순이익</t>
  </si>
  <si>
    <t>  비지배지분 귀속 반기순이익</t>
  </si>
  <si>
    <t>비지배지분</t>
    <phoneticPr fontId="4" type="noConversion"/>
  </si>
  <si>
    <t>당기순이익</t>
    <phoneticPr fontId="3" type="noConversion"/>
  </si>
  <si>
    <t>기타유동금융자산</t>
    <phoneticPr fontId="3" type="noConversion"/>
  </si>
  <si>
    <t>기타부채</t>
    <phoneticPr fontId="3" type="noConversion"/>
  </si>
  <si>
    <t>&gt;리스부채</t>
    <phoneticPr fontId="3" type="noConversion"/>
  </si>
  <si>
    <t>12500</t>
  </si>
  <si>
    <t>임차보증금(유동)_현재가치할인차금</t>
  </si>
  <si>
    <t>17600</t>
  </si>
  <si>
    <t>18900</t>
  </si>
  <si>
    <t>임차보증금_현재가치할인차금</t>
  </si>
  <si>
    <t>기타장기종업원급여채무</t>
  </si>
  <si>
    <t>31700</t>
  </si>
  <si>
    <t>17600</t>
    <phoneticPr fontId="3" type="noConversion"/>
  </si>
  <si>
    <t>51500</t>
  </si>
  <si>
    <t>가스수도료</t>
  </si>
  <si>
    <t>95300</t>
  </si>
  <si>
    <t>관계기업투자주식처분손실</t>
  </si>
  <si>
    <t>기타비유동부채</t>
  </si>
  <si>
    <t>장기종업원급여부채</t>
  </si>
  <si>
    <t>(3)식음료매출원가</t>
  </si>
  <si>
    <t>보상비</t>
  </si>
  <si>
    <t>93700</t>
  </si>
  <si>
    <t>93700</t>
    <phoneticPr fontId="3" type="noConversion"/>
  </si>
  <si>
    <t>보상비</t>
    <phoneticPr fontId="3" type="noConversion"/>
  </si>
  <si>
    <t>HK 유상증자</t>
    <phoneticPr fontId="3" type="noConversion"/>
  </si>
  <si>
    <t>가결산차이</t>
    <phoneticPr fontId="3" type="noConversion"/>
  </si>
  <si>
    <t>End User 회계처리를 통해 알수 있었으나 End User 회계처리를 2024년부터 수행하지 않음. HK 보유 상품재고 기재. 회사 전체 이익률 고려하여 제거 매출액 산정</t>
    <phoneticPr fontId="3" type="noConversion"/>
  </si>
  <si>
    <t>별도 매출원가율</t>
    <phoneticPr fontId="3" type="noConversion"/>
  </si>
  <si>
    <t>기초</t>
    <phoneticPr fontId="3" type="noConversion"/>
  </si>
  <si>
    <t>변동</t>
    <phoneticPr fontId="3" type="noConversion"/>
  </si>
  <si>
    <t>기말</t>
    <phoneticPr fontId="3" type="noConversion"/>
  </si>
  <si>
    <t>검증</t>
    <phoneticPr fontId="3" type="noConversion"/>
  </si>
  <si>
    <t>/ 피투자회사 2411재무제표 확인</t>
    <phoneticPr fontId="4" type="noConversion"/>
  </si>
  <si>
    <t>당기지분법손익(전기말차이)</t>
  </si>
  <si>
    <t>관계기업투자주식처분이익</t>
  </si>
  <si>
    <t>관계기업투자주식처분이익</t>
    <phoneticPr fontId="3" type="noConversion"/>
  </si>
  <si>
    <t>&gt;&gt; 홍콩 2023년 가결산차이 반영에 따른 조정</t>
    <phoneticPr fontId="3" type="noConversion"/>
  </si>
  <si>
    <t>&gt;&gt; 단수조정</t>
    <phoneticPr fontId="3" type="noConversion"/>
  </si>
  <si>
    <t>관계기업 일부처분 후 FVPL대체 관련 분개</t>
  </si>
  <si>
    <t>관계기업 일부처분 후 FVPL대체 관련 분개</t>
    <phoneticPr fontId="3" type="noConversion"/>
  </si>
  <si>
    <t>별도재무제표상 종속기업투자주식으로 분류되어있는 관계기업투자주식 계정재분류 &gt;&gt; 수정되었으므로 조정분개 제거</t>
    <phoneticPr fontId="3" type="noConversion"/>
  </si>
  <si>
    <t>본사</t>
  </si>
  <si>
    <t>본사</t>
    <phoneticPr fontId="3" type="noConversion"/>
  </si>
  <si>
    <t>단수조정</t>
    <phoneticPr fontId="3" type="noConversion"/>
  </si>
  <si>
    <t>기타</t>
    <phoneticPr fontId="3" type="noConversion"/>
  </si>
  <si>
    <t>&gt;&gt; 울트라팜 기타종업원급여 인식 &gt;&gt; 합병시 별도에 기반영됐으므로 제거</t>
  </si>
  <si>
    <t>&gt;&gt; 울트라팜 기타종업원급여 인식 &gt;&gt; 합병시 별도에 기반영됐으므로 제거</t>
    <phoneticPr fontId="3" type="noConversion"/>
  </si>
  <si>
    <t>정산표</t>
    <phoneticPr fontId="3" type="noConversion"/>
  </si>
  <si>
    <t>해외사업장환산손익</t>
    <phoneticPr fontId="3" type="noConversion"/>
  </si>
  <si>
    <t>울트라팜 차량운반구 내부거래. 2022년 중 실현완료 &gt;&gt; 팜 합병완료. 제거하기</t>
    <phoneticPr fontId="3" type="noConversion"/>
  </si>
  <si>
    <t>감가종료/잔존가 1000원 &gt;&gt; 팜합병완료. 제거하기</t>
    <phoneticPr fontId="3" type="noConversion"/>
  </si>
  <si>
    <t>2024년 법인세비용</t>
    <phoneticPr fontId="13" type="noConversion"/>
  </si>
  <si>
    <t>전액 내부거래 차이</t>
  </si>
  <si>
    <t>전액 내부거래 차이</t>
    <phoneticPr fontId="3" type="noConversion"/>
  </si>
  <si>
    <t>전액 투자자본상계 제거액</t>
    <phoneticPr fontId="3" type="noConversion"/>
  </si>
  <si>
    <t>내부거래 관련 법인세 효과</t>
    <phoneticPr fontId="3" type="noConversion"/>
  </si>
  <si>
    <t>해외사업환산손익</t>
    <phoneticPr fontId="3" type="noConversion"/>
  </si>
  <si>
    <t>리스 효과 반영 후 자산부채 입력</t>
    <phoneticPr fontId="3" type="noConversion"/>
  </si>
  <si>
    <t>END USER 매출,판매수수료 &gt;&gt; HK관련 회계처리 수정시 발생하지 않을 분개 &gt;&gt; 별도에서 취소했으나 누적효과 존재하기 때문에 제거</t>
  </si>
  <si>
    <t>별도에서 인식한 재고이동 회계처리 취소(HK는 해당회계처리 수행하지 않았으므로 연결FS작성을 위해 울트라브이 별도에서 발생한 해당회계처리를 취소) &gt;&gt; HK 관련 회계처리 수정시 발생하지 않을 분개 &gt;&gt; 별도에서 취소했으나 누적효과존재하기 때문에 제거</t>
  </si>
  <si>
    <t>울트라팜</t>
    <phoneticPr fontId="3" type="noConversion"/>
  </si>
  <si>
    <t>합병시 인식했던 울트라팜 장기종업권급여채무 제거(1분기 울트라팜 자체결산시 포함되지 않은 당기 인식액을 반영하기 위한 분개)</t>
    <phoneticPr fontId="3" type="noConversion"/>
  </si>
  <si>
    <t>전기 연결조정분개 고려하여 재인식(1분기 울트라팜 자체결산시 포함되지 않은 당기 인식액을 반영하기 위한 분개)</t>
    <phoneticPr fontId="3" type="noConversion"/>
  </si>
  <si>
    <t>수정전</t>
  </si>
  <si>
    <t>차변</t>
  </si>
  <si>
    <t>대변</t>
  </si>
  <si>
    <t>리스 수정등에 따른 차이 등</t>
    <phoneticPr fontId="3" type="noConversion"/>
  </si>
  <si>
    <t>선급금</t>
    <phoneticPr fontId="3" type="noConversion"/>
  </si>
  <si>
    <t>처분</t>
    <phoneticPr fontId="3" type="noConversion"/>
  </si>
  <si>
    <t>기업은행</t>
    <phoneticPr fontId="4" type="noConversion"/>
  </si>
  <si>
    <t>시설자금대출</t>
  </si>
  <si>
    <t>가. 당기순이익(손실)</t>
    <phoneticPr fontId="13" type="noConversion"/>
  </si>
  <si>
    <t>나. 가중평균유통보통주식수</t>
    <phoneticPr fontId="13" type="noConversion"/>
  </si>
  <si>
    <t>다. 주당순이익(손실) (가÷나)</t>
    <phoneticPr fontId="13" type="noConversion"/>
  </si>
  <si>
    <t>3개월</t>
    <phoneticPr fontId="13" type="noConversion"/>
  </si>
  <si>
    <t>누적</t>
    <phoneticPr fontId="13" type="noConversion"/>
  </si>
  <si>
    <t> 전환가정효과</t>
  </si>
  <si>
    <t>전환가정 시 당기순이익(손실)</t>
  </si>
  <si>
    <t>희석성 잠재적 보통주식수(*)</t>
  </si>
  <si>
    <t>조정된 가중평균주식수</t>
  </si>
  <si>
    <t>희석주당이익(손실)</t>
  </si>
  <si>
    <t>대체</t>
  </si>
  <si>
    <t>대체</t>
    <phoneticPr fontId="3" type="noConversion"/>
  </si>
  <si>
    <t>JPY</t>
  </si>
  <si>
    <t>JPY</t>
    <phoneticPr fontId="3" type="noConversion"/>
  </si>
  <si>
    <t>부재료평가손실환입</t>
  </si>
  <si>
    <t>Kanyarat(Jeab),태국</t>
  </si>
  <si>
    <t>비율</t>
    <phoneticPr fontId="4" type="noConversion"/>
  </si>
  <si>
    <t>고객 A</t>
  </si>
  <si>
    <t>고객 B</t>
    <phoneticPr fontId="4" type="noConversion"/>
  </si>
  <si>
    <t>합계</t>
    <phoneticPr fontId="4" type="noConversion"/>
  </si>
  <si>
    <t>(3) 주요 고객에 대한 정보</t>
  </si>
  <si>
    <t>해당사항 없음</t>
  </si>
  <si>
    <t>해당사항 없음</t>
    <phoneticPr fontId="3" type="noConversion"/>
  </si>
  <si>
    <t>HK&amp;DHK</t>
  </si>
  <si>
    <t>HK&amp;DHK</t>
    <phoneticPr fontId="3" type="noConversion"/>
  </si>
  <si>
    <t>HK과 합쳐서 기재</t>
  </si>
  <si>
    <t>HK과 합쳐서 기재</t>
    <phoneticPr fontId="3" type="noConversion"/>
  </si>
  <si>
    <t xml:space="preserve"> 환율변동효과</t>
  </si>
  <si>
    <t xml:space="preserve"> 환율변동효과</t>
    <phoneticPr fontId="3" type="noConversion"/>
  </si>
  <si>
    <t>울트라팜 합병시 인식한 대손환입 제거(전기 내부거래로 제거했기 때문에 상대계정 충당금 아닌 잉여금 사용)</t>
    <phoneticPr fontId="3" type="noConversion"/>
  </si>
  <si>
    <t>전기 인식한 대손충당금효과</t>
    <phoneticPr fontId="3" type="noConversion"/>
  </si>
  <si>
    <t>(5) 보고기간종료일 현재 지배기업의 확정급여채무의 가중평균만기는 8.14년(전기 8.2년)이며, 할인되지 않은 연금 급여지급액의 만기분석은 다음과 같습니다.</t>
    <phoneticPr fontId="3" type="noConversion"/>
  </si>
  <si>
    <t>조정</t>
    <phoneticPr fontId="3" type="noConversion"/>
  </si>
  <si>
    <t>당기법인세부채</t>
    <phoneticPr fontId="56" type="noConversion"/>
  </si>
  <si>
    <t>FVPL대체</t>
  </si>
  <si>
    <t>FVPL대체</t>
    <phoneticPr fontId="56" type="noConversion"/>
  </si>
  <si>
    <t>복리후생비</t>
    <phoneticPr fontId="56" type="noConversion"/>
  </si>
  <si>
    <t>기타장기종업원급여의 증가(감소)</t>
  </si>
  <si>
    <t>계정대체</t>
  </si>
  <si>
    <t>이연법인세자산의 미인식</t>
    <phoneticPr fontId="3" type="noConversion"/>
  </si>
  <si>
    <t>소계</t>
    <phoneticPr fontId="3" type="noConversion"/>
  </si>
  <si>
    <t>당기와 전기 중 회사 매출액의 10% 이상을 차지하는 외부 고객과 관련된 정보는 다음과 같습니다.</t>
    <phoneticPr fontId="3" type="noConversion"/>
  </si>
  <si>
    <t>당기손익-공정가치금융자산</t>
    <phoneticPr fontId="3" type="noConversion"/>
  </si>
  <si>
    <t>환불자산</t>
  </si>
  <si>
    <t>환불자산</t>
    <phoneticPr fontId="3" type="noConversion"/>
  </si>
  <si>
    <t>환불자산</t>
    <phoneticPr fontId="3" type="noConversion"/>
  </si>
  <si>
    <t>기타의대손상각비환입</t>
  </si>
  <si>
    <t>기타의대손상각비환입</t>
    <phoneticPr fontId="3" type="noConversion"/>
  </si>
  <si>
    <t>2024년 종속기업투자주식 손상차손 제거</t>
    <phoneticPr fontId="3" type="noConversion"/>
  </si>
  <si>
    <t>환불자산의 감소(증가)</t>
  </si>
  <si>
    <t>차입원가자본화</t>
    <phoneticPr fontId="56" type="noConversion"/>
  </si>
  <si>
    <t>상해</t>
    <phoneticPr fontId="3" type="noConversion"/>
  </si>
  <si>
    <t>기타의 대손상각비(환입)</t>
  </si>
  <si>
    <t>기타의 대손상각비(환입)</t>
    <phoneticPr fontId="3" type="noConversion"/>
  </si>
  <si>
    <t>1) 국고보조금 주석 추가</t>
  </si>
  <si>
    <t>고기능성</t>
  </si>
  <si>
    <t>글로벌</t>
  </si>
  <si>
    <t>혁신형</t>
  </si>
  <si>
    <t>기초 미사용잔액</t>
    <phoneticPr fontId="3" type="noConversion"/>
  </si>
  <si>
    <t>정부보조금 수령액</t>
    <phoneticPr fontId="3" type="noConversion"/>
  </si>
  <si>
    <t>정부보조금 사용액</t>
    <phoneticPr fontId="3" type="noConversion"/>
  </si>
  <si>
    <t>비용충당액</t>
    <phoneticPr fontId="3" type="noConversion"/>
  </si>
  <si>
    <t>유형자산 취득</t>
    <phoneticPr fontId="3" type="noConversion"/>
  </si>
  <si>
    <t>무형자산 취득</t>
    <phoneticPr fontId="3" type="noConversion"/>
  </si>
  <si>
    <t>정부보조금 반납액</t>
    <phoneticPr fontId="3" type="noConversion"/>
  </si>
  <si>
    <t>기말 미사용잔액</t>
    <phoneticPr fontId="3" type="noConversion"/>
  </si>
  <si>
    <t>2) 별도재무제표 현금흐름표 환율변동효과 표시 - 외화예금이 있음.</t>
  </si>
  <si>
    <t>3) 금융상품 공정가치의 공정가치 측정에 대한 투입변수등 표기</t>
  </si>
  <si>
    <t>총손익</t>
  </si>
  <si>
    <t> 당기손익인식액</t>
  </si>
  <si>
    <t>관계기업투자주식으부터의 이동</t>
    <phoneticPr fontId="13" type="noConversion"/>
  </si>
  <si>
    <t>(*4)</t>
  </si>
  <si>
    <t>미실현 당기손익</t>
  </si>
  <si>
    <t>(*5)</t>
  </si>
  <si>
    <t>가치평가기법</t>
  </si>
  <si>
    <t>투입변수</t>
  </si>
  <si>
    <t>수준3 투입변수 범위</t>
  </si>
  <si>
    <t> (가중평균)</t>
  </si>
  <si>
    <t>당기손익-공정가치 측정 금융상품</t>
  </si>
  <si>
    <t> 의료장비 제조업 주식</t>
    <phoneticPr fontId="13" type="noConversion"/>
  </si>
  <si>
    <t>현금흐름할인법</t>
    <phoneticPr fontId="13" type="noConversion"/>
  </si>
  <si>
    <t>장기 매출성장률</t>
    <phoneticPr fontId="13" type="noConversion"/>
  </si>
  <si>
    <t>-7.4%~107.1%</t>
    <phoneticPr fontId="13" type="noConversion"/>
  </si>
  <si>
    <t>영업이익률</t>
    <phoneticPr fontId="13" type="noConversion"/>
  </si>
  <si>
    <t>-23.1%~31.2%</t>
    <phoneticPr fontId="13" type="noConversion"/>
  </si>
  <si>
    <t>유리한 변동</t>
  </si>
  <si>
    <t>불리한 변동</t>
  </si>
  <si>
    <t>비상장주식(*2)</t>
  </si>
  <si>
    <r>
      <t>(</t>
    </r>
    <r>
      <rPr>
        <b/>
        <sz val="10"/>
        <color theme="3"/>
        <rFont val="맑은 고딕"/>
        <family val="3"/>
        <charset val="129"/>
      </rPr>
      <t>단위</t>
    </r>
    <r>
      <rPr>
        <b/>
        <sz val="10"/>
        <color theme="3"/>
        <rFont val="Arial"/>
        <family val="2"/>
      </rPr>
      <t>:</t>
    </r>
    <r>
      <rPr>
        <b/>
        <sz val="10"/>
        <color theme="3"/>
        <rFont val="맑은 고딕"/>
        <family val="3"/>
        <charset val="129"/>
      </rPr>
      <t>원</t>
    </r>
    <r>
      <rPr>
        <b/>
        <sz val="10"/>
        <color theme="3"/>
        <rFont val="Arial"/>
        <family val="2"/>
      </rPr>
      <t>)</t>
    </r>
    <phoneticPr fontId="11" type="noConversion"/>
  </si>
  <si>
    <r>
      <rPr>
        <b/>
        <sz val="10"/>
        <color theme="3"/>
        <rFont val="맑은 고딕"/>
        <family val="3"/>
        <charset val="129"/>
      </rPr>
      <t>영구성장율</t>
    </r>
    <phoneticPr fontId="11" type="noConversion"/>
  </si>
  <si>
    <t>WACC</t>
    <phoneticPr fontId="11" type="noConversion"/>
  </si>
  <si>
    <t>주식수</t>
    <phoneticPr fontId="13" type="noConversion"/>
  </si>
  <si>
    <t>주</t>
    <phoneticPr fontId="13" type="noConversion"/>
  </si>
  <si>
    <t>평가금액</t>
    <phoneticPr fontId="13" type="noConversion"/>
  </si>
  <si>
    <t>원</t>
    <phoneticPr fontId="13" type="noConversion"/>
  </si>
  <si>
    <t>4) 유형자산에 차입금의 담보제공사실에 대한 기재(건설중인자산 및 토지에 대한 담보 설정)</t>
  </si>
  <si>
    <t>한편 당사의 토지 및 건물 중 일부가 당사의 차입금에 대한 담보로 제공되어 있습니다(주석23 참조).</t>
    <phoneticPr fontId="13" type="noConversion"/>
  </si>
  <si>
    <t>5) 무형자산에 대해 IP담보 등 제공사실에 대한 기재</t>
  </si>
  <si>
    <t>한편 당사의 산업재산권 중 일부가 당사의 차입금에 대한 담보로 제공되어 있습니다(주석23 참조).</t>
    <phoneticPr fontId="13" type="noConversion"/>
  </si>
  <si>
    <t>6) 차입금에 담보 및 보증내용 언급</t>
  </si>
  <si>
    <t>상기 단ㆍ장기차입금과 관련하여 당사의 유무형자산 등이 담보로 제공되어 있습니다(주석 23 참조).</t>
    <phoneticPr fontId="13" type="noConversion"/>
  </si>
  <si>
    <t>7) 이연법인세 주석에 자본에 가감하는 효과 기재</t>
  </si>
  <si>
    <t>당기 및 전기 중 자본에 직접 반영된 법인세 효과는 다음과 같습니다.</t>
    <phoneticPr fontId="13" type="noConversion"/>
  </si>
  <si>
    <t>(단위: 원) </t>
    <phoneticPr fontId="13" type="noConversion"/>
  </si>
  <si>
    <t>이연법인세</t>
  </si>
  <si>
    <t>  보험수리적 손익</t>
    <phoneticPr fontId="13" type="noConversion"/>
  </si>
  <si>
    <t>8) 우발상황과 약정사항 : 제공금액등 오류금액 수정(1,326,000,000원--&gt; 당기는 820,000,000원)</t>
  </si>
  <si>
    <t>수정전</t>
    <phoneticPr fontId="13" type="noConversion"/>
  </si>
  <si>
    <t>수정후</t>
    <phoneticPr fontId="13" type="noConversion"/>
  </si>
  <si>
    <t>9) 자본화차입원가 변경에 따른 주석 수정</t>
  </si>
  <si>
    <t>(*1) 당기 중 자본화된 차입원가는 36,673천원이며, 자본화가능차입원가를 산정하기 위하여 사용된 자본화이자율은 3.48%입니다.</t>
    <phoneticPr fontId="13" type="noConversion"/>
  </si>
  <si>
    <t>(*1) 당기 중 자본화된 차입원가는 57,356천원이며, 자본화가능차입원가를 산정하기 위하여 사용된 자본화이자율은 5.11%입니다.</t>
    <phoneticPr fontId="13" type="noConversion"/>
  </si>
  <si>
    <t>10) 주식기준보상 금액변경에 따른 주석 수정</t>
  </si>
  <si>
    <t>11) 특수관계자에 대한 주석 수정, 별도 화일제시예정</t>
  </si>
  <si>
    <t>&gt;&gt; 수정완료(별도 파일 참조)</t>
    <phoneticPr fontId="13" type="noConversion"/>
  </si>
  <si>
    <t>&gt;&gt; HK추가필요</t>
    <phoneticPr fontId="13" type="noConversion"/>
  </si>
  <si>
    <t>N/A</t>
    <phoneticPr fontId="13" type="noConversion"/>
  </si>
  <si>
    <t>&gt;&gt; 수정완료(별도와 동일)</t>
  </si>
  <si>
    <t>&gt;&gt; 수정완료(별도와 동일)</t>
    <phoneticPr fontId="13" type="noConversion"/>
  </si>
  <si>
    <t>&gt;&gt; 수정완료(24번 주석탭 참조)(별도와 동일)</t>
    <phoneticPr fontId="13" type="noConversion"/>
  </si>
  <si>
    <t>(4) 재무활동에서 발생하는 부채의 변동</t>
    <phoneticPr fontId="3" type="noConversion"/>
  </si>
  <si>
    <t>기타(*1)</t>
  </si>
  <si>
    <t>유동성장기차입금</t>
    <phoneticPr fontId="3" type="noConversion"/>
  </si>
  <si>
    <t>리스부채</t>
    <phoneticPr fontId="3" type="noConversion"/>
  </si>
  <si>
    <t>재무활동현금흐름</t>
    <phoneticPr fontId="3" type="noConversion"/>
  </si>
  <si>
    <t>부동산</t>
  </si>
  <si>
    <t>기타의대손상각비</t>
    <phoneticPr fontId="3" type="noConversion"/>
  </si>
  <si>
    <t>보고기간말 현재 회사가 인식하고 있는 계약자산과 계약부채는 다음와 같습니다.</t>
    <phoneticPr fontId="13" type="noConversion"/>
  </si>
  <si>
    <t>부   문</t>
  </si>
  <si>
    <t>계약부채(*1)</t>
  </si>
  <si>
    <t xml:space="preserve"> 제품매출 등</t>
    <phoneticPr fontId="13" type="noConversion"/>
  </si>
  <si>
    <t>기초의 계약부채 잔액 중 당기에 인식한 수익</t>
  </si>
  <si>
    <t xml:space="preserve"> 제품매출 등</t>
  </si>
  <si>
    <t>당기손익-공정가치금융자산:</t>
    <phoneticPr fontId="3" type="noConversion"/>
  </si>
  <si>
    <t>기타부채:</t>
    <phoneticPr fontId="3" type="noConversion"/>
  </si>
  <si>
    <t>6개월</t>
  </si>
  <si>
    <t>9개월</t>
  </si>
  <si>
    <t>종속기업의 일시적 차이 등</t>
  </si>
  <si>
    <t>이연법인세자산</t>
    <phoneticPr fontId="3" type="noConversion"/>
  </si>
  <si>
    <t>14000</t>
  </si>
  <si>
    <t>14000</t>
    <phoneticPr fontId="3" type="noConversion"/>
  </si>
  <si>
    <t>19500</t>
  </si>
  <si>
    <t>19500</t>
    <phoneticPr fontId="3" type="noConversion"/>
  </si>
  <si>
    <t>20200</t>
    <phoneticPr fontId="3" type="noConversion"/>
  </si>
  <si>
    <t>20300</t>
    <phoneticPr fontId="3" type="noConversion"/>
  </si>
  <si>
    <t>감가상각누계액건물</t>
    <phoneticPr fontId="3" type="noConversion"/>
  </si>
  <si>
    <t>건물</t>
    <phoneticPr fontId="3" type="noConversion"/>
  </si>
  <si>
    <t>감가상각누계액건물</t>
    <phoneticPr fontId="3" type="noConversion"/>
  </si>
  <si>
    <t>건물감가상각누계액</t>
    <phoneticPr fontId="3" type="noConversion"/>
  </si>
  <si>
    <t>20200</t>
    <phoneticPr fontId="3" type="noConversion"/>
  </si>
  <si>
    <t>20300</t>
    <phoneticPr fontId="3" type="noConversion"/>
  </si>
  <si>
    <t>19600</t>
  </si>
  <si>
    <t>19600</t>
    <phoneticPr fontId="3" type="noConversion"/>
  </si>
  <si>
    <t>90500</t>
  </si>
  <si>
    <t>리스비</t>
    <phoneticPr fontId="3" type="noConversion"/>
  </si>
  <si>
    <t>85000</t>
    <phoneticPr fontId="3" type="noConversion"/>
  </si>
  <si>
    <t>95400</t>
  </si>
  <si>
    <t>기타의대손상각비</t>
    <phoneticPr fontId="3" type="noConversion"/>
  </si>
  <si>
    <t xml:space="preserve">    (4) 기부금</t>
  </si>
  <si>
    <t xml:space="preserve">    (4) 기부금</t>
    <phoneticPr fontId="3" type="noConversion"/>
  </si>
  <si>
    <t>Legal and Professional Fee</t>
  </si>
  <si>
    <t>Bank Charges</t>
  </si>
  <si>
    <t>Company Secretarial Fee</t>
  </si>
  <si>
    <t>Licence Fee (Computer Software Subscription)</t>
  </si>
  <si>
    <t>Business Registration Fee</t>
  </si>
  <si>
    <t>Accounting Fee</t>
  </si>
  <si>
    <t>License Fee (Computer Software Subscription)</t>
  </si>
  <si>
    <t xml:space="preserve">          5. 선납법인세</t>
  </si>
  <si>
    <t>FY 2025 발생분</t>
    <phoneticPr fontId="3" type="noConversion"/>
  </si>
  <si>
    <t xml:space="preserve">    상품재고 매입금액(HK)(울트라브이 제품매출액)</t>
    <phoneticPr fontId="3" type="noConversion"/>
  </si>
  <si>
    <t xml:space="preserve">    제품재고 판매원가(울트라브이 매출원가)</t>
  </si>
  <si>
    <t xml:space="preserve">    상품재고 매입금액(HK)(울트라브이 상품매출액)</t>
    <phoneticPr fontId="3" type="noConversion"/>
  </si>
  <si>
    <t xml:space="preserve">    제품재고 판매원가(울트라브이 제품원가)</t>
    <phoneticPr fontId="3" type="noConversion"/>
  </si>
  <si>
    <t>회사 전체 이익률 고려하여 제거 제품매출원가 산정</t>
    <phoneticPr fontId="3" type="noConversion"/>
  </si>
  <si>
    <t>회사 전체 이익률 고려하여 제거 상품매출원가 산정</t>
    <phoneticPr fontId="3" type="noConversion"/>
  </si>
  <si>
    <t>제품재고 판매원가(울트라브이)</t>
  </si>
  <si>
    <t>상품재고 실현분</t>
  </si>
  <si>
    <t>미착재고 실현분</t>
  </si>
  <si>
    <t>HK 2023년 4Q 미실현손익 실현</t>
  </si>
  <si>
    <t>상품재고 판매원가(HK)</t>
    <phoneticPr fontId="3" type="noConversion"/>
  </si>
  <si>
    <t>감사 수정사항(25년 연결시 제거. HK 별도에 바로 반영예정) &gt;&gt; RIT에 반영완료</t>
    <phoneticPr fontId="3" type="noConversion"/>
  </si>
  <si>
    <t>당분기</t>
    <phoneticPr fontId="3" type="noConversion"/>
  </si>
  <si>
    <t>전기말</t>
    <phoneticPr fontId="3" type="noConversion"/>
  </si>
  <si>
    <t>대체</t>
    <phoneticPr fontId="3" type="noConversion"/>
  </si>
  <si>
    <t>&lt;주석 시트 수식 연동</t>
    <phoneticPr fontId="56" type="noConversion"/>
  </si>
  <si>
    <t>건물</t>
    <phoneticPr fontId="3" type="noConversion"/>
  </si>
  <si>
    <t>당분기</t>
    <phoneticPr fontId="3" type="noConversion"/>
  </si>
  <si>
    <t>&lt;당기-누적&gt;</t>
    <phoneticPr fontId="13" type="noConversion"/>
  </si>
  <si>
    <t>(단위: 주)</t>
  </si>
  <si>
    <t>내용</t>
  </si>
  <si>
    <t>시작일</t>
    <phoneticPr fontId="13" type="noConversion"/>
  </si>
  <si>
    <t>종료일</t>
    <phoneticPr fontId="13" type="noConversion"/>
  </si>
  <si>
    <t>유통보통주식수</t>
    <phoneticPr fontId="13" type="noConversion"/>
  </si>
  <si>
    <t>적수</t>
    <phoneticPr fontId="13" type="noConversion"/>
  </si>
  <si>
    <t>총적수/총일수</t>
  </si>
  <si>
    <t>당분기</t>
  </si>
  <si>
    <t>ref. 별도 정산표(주석</t>
    <phoneticPr fontId="3" type="noConversion"/>
  </si>
  <si>
    <t>구분</t>
    <phoneticPr fontId="3" type="noConversion"/>
  </si>
  <si>
    <t>희석효과</t>
    <phoneticPr fontId="13" type="noConversion"/>
  </si>
  <si>
    <r>
      <t>4.1.3 유동성 위험</t>
    </r>
    <r>
      <rPr>
        <b/>
        <sz val="10"/>
        <color rgb="FF000000"/>
        <rFont val="맑은 고딕"/>
        <family val="3"/>
        <charset val="129"/>
        <scheme val="major"/>
      </rPr>
      <t> </t>
    </r>
  </si>
  <si>
    <t>제품 및 재공품의 변동</t>
  </si>
  <si>
    <t>원재료 및 소모품사용</t>
  </si>
  <si>
    <t>전분기리스이자비용</t>
    <phoneticPr fontId="3" type="noConversion"/>
  </si>
  <si>
    <t>11. 기타금융자산</t>
    <phoneticPr fontId="3" type="noConversion"/>
  </si>
  <si>
    <t>유동</t>
  </si>
  <si>
    <t>&lt;유동&gt;</t>
    <phoneticPr fontId="3" type="noConversion"/>
  </si>
  <si>
    <t>&lt;비유동&gt;</t>
    <phoneticPr fontId="3" type="noConversion"/>
  </si>
  <si>
    <t>단기대여금</t>
    <phoneticPr fontId="3" type="noConversion"/>
  </si>
  <si>
    <t>유동</t>
    <phoneticPr fontId="13" type="noConversion"/>
  </si>
  <si>
    <t>비유동</t>
    <phoneticPr fontId="13" type="noConversion"/>
  </si>
  <si>
    <t>비유동</t>
  </si>
  <si>
    <t>16. 기타부채</t>
    <phoneticPr fontId="3" type="noConversion"/>
  </si>
  <si>
    <t>환불부채의 증가(감소)</t>
    <phoneticPr fontId="56" type="noConversion"/>
  </si>
  <si>
    <t>환불부채</t>
    <phoneticPr fontId="56" type="noConversion"/>
  </si>
  <si>
    <t>환불부채</t>
    <phoneticPr fontId="3" type="noConversion"/>
  </si>
  <si>
    <t>정부보조금</t>
    <phoneticPr fontId="3" type="noConversion"/>
  </si>
  <si>
    <t>환율</t>
    <phoneticPr fontId="3" type="noConversion"/>
  </si>
  <si>
    <t>KRW</t>
    <phoneticPr fontId="3" type="noConversion"/>
  </si>
  <si>
    <t>전기</t>
    <phoneticPr fontId="3" type="noConversion"/>
  </si>
  <si>
    <t>Consulting Fee</t>
  </si>
  <si>
    <t>중소벤처기업진흥공단</t>
  </si>
  <si>
    <t>(3) 담보제공내역</t>
    <phoneticPr fontId="4" type="noConversion"/>
  </si>
  <si>
    <t>종류</t>
  </si>
  <si>
    <t>설정금액</t>
  </si>
  <si>
    <t>설정권자</t>
  </si>
  <si>
    <t>관련 금액</t>
    <phoneticPr fontId="4" type="noConversion"/>
  </si>
  <si>
    <t>특허권</t>
    <phoneticPr fontId="4" type="noConversion"/>
  </si>
  <si>
    <t>차입금</t>
  </si>
  <si>
    <t>&lt;당기-3개월&gt;</t>
    <phoneticPr fontId="13" type="noConversion"/>
  </si>
  <si>
    <t>환율변동효과 탭에서는 내부거래제거 전 효과를 산출함. 차이나는 금액은 대부분 별도(매출채권)&lt;-&gt;홍콩(매입채무)간의 채권채무 상계시 발생하는 것으로 판단되므로, 차이금액을 매입채무 환율변동효과에서 수기조정</t>
    <phoneticPr fontId="56" type="noConversion"/>
  </si>
  <si>
    <t>26. 고객과의 계약에서 생기는 수익</t>
    <phoneticPr fontId="3" type="noConversion"/>
  </si>
  <si>
    <t>3개월</t>
    <phoneticPr fontId="3" type="noConversion"/>
  </si>
  <si>
    <t>누적</t>
    <phoneticPr fontId="3" type="noConversion"/>
  </si>
  <si>
    <t>장부금액</t>
    <phoneticPr fontId="3" type="noConversion"/>
  </si>
  <si>
    <t>3개월</t>
    <phoneticPr fontId="3" type="noConversion"/>
  </si>
  <si>
    <t>누적</t>
    <phoneticPr fontId="3" type="noConversion"/>
  </si>
  <si>
    <t>건설중인 자산 대체</t>
    <phoneticPr fontId="3" type="noConversion"/>
  </si>
  <si>
    <t>토지</t>
    <phoneticPr fontId="4" type="noConversion"/>
  </si>
  <si>
    <t>차입금</t>
    <phoneticPr fontId="4" type="noConversion"/>
  </si>
  <si>
    <t>건물</t>
    <phoneticPr fontId="4" type="noConversion"/>
  </si>
  <si>
    <t>(*) 계약부채 수익인식</t>
    <phoneticPr fontId="11" type="noConversion"/>
  </si>
  <si>
    <t>HKD</t>
    <phoneticPr fontId="74" type="noConversion"/>
  </si>
  <si>
    <t>구분</t>
    <phoneticPr fontId="74" type="noConversion"/>
  </si>
  <si>
    <t>증가</t>
    <phoneticPr fontId="11" type="noConversion"/>
  </si>
  <si>
    <t>감소</t>
    <phoneticPr fontId="11" type="noConversion"/>
  </si>
  <si>
    <t>Ultra V</t>
    <phoneticPr fontId="11" type="noConversion"/>
  </si>
  <si>
    <t>Deposits from Customers</t>
  </si>
  <si>
    <t>Dermaster</t>
    <phoneticPr fontId="11" type="noConversion"/>
  </si>
  <si>
    <t>Unearned Revenue / Deferred Income (Treatment Services Income)</t>
  </si>
  <si>
    <t>Total</t>
    <phoneticPr fontId="11" type="noConversion"/>
  </si>
  <si>
    <t>기타</t>
    <phoneticPr fontId="11" type="noConversion"/>
  </si>
  <si>
    <t>기초환율</t>
    <phoneticPr fontId="3" type="noConversion"/>
  </si>
  <si>
    <t>별도 수익인식</t>
    <phoneticPr fontId="3" type="noConversion"/>
  </si>
  <si>
    <t>상품재고 매입금액(HK)(재고잔액)</t>
    <phoneticPr fontId="3" type="noConversion"/>
  </si>
  <si>
    <t>상품재고 매입금액(DHK)(재고잔액)</t>
    <phoneticPr fontId="3" type="noConversion"/>
  </si>
  <si>
    <t>BBMSL Ltd - Payment Merchant Account 포함(25.3Q)</t>
    <phoneticPr fontId="4" type="noConversion"/>
  </si>
  <si>
    <t>울트라브이 보유 HK채권 연령분석</t>
    <phoneticPr fontId="3" type="noConversion"/>
  </si>
  <si>
    <t>1~3개월</t>
  </si>
  <si>
    <t>4~6개월</t>
  </si>
  <si>
    <t>7~9개월</t>
  </si>
  <si>
    <t>10~12개월</t>
  </si>
  <si>
    <t>13~24개월</t>
  </si>
  <si>
    <t>24개월 초과</t>
  </si>
  <si>
    <t>적용 대손율</t>
    <phoneticPr fontId="3" type="noConversion"/>
  </si>
  <si>
    <t>대손충당금 잔액</t>
    <phoneticPr fontId="3" type="noConversion"/>
  </si>
  <si>
    <t>이자비용 포함이기 때문에 장부금액과 상이</t>
  </si>
  <si>
    <t>주주(김지영)</t>
  </si>
  <si>
    <t>//전분기: 공시 기준</t>
    <phoneticPr fontId="3" type="noConversion"/>
  </si>
  <si>
    <t>당분기말</t>
  </si>
  <si>
    <t>IV.현금및현금성자산의 환율변동효과</t>
  </si>
  <si>
    <t>당반기</t>
  </si>
  <si>
    <t>당반기</t>
    <phoneticPr fontId="3" type="noConversion"/>
  </si>
  <si>
    <t>당기손익-공정가치측정금융자산평가손실</t>
  </si>
  <si>
    <t>95400</t>
    <phoneticPr fontId="3" type="noConversion"/>
  </si>
  <si>
    <t>93800</t>
    <phoneticPr fontId="3" type="noConversion"/>
  </si>
  <si>
    <t>95500</t>
  </si>
  <si>
    <t>95500</t>
    <phoneticPr fontId="3" type="noConversion"/>
  </si>
  <si>
    <t>Audit Fee</t>
  </si>
  <si>
    <t>2025년 4Q 미실현손익관련 법인세 인식</t>
    <phoneticPr fontId="3" type="noConversion"/>
  </si>
  <si>
    <t>수출제비용</t>
    <phoneticPr fontId="3" type="noConversion"/>
  </si>
  <si>
    <t>83800</t>
    <phoneticPr fontId="3" type="noConversion"/>
  </si>
  <si>
    <t>지급수수료</t>
    <phoneticPr fontId="3" type="noConversion"/>
  </si>
  <si>
    <t>12. 당기손익-공정가치 금융자산</t>
    <phoneticPr fontId="4" type="noConversion"/>
  </si>
  <si>
    <t>과 목</t>
  </si>
  <si>
    <t>취득원가</t>
  </si>
  <si>
    <t>당기손익-공정가치 금융자산</t>
    <phoneticPr fontId="13" type="noConversion"/>
  </si>
  <si>
    <t>지분증권</t>
    <phoneticPr fontId="13" type="noConversion"/>
  </si>
  <si>
    <t>합  계</t>
    <phoneticPr fontId="13" type="noConversion"/>
  </si>
  <si>
    <t>당기말</t>
    <phoneticPr fontId="3" type="noConversion"/>
  </si>
  <si>
    <t>유상증자</t>
    <phoneticPr fontId="56" type="noConversion"/>
  </si>
  <si>
    <t>유상증자</t>
    <phoneticPr fontId="4" type="noConversion"/>
  </si>
  <si>
    <t>식음료매출포함</t>
    <phoneticPr fontId="3" type="noConversion"/>
  </si>
  <si>
    <t>(주)에이티지씨</t>
  </si>
  <si>
    <t xml:space="preserve"> 의학 및 약학 연구개발업</t>
  </si>
  <si>
    <t>14. 관계기업투자주식</t>
    <phoneticPr fontId="3" type="noConversion"/>
  </si>
  <si>
    <t>(1) 보고기간종료일 현재 관계기업투자주식 내역은 다음과 같습니다.</t>
    <phoneticPr fontId="3" type="noConversion"/>
  </si>
  <si>
    <t>관계기업</t>
    <phoneticPr fontId="3" type="noConversion"/>
  </si>
  <si>
    <t>당기(*1)</t>
    <phoneticPr fontId="3" type="noConversion"/>
  </si>
  <si>
    <t>(4) 당기 중 관계기업의 현재 요약 경영성과는 다음과 같습니다.</t>
    <phoneticPr fontId="3" type="noConversion"/>
  </si>
  <si>
    <t>(3) 관계기업의 요약 재무정보는 다음과 같습니다.</t>
    <phoneticPr fontId="3" type="noConversion"/>
  </si>
  <si>
    <t>순자산지분가치</t>
    <phoneticPr fontId="3" type="noConversion"/>
  </si>
  <si>
    <t>취득원가와의 차이</t>
    <phoneticPr fontId="3" type="noConversion"/>
  </si>
  <si>
    <t>식별된 무형자산</t>
    <phoneticPr fontId="3" type="noConversion"/>
  </si>
  <si>
    <t>라이선스</t>
    <phoneticPr fontId="3" type="noConversion"/>
  </si>
  <si>
    <t>상표권</t>
    <phoneticPr fontId="3" type="noConversion"/>
  </si>
  <si>
    <t>15년 상각</t>
  </si>
  <si>
    <t>15년 상각</t>
    <phoneticPr fontId="3" type="noConversion"/>
  </si>
  <si>
    <t>특허받은기술력</t>
    <phoneticPr fontId="3" type="noConversion"/>
  </si>
  <si>
    <t>계</t>
    <phoneticPr fontId="3" type="noConversion"/>
  </si>
  <si>
    <t>영업권</t>
    <phoneticPr fontId="3" type="noConversion"/>
  </si>
  <si>
    <t>전분기</t>
  </si>
  <si>
    <t>전분기</t>
    <phoneticPr fontId="3" type="noConversion"/>
  </si>
  <si>
    <t>2025년 별도에서 인식한 종속기업 손상차손 취소</t>
  </si>
  <si>
    <t>2025년 별도에서 인식한 종속기업 손상차손 취소</t>
    <phoneticPr fontId="3" type="noConversion"/>
  </si>
  <si>
    <t>상해</t>
    <phoneticPr fontId="3" type="noConversion"/>
  </si>
  <si>
    <t>싱가폴</t>
    <phoneticPr fontId="3" type="noConversion"/>
  </si>
  <si>
    <t>별도-&gt;HK매출채권</t>
    <phoneticPr fontId="3" type="noConversion"/>
  </si>
  <si>
    <t>원화기준</t>
    <phoneticPr fontId="3" type="noConversion"/>
  </si>
  <si>
    <t>USD기준</t>
    <phoneticPr fontId="3" type="noConversion"/>
  </si>
  <si>
    <t>희석</t>
    <phoneticPr fontId="3" type="noConversion"/>
  </si>
  <si>
    <t>기본</t>
    <phoneticPr fontId="3" type="noConversion"/>
  </si>
  <si>
    <t>거래처명</t>
  </si>
  <si>
    <t>PT.Regenesis(인도네시아)</t>
  </si>
  <si>
    <t>Skinmedicine inc (필리핀)</t>
  </si>
  <si>
    <t>MBA, France</t>
  </si>
  <si>
    <t>The Ageless Clinic 인디아</t>
  </si>
  <si>
    <t>주식회사 아프로메디온</t>
  </si>
  <si>
    <t>Beautiful life(jenny), 베트남</t>
  </si>
  <si>
    <t>(주)지에스리테일 홈쇼핑</t>
  </si>
  <si>
    <t>Medik Trading, 사우디아라비아</t>
  </si>
  <si>
    <t>IT PHARMA, 스페인</t>
  </si>
  <si>
    <t>Ultra-V Medical GmbH.</t>
  </si>
  <si>
    <t>IT Pharma Mexico, 멕시코</t>
  </si>
  <si>
    <t>Global Aesthetic Myanmar(Dr.Phyo), 미얀마</t>
  </si>
  <si>
    <t>주식회사 파인엠투스</t>
  </si>
  <si>
    <t>엑스퍼트 글로벌 메디컬</t>
  </si>
  <si>
    <t>사적인아름다움지유의원</t>
  </si>
  <si>
    <t>Complete Skin,Sweden</t>
  </si>
  <si>
    <t>Elanderma LDA, 포르투갈</t>
  </si>
  <si>
    <t>배꼽</t>
  </si>
  <si>
    <t>Medvision for Medical Services Co.,카타르</t>
  </si>
  <si>
    <t>Remedy Technology Ltd, 불가리아</t>
  </si>
  <si>
    <t>shopping live, 러시아</t>
  </si>
  <si>
    <t>주식회사 디엠디글로벌</t>
  </si>
  <si>
    <t>Dr.IRIS, 캄보디아</t>
  </si>
  <si>
    <t>제이케이엠씨아이 주식회사</t>
  </si>
  <si>
    <t>울트라브이 카페_매출</t>
  </si>
  <si>
    <t>더웰니스의원</t>
  </si>
  <si>
    <t>Medicina Estetica, 아르헨티나</t>
  </si>
  <si>
    <t>Nees International, Khan 파키스탄</t>
  </si>
  <si>
    <t>AGJ, 요르단</t>
  </si>
  <si>
    <t>바노바기의원 대전</t>
  </si>
  <si>
    <t>SURGEMED PTE LTD, 호주</t>
  </si>
  <si>
    <t>주식회사 큐앤드비인터내셔날</t>
  </si>
  <si>
    <t>Skinnovation, UAE</t>
  </si>
  <si>
    <t>유어의원</t>
  </si>
  <si>
    <t>OCEANICTRADE LIMITED, 영국</t>
  </si>
  <si>
    <t>닥터뉴셀의원 강남본점</t>
  </si>
  <si>
    <t>블랑디앤미</t>
  </si>
  <si>
    <t>주식회사비비지바이오(BBG BIO)</t>
  </si>
  <si>
    <t>Amazon 아마존, 미국</t>
  </si>
  <si>
    <t>MERCATTI ESTHETIC, 에콰도르</t>
  </si>
  <si>
    <t>광메디칼</t>
  </si>
  <si>
    <t>ANTIAGE Co Ltd, 일본</t>
  </si>
  <si>
    <t>주식회사 현대백화점면세점(현대디에프)</t>
  </si>
  <si>
    <t>주식회사 신세계라이브쇼핑</t>
  </si>
  <si>
    <t>주식회사 리브퓨어코리아</t>
  </si>
  <si>
    <t>MBJ Japan, 일본</t>
  </si>
  <si>
    <t>오수진피부과의원</t>
  </si>
  <si>
    <t>(주)씨드그룹(SeedGroup)</t>
  </si>
  <si>
    <t>Rephachem Medical, 체코</t>
  </si>
  <si>
    <t>샤인유의원-수원</t>
  </si>
  <si>
    <t>atelier haruka, 일본</t>
  </si>
  <si>
    <t>주식회사 웰컴인터내셔널</t>
  </si>
  <si>
    <t>포에버(4ever)의원-안양</t>
  </si>
  <si>
    <t>웰의원-안성</t>
  </si>
  <si>
    <t>삼성비앤에스의원</t>
  </si>
  <si>
    <t>Pherla Medical, 이탈리아</t>
  </si>
  <si>
    <t>조정형외과의원</t>
  </si>
  <si>
    <t>서울아산재활의학과의원</t>
  </si>
  <si>
    <t>주식회사 바이오닉</t>
  </si>
  <si>
    <t>KCP(케이씨피)</t>
  </si>
  <si>
    <t>제이플러스</t>
  </si>
  <si>
    <t>주식회사 세원테크</t>
  </si>
  <si>
    <t>우리의원(상계)</t>
  </si>
  <si>
    <t>T.C. GAUSS MED LTD, 그리스</t>
  </si>
  <si>
    <t>학아재의원</t>
  </si>
  <si>
    <t>오빗의원</t>
  </si>
  <si>
    <t>주식회사 웨이브셀</t>
  </si>
  <si>
    <t>맑은결의원</t>
  </si>
  <si>
    <t>Lombardozzi Group, 볼리비아</t>
  </si>
  <si>
    <t>주식회사 한양네트웍스</t>
  </si>
  <si>
    <t>네이버 주식회사</t>
  </si>
  <si>
    <t>네이버 스마트스토어</t>
  </si>
  <si>
    <t>연세라헨느의원</t>
  </si>
  <si>
    <t>블루미의원</t>
  </si>
  <si>
    <t>메이드림의원</t>
  </si>
  <si>
    <t>닥터에버스의원(목동)</t>
  </si>
  <si>
    <t>서울리샤인의원</t>
  </si>
  <si>
    <t>(주)씨제이오쇼핑(씨제이이엔엠)</t>
  </si>
  <si>
    <t>홍천엠앤티</t>
  </si>
  <si>
    <t>유앤아이의원-무안</t>
  </si>
  <si>
    <t>청담에끌라드의원</t>
  </si>
  <si>
    <t>행복한치과</t>
  </si>
  <si>
    <t>파인드피부과</t>
  </si>
  <si>
    <t>연세유피성형외과의원</t>
  </si>
  <si>
    <t>EMAN, 미국</t>
  </si>
  <si>
    <t>아룸의원</t>
  </si>
  <si>
    <t>디오메디칼</t>
  </si>
  <si>
    <t>에이엘(AL)의원</t>
  </si>
  <si>
    <t>예스필의원</t>
  </si>
  <si>
    <t>데이뷰의원 여의도점</t>
  </si>
  <si>
    <t>우리들의원(화성)</t>
  </si>
  <si>
    <t>주식회사 빅플레이트</t>
  </si>
  <si>
    <t>서울정형외과의원</t>
  </si>
  <si>
    <t>리버스의원 분당</t>
  </si>
  <si>
    <t>더미인의원(제주)</t>
  </si>
  <si>
    <t>이정훈의원</t>
  </si>
  <si>
    <t>닥터디자이너의원 명동점</t>
  </si>
  <si>
    <t>벨로아의원</t>
  </si>
  <si>
    <t>서울탑초이스의원</t>
  </si>
  <si>
    <t>주식회사 에스오피뉴</t>
  </si>
  <si>
    <t>마이스랩(MICE LAB)</t>
  </si>
  <si>
    <t>에이블메디</t>
  </si>
  <si>
    <t>단대오거리정형외과의원</t>
  </si>
  <si>
    <t>오라클피부과의원-산본</t>
  </si>
  <si>
    <t>파랑새피부과의원</t>
  </si>
  <si>
    <t>반니성형외과의원</t>
  </si>
  <si>
    <t>더이쁨풀의원</t>
  </si>
  <si>
    <t>브리에의원</t>
  </si>
  <si>
    <t>(주)헤이딘코퍼레이션</t>
  </si>
  <si>
    <t>코스메틱사업본부</t>
  </si>
  <si>
    <t>씨엠코스메틱</t>
  </si>
  <si>
    <t>울트라브이 카페</t>
  </si>
  <si>
    <t>주식회사 우성메딕스</t>
  </si>
  <si>
    <t>온국민보건의료소비자생활협동조합 제니스의원</t>
  </si>
  <si>
    <t>위드미치과의원</t>
  </si>
  <si>
    <t>청담포워드피부과의원</t>
  </si>
  <si>
    <t>베어팜 주식회사</t>
  </si>
  <si>
    <t>포레나의원</t>
  </si>
  <si>
    <t>더그레이스의원</t>
  </si>
  <si>
    <t>롤리팝성형외과</t>
  </si>
  <si>
    <t>닥터퀸스의원</t>
  </si>
  <si>
    <t>연세유의원</t>
  </si>
  <si>
    <t>주식회사 케이티알파</t>
  </si>
  <si>
    <t>건재활의학과의원</t>
  </si>
  <si>
    <t>성남뷰티온의원</t>
  </si>
  <si>
    <t>자연예쁨의원</t>
  </si>
  <si>
    <t>뷰티코리아-메디컬</t>
  </si>
  <si>
    <t>나우메디의원-제주</t>
  </si>
  <si>
    <t>청담힐의원</t>
  </si>
  <si>
    <t>하나의원(광주)</t>
  </si>
  <si>
    <t>소화연의원</t>
  </si>
  <si>
    <t>제너리스의원</t>
  </si>
  <si>
    <t>황호성형외과</t>
  </si>
  <si>
    <t>주식회사 이데아약품</t>
  </si>
  <si>
    <t>민트뷰</t>
  </si>
  <si>
    <t>탑엔미정형외과 마취통증의학과의원</t>
  </si>
  <si>
    <t>목동제이의원</t>
  </si>
  <si>
    <t>삼포메디칼</t>
  </si>
  <si>
    <t>우리미치과</t>
  </si>
  <si>
    <t>프롬, 한국</t>
  </si>
  <si>
    <t>서울뷰의원 평택</t>
  </si>
  <si>
    <t>오드의원</t>
  </si>
  <si>
    <t>이에스의원-신촌</t>
  </si>
  <si>
    <t>에르네의원</t>
  </si>
  <si>
    <t>라셀의원</t>
  </si>
  <si>
    <t>연의원 범계</t>
  </si>
  <si>
    <t>공짜</t>
  </si>
  <si>
    <t>Dr. Vee 영국</t>
  </si>
  <si>
    <t>샤인의원(미아)</t>
  </si>
  <si>
    <t>유앤아이의원 목동점</t>
  </si>
  <si>
    <t>노벨의원-신촌</t>
  </si>
  <si>
    <t>연세로의료의원</t>
  </si>
  <si>
    <t>주식회사 현대홈쇼핑</t>
  </si>
  <si>
    <t>보니따의원</t>
  </si>
  <si>
    <t>브이에이성형외과의원</t>
  </si>
  <si>
    <t>소사벌다시봄날의원</t>
  </si>
  <si>
    <t>삼성서울리프앤톡스의원</t>
  </si>
  <si>
    <t>삼성메디칼 주식회사</t>
  </si>
  <si>
    <t>의료법인미래의료재단</t>
  </si>
  <si>
    <t>닥터선의원</t>
  </si>
  <si>
    <t>나루메디칼</t>
  </si>
  <si>
    <t>연세산부인과(한남동)</t>
  </si>
  <si>
    <t>쿠팡 주식회사</t>
  </si>
  <si>
    <t>의정부웰빙의원</t>
  </si>
  <si>
    <t>제이미의원</t>
  </si>
  <si>
    <t>Jimmy kwok, 캐나다</t>
  </si>
  <si>
    <t>우리아이한의원</t>
  </si>
  <si>
    <t>주식회사 수상한토끼</t>
  </si>
  <si>
    <t>어울림의원(제주)</t>
  </si>
  <si>
    <t>(주)닥터코스랩</t>
  </si>
  <si>
    <t>그랜드연합의원</t>
  </si>
  <si>
    <t>미앤미의원(광명)</t>
  </si>
  <si>
    <t>둔촌셀로디피부과의원</t>
  </si>
  <si>
    <t>닥터포유의원-홍대</t>
  </si>
  <si>
    <t>바로세움정형외과의원</t>
  </si>
  <si>
    <t>송파오라클피부과의원</t>
  </si>
  <si>
    <t>비더뉴의원</t>
  </si>
  <si>
    <t>블리비의원-구리</t>
  </si>
  <si>
    <t>주식회사 오앤엘인터내셔널</t>
  </si>
  <si>
    <t>아가파의원-주안</t>
  </si>
  <si>
    <t>연세미다인의원</t>
  </si>
  <si>
    <t>서울뉴라인의원</t>
  </si>
  <si>
    <t>지엘홀딩스</t>
  </si>
  <si>
    <t>신통정형외과의원</t>
  </si>
  <si>
    <t>팽팽의원</t>
  </si>
  <si>
    <t>서울림피부과</t>
  </si>
  <si>
    <t>레스트의원</t>
  </si>
  <si>
    <t>밴스의원 대전</t>
  </si>
  <si>
    <t>아쥬르의원</t>
  </si>
  <si>
    <t>이윤채통합의원</t>
  </si>
  <si>
    <t>송파한의원</t>
  </si>
  <si>
    <t>닥터뷰티치과병원</t>
  </si>
  <si>
    <t>이룬의원(ERUNE CLINIC)</t>
  </si>
  <si>
    <t>Eve (Peng Yin), 캐나다</t>
  </si>
  <si>
    <t>김용철산부인과의원</t>
  </si>
  <si>
    <t>새론바디내과의원</t>
  </si>
  <si>
    <t>Corinne Wei NP, 캐나다</t>
  </si>
  <si>
    <t>리젠타임</t>
  </si>
  <si>
    <t>글로벌페이스</t>
  </si>
  <si>
    <t>대림정형외과의원</t>
  </si>
  <si>
    <t>베러미의원(잠실)</t>
  </si>
  <si>
    <t>셀리에의원</t>
  </si>
  <si>
    <t>홍대입구역베러미의원</t>
  </si>
  <si>
    <t>성모25의원</t>
  </si>
  <si>
    <t>골든에이지</t>
  </si>
  <si>
    <t>압구정린바디한의원</t>
  </si>
  <si>
    <t>윌파워아이오</t>
  </si>
  <si>
    <t>플로레의원</t>
  </si>
  <si>
    <t>FM치과의원 군산점</t>
  </si>
  <si>
    <t>반여 넘버원마취통증의학과의원</t>
  </si>
  <si>
    <t>포우먼산부인과의원</t>
  </si>
  <si>
    <t>샤론의원</t>
  </si>
  <si>
    <t>아비쥬의원(목동)</t>
  </si>
  <si>
    <t>탑라인의원</t>
  </si>
  <si>
    <t>죽도삼성의원</t>
  </si>
  <si>
    <t>이안과의원</t>
  </si>
  <si>
    <t>나를의원(NARR)</t>
  </si>
  <si>
    <t>신의의원(분당)</t>
  </si>
  <si>
    <t>오르세의원</t>
  </si>
  <si>
    <t>주식회사 인티그레이션</t>
  </si>
  <si>
    <t>주식회사 메디퍼스트</t>
  </si>
  <si>
    <t>연세아름필의원</t>
  </si>
  <si>
    <t>신대방참좋은정형외과의원</t>
  </si>
  <si>
    <t>스카이재활의학과의원</t>
  </si>
  <si>
    <t>서울아이성형외과의원</t>
  </si>
  <si>
    <t>쥬벤스성형외과의원</t>
  </si>
  <si>
    <t>루미의원</t>
  </si>
  <si>
    <t>티아라의원-부평</t>
  </si>
  <si>
    <t>메디웍스</t>
  </si>
  <si>
    <t>더올린의원-강릉</t>
  </si>
  <si>
    <t>에코의원</t>
  </si>
  <si>
    <t>주식회사 LF</t>
  </si>
  <si>
    <t>이든피부과의원</t>
  </si>
  <si>
    <t>태미안의원</t>
  </si>
  <si>
    <t>셀더영의원</t>
  </si>
  <si>
    <t>아이엘의원</t>
  </si>
  <si>
    <t>이지함피부과의원-분당</t>
  </si>
  <si>
    <t>유니풀의원</t>
  </si>
  <si>
    <t>현대미학성형외과의원</t>
  </si>
  <si>
    <t>Skyline Horizon Trading Limited, 캐나다</t>
  </si>
  <si>
    <t>오크우드봄의원</t>
  </si>
  <si>
    <t>중앙산부인과의원</t>
  </si>
  <si>
    <t>루시드의원</t>
  </si>
  <si>
    <t>삼례연세의원</t>
  </si>
  <si>
    <t>우리들의 피부과</t>
  </si>
  <si>
    <t>와이앤케이지티씨(Y&amp;K GTC)</t>
  </si>
  <si>
    <t>포미엘의원</t>
  </si>
  <si>
    <t>다움산부인과</t>
  </si>
  <si>
    <t>유진미의원</t>
  </si>
  <si>
    <t>필스토리(용인)</t>
  </si>
  <si>
    <t>바를정한의원</t>
  </si>
  <si>
    <t>서울안심치과의원</t>
  </si>
  <si>
    <t>올리브통의원</t>
  </si>
  <si>
    <t>블리비의원-천안</t>
  </si>
  <si>
    <t>고충우성형외과의원</t>
  </si>
  <si>
    <t>연세뷰티클리닉</t>
  </si>
  <si>
    <t>김우신성형외과</t>
  </si>
  <si>
    <t>빛봄의원</t>
  </si>
  <si>
    <t>365엠씨(mc)의원-분당</t>
  </si>
  <si>
    <t>Raluca, 루마니아 (HR SQINDERM SRL)</t>
  </si>
  <si>
    <t>FM치과의원 익산점</t>
  </si>
  <si>
    <t>클로버산부인과</t>
  </si>
  <si>
    <t>나나재활의학과의원</t>
  </si>
  <si>
    <t>서울봄연합의원</t>
  </si>
  <si>
    <t>포에버뷰티웰팜</t>
  </si>
  <si>
    <t>라현성형외과의원</t>
  </si>
  <si>
    <t>아가파의원(김포점)</t>
  </si>
  <si>
    <t>주식회사 뉴파트너원</t>
  </si>
  <si>
    <t>(주)에스에스지닷컴</t>
  </si>
  <si>
    <t>유윈컴퍼니</t>
  </si>
  <si>
    <t>톡스앤필의원-천호</t>
  </si>
  <si>
    <t>노블클래식의원(당산점)</t>
  </si>
  <si>
    <t>에르샤몽연세강남의원</t>
  </si>
  <si>
    <t>잇츠미의원-천안</t>
  </si>
  <si>
    <t>수앤은의원</t>
  </si>
  <si>
    <t>자라는소아청소년과의원</t>
  </si>
  <si>
    <t>올리본의원</t>
  </si>
  <si>
    <t>더의원</t>
  </si>
  <si>
    <t>노바의원</t>
  </si>
  <si>
    <t>파크뷰의원(인천)</t>
  </si>
  <si>
    <t>데이뷰의원 건대입구역</t>
  </si>
  <si>
    <t>베리굿피부과의원-압구정</t>
  </si>
  <si>
    <t>노블클래식의원(광명)</t>
  </si>
  <si>
    <t>비치안의원</t>
  </si>
  <si>
    <t>달성피부과의원</t>
  </si>
  <si>
    <t>리움의원 대전점</t>
  </si>
  <si>
    <t>벧엘피부과의원</t>
  </si>
  <si>
    <t>뷰티라운지의원 수원점</t>
  </si>
  <si>
    <t>연세탑치과의원</t>
  </si>
  <si>
    <t>비케이사이언티픽(주)</t>
  </si>
  <si>
    <t>유스의원</t>
  </si>
  <si>
    <t>수민의원</t>
  </si>
  <si>
    <t>골드제이의원</t>
  </si>
  <si>
    <t>Dr. Oliver Zhou, 미국</t>
  </si>
  <si>
    <t>피어나의원</t>
  </si>
  <si>
    <t>닥터디자이너의원-인천점</t>
  </si>
  <si>
    <t>다시봄날의원 파주점</t>
  </si>
  <si>
    <t>평택미영상의학과의원</t>
  </si>
  <si>
    <t>미드림의원원주</t>
  </si>
  <si>
    <t>구리탑본의원</t>
  </si>
  <si>
    <t>과천밸런스마취통증의학과의원</t>
  </si>
  <si>
    <t>굿모닝한방병원</t>
  </si>
  <si>
    <t>성수멜팅의원</t>
  </si>
  <si>
    <t>청담바롬의원</t>
  </si>
  <si>
    <t>노블앤코의원</t>
  </si>
  <si>
    <t>주식회사 인에이블다온소프트</t>
  </si>
  <si>
    <t>청담지온유의원</t>
  </si>
  <si>
    <t>전상철</t>
  </si>
  <si>
    <t>엔젤미의원</t>
  </si>
  <si>
    <t>더나인의원</t>
  </si>
  <si>
    <t>롯데면세점월드타워점</t>
  </si>
  <si>
    <t>주식회사 에스엠티엔티</t>
  </si>
  <si>
    <t>수의원(화성)</t>
  </si>
  <si>
    <t>리엘르의원</t>
  </si>
  <si>
    <t>중앙외과의원</t>
  </si>
  <si>
    <t>LG메디</t>
  </si>
  <si>
    <t>리샘한의원</t>
  </si>
  <si>
    <t>미앤클린의원</t>
  </si>
  <si>
    <t>연세장안과의원</t>
  </si>
  <si>
    <t>왕십리닥터쁘띠의원</t>
  </si>
  <si>
    <t>미라인의원</t>
  </si>
  <si>
    <t>이지메드</t>
  </si>
  <si>
    <t>제이나피부과</t>
  </si>
  <si>
    <t>뷰티라운지의원 용산점</t>
  </si>
  <si>
    <t>비오엠코스메틱 주식회사</t>
  </si>
  <si>
    <t>이상피부과의원</t>
  </si>
  <si>
    <t>이지함피부과의원-서초</t>
  </si>
  <si>
    <t>레이퀸의원</t>
  </si>
  <si>
    <t>소프라노의원</t>
  </si>
  <si>
    <t>클림의원 홍대점</t>
  </si>
  <si>
    <t>베르나르의원</t>
  </si>
  <si>
    <t>리모어의원</t>
  </si>
  <si>
    <t>다나여성의원</t>
  </si>
  <si>
    <t>해맑은신경외과의원</t>
  </si>
  <si>
    <t>명메디칼스킨남성의원</t>
  </si>
  <si>
    <t>줌앤업의원</t>
  </si>
  <si>
    <t>(주)울트라브이</t>
  </si>
  <si>
    <t>블루앤</t>
  </si>
  <si>
    <t>별도기준 매출처 정리(분개장기준)</t>
    <phoneticPr fontId="3" type="noConversion"/>
  </si>
  <si>
    <t>비중</t>
    <phoneticPr fontId="3" type="noConversion"/>
  </si>
  <si>
    <t>전기매출액</t>
  </si>
  <si>
    <t>당기손익-공정가치측정금융자산</t>
  </si>
  <si>
    <t>기부금 한도 초과</t>
  </si>
  <si>
    <t>이자비용 포함이기 때문에 장부금액과 상이(별도와동일)</t>
  </si>
  <si>
    <t>이자비용 포함이기 때문에 장부금액과 상이(별도와동일)</t>
    <phoneticPr fontId="3" type="noConversion"/>
  </si>
  <si>
    <t>수준 1</t>
  </si>
  <si>
    <t>수준 2</t>
  </si>
  <si>
    <t>수준 3</t>
  </si>
  <si>
    <t>   당기손익-공정가치측정금융자산</t>
  </si>
  <si>
    <t>(3) 반복적인 공정가치 측정치의 서열체계 수준 간 이동</t>
    <phoneticPr fontId="3" type="noConversion"/>
  </si>
  <si>
    <t> 기타포괄손익인식액</t>
  </si>
  <si>
    <t>관계기업투자주식으부터의 이동(*1)</t>
  </si>
  <si>
    <t>취득원가</t>
    <phoneticPr fontId="3" type="noConversion"/>
  </si>
  <si>
    <t>공정가치 측정 금융자산</t>
    <phoneticPr fontId="3" type="noConversion"/>
  </si>
  <si>
    <t>25년말 기준 사용권자산/리스부채 없음</t>
  </si>
  <si>
    <t>25년말 기준 사용권자산/리스부채 없음</t>
    <phoneticPr fontId="3" type="noConversion"/>
  </si>
  <si>
    <t> 1년미만 </t>
    <phoneticPr fontId="4" type="noConversion"/>
  </si>
  <si>
    <t>1년~2년미만</t>
    <phoneticPr fontId="4" type="noConversion"/>
  </si>
  <si>
    <t>2년~5년미만</t>
    <phoneticPr fontId="4" type="noConversion"/>
  </si>
  <si>
    <t>5년 이상</t>
    <phoneticPr fontId="4" type="noConversion"/>
  </si>
  <si>
    <t>급여지급액</t>
    <phoneticPr fontId="4" type="noConversion"/>
  </si>
  <si>
    <t>ref. 울트라브이퇴직급여계리평가보고서2512v3</t>
    <phoneticPr fontId="13" type="noConversion"/>
  </si>
  <si>
    <t>장기차입금유동성대체</t>
    <phoneticPr fontId="3" type="noConversion"/>
  </si>
  <si>
    <t>연결은 단기종업권금액 다름</t>
    <phoneticPr fontId="3" type="noConversion"/>
  </si>
  <si>
    <t>순자산</t>
  </si>
  <si>
    <t>연결기업</t>
  </si>
  <si>
    <t>지분금액</t>
  </si>
  <si>
    <t>(5) 관계기업투자주식 장부금액으로의 조정 내역은 다음과 같습니다.</t>
    <phoneticPr fontId="3" type="noConversion"/>
  </si>
  <si>
    <t>2025년</t>
    <phoneticPr fontId="4" type="noConversion"/>
  </si>
  <si>
    <t>2026년</t>
    <phoneticPr fontId="3" type="noConversion"/>
  </si>
  <si>
    <t>Computer Expenses (Software License fee)</t>
  </si>
  <si>
    <t>내부거래 대상 없음(매출매입 존재하지만 마진없이 거래중)</t>
  </si>
  <si>
    <t>내부거래 대상 없음(매출매입 존재하지만 마진없이 거래중)</t>
    <phoneticPr fontId="3" type="noConversion"/>
  </si>
  <si>
    <t>1) 외화기준(CNH)</t>
    <phoneticPr fontId="3" type="noConversion"/>
  </si>
  <si>
    <t>에이티지씨</t>
    <phoneticPr fontId="3" type="noConversion"/>
  </si>
  <si>
    <t>97100</t>
    <phoneticPr fontId="3" type="noConversion"/>
  </si>
  <si>
    <t>일자</t>
    <phoneticPr fontId="3" type="noConversion"/>
  </si>
  <si>
    <t>지분법적용 피투자회사</t>
    <phoneticPr fontId="3" type="noConversion"/>
  </si>
  <si>
    <t>지분액</t>
    <phoneticPr fontId="3" type="noConversion"/>
  </si>
  <si>
    <t>지배회사지분액</t>
    <phoneticPr fontId="3" type="noConversion"/>
  </si>
  <si>
    <t>지배</t>
    <phoneticPr fontId="3" type="noConversion"/>
  </si>
  <si>
    <t>비지배</t>
    <phoneticPr fontId="3" type="noConversion"/>
  </si>
  <si>
    <t>자본조정</t>
    <phoneticPr fontId="3" type="noConversion"/>
  </si>
  <si>
    <t>평가손익</t>
    <phoneticPr fontId="3" type="noConversion"/>
  </si>
  <si>
    <t>가결산조정</t>
    <phoneticPr fontId="3" type="noConversion"/>
  </si>
  <si>
    <t>에이티지씨_지분법</t>
    <phoneticPr fontId="3" type="noConversion"/>
  </si>
  <si>
    <t>장부가액</t>
    <phoneticPr fontId="3" type="noConversion"/>
  </si>
  <si>
    <t>최초취득</t>
    <phoneticPr fontId="3" type="noConversion"/>
  </si>
  <si>
    <t>2025년말 누적</t>
    <phoneticPr fontId="3" type="noConversion"/>
  </si>
  <si>
    <t>2026년말</t>
    <phoneticPr fontId="3" type="noConversion"/>
  </si>
  <si>
    <t>전체주식수</t>
    <phoneticPr fontId="3" type="noConversion"/>
  </si>
  <si>
    <t>보유주식수</t>
    <phoneticPr fontId="3" type="noConversion"/>
  </si>
  <si>
    <t>최초취득금액</t>
    <phoneticPr fontId="3" type="noConversion"/>
  </si>
  <si>
    <t>취득시점 요약재무정보</t>
    <phoneticPr fontId="3" type="noConversion"/>
  </si>
  <si>
    <t>FS</t>
    <phoneticPr fontId="3" type="noConversion"/>
  </si>
  <si>
    <t>1. 지분율 정보</t>
    <phoneticPr fontId="3" type="noConversion"/>
  </si>
  <si>
    <t>2. 재무정보(매분기 업데이트필요)</t>
    <phoneticPr fontId="3" type="noConversion"/>
  </si>
  <si>
    <t>3. 영업권 및 평가차액</t>
    <phoneticPr fontId="3" type="noConversion"/>
  </si>
  <si>
    <t>투자차액상각표</t>
    <phoneticPr fontId="3" type="noConversion"/>
  </si>
  <si>
    <t>최초 인식시점</t>
    <phoneticPr fontId="3" type="noConversion"/>
  </si>
  <si>
    <t>순자산공정가치와 취득원가차이</t>
    <phoneticPr fontId="3" type="noConversion"/>
  </si>
  <si>
    <t>최초 식별된 무형자산 장부금액</t>
    <phoneticPr fontId="3" type="noConversion"/>
  </si>
  <si>
    <t>From PPA 보고서</t>
    <phoneticPr fontId="3" type="noConversion"/>
  </si>
  <si>
    <t>이연법인세효과</t>
    <phoneticPr fontId="3" type="noConversion"/>
  </si>
  <si>
    <t>무형자산 내용연수 종료일</t>
    <phoneticPr fontId="3" type="noConversion"/>
  </si>
  <si>
    <t>최초인식일</t>
    <phoneticPr fontId="3" type="noConversion"/>
  </si>
  <si>
    <t>내용연수(년)</t>
    <phoneticPr fontId="3" type="noConversion"/>
  </si>
  <si>
    <t>분기별 상각액</t>
    <phoneticPr fontId="3" type="noConversion"/>
  </si>
  <si>
    <t>상각스케쥴</t>
    <phoneticPr fontId="3" type="noConversion"/>
  </si>
  <si>
    <t>날짜</t>
    <phoneticPr fontId="3" type="noConversion"/>
  </si>
  <si>
    <t>상각액</t>
    <phoneticPr fontId="3" type="noConversion"/>
  </si>
  <si>
    <t>상각누계액</t>
    <phoneticPr fontId="3" type="noConversion"/>
  </si>
  <si>
    <t>법인세효과</t>
    <phoneticPr fontId="3" type="noConversion"/>
  </si>
  <si>
    <t>평가차액</t>
    <phoneticPr fontId="3" type="noConversion"/>
  </si>
  <si>
    <t>지분법손실</t>
    <phoneticPr fontId="3" type="noConversion"/>
  </si>
  <si>
    <t>관계기업투자주식</t>
    <phoneticPr fontId="3" type="noConversion"/>
  </si>
  <si>
    <t>4. 장부금액변동</t>
    <phoneticPr fontId="3" type="noConversion"/>
  </si>
  <si>
    <t>취득</t>
    <phoneticPr fontId="3" type="noConversion"/>
  </si>
  <si>
    <t>평가차액상각</t>
  </si>
  <si>
    <t>지분법이익잉여금</t>
    <phoneticPr fontId="3" type="noConversion"/>
  </si>
  <si>
    <t>해고급여</t>
  </si>
  <si>
    <t>해고급여</t>
    <phoneticPr fontId="3" type="noConversion"/>
  </si>
  <si>
    <t>주식매수선택권의 행사</t>
    <phoneticPr fontId="3" type="noConversion"/>
  </si>
  <si>
    <t>2025.01.01(전기초)</t>
    <phoneticPr fontId="3" type="noConversion"/>
  </si>
  <si>
    <t>2025.12.31(전기말)</t>
    <phoneticPr fontId="3" type="noConversion"/>
  </si>
  <si>
    <t>2026.01.01(당기초)</t>
    <phoneticPr fontId="4" type="noConversion"/>
  </si>
  <si>
    <t>2026.12.31(당기말)</t>
    <phoneticPr fontId="4" type="noConversion"/>
  </si>
  <si>
    <t>감사보고서 기준 순자산</t>
    <phoneticPr fontId="3" type="noConversion"/>
  </si>
  <si>
    <t>가결산 오류 발생추정&gt;잉여금으로 처리</t>
    <phoneticPr fontId="3" type="noConversion"/>
  </si>
  <si>
    <t>5. 지분법분개</t>
    <phoneticPr fontId="3" type="noConversion"/>
  </si>
  <si>
    <t>나.조정</t>
  </si>
  <si>
    <t>영업권손상차손</t>
  </si>
  <si>
    <t>임차보증금유동</t>
  </si>
  <si>
    <t xml:space="preserve"> 1. 투자활동으로 인한 현금유입액</t>
  </si>
  <si>
    <t>단기대여금의 감소</t>
  </si>
  <si>
    <t xml:space="preserve"> 2. 투자활동으로 인한 현금유출액</t>
  </si>
  <si>
    <t>단기차입금의 상환</t>
  </si>
  <si>
    <t>V.현금의증가(Ⅰ+Ⅱ+Ⅲ+IV)</t>
  </si>
  <si>
    <t>VI.기초의현금</t>
  </si>
  <si>
    <t>VII.기말의현금</t>
  </si>
  <si>
    <t>-</t>
    <phoneticPr fontId="3" type="noConversion"/>
  </si>
  <si>
    <t>HK 2025년 4Q 미실현손익 실현</t>
    <phoneticPr fontId="3" type="noConversion"/>
  </si>
  <si>
    <t>재고자산 미실현손익 당기 실현분(HK)</t>
    <phoneticPr fontId="3" type="noConversion"/>
  </si>
  <si>
    <t>FY 2026 발생분</t>
    <phoneticPr fontId="3" type="noConversion"/>
  </si>
  <si>
    <t>재고자산 미실현손익 당기 실현분(DHK)</t>
    <phoneticPr fontId="3" type="noConversion"/>
  </si>
  <si>
    <t>DHK 2025년 4Q 미실현손익 실현</t>
    <phoneticPr fontId="3" type="noConversion"/>
  </si>
  <si>
    <t>2025년말 기준 지분율</t>
    <phoneticPr fontId="3" type="noConversion"/>
  </si>
  <si>
    <t>&gt;&gt;수정</t>
    <phoneticPr fontId="3" type="noConversion"/>
  </si>
  <si>
    <t>34.13%기준</t>
    <phoneticPr fontId="3" type="noConversion"/>
  </si>
  <si>
    <t>해외사업환산손익</t>
    <phoneticPr fontId="3" type="noConversion"/>
  </si>
  <si>
    <t>대차차액</t>
    <phoneticPr fontId="3" type="noConversion"/>
  </si>
  <si>
    <t>BS에 강제반영 / PL 중복반영 조정</t>
    <phoneticPr fontId="3" type="noConversion"/>
  </si>
  <si>
    <t>기계장치 반품</t>
  </si>
  <si>
    <t>지분법손실</t>
  </si>
  <si>
    <t>지분법손실</t>
    <phoneticPr fontId="56" type="noConversion"/>
  </si>
  <si>
    <t>기타보증금의 증가</t>
    <phoneticPr fontId="3" type="noConversion"/>
  </si>
  <si>
    <t>2026 IMCAS PARIS</t>
  </si>
  <si>
    <t>AMWC MONACO 2026</t>
  </si>
  <si>
    <t>Neuva Era Pte Ltd, 싱가폴</t>
  </si>
  <si>
    <t>브이아이지파트너스 유한책임회사</t>
  </si>
  <si>
    <t>주식회사 한국엠에스에이</t>
  </si>
  <si>
    <t>세렌메르의원</t>
  </si>
  <si>
    <t>Qiminghang, 중국</t>
  </si>
  <si>
    <t>AE Health Solutions, 우루과이</t>
  </si>
  <si>
    <t>IFAAS Seoul 2026 Mar</t>
  </si>
  <si>
    <t>아우레아의원</t>
  </si>
  <si>
    <t>Skin Secrets LLC, USA (Dr. Greta)</t>
  </si>
  <si>
    <t>Dr. Chea Sokmeta, 캄보디아</t>
  </si>
  <si>
    <t>주식회사 진이어스</t>
  </si>
  <si>
    <t>미보메디슨</t>
  </si>
  <si>
    <t>2026 설맞이특가세일</t>
  </si>
  <si>
    <t>엘리피부과의원</t>
  </si>
  <si>
    <t>2026 키메스(KIMES)전시회</t>
  </si>
  <si>
    <t>주식회사 신한이앤에스</t>
  </si>
  <si>
    <t>주식회사 나루팜</t>
  </si>
  <si>
    <t>주식회사 새찬</t>
  </si>
  <si>
    <t>주식회사 보리메디칼</t>
  </si>
  <si>
    <t>믿음약품</t>
  </si>
  <si>
    <t>더뷰티 성형외과의원</t>
  </si>
  <si>
    <t>주식회사케이엠디</t>
  </si>
  <si>
    <t>밸런스퀀텀의원</t>
  </si>
  <si>
    <t>Dr. lily 캐나다</t>
  </si>
  <si>
    <t>도곡양재차앤박피부과의원</t>
  </si>
  <si>
    <t>Dr. Vahid Sahiholnasab, 캐나다</t>
  </si>
  <si>
    <t>압구정에테르나의원</t>
  </si>
  <si>
    <t>드네의원</t>
  </si>
  <si>
    <t>다미의원(영등포)</t>
  </si>
  <si>
    <t>리오브 피부과 의원</t>
  </si>
  <si>
    <t>나우미</t>
  </si>
  <si>
    <t>ERA ESTHETIC PROFESSIONAL, 리투아니아</t>
  </si>
  <si>
    <t>한사랑의원</t>
  </si>
  <si>
    <t>차재활의학과</t>
  </si>
  <si>
    <t>키즈모컴퍼니</t>
  </si>
  <si>
    <t>온유성형외과의원</t>
  </si>
  <si>
    <t>주식회사 천웅약품</t>
  </si>
  <si>
    <t>林림피부과</t>
  </si>
  <si>
    <t>시그니처피부과의원</t>
  </si>
  <si>
    <t>고트의원</t>
  </si>
  <si>
    <t>브이친코리아</t>
  </si>
  <si>
    <t>이종구의원</t>
  </si>
  <si>
    <t>글로벌마취통증의학과의원</t>
  </si>
  <si>
    <t>제이디리체스의원</t>
  </si>
  <si>
    <t>뉴영의원</t>
  </si>
  <si>
    <t>삼성속편한의원-은평</t>
  </si>
  <si>
    <t>아티움의원</t>
  </si>
  <si>
    <t>주식회사 케이더마</t>
  </si>
  <si>
    <t>미앤유의원-인천</t>
  </si>
  <si>
    <t>주식회사 와요</t>
  </si>
  <si>
    <t>더(the)아름다운의원</t>
  </si>
  <si>
    <t>쁘띠케이의원 우장산역</t>
  </si>
  <si>
    <t>제이와이성형외과의원</t>
  </si>
  <si>
    <t>라마르의원(서울대)</t>
  </si>
  <si>
    <t>하나메디</t>
  </si>
  <si>
    <t>경희프라임병원</t>
  </si>
  <si>
    <t>뉴페이스의원</t>
  </si>
  <si>
    <t>메이슨 클리닉(의원)</t>
  </si>
  <si>
    <t>아름다운미탐의원</t>
  </si>
  <si>
    <t>예안의원</t>
  </si>
  <si>
    <t>참조은피부과의원</t>
  </si>
  <si>
    <t>필랩의원</t>
  </si>
  <si>
    <t>크라이베이비</t>
  </si>
  <si>
    <t>구앤장마취통증의학과피부과의원</t>
  </si>
  <si>
    <t>밴스의원제주</t>
  </si>
  <si>
    <t>연세삼육오매일의원</t>
  </si>
  <si>
    <t>굿라인성형외과의원</t>
  </si>
  <si>
    <t>굿케어요양병원</t>
  </si>
  <si>
    <t>청담리투의원</t>
  </si>
  <si>
    <t>은평더맑은의원</t>
  </si>
  <si>
    <t>보다나의원</t>
  </si>
  <si>
    <t>주식회사 케이메디테크</t>
  </si>
  <si>
    <t>세니떼뷰티샵(수유점)</t>
  </si>
  <si>
    <t>하늘가득</t>
  </si>
  <si>
    <t>미러의원-광교</t>
  </si>
  <si>
    <t>미라클의원(화성)</t>
  </si>
  <si>
    <t>청담 아리움의원</t>
  </si>
  <si>
    <t>티아라의원</t>
  </si>
  <si>
    <t>미아보감한의원</t>
  </si>
  <si>
    <t>연세예인의원</t>
  </si>
  <si>
    <t>뷰티라운지 방배점</t>
  </si>
  <si>
    <t>뷰티라운지의원 대치점</t>
  </si>
  <si>
    <t>엔에이치엔페이코 주식회사</t>
  </si>
  <si>
    <t>&gt;&gt; 유의적영향력 판단시에는 우선주포함 지분율로 판단하지만 지분법손익 인식시에는 보통주 기준 지분율로 인식</t>
    <phoneticPr fontId="3" type="noConversion"/>
  </si>
  <si>
    <t>별도주석 금액 + 홍콩단기리스</t>
    <phoneticPr fontId="3" type="noConversion"/>
  </si>
  <si>
    <t>홍콩 단기리스</t>
    <phoneticPr fontId="3" type="noConversion"/>
  </si>
  <si>
    <t>평균환율(홍콩)</t>
    <phoneticPr fontId="3" type="noConversion"/>
  </si>
  <si>
    <t>별도 단기리스료</t>
    <phoneticPr fontId="3" type="noConversion"/>
  </si>
  <si>
    <t>별도 소액리스료</t>
    <phoneticPr fontId="3" type="noConversion"/>
  </si>
  <si>
    <t>ULTRA V HK</t>
    <phoneticPr fontId="3" type="noConversion"/>
  </si>
  <si>
    <t>기간</t>
    <phoneticPr fontId="3" type="noConversion"/>
  </si>
  <si>
    <t>2025/10/07 ~ 2026/10/06</t>
    <phoneticPr fontId="3" type="noConversion"/>
  </si>
  <si>
    <t>월 임대료</t>
    <phoneticPr fontId="3" type="noConversion"/>
  </si>
  <si>
    <t>2025/10/07~2025/10/31</t>
    <phoneticPr fontId="3" type="noConversion"/>
  </si>
  <si>
    <t>2025/11/01~2025/11/30</t>
    <phoneticPr fontId="3" type="noConversion"/>
  </si>
  <si>
    <t>2025/12/01~2025/12/31</t>
    <phoneticPr fontId="3" type="noConversion"/>
  </si>
  <si>
    <t>2026/01/01~2026/01/31</t>
    <phoneticPr fontId="3" type="noConversion"/>
  </si>
  <si>
    <t>2026/02/01~2026/02/28</t>
    <phoneticPr fontId="3" type="noConversion"/>
  </si>
  <si>
    <t>2026/03/01~2026/03/31</t>
    <phoneticPr fontId="3" type="noConversion"/>
  </si>
  <si>
    <t>2026/04/01~2026/04/30</t>
    <phoneticPr fontId="3" type="noConversion"/>
  </si>
  <si>
    <t>2026/05/01~2026/05/31</t>
    <phoneticPr fontId="3" type="noConversion"/>
  </si>
  <si>
    <t>2026/06/01~2026/06/30</t>
    <phoneticPr fontId="3" type="noConversion"/>
  </si>
  <si>
    <t>2026/07/01~2026/07/31</t>
    <phoneticPr fontId="3" type="noConversion"/>
  </si>
  <si>
    <t>2026/08/01~2026/08/31</t>
    <phoneticPr fontId="3" type="noConversion"/>
  </si>
  <si>
    <t>2026/09/01~2026/10/06</t>
    <phoneticPr fontId="3" type="noConversion"/>
  </si>
  <si>
    <t>대손상각비(환입)</t>
  </si>
  <si>
    <t>Director’s Remuneration</t>
  </si>
  <si>
    <t>단기금융상품의 증가</t>
  </si>
  <si>
    <t>종속기업투자주식의 증가</t>
  </si>
  <si>
    <t>HK 2026년 2Q 미실현손익 제거</t>
    <phoneticPr fontId="3" type="noConversion"/>
  </si>
  <si>
    <t>DHK 2026년 2Q 미실현손익 제거</t>
    <phoneticPr fontId="3" type="noConversion"/>
  </si>
  <si>
    <t>ULTRA V HONG KONG LIMITED - MGT AC 2Q End30.06.2026 D26.07.15 (version 3)_Consol_26.07.17_V2</t>
  </si>
  <si>
    <t>ULTRA V HONG KONG LIMITED - MGT AC 2Q End30.06.2026 D26.07.15 (version 3)_Consol_26.07.17_V2</t>
    <phoneticPr fontId="3" type="noConversion"/>
  </si>
  <si>
    <t>ATGC</t>
    <phoneticPr fontId="3" type="noConversion"/>
  </si>
  <si>
    <t>손   익   계   산   서</t>
  </si>
  <si>
    <t>제 17(당)기 2026년  1월  1일부터  2026년  6월 30일까지</t>
  </si>
  <si>
    <t>제 16(전)기 2025년  1월  1일부터  2025년 12월 31일까지</t>
  </si>
  <si>
    <t>회사명 : (주)에이티지씨</t>
  </si>
  <si>
    <t>(단위  :  원)</t>
  </si>
  <si>
    <t>과        목</t>
  </si>
  <si>
    <t>제 17 (당)기</t>
  </si>
  <si>
    <t>제 16 (전)기</t>
  </si>
  <si>
    <t>금          액</t>
  </si>
  <si>
    <t xml:space="preserve">Ⅰ. 매         출         액     </t>
  </si>
  <si>
    <t xml:space="preserve">Ⅱ. 매      출     원     가     </t>
  </si>
  <si>
    <t xml:space="preserve">       라 이 센 스 매출원가        </t>
  </si>
  <si>
    <t xml:space="preserve">       상  품  매  출 원 가        </t>
  </si>
  <si>
    <t xml:space="preserve">       제  품  매  출 원 가        </t>
  </si>
  <si>
    <t xml:space="preserve">       기 초 제 품 재 고 액        </t>
  </si>
  <si>
    <t xml:space="preserve">       당 기 제 품 제조원가        </t>
  </si>
  <si>
    <t xml:space="preserve">       재 고 자 산 평가손실        </t>
  </si>
  <si>
    <t xml:space="preserve">       기 말 제 품 재 고 액        </t>
  </si>
  <si>
    <t xml:space="preserve">Ⅲ. 매    출    총   이   익     </t>
  </si>
  <si>
    <t xml:space="preserve">Ⅳ. 판  매  비  와  관 리 비     </t>
  </si>
  <si>
    <t xml:space="preserve">       직    원    급    여        </t>
  </si>
  <si>
    <t xml:space="preserve">       퇴    직    급    여        </t>
  </si>
  <si>
    <t xml:space="preserve">       복   리   후  생  비        </t>
  </si>
  <si>
    <t xml:space="preserve">       여   비   교  통  비        </t>
  </si>
  <si>
    <t xml:space="preserve">       접대비(기업업무추진비)        </t>
  </si>
  <si>
    <t xml:space="preserve">       통       신       비        </t>
  </si>
  <si>
    <t xml:space="preserve">       수   도   광  열  비        </t>
  </si>
  <si>
    <t xml:space="preserve">       세  금  과  공 과 금        </t>
  </si>
  <si>
    <t xml:space="preserve">       감   가   상  각  비        </t>
  </si>
  <si>
    <t xml:space="preserve">       지   급   임  차  료        </t>
  </si>
  <si>
    <t xml:space="preserve">       수       선       비        </t>
  </si>
  <si>
    <t xml:space="preserve">       보       험       료        </t>
  </si>
  <si>
    <t xml:space="preserve">       차   량   유  지  비        </t>
  </si>
  <si>
    <t xml:space="preserve">       경 상 연 구 개 발 비        </t>
  </si>
  <si>
    <t xml:space="preserve">       운       반       비        </t>
  </si>
  <si>
    <t xml:space="preserve">       교   육   훈  련  비        </t>
  </si>
  <si>
    <t xml:space="preserve">       도   서   인  쇄  비        </t>
  </si>
  <si>
    <t xml:space="preserve">       사   무   용  품  비        </t>
  </si>
  <si>
    <t xml:space="preserve">       소    모    품    비        </t>
  </si>
  <si>
    <t xml:space="preserve">       지   급   수  수  료        </t>
  </si>
  <si>
    <t xml:space="preserve">       건   물   관  리  비        </t>
  </si>
  <si>
    <t xml:space="preserve">       무 형 고 정 자산상각        </t>
  </si>
  <si>
    <t xml:space="preserve">       사 용 권 자 산상각비        </t>
  </si>
  <si>
    <t xml:space="preserve">Ⅴ. 영      업     손     실     </t>
  </si>
  <si>
    <t xml:space="preserve">Ⅵ. 영    업    외   수   익     </t>
  </si>
  <si>
    <t xml:space="preserve">       이    자    수    익        </t>
  </si>
  <si>
    <t xml:space="preserve">       외    환    차    익        </t>
  </si>
  <si>
    <t xml:space="preserve">       외  화  환  산 이 익        </t>
  </si>
  <si>
    <t xml:space="preserve">       사 용 권자산처분이익        </t>
  </si>
  <si>
    <t xml:space="preserve">       전환상환우선주평가이익        </t>
  </si>
  <si>
    <t xml:space="preserve">       잡       이       익        </t>
  </si>
  <si>
    <t xml:space="preserve">Ⅶ. 영    업    외   비   용     </t>
  </si>
  <si>
    <t xml:space="preserve">       이    자    비    용        </t>
  </si>
  <si>
    <t xml:space="preserve">       외    환    차    손        </t>
  </si>
  <si>
    <t xml:space="preserve">       기 타 의 대 손상각비        </t>
  </si>
  <si>
    <t xml:space="preserve">       외  화  환  산 손 실        </t>
  </si>
  <si>
    <t xml:space="preserve">       사 용 권자산처분손실        </t>
  </si>
  <si>
    <t xml:space="preserve">       잡       손       실        </t>
  </si>
  <si>
    <t xml:space="preserve">Ⅷ. 법  인 세 차 감 전 손 실     </t>
  </si>
  <si>
    <t xml:space="preserve">Ⅸ. 법      인     세     등     </t>
  </si>
  <si>
    <t xml:space="preserve">Ⅹ. 당    기    순   손   실     </t>
  </si>
  <si>
    <t>재 무 상 태 표</t>
  </si>
  <si>
    <t>제 17기  2026년  06월  30일  현재</t>
  </si>
  <si>
    <t>제 16기  2025년  12월  31일  현재</t>
  </si>
  <si>
    <t>과      목</t>
  </si>
  <si>
    <t>제 17(당)기</t>
  </si>
  <si>
    <t>제 16(전)기</t>
  </si>
  <si>
    <t xml:space="preserve">  자                        산</t>
  </si>
  <si>
    <t xml:space="preserve">   Ⅰ. 유     동     자     산</t>
  </si>
  <si>
    <t xml:space="preserve">    (1)  당    좌    자    산</t>
  </si>
  <si>
    <t xml:space="preserve">       보     통     예     금</t>
  </si>
  <si>
    <t xml:space="preserve">       기 타 단 기 금 융 상 품</t>
  </si>
  <si>
    <t xml:space="preserve">       미     수     수     익</t>
  </si>
  <si>
    <t xml:space="preserve">       미         수        금</t>
  </si>
  <si>
    <t xml:space="preserve">       선         급        금</t>
  </si>
  <si>
    <t xml:space="preserve">       대    손   충   당   금</t>
  </si>
  <si>
    <t xml:space="preserve">       선     급     비     용</t>
  </si>
  <si>
    <t xml:space="preserve">       부   가  세  대  급  금</t>
  </si>
  <si>
    <t xml:space="preserve">       선     납     세     금</t>
  </si>
  <si>
    <t xml:space="preserve">       주 . 임 . 종 단 기 채권</t>
  </si>
  <si>
    <t xml:space="preserve">    (2)  재    고    자    산</t>
  </si>
  <si>
    <t xml:space="preserve">       원         재        료</t>
  </si>
  <si>
    <t xml:space="preserve">       원 재 료 평 가 충 당 금</t>
  </si>
  <si>
    <t xml:space="preserve">       재         공        품</t>
  </si>
  <si>
    <t xml:space="preserve">       재 공 품 평 가 충 당 금</t>
  </si>
  <si>
    <t xml:space="preserve">   Ⅱ. 비    유   동   자   산</t>
  </si>
  <si>
    <t xml:space="preserve">    (1)  투    자    자    산</t>
  </si>
  <si>
    <t xml:space="preserve">    (2)  유    형    자    산</t>
  </si>
  <si>
    <t xml:space="preserve">       기     계     장     치</t>
  </si>
  <si>
    <t xml:space="preserve">       감  가  상  각 누 계 액</t>
  </si>
  <si>
    <t xml:space="preserve">       비                   품</t>
  </si>
  <si>
    <t xml:space="preserve">       시     설     장     치</t>
  </si>
  <si>
    <t xml:space="preserve">    (3)  무    형    자    산</t>
  </si>
  <si>
    <t xml:space="preserve">       특         허        권</t>
  </si>
  <si>
    <t xml:space="preserve">       건 설 중 인 자 산(무형)</t>
  </si>
  <si>
    <t xml:space="preserve">       개         발        비</t>
  </si>
  <si>
    <t xml:space="preserve">       소    프   트   웨   어</t>
  </si>
  <si>
    <t xml:space="preserve">       시    설   이   용   권</t>
  </si>
  <si>
    <t xml:space="preserve">    (4)  기 타 비 유 동 자 산</t>
  </si>
  <si>
    <t xml:space="preserve">       임    차   보   증   금</t>
  </si>
  <si>
    <t xml:space="preserve">       임차보증금(건물_현할차)</t>
  </si>
  <si>
    <t xml:space="preserve">       장   기  선  급  비  용</t>
  </si>
  <si>
    <t xml:space="preserve">       기    타   보   증   금</t>
  </si>
  <si>
    <t xml:space="preserve">       임차보증금(차량_현할차)</t>
  </si>
  <si>
    <t xml:space="preserve">       사 용 권 자 산 ( 건 물)</t>
  </si>
  <si>
    <t/>
  </si>
  <si>
    <t xml:space="preserve">       감가상각누계액(사용권자산_건물)</t>
  </si>
  <si>
    <t xml:space="preserve">       사 용권자산(차량운반구)</t>
  </si>
  <si>
    <t xml:space="preserve">       감가상각누계액(사용권자산_차량)</t>
  </si>
  <si>
    <t xml:space="preserve">  자       산       총      계</t>
  </si>
  <si>
    <t xml:space="preserve">  부                        채</t>
  </si>
  <si>
    <t xml:space="preserve">   Ⅰ. 유     동     부     채</t>
  </si>
  <si>
    <t xml:space="preserve">       미     지     급     금</t>
  </si>
  <si>
    <t xml:space="preserve">       예         수        금</t>
  </si>
  <si>
    <t xml:space="preserve">       선         수        금</t>
  </si>
  <si>
    <t xml:space="preserve">       단    기   차   입   금</t>
  </si>
  <si>
    <t xml:space="preserve">       미    지   급   비   용</t>
  </si>
  <si>
    <t xml:space="preserve">       리  스  부 채 ( 유 동 )</t>
  </si>
  <si>
    <t xml:space="preserve">   Ⅱ. 비    유   동   부   채</t>
  </si>
  <si>
    <t xml:space="preserve">       장   기  미  지  급  금</t>
  </si>
  <si>
    <t xml:space="preserve">       복   구  충  당  부  채</t>
  </si>
  <si>
    <t xml:space="preserve">       판권회수대가(현할차)-비유동</t>
  </si>
  <si>
    <t xml:space="preserve">       리 스 부 채 ( 비 유 동)</t>
  </si>
  <si>
    <t xml:space="preserve">  부       채       총      계</t>
  </si>
  <si>
    <t xml:space="preserve">  자                        본</t>
  </si>
  <si>
    <t xml:space="preserve">   Ⅰ. 자         본        금</t>
  </si>
  <si>
    <t xml:space="preserve">       자         본        금</t>
  </si>
  <si>
    <t xml:space="preserve">       우   선  주  자  본  금</t>
  </si>
  <si>
    <t xml:space="preserve">   Ⅱ. 자    본   잉   여   금</t>
  </si>
  <si>
    <t xml:space="preserve">       주  식  발  행 초 과 금</t>
  </si>
  <si>
    <t xml:space="preserve">       기  타  자  본 잉 여 금</t>
  </si>
  <si>
    <t xml:space="preserve">   Ⅲ. 자     본     조     정</t>
  </si>
  <si>
    <t xml:space="preserve">       주 식 선 택권(자본조정)</t>
  </si>
  <si>
    <t xml:space="preserve">   Ⅳ. 기 타 포 괄 손 익누계액</t>
  </si>
  <si>
    <t xml:space="preserve">   Ⅴ. 결         손        금</t>
  </si>
  <si>
    <t xml:space="preserve">       미   처  리  결  손  금</t>
  </si>
  <si>
    <t xml:space="preserve">  (   당   기   순   손  실  )</t>
  </si>
  <si>
    <t>당기 :       4,501,067,289 원</t>
  </si>
  <si>
    <t>전기 :      -1,881,574,752 원</t>
  </si>
  <si>
    <t xml:space="preserve">  자       본       총      계</t>
  </si>
  <si>
    <t xml:space="preserve">  부   채   및  자  본  총  계</t>
  </si>
  <si>
    <t>정산표연결금액</t>
    <phoneticPr fontId="3" type="noConversion"/>
  </si>
  <si>
    <t>34500</t>
  </si>
  <si>
    <t>34500</t>
    <phoneticPr fontId="3" type="noConversion"/>
  </si>
  <si>
    <t>기타자본잉여금</t>
    <phoneticPr fontId="3" type="noConversion"/>
  </si>
  <si>
    <t>재공품재고자산평가충당금</t>
    <phoneticPr fontId="3" type="noConversion"/>
  </si>
  <si>
    <t>재공품재고자산평가충당금</t>
    <phoneticPr fontId="3" type="noConversion"/>
  </si>
  <si>
    <t>재공품평가충당금</t>
    <phoneticPr fontId="3" type="noConversion"/>
  </si>
  <si>
    <t>기타자본잉여금</t>
    <phoneticPr fontId="3" type="noConversion"/>
  </si>
  <si>
    <t>시설이용권</t>
  </si>
  <si>
    <t>시설이용권</t>
    <phoneticPr fontId="3" type="noConversion"/>
  </si>
  <si>
    <t>건설중인자산(무형)</t>
  </si>
  <si>
    <t>건설중인자산(무형)</t>
    <phoneticPr fontId="3" type="noConversion"/>
  </si>
  <si>
    <t>23500</t>
  </si>
  <si>
    <t>23500</t>
    <phoneticPr fontId="3" type="noConversion"/>
  </si>
  <si>
    <t>23600</t>
  </si>
  <si>
    <t>23600</t>
    <phoneticPr fontId="3" type="noConversion"/>
  </si>
  <si>
    <t>&gt; 연결범위변동(26.06말)(ATGC)</t>
    <phoneticPr fontId="3" type="noConversion"/>
  </si>
  <si>
    <t>기타보증금_현재가치할인차금</t>
    <phoneticPr fontId="3" type="noConversion"/>
  </si>
  <si>
    <t>19100</t>
  </si>
  <si>
    <t>기타보증금_현재가치할인차금</t>
    <phoneticPr fontId="3" type="noConversion"/>
  </si>
  <si>
    <t>장기선급비용</t>
    <phoneticPr fontId="3" type="noConversion"/>
  </si>
  <si>
    <t>19200</t>
  </si>
  <si>
    <t>19200</t>
    <phoneticPr fontId="3" type="noConversion"/>
  </si>
  <si>
    <t>장기선급비용</t>
    <phoneticPr fontId="3" type="noConversion"/>
  </si>
  <si>
    <t>장기 미지급금 현할차</t>
    <phoneticPr fontId="3" type="noConversion"/>
  </si>
  <si>
    <t>장기미지급금</t>
  </si>
  <si>
    <t>장기미지급금</t>
    <phoneticPr fontId="3" type="noConversion"/>
  </si>
  <si>
    <t>장기미지급금_현재가치할인차금</t>
  </si>
  <si>
    <t>장기미지급금_현재가치할인차금</t>
    <phoneticPr fontId="3" type="noConversion"/>
  </si>
  <si>
    <t>복구충당부채</t>
  </si>
  <si>
    <t>복구충당부채</t>
    <phoneticPr fontId="3" type="noConversion"/>
  </si>
  <si>
    <t>31800</t>
  </si>
  <si>
    <t>31800</t>
    <phoneticPr fontId="3" type="noConversion"/>
  </si>
  <si>
    <t>31900</t>
  </si>
  <si>
    <t>31900</t>
    <phoneticPr fontId="3" type="noConversion"/>
  </si>
  <si>
    <t>32000</t>
  </si>
  <si>
    <t>32000</t>
    <phoneticPr fontId="3" type="noConversion"/>
  </si>
  <si>
    <t>장기미지급금</t>
    <phoneticPr fontId="3" type="noConversion"/>
  </si>
  <si>
    <t>복구충당부채</t>
    <phoneticPr fontId="3" type="noConversion"/>
  </si>
  <si>
    <t>재공품평가충당금</t>
    <phoneticPr fontId="3" type="noConversion"/>
  </si>
  <si>
    <t>시설이용권</t>
    <phoneticPr fontId="3" type="noConversion"/>
  </si>
  <si>
    <t>건설중인자산(무형)</t>
    <phoneticPr fontId="3" type="noConversion"/>
  </si>
  <si>
    <t>기타비유동자산</t>
    <phoneticPr fontId="4" type="noConversion"/>
  </si>
  <si>
    <t>부가세대급금</t>
    <phoneticPr fontId="3" type="noConversion"/>
  </si>
  <si>
    <t>충당부채</t>
    <phoneticPr fontId="3" type="noConversion"/>
  </si>
  <si>
    <t>- ATGC</t>
    <phoneticPr fontId="13" type="noConversion"/>
  </si>
  <si>
    <t>외국납부세액공제</t>
  </si>
  <si>
    <t>자회사 적용세율</t>
  </si>
  <si>
    <t>당기손익</t>
  </si>
  <si>
    <t>당기미실현손익</t>
  </si>
  <si>
    <t>ATGC</t>
  </si>
  <si>
    <t>자본조정&lt;-&gt;자본잉여금대체</t>
    <phoneticPr fontId="3" type="noConversion"/>
  </si>
  <si>
    <t>연결범위변동(관계-&gt;종속)</t>
    <phoneticPr fontId="3" type="noConversion"/>
  </si>
  <si>
    <t>기타주주(보통주)</t>
    <phoneticPr fontId="3" type="noConversion"/>
  </si>
  <si>
    <t>* 우선주 105,000주 존재하지만 연결정산표 작성시에는 보통주 기준 지분율로 작성</t>
    <phoneticPr fontId="3" type="noConversion"/>
  </si>
  <si>
    <t>100%기준</t>
    <phoneticPr fontId="3" type="noConversion"/>
  </si>
  <si>
    <t>무형자산 역산을 위해 우선주포함</t>
    <phoneticPr fontId="3" type="noConversion"/>
  </si>
  <si>
    <t>50.21%기준</t>
    <phoneticPr fontId="3" type="noConversion"/>
  </si>
  <si>
    <t>14.5년 상각(관계기업상태에서 6개월 상각완료)</t>
  </si>
  <si>
    <t>14.5년 상각(관계기업상태에서 6개월 상각완료)</t>
    <phoneticPr fontId="3" type="noConversion"/>
  </si>
  <si>
    <t>2. 영업권 및 평가차액</t>
    <phoneticPr fontId="3" type="noConversion"/>
  </si>
  <si>
    <t>(2) 식별된 무형자산(25년말기준)</t>
    <phoneticPr fontId="3" type="noConversion"/>
  </si>
  <si>
    <t>(3) 식별된 무형자산(26년6월말(간주취득일)기준)</t>
    <phoneticPr fontId="3" type="noConversion"/>
  </si>
  <si>
    <t>(4) 식별된 무형자산</t>
    <phoneticPr fontId="3" type="noConversion"/>
  </si>
  <si>
    <t>(5) 투자차액상각표</t>
    <phoneticPr fontId="3" type="noConversion"/>
  </si>
  <si>
    <t>(1) 취득시점 요약재무정보(26년 6월말(간주취득일)</t>
    <phoneticPr fontId="3" type="noConversion"/>
  </si>
  <si>
    <t>2026년 추가취득 반영</t>
    <phoneticPr fontId="3" type="noConversion"/>
  </si>
  <si>
    <t>&gt;&gt; 지배력 판단시에는 우선주포함 지분율로 판단하지만 연결손익 인식시에는 보통주 기준 지분율로 인식</t>
    <phoneticPr fontId="3" type="noConversion"/>
  </si>
  <si>
    <t>3. 투자주식과 자본계정 상계</t>
    <phoneticPr fontId="3" type="noConversion"/>
  </si>
  <si>
    <t>종속기업투자주식</t>
  </si>
  <si>
    <t>종속기업투자주식</t>
    <phoneticPr fontId="3" type="noConversion"/>
  </si>
  <si>
    <t>라이선스</t>
  </si>
  <si>
    <t>특허받은기술력</t>
  </si>
  <si>
    <t>(6) 관계기업투자주식 조정</t>
    <phoneticPr fontId="3" type="noConversion"/>
  </si>
  <si>
    <t>연결(지분법회계처리 이후)</t>
    <phoneticPr fontId="3" type="noConversion"/>
  </si>
  <si>
    <t>추가취득금액</t>
    <phoneticPr fontId="3" type="noConversion"/>
  </si>
  <si>
    <t>추가취득</t>
    <phoneticPr fontId="3" type="noConversion"/>
  </si>
  <si>
    <t>추가취득 고려</t>
    <phoneticPr fontId="3" type="noConversion"/>
  </si>
  <si>
    <t>가결산조정포함 &gt;&gt; 추가취득이 6월말 시점에 이루어졌다고 가정하고 추가취득 직후 연결로 편입되기 때문에 지분법손익은 추가취득 이전 지분율로 계산</t>
    <phoneticPr fontId="3" type="noConversion"/>
  </si>
  <si>
    <t>&gt;&gt; 연결편입시점에 FV평가 없이 장부금액을 FV로 간주하여 종속기업편입했기 때문에 누적 지분법 손익만큼 처분이익 발생</t>
    <phoneticPr fontId="3" type="noConversion"/>
  </si>
  <si>
    <t>ATGC</t>
    <phoneticPr fontId="3" type="noConversion"/>
  </si>
  <si>
    <t>자본금(보통주)</t>
    <phoneticPr fontId="3" type="noConversion"/>
  </si>
  <si>
    <t>자본금(우선주)</t>
    <phoneticPr fontId="3" type="noConversion"/>
  </si>
  <si>
    <t>23400</t>
  </si>
  <si>
    <t>기타의무형자산</t>
  </si>
  <si>
    <t>기타의무형자산</t>
    <phoneticPr fontId="3" type="noConversion"/>
  </si>
  <si>
    <t>23700</t>
  </si>
  <si>
    <t>23700</t>
    <phoneticPr fontId="3" type="noConversion"/>
  </si>
  <si>
    <t>기타자본잉여금</t>
    <phoneticPr fontId="3" type="noConversion"/>
  </si>
  <si>
    <t>주식발행초과금</t>
    <phoneticPr fontId="3" type="noConversion"/>
  </si>
  <si>
    <t>연결범위변동</t>
    <phoneticPr fontId="4" type="noConversion"/>
  </si>
  <si>
    <t>지배기업의 소유주에게 귀속되는 자본</t>
    <phoneticPr fontId="3" type="noConversion"/>
  </si>
  <si>
    <t>(주)에이티지씨</t>
    <phoneticPr fontId="3" type="noConversion"/>
  </si>
  <si>
    <t>25년부터 별도와 동일(울트라팜 합병완료)(에이티지씨는 해당사항 없음)</t>
    <phoneticPr fontId="3" type="noConversion"/>
  </si>
  <si>
    <t>별도와 동일(에이티지씨 해당사항 없음)</t>
    <phoneticPr fontId="3" type="noConversion"/>
  </si>
  <si>
    <t>연결로 대체</t>
    <phoneticPr fontId="3" type="noConversion"/>
  </si>
  <si>
    <t>HK &amp; DHK(외화)(단순합산)</t>
    <phoneticPr fontId="3" type="noConversion"/>
  </si>
  <si>
    <t>유동</t>
    <phoneticPr fontId="3" type="noConversion"/>
  </si>
  <si>
    <t>비유동</t>
    <phoneticPr fontId="3" type="noConversion"/>
  </si>
  <si>
    <t>연결범위변동</t>
  </si>
  <si>
    <t>연결범위변동</t>
    <phoneticPr fontId="56" type="noConversion"/>
  </si>
  <si>
    <t>연결범위변동(에이티지씨)</t>
  </si>
  <si>
    <t>연결범위변동(에이티지씨)</t>
    <phoneticPr fontId="56" type="noConversion"/>
  </si>
  <si>
    <t>관계기업투자주식처분이익</t>
    <phoneticPr fontId="56" type="noConversion"/>
  </si>
  <si>
    <t>25.12.31</t>
  </si>
  <si>
    <t>26.06.30</t>
    <phoneticPr fontId="11" type="noConversion"/>
  </si>
  <si>
    <t>  상품매출</t>
  </si>
  <si>
    <t>  제품매출</t>
  </si>
  <si>
    <t>사용권자산 신규/처분</t>
    <phoneticPr fontId="56" type="noConversion"/>
  </si>
  <si>
    <t>리스부채 발생</t>
  </si>
  <si>
    <t>리스중단</t>
  </si>
  <si>
    <t xml:space="preserve"> 연결범위변동</t>
  </si>
  <si>
    <t xml:space="preserve"> 연결범위변동</t>
    <phoneticPr fontId="3" type="noConversion"/>
  </si>
  <si>
    <t>CLOVERMED, 러시아</t>
  </si>
  <si>
    <t>Ultra V Medical Aesthetic, 태국 (Jeab)</t>
  </si>
  <si>
    <t>주식회사 씨에스메드</t>
  </si>
  <si>
    <t>주식회사 위드메디</t>
  </si>
  <si>
    <t>Estetica y Ortopedia, 칠레</t>
  </si>
  <si>
    <t>MYP Continental, 페루</t>
  </si>
  <si>
    <t>주식회사 그린팜텍</t>
  </si>
  <si>
    <t>청담흰의원</t>
  </si>
  <si>
    <t>주식회사 스키닉스</t>
  </si>
  <si>
    <t>우유빛 의원</t>
  </si>
  <si>
    <t>주식회사 리브사이언스</t>
  </si>
  <si>
    <t>주식회사 라니코퍼레이션</t>
  </si>
  <si>
    <t>유앤아이의정부</t>
  </si>
  <si>
    <t>밀리의원</t>
  </si>
  <si>
    <t>SL Skin Genesis Asia,말레이시아(Sharon)</t>
  </si>
  <si>
    <t>포에버의원 안양점</t>
  </si>
  <si>
    <t>주식회사 젠홀딩스</t>
  </si>
  <si>
    <t>Dermaster Thai, Jeab</t>
  </si>
  <si>
    <t>에스디클라스</t>
  </si>
  <si>
    <t>한림중앙의원</t>
  </si>
  <si>
    <t>Dr. Contessa, USA</t>
  </si>
  <si>
    <t>주식회사 디에스이코퍼레이션</t>
  </si>
  <si>
    <t>주식회사 엠에이치메디</t>
  </si>
  <si>
    <t>서울리거피부과의원</t>
  </si>
  <si>
    <t>멜로우피부과의원(창동)</t>
  </si>
  <si>
    <t>청담란셀의원</t>
  </si>
  <si>
    <t>(주)플랜닥스</t>
  </si>
  <si>
    <t>아이비여성의원</t>
  </si>
  <si>
    <t>Ajila Beauty LLC, 몽골</t>
  </si>
  <si>
    <t>로바에의원</t>
  </si>
  <si>
    <t>삼성서울내과</t>
  </si>
  <si>
    <t>바르다마취통증의학과의원</t>
  </si>
  <si>
    <t>주식회사 블루엠텍</t>
  </si>
  <si>
    <t>청담에스민의원</t>
  </si>
  <si>
    <t>포에버(4ever)의원-안양(x)</t>
  </si>
  <si>
    <t>Dr.Rose Wong, 캐나다</t>
  </si>
  <si>
    <t>주식회사 플라이닥터(FLY DOCTOR Inc.)</t>
  </si>
  <si>
    <t>Dr.Vivian, 미국</t>
  </si>
  <si>
    <t>삼성그린마취통증의학과의원 kpc</t>
  </si>
  <si>
    <t>블렌드 마켓팅</t>
  </si>
  <si>
    <t>엔비의원(안산)</t>
  </si>
  <si>
    <t>윤슬피부과의원</t>
  </si>
  <si>
    <t>2026 TAS UK</t>
  </si>
  <si>
    <t>미앤치과의원</t>
  </si>
  <si>
    <t>유한회사 바이오파마코리아(Biopharma Korea)</t>
  </si>
  <si>
    <t>강남우태하피부과</t>
  </si>
  <si>
    <t>포에버의원-시흥</t>
  </si>
  <si>
    <t>MJ올피부과</t>
  </si>
  <si>
    <t>광진성모셀인의원</t>
  </si>
  <si>
    <t>청담셀의원</t>
  </si>
  <si>
    <t>홀드의원</t>
  </si>
  <si>
    <t>뷰티온의원 별내점</t>
  </si>
  <si>
    <t>유앤아이의원 건대점</t>
  </si>
  <si>
    <t>봄눈피우다의원</t>
  </si>
  <si>
    <t>리우라인의원</t>
  </si>
  <si>
    <t>미랩의원</t>
  </si>
  <si>
    <t>세움병원</t>
  </si>
  <si>
    <t>에비앙스의원</t>
  </si>
  <si>
    <t>위즈앤미의원</t>
  </si>
  <si>
    <t>eri clinic-일본</t>
  </si>
  <si>
    <t>주식회사 루카와팜</t>
  </si>
  <si>
    <t>디엔에이글로벌</t>
  </si>
  <si>
    <t>Dr. Cho, 방글라데시</t>
  </si>
  <si>
    <t>삼성속편한내과의원-사가정점</t>
  </si>
  <si>
    <t>원센트코리아 (구 씨엠코스메틱)</t>
  </si>
  <si>
    <t>서울내외의원</t>
  </si>
  <si>
    <t>Ultra V UK, 영국</t>
  </si>
  <si>
    <t>리조이셀의원</t>
  </si>
  <si>
    <t>발안통증의학과의원</t>
  </si>
  <si>
    <t>을지정형외과의원 kpc</t>
  </si>
  <si>
    <t>윤산부인과</t>
  </si>
  <si>
    <t>박성현피부과</t>
  </si>
  <si>
    <t>예지안의원</t>
  </si>
  <si>
    <t>뷰 메디칼</t>
  </si>
  <si>
    <t>푸른청신경과의원</t>
  </si>
  <si>
    <t>100년재생의원</t>
  </si>
  <si>
    <t>더올린의원-논산</t>
  </si>
  <si>
    <t>맑은결웰빙</t>
  </si>
  <si>
    <t>큐빅산부인과</t>
  </si>
  <si>
    <t>Cosmo de beaute studio, 호주</t>
  </si>
  <si>
    <t>리뉴앤영의원</t>
  </si>
  <si>
    <t>주식회사 린글로벌테크</t>
  </si>
  <si>
    <t>땡큐성형외과의원</t>
  </si>
  <si>
    <t>웰가의원</t>
  </si>
  <si>
    <t>민의원-강남</t>
  </si>
  <si>
    <t>아름다운선의원</t>
  </si>
  <si>
    <t>미래피부과의원</t>
  </si>
  <si>
    <t>페슈의원</t>
  </si>
  <si>
    <t>청담루비의원</t>
  </si>
  <si>
    <t>경영기획본부</t>
  </si>
  <si>
    <t>주식회사 엠제이메디컬</t>
  </si>
  <si>
    <t>뉴센스의원</t>
  </si>
  <si>
    <t>원더의원</t>
  </si>
  <si>
    <t>더고운의원-제주</t>
  </si>
  <si>
    <t>의료법인 남궁의료재단</t>
  </si>
  <si>
    <t>국내전략사업본부(국내영업)</t>
  </si>
  <si>
    <t>금정라인한의원</t>
  </si>
  <si>
    <t>주식회사 루미제이</t>
  </si>
  <si>
    <t>메디에스의원</t>
  </si>
  <si>
    <t>플래티넘의원</t>
  </si>
  <si>
    <t>본비뇨기과</t>
  </si>
  <si>
    <t>샤인유의원-건대</t>
  </si>
  <si>
    <t>지힐링스퀘어의원</t>
  </si>
  <si>
    <t>리네아의원</t>
  </si>
  <si>
    <t>부평미의원</t>
  </si>
  <si>
    <t>에르샤몽의원동탄</t>
  </si>
  <si>
    <t>스마트치과의원</t>
  </si>
  <si>
    <t>푸른정형외과의원</t>
  </si>
  <si>
    <t>닥터김 가정의학과</t>
  </si>
  <si>
    <t>미케이의원</t>
  </si>
  <si>
    <t>Yami, 미국</t>
  </si>
  <si>
    <t>어나더치과의원</t>
  </si>
  <si>
    <t>더올린의원</t>
  </si>
  <si>
    <t>김숙경산부인과</t>
  </si>
  <si>
    <t>날씬의원</t>
  </si>
  <si>
    <t>오르세윤의원</t>
  </si>
  <si>
    <t>강남성형외과의원</t>
  </si>
  <si>
    <t>톡스앤필의원-강남본점</t>
  </si>
  <si>
    <t>노벨의원-신길</t>
  </si>
  <si>
    <t>이레라움 의원</t>
  </si>
  <si>
    <t>미오르의원</t>
  </si>
  <si>
    <t>다피네의원</t>
  </si>
  <si>
    <t>라플라스의원</t>
  </si>
  <si>
    <t>에스제이미의원</t>
  </si>
  <si>
    <t>26년 2분기 없음 / 25년 2분기도 없음</t>
    <phoneticPr fontId="3" type="noConversion"/>
  </si>
  <si>
    <t>보고기간종료일 현재 충당부채의 내역은 다음과 같습니다.</t>
  </si>
  <si>
    <t>특허권+상표권</t>
    <phoneticPr fontId="3" type="noConversion"/>
  </si>
  <si>
    <t>별도</t>
  </si>
  <si>
    <t>에이티지씨</t>
  </si>
  <si>
    <t>ATGC-100</t>
  </si>
  <si>
    <t>ATGC-110</t>
  </si>
  <si>
    <t>3.6년</t>
  </si>
  <si>
    <t>3.9년</t>
  </si>
  <si>
    <t>(4) 계류 중인 소송사건</t>
    <phoneticPr fontId="3" type="noConversion"/>
  </si>
  <si>
    <t>연결회사는 2026년 4월 중 하이난 그랜드윌 제약 수출입 유한공사와 체결한 판권계약에 대한 중개수수료 1,000백만원을 청구하는 민사소송 서류를 Shanghai Xulindon TSC로부터 송달 받았습니다. 당반기말 현재 소송의 결과를 예측할 수 없습니다.</t>
    <phoneticPr fontId="3" type="noConversion"/>
  </si>
  <si>
    <t>당반기말</t>
  </si>
  <si>
    <t>회사와의 관계</t>
  </si>
  <si>
    <t>최상위 지배기업</t>
  </si>
  <si>
    <t>유한회사 리브홀딩스투자목적회사</t>
  </si>
  <si>
    <t>지배기업</t>
  </si>
  <si>
    <t>최대주주 60.5%</t>
  </si>
  <si>
    <t>㈜에이티지씨(*1)</t>
  </si>
  <si>
    <t>주요경영진 및 주주</t>
  </si>
  <si>
    <t>대표이사 개인사업자</t>
  </si>
  <si>
    <t>기타 경영진</t>
  </si>
  <si>
    <t>감소</t>
  </si>
  <si>
    <t>임원대여금</t>
  </si>
  <si>
    <t>개인</t>
  </si>
  <si>
    <t>3분기부터 입력</t>
  </si>
  <si>
    <t>3분기부터 입력</t>
    <phoneticPr fontId="3" type="noConversion"/>
  </si>
  <si>
    <t>주요 경영진</t>
  </si>
  <si>
    <t>주주</t>
    <phoneticPr fontId="3" type="noConversion"/>
  </si>
  <si>
    <t>기타비유동금융자산의 감소</t>
  </si>
  <si>
    <t>기타비유동금융자산의 감소</t>
    <phoneticPr fontId="3" type="noConversion"/>
  </si>
  <si>
    <t>기타유동금융자산의 감소</t>
  </si>
  <si>
    <t>기타유동금융자산의 감소</t>
    <phoneticPr fontId="3" type="noConversion"/>
  </si>
  <si>
    <t>에이티지씨 대표이사 대여금</t>
    <phoneticPr fontId="3" type="noConversion"/>
  </si>
  <si>
    <t>단기대여금대손충당금</t>
    <phoneticPr fontId="3" type="noConversion"/>
  </si>
  <si>
    <t>에이티지씨 대표이사 대여금대손충당금</t>
    <phoneticPr fontId="3" type="noConversion"/>
  </si>
  <si>
    <t>에이티지씨 장기미지급금(현할차차감전)</t>
    <phoneticPr fontId="3" type="noConversion"/>
  </si>
  <si>
    <t>10. 기타자산</t>
    <phoneticPr fontId="3" type="noConversion"/>
  </si>
  <si>
    <t>재공품</t>
    <phoneticPr fontId="3" type="noConversion"/>
  </si>
  <si>
    <t>금액</t>
    <phoneticPr fontId="122" type="noConversion"/>
  </si>
  <si>
    <t>Ⅰ.이전대가:</t>
  </si>
  <si>
    <t>    현금</t>
  </si>
  <si>
    <t>Ⅱ.식별가능한 자산과 부채로 인식된 금액</t>
  </si>
  <si>
    <t>    현금및현금성자산</t>
  </si>
  <si>
    <t>    재고자산</t>
  </si>
  <si>
    <t>    유형자산</t>
  </si>
  <si>
    <t>    무형자산</t>
  </si>
  <si>
    <t>    기타충당부채</t>
  </si>
  <si>
    <t>Ⅳ.영업권</t>
  </si>
  <si>
    <t>에이티지씨</t>
    <phoneticPr fontId="122" type="noConversion"/>
  </si>
  <si>
    <t xml:space="preserve">    매출채권및기타채권</t>
    <phoneticPr fontId="3" type="noConversion"/>
  </si>
  <si>
    <t>    기타유동자산</t>
    <phoneticPr fontId="3" type="noConversion"/>
  </si>
  <si>
    <t>    단기금융상품</t>
    <phoneticPr fontId="3" type="noConversion"/>
  </si>
  <si>
    <t>    기타비유동자산</t>
    <phoneticPr fontId="3" type="noConversion"/>
  </si>
  <si>
    <t>    기타비유동금융자산</t>
    <phoneticPr fontId="3" type="noConversion"/>
  </si>
  <si>
    <t>    당기법인세자산</t>
    <phoneticPr fontId="3" type="noConversion"/>
  </si>
  <si>
    <t xml:space="preserve">    매입채무및기타채무</t>
    <phoneticPr fontId="3" type="noConversion"/>
  </si>
  <si>
    <t xml:space="preserve">    기타유동부채</t>
    <phoneticPr fontId="3" type="noConversion"/>
  </si>
  <si>
    <t>    유동리스부채</t>
    <phoneticPr fontId="3" type="noConversion"/>
  </si>
  <si>
    <t xml:space="preserve">    비유동매입채무및기타채무</t>
    <phoneticPr fontId="3" type="noConversion"/>
  </si>
  <si>
    <t>    비유동리스부채</t>
    <phoneticPr fontId="3" type="noConversion"/>
  </si>
  <si>
    <t>사업결합무형자산</t>
    <phoneticPr fontId="3" type="noConversion"/>
  </si>
  <si>
    <t>    이연법인세부채</t>
    <phoneticPr fontId="3" type="noConversion"/>
  </si>
  <si>
    <t xml:space="preserve">    피취득자에 대한 지분의 취득일의 공정가치</t>
    <phoneticPr fontId="3" type="noConversion"/>
  </si>
  <si>
    <t>지배력 획득시점의 관계기업투자주식 FV(PPA전에는 기존 장부금액(지분법 전 취득원가)로 간주</t>
    <phoneticPr fontId="3" type="noConversion"/>
  </si>
  <si>
    <t>현금으로 지급한 대가</t>
  </si>
  <si>
    <t>차감: 취득한 종속기업의 현금및현금성자산</t>
  </si>
  <si>
    <t>순현금흐름유출</t>
  </si>
  <si>
    <t>현금흐름표</t>
    <phoneticPr fontId="3" type="noConversion"/>
  </si>
  <si>
    <t>2. 사업결합으로 인한 순현금흐름</t>
    <phoneticPr fontId="3" type="noConversion"/>
  </si>
  <si>
    <t>1. 사업결합으로 취득한 피취득자의 자산, 부채의 공정가치 및 지배력 획득을 위한 이전대가</t>
    <phoneticPr fontId="3" type="noConversion"/>
  </si>
  <si>
    <t>3. 취득한 사업의 기여수익</t>
    <phoneticPr fontId="3" type="noConversion"/>
  </si>
  <si>
    <t>당기순손익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</si>
</sst>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3">
    <numFmt numFmtId="41" formatCode="_-* #,##0_-;\-* #,##0_-;_-* &quot;-&quot;_-;_-@_-"/>
    <numFmt numFmtId="44" formatCode="_-&quot;₩&quot;* #,##0.00_-;\-&quot;₩&quot;* #,##0.00_-;_-&quot;₩&quot;* &quot;-&quot;??_-;_-@_-"/>
    <numFmt numFmtId="43" formatCode="_-* #,##0.00_-;\-* #,##0.00_-;_-* &quot;-&quot;??_-;_-@_-"/>
    <numFmt numFmtId="176" formatCode="_(* #,##0_);_(* \(#,##0\);_(* &quot;-&quot;_);_(@_)"/>
    <numFmt numFmtId="177" formatCode="#,##0_);[Red]\(#,##0\)"/>
    <numFmt numFmtId="178" formatCode="_-[$€]* #,##0.00_-;\-[$€]* #,##0.00_-;_-[$€]* &quot;-&quot;??_-;_-@_-"/>
    <numFmt numFmtId="179" formatCode="0.0%"/>
    <numFmt numFmtId="180" formatCode="_-* #,##0.00_-;\-* #,##0.00_-;_-* &quot;-&quot;_-;_-@_-"/>
    <numFmt numFmtId="181" formatCode="#,###;[Red]\(#,###\);\-"/>
    <numFmt numFmtId="182" formatCode="#,##0_);\(#,##0\)"/>
    <numFmt numFmtId="183" formatCode="_ * #,##0_ ;_ * \-#,##0_ ;_ * &quot;-&quot;_ ;_ @_ "/>
    <numFmt numFmtId="184" formatCode="0_);[Red]\(0\)"/>
    <numFmt numFmtId="185" formatCode="#,##0_);[Red]\(#,##0\);\-\ "/>
    <numFmt numFmtId="186" formatCode="0.000%"/>
    <numFmt numFmtId="187" formatCode="#,##0.00_);[Red]\(#,##0.00\);\-\ "/>
    <numFmt numFmtId="188" formatCode="#,##0;[Red]&quot;(&quot;#,##0&quot;)&quot;"/>
    <numFmt numFmtId="189" formatCode="_ * #,##0.00000000_ ;_ * \-#,##0.00000000_ ;_ * &quot;-&quot;_ ;_ @_ "/>
    <numFmt numFmtId="190" formatCode="#,##0.0000_);[Red]\(#,##0.0000\);\-\ "/>
    <numFmt numFmtId="191" formatCode="0.000000%"/>
    <numFmt numFmtId="192" formatCode="_-&quot;₩&quot;* #,##0.00000_-;\-&quot;₩&quot;* #,##0.00000_-;_-&quot;₩&quot;* &quot;-&quot;??_-;_-@_-"/>
    <numFmt numFmtId="193" formatCode="#,##0;[Red]\(#,##0\);\-"/>
    <numFmt numFmtId="194" formatCode="###,##0"/>
    <numFmt numFmtId="195" formatCode="###,###"/>
    <numFmt numFmtId="196" formatCode="#,###;\(#,###\);\-"/>
    <numFmt numFmtId="197" formatCode="#,##0.00_);[Red]\(#,##0.00\)"/>
    <numFmt numFmtId="198" formatCode="_(* #,##0.00_);_(* \(#,##0.00\);_(* &quot;-&quot;??_);_(@_)"/>
    <numFmt numFmtId="199" formatCode="###,##0.00"/>
    <numFmt numFmtId="200" formatCode="#,##0.0000"/>
    <numFmt numFmtId="201" formatCode="0.0000_ "/>
    <numFmt numFmtId="202" formatCode="#,##0.00;\(#,##0.00\);\-"/>
    <numFmt numFmtId="203" formatCode="#,##0;\(#,##0\);\-"/>
    <numFmt numFmtId="204" formatCode="#,###.00;\(#,###.00\);\-"/>
    <numFmt numFmtId="205" formatCode="#,##0.00000000000_);[Red]\(#,##0.00000000000\)"/>
    <numFmt numFmtId="206" formatCode="#,##0.00&quot;년&quot;;[Red]\(#,##0.00\);\-"/>
    <numFmt numFmtId="207" formatCode="#,##0;\(#,##0\);&quot;-&quot;"/>
    <numFmt numFmtId="208" formatCode="#,##0.000_);[Red]\(#,##0.000\);\-\ "/>
    <numFmt numFmtId="209" formatCode="#,##0;[Red]\(#,##0\);&quot;-&quot;"/>
    <numFmt numFmtId="210" formatCode="#,##0&quot;주&quot;;[Red]\-#,##0"/>
    <numFmt numFmtId="211" formatCode="#,###"/>
    <numFmt numFmtId="212" formatCode="_-* #,##0.000_-;\-* #,##0.000_-;_-* &quot;-&quot;_-;_-@_-"/>
    <numFmt numFmtId="213" formatCode="#,##0.00000000000000_ "/>
    <numFmt numFmtId="214" formatCode="#,##0.0_ "/>
    <numFmt numFmtId="215" formatCode="#,##0_);[Red]\(#,##0\);\-_)"/>
    <numFmt numFmtId="216" formatCode="#,##0.0_);[Red]\(#,##0.0\);\-_)"/>
    <numFmt numFmtId="217" formatCode="_-* #,##0.0_-;\-* #,##0.0_-;_-* &quot;-&quot;_-;_-@_-"/>
    <numFmt numFmtId="218" formatCode="#,##0.00;[Red]\(#,##0.00\);\-"/>
    <numFmt numFmtId="219" formatCode="##,##0"/>
    <numFmt numFmtId="220" formatCode="yyyy-mm-dd"/>
    <numFmt numFmtId="221" formatCode="#,###;\(#,###\);\-"/>
    <numFmt numFmtId="222" formatCode="0;-0"/>
    <numFmt numFmtId="223" formatCode="#,###;\(#,###\);\-"/>
    <numFmt numFmtId="224" formatCode="yyyy-mm-dd"/>
    <numFmt numFmtId="225" formatCode="#,##0;(#,##0);-"/>
  </numFmts>
  <fonts count="142">
    <font>
      <sz val="11"/>
      <color theme="1"/>
      <name val="맑은 고딕"/>
      <family val="2"/>
      <charset val="129"/>
      <scheme val="minor"/>
    </font>
    <font>
      <sz val="11"/>
      <color theme="1"/>
      <name val="맑은 고딕"/>
      <family val="2"/>
      <charset val="129"/>
      <scheme val="minor"/>
    </font>
    <font>
      <sz val="11"/>
      <name val="돋움"/>
      <family val="3"/>
      <charset val="129"/>
    </font>
    <font>
      <sz val="8"/>
      <name val="맑은 고딕"/>
      <family val="2"/>
      <charset val="129"/>
      <scheme val="minor"/>
    </font>
    <font>
      <sz val="8"/>
      <name val="맑은 고딕"/>
      <family val="3"/>
      <charset val="129"/>
    </font>
    <font>
      <sz val="10"/>
      <color theme="1"/>
      <name val="맑은 고딕"/>
      <family val="2"/>
      <scheme val="minor"/>
    </font>
    <font>
      <sz val="10"/>
      <color indexed="8"/>
      <name val="맑은 고딕"/>
      <family val="3"/>
      <charset val="129"/>
    </font>
    <font>
      <sz val="10"/>
      <name val="돋움"/>
      <family val="3"/>
      <charset val="129"/>
    </font>
    <font>
      <sz val="11"/>
      <color indexed="8"/>
      <name val="맑은 고딕"/>
      <family val="3"/>
      <charset val="129"/>
    </font>
    <font>
      <sz val="10"/>
      <color theme="1"/>
      <name val="맑은 고딕"/>
      <family val="2"/>
      <charset val="129"/>
      <scheme val="minor"/>
    </font>
    <font>
      <sz val="10"/>
      <color theme="1"/>
      <name val="맑은 고딕"/>
      <family val="3"/>
      <charset val="129"/>
      <scheme val="minor"/>
    </font>
    <font>
      <sz val="8"/>
      <name val="돋움"/>
      <family val="3"/>
      <charset val="129"/>
    </font>
    <font>
      <b/>
      <sz val="10"/>
      <color indexed="8"/>
      <name val="맑은 고딕"/>
      <family val="3"/>
      <charset val="129"/>
    </font>
    <font>
      <sz val="8"/>
      <name val="맑은 고딕"/>
      <family val="3"/>
      <charset val="129"/>
      <scheme val="minor"/>
    </font>
    <font>
      <sz val="11"/>
      <color rgb="FF000000"/>
      <name val="굴림"/>
      <family val="3"/>
      <charset val="129"/>
    </font>
    <font>
      <sz val="10"/>
      <name val="맑은 고딕"/>
      <family val="3"/>
      <charset val="129"/>
      <scheme val="minor"/>
    </font>
    <font>
      <sz val="10"/>
      <name val="맑은 고딕"/>
      <family val="3"/>
      <charset val="129"/>
      <scheme val="major"/>
    </font>
    <font>
      <b/>
      <sz val="10"/>
      <name val="맑은 고딕"/>
      <family val="3"/>
      <charset val="129"/>
      <scheme val="minor"/>
    </font>
    <font>
      <b/>
      <sz val="10"/>
      <color theme="0"/>
      <name val="맑은 고딕"/>
      <family val="3"/>
      <charset val="129"/>
      <scheme val="minor"/>
    </font>
    <font>
      <u val="doubleAccounting"/>
      <sz val="10"/>
      <name val="맑은 고딕"/>
      <family val="3"/>
      <charset val="129"/>
      <scheme val="minor"/>
    </font>
    <font>
      <sz val="10"/>
      <name val="Arial"/>
      <family val="2"/>
    </font>
    <font>
      <sz val="12"/>
      <name val="바탕체"/>
      <family val="1"/>
      <charset val="129"/>
    </font>
    <font>
      <b/>
      <u/>
      <sz val="16"/>
      <name val="맑은 고딕"/>
      <family val="3"/>
      <charset val="129"/>
      <scheme val="minor"/>
    </font>
    <font>
      <b/>
      <u/>
      <sz val="10"/>
      <name val="맑은 고딕"/>
      <family val="3"/>
      <charset val="129"/>
      <scheme val="minor"/>
    </font>
    <font>
      <sz val="10"/>
      <name val="맑은 고딕"/>
      <family val="3"/>
      <charset val="129"/>
    </font>
    <font>
      <b/>
      <sz val="9"/>
      <color indexed="81"/>
      <name val="Tahoma"/>
      <family val="2"/>
    </font>
    <font>
      <b/>
      <sz val="10"/>
      <color rgb="FF000000"/>
      <name val="맑은 고딕"/>
      <family val="3"/>
      <charset val="129"/>
      <scheme val="major"/>
    </font>
    <font>
      <sz val="10"/>
      <color rgb="FF000000"/>
      <name val="맑은 고딕"/>
      <family val="3"/>
      <charset val="129"/>
      <scheme val="major"/>
    </font>
    <font>
      <b/>
      <sz val="10"/>
      <color theme="1"/>
      <name val="맑은 고딕"/>
      <family val="3"/>
      <charset val="129"/>
      <scheme val="minor"/>
    </font>
    <font>
      <b/>
      <u val="singleAccounting"/>
      <sz val="16"/>
      <name val="맑은 고딕"/>
      <family val="3"/>
      <charset val="129"/>
    </font>
    <font>
      <b/>
      <sz val="10"/>
      <color indexed="9"/>
      <name val="맑은 고딕"/>
      <family val="3"/>
      <charset val="129"/>
    </font>
    <font>
      <b/>
      <sz val="10"/>
      <name val="맑은 고딕"/>
      <family val="3"/>
      <charset val="129"/>
    </font>
    <font>
      <sz val="11"/>
      <name val="돋움"/>
      <family val="3"/>
    </font>
    <font>
      <sz val="11"/>
      <color theme="1"/>
      <name val="맑은 고딕"/>
      <family val="3"/>
      <charset val="129"/>
      <scheme val="minor"/>
    </font>
    <font>
      <sz val="10"/>
      <name val="Times New Roman"/>
      <family val="1"/>
    </font>
    <font>
      <b/>
      <sz val="11"/>
      <color rgb="FF000000"/>
      <name val="굴림"/>
      <family val="3"/>
      <charset val="129"/>
    </font>
    <font>
      <b/>
      <sz val="9"/>
      <color indexed="81"/>
      <name val="돋움"/>
      <family val="3"/>
      <charset val="129"/>
    </font>
    <font>
      <sz val="10"/>
      <color theme="1"/>
      <name val="맑은 고딕"/>
      <family val="3"/>
      <charset val="129"/>
      <scheme val="major"/>
    </font>
    <font>
      <b/>
      <sz val="10"/>
      <color theme="1"/>
      <name val="맑은 고딕"/>
      <family val="3"/>
      <charset val="129"/>
      <scheme val="major"/>
    </font>
    <font>
      <sz val="10"/>
      <name val="바탕체"/>
      <family val="1"/>
      <charset val="129"/>
    </font>
    <font>
      <b/>
      <sz val="10"/>
      <color rgb="FFFF0000"/>
      <name val="맑은 고딕"/>
      <family val="3"/>
      <charset val="129"/>
      <scheme val="minor"/>
    </font>
    <font>
      <b/>
      <sz val="10"/>
      <color rgb="FFFF0000"/>
      <name val="맑은 고딕"/>
      <family val="3"/>
      <charset val="129"/>
      <scheme val="major"/>
    </font>
    <font>
      <sz val="10"/>
      <color rgb="FFFF0000"/>
      <name val="맑은 고딕"/>
      <family val="3"/>
      <charset val="129"/>
      <scheme val="major"/>
    </font>
    <font>
      <sz val="10"/>
      <color rgb="FFFF0000"/>
      <name val="맑은 고딕"/>
      <family val="3"/>
      <charset val="129"/>
      <scheme val="minor"/>
    </font>
    <font>
      <b/>
      <sz val="16"/>
      <name val="맑은 고딕"/>
      <family val="3"/>
      <charset val="129"/>
      <scheme val="minor"/>
    </font>
    <font>
      <b/>
      <sz val="12"/>
      <name val="맑은 고딕"/>
      <family val="3"/>
      <charset val="129"/>
      <scheme val="minor"/>
    </font>
    <font>
      <b/>
      <u/>
      <sz val="12"/>
      <name val="맑은 고딕"/>
      <family val="3"/>
      <charset val="129"/>
      <scheme val="minor"/>
    </font>
    <font>
      <b/>
      <sz val="11"/>
      <color theme="1"/>
      <name val="맑은 고딕"/>
      <family val="3"/>
      <charset val="129"/>
      <scheme val="minor"/>
    </font>
    <font>
      <b/>
      <sz val="11"/>
      <color theme="1"/>
      <name val="맑은 고딕"/>
      <family val="3"/>
      <charset val="129"/>
    </font>
    <font>
      <b/>
      <sz val="12"/>
      <color theme="1"/>
      <name val="맑은 고딕"/>
      <family val="3"/>
      <charset val="129"/>
      <scheme val="minor"/>
    </font>
    <font>
      <b/>
      <sz val="10"/>
      <color theme="1"/>
      <name val="Calibri"/>
      <family val="2"/>
    </font>
    <font>
      <b/>
      <u/>
      <sz val="24"/>
      <color indexed="56"/>
      <name val="맑은 고딕"/>
      <family val="3"/>
      <charset val="129"/>
      <scheme val="major"/>
    </font>
    <font>
      <u/>
      <sz val="24"/>
      <name val="맑은 고딕"/>
      <family val="3"/>
      <charset val="129"/>
      <scheme val="major"/>
    </font>
    <font>
      <sz val="24"/>
      <name val="맑은 고딕"/>
      <family val="3"/>
      <charset val="129"/>
      <scheme val="major"/>
    </font>
    <font>
      <u/>
      <sz val="24"/>
      <color indexed="12"/>
      <name val="맑은 고딕"/>
      <family val="3"/>
      <charset val="129"/>
      <scheme val="major"/>
    </font>
    <font>
      <b/>
      <sz val="12"/>
      <name val="맑은 고딕"/>
      <family val="3"/>
      <charset val="129"/>
      <scheme val="major"/>
    </font>
    <font>
      <sz val="8"/>
      <name val="바탕"/>
      <family val="1"/>
      <charset val="129"/>
    </font>
    <font>
      <b/>
      <sz val="11"/>
      <name val="맑은 고딕"/>
      <family val="3"/>
      <charset val="129"/>
      <scheme val="major"/>
    </font>
    <font>
      <b/>
      <sz val="10"/>
      <name val="맑은 고딕"/>
      <family val="3"/>
      <charset val="129"/>
      <scheme val="major"/>
    </font>
    <font>
      <b/>
      <sz val="10"/>
      <color theme="0"/>
      <name val="맑은 고딕"/>
      <family val="3"/>
      <charset val="129"/>
      <scheme val="major"/>
    </font>
    <font>
      <b/>
      <sz val="10"/>
      <color indexed="9"/>
      <name val="맑은 고딕"/>
      <family val="3"/>
      <charset val="129"/>
      <scheme val="major"/>
    </font>
    <font>
      <sz val="10"/>
      <color rgb="FF00B0F0"/>
      <name val="맑은 고딕"/>
      <family val="3"/>
      <charset val="129"/>
      <scheme val="minor"/>
    </font>
    <font>
      <sz val="10"/>
      <color theme="0" tint="-4.9989318521683403E-2"/>
      <name val="맑은 고딕"/>
      <family val="2"/>
      <charset val="129"/>
      <scheme val="minor"/>
    </font>
    <font>
      <sz val="10"/>
      <color theme="0" tint="-0.249977111117893"/>
      <name val="맑은 고딕"/>
      <family val="3"/>
      <charset val="129"/>
      <scheme val="minor"/>
    </font>
    <font>
      <b/>
      <sz val="10"/>
      <color theme="0" tint="-0.249977111117893"/>
      <name val="맑은 고딕"/>
      <family val="3"/>
      <charset val="129"/>
      <scheme val="minor"/>
    </font>
    <font>
      <sz val="11"/>
      <color theme="1"/>
      <name val="맑은 고딕"/>
      <family val="3"/>
      <charset val="129"/>
      <scheme val="major"/>
    </font>
    <font>
      <sz val="10"/>
      <color indexed="8"/>
      <name val="맑은 고딕"/>
      <family val="3"/>
      <charset val="129"/>
      <scheme val="major"/>
    </font>
    <font>
      <b/>
      <sz val="9"/>
      <color theme="1"/>
      <name val="맑은 고딕"/>
      <family val="3"/>
      <charset val="129"/>
      <scheme val="minor"/>
    </font>
    <font>
      <b/>
      <sz val="10"/>
      <color indexed="8"/>
      <name val="맑은 고딕"/>
      <family val="3"/>
      <charset val="129"/>
      <scheme val="major"/>
    </font>
    <font>
      <b/>
      <sz val="11"/>
      <color theme="1"/>
      <name val="맑은 고딕"/>
      <family val="3"/>
      <charset val="129"/>
      <scheme val="major"/>
    </font>
    <font>
      <b/>
      <u/>
      <sz val="16"/>
      <name val="맑은 고딕"/>
      <family val="3"/>
      <charset val="129"/>
      <scheme val="major"/>
    </font>
    <font>
      <b/>
      <sz val="16"/>
      <name val="맑은 고딕"/>
      <family val="3"/>
      <charset val="129"/>
      <scheme val="major"/>
    </font>
    <font>
      <i/>
      <sz val="10"/>
      <name val="맑은 고딕"/>
      <family val="3"/>
      <charset val="129"/>
      <scheme val="minor"/>
    </font>
    <font>
      <i/>
      <sz val="11"/>
      <color theme="1"/>
      <name val="맑은 고딕"/>
      <family val="3"/>
      <charset val="129"/>
      <scheme val="minor"/>
    </font>
    <font>
      <sz val="8"/>
      <name val="굴림체"/>
      <family val="3"/>
      <charset val="129"/>
    </font>
    <font>
      <sz val="11"/>
      <name val="맑은 고딕"/>
      <family val="3"/>
      <charset val="129"/>
    </font>
    <font>
      <b/>
      <sz val="9"/>
      <name val="돋움체"/>
      <family val="3"/>
      <charset val="129"/>
    </font>
    <font>
      <b/>
      <sz val="11"/>
      <name val="돋움체"/>
      <family val="3"/>
      <charset val="129"/>
    </font>
    <font>
      <sz val="9"/>
      <color indexed="63"/>
      <name val="굴림체"/>
      <family val="3"/>
      <charset val="129"/>
    </font>
    <font>
      <sz val="9"/>
      <name val="돋움체"/>
      <family val="3"/>
      <charset val="129"/>
    </font>
    <font>
      <sz val="9"/>
      <color indexed="8"/>
      <name val="굴림체"/>
      <family val="3"/>
      <charset val="129"/>
    </font>
    <font>
      <sz val="9"/>
      <name val="굴림체"/>
      <family val="3"/>
      <charset val="129"/>
    </font>
    <font>
      <sz val="10"/>
      <color indexed="63"/>
      <name val="굴림체"/>
      <family val="3"/>
      <charset val="129"/>
    </font>
    <font>
      <sz val="11"/>
      <color rgb="FF000000"/>
      <name val="맑은 고딕"/>
      <family val="3"/>
      <charset val="129"/>
      <scheme val="major"/>
    </font>
    <font>
      <sz val="11"/>
      <color rgb="FF9C0006"/>
      <name val="맑은 고딕"/>
      <family val="3"/>
      <charset val="129"/>
      <scheme val="minor"/>
    </font>
    <font>
      <b/>
      <sz val="11"/>
      <color rgb="FF000000"/>
      <name val="맑은 고딕"/>
      <family val="3"/>
      <charset val="129"/>
      <scheme val="major"/>
    </font>
    <font>
      <sz val="11"/>
      <name val="맑은 고딕"/>
      <family val="3"/>
      <charset val="129"/>
      <scheme val="major"/>
    </font>
    <font>
      <b/>
      <i/>
      <sz val="11"/>
      <color rgb="FFFF0000"/>
      <name val="맑은 고딕"/>
      <family val="3"/>
      <charset val="129"/>
      <scheme val="major"/>
    </font>
    <font>
      <b/>
      <i/>
      <sz val="10"/>
      <color rgb="FFFF0000"/>
      <name val="맑은 고딕"/>
      <family val="3"/>
      <charset val="129"/>
      <scheme val="minor"/>
    </font>
    <font>
      <u/>
      <sz val="11"/>
      <color theme="10"/>
      <name val="맑은 고딕"/>
      <family val="2"/>
      <charset val="129"/>
      <scheme val="minor"/>
    </font>
    <font>
      <sz val="11"/>
      <color rgb="FF212529"/>
      <name val="OpenSans-Regular"/>
      <family val="2"/>
    </font>
    <font>
      <b/>
      <sz val="11"/>
      <color theme="1"/>
      <name val="OpenSans-Regular"/>
      <family val="2"/>
    </font>
    <font>
      <sz val="11"/>
      <color theme="1"/>
      <name val="OpenSans-Regular"/>
      <family val="2"/>
    </font>
    <font>
      <sz val="11"/>
      <color theme="1"/>
      <name val="OpenSans-Bold"/>
      <family val="2"/>
    </font>
    <font>
      <sz val="9"/>
      <color theme="1"/>
      <name val="Arial"/>
      <family val="2"/>
    </font>
    <font>
      <sz val="10"/>
      <color indexed="63"/>
      <name val="맑은 고딕"/>
      <family val="3"/>
      <charset val="129"/>
      <scheme val="major"/>
    </font>
    <font>
      <sz val="10"/>
      <color rgb="FFFF0000"/>
      <name val="맑은 고딕"/>
      <family val="3"/>
      <charset val="129"/>
    </font>
    <font>
      <sz val="11"/>
      <color theme="1"/>
      <name val="맑은 고딕"/>
      <family val="2"/>
      <scheme val="minor"/>
    </font>
    <font>
      <sz val="11"/>
      <color indexed="8"/>
      <name val="맑은 고딕"/>
      <family val="3"/>
      <charset val="129"/>
      <scheme val="major"/>
    </font>
    <font>
      <b/>
      <sz val="11"/>
      <color indexed="8"/>
      <name val="맑은 고딕"/>
      <family val="3"/>
      <charset val="129"/>
      <scheme val="major"/>
    </font>
    <font>
      <b/>
      <sz val="11"/>
      <color rgb="FFFF0000"/>
      <name val="맑은 고딕"/>
      <family val="3"/>
      <charset val="129"/>
      <scheme val="minor"/>
    </font>
    <font>
      <b/>
      <sz val="10"/>
      <color theme="3"/>
      <name val="Arial"/>
      <family val="2"/>
    </font>
    <font>
      <b/>
      <sz val="10"/>
      <color theme="3"/>
      <name val="맑은 고딕"/>
      <family val="3"/>
      <charset val="129"/>
    </font>
    <font>
      <b/>
      <sz val="10"/>
      <name val="Arial"/>
      <family val="2"/>
    </font>
    <font>
      <b/>
      <i/>
      <sz val="10"/>
      <color rgb="FFFF0000"/>
      <name val="맑은 고딕"/>
      <family val="3"/>
      <charset val="129"/>
      <scheme val="major"/>
    </font>
    <font>
      <b/>
      <sz val="11"/>
      <color rgb="FFFF0000"/>
      <name val="맑은 고딕"/>
      <family val="3"/>
      <charset val="129"/>
      <scheme val="major"/>
    </font>
    <font>
      <sz val="11"/>
      <color rgb="FFFF0000"/>
      <name val="맑은 고딕"/>
      <family val="3"/>
      <charset val="129"/>
      <scheme val="major"/>
    </font>
    <font>
      <sz val="12"/>
      <color theme="1"/>
      <name val="맑은 고딕"/>
      <family val="2"/>
      <charset val="136"/>
      <scheme val="minor"/>
    </font>
    <font>
      <b/>
      <sz val="11"/>
      <color indexed="9"/>
      <name val="맑은 고딕"/>
      <family val="3"/>
      <charset val="129"/>
    </font>
    <font>
      <b/>
      <sz val="11"/>
      <color indexed="8"/>
      <name val="맑은 고딕"/>
      <family val="3"/>
      <charset val="129"/>
    </font>
    <font>
      <sz val="11"/>
      <color rgb="FF000000"/>
      <name val="맑은 고딕"/>
      <family val="3"/>
      <charset val="129"/>
      <scheme val="minor"/>
    </font>
    <font>
      <b/>
      <sz val="19"/>
      <color indexed="8"/>
      <name val="돋움체"/>
      <family val="3"/>
      <charset val="129"/>
    </font>
    <font>
      <sz val="10"/>
      <color indexed="8"/>
      <name val="돋움체"/>
      <family val="3"/>
      <charset val="129"/>
    </font>
    <font>
      <b/>
      <sz val="10"/>
      <color indexed="8"/>
      <name val="돋움체"/>
      <family val="3"/>
      <charset val="129"/>
    </font>
    <font>
      <b/>
      <sz val="9"/>
      <color indexed="8"/>
      <name val="돋움체"/>
      <family val="3"/>
      <charset val="129"/>
    </font>
    <font>
      <b/>
      <sz val="9"/>
      <color indexed="8"/>
      <name val="바탕체"/>
      <family val="1"/>
      <charset val="129"/>
    </font>
    <font>
      <sz val="9"/>
      <color indexed="8"/>
      <name val="돋움체"/>
      <family val="3"/>
      <charset val="129"/>
    </font>
    <font>
      <sz val="9"/>
      <color indexed="8"/>
      <name val="바탕체"/>
      <family val="1"/>
      <charset val="129"/>
    </font>
    <font>
      <b/>
      <sz val="18"/>
      <color indexed="8"/>
      <name val="돋움체"/>
      <family val="3"/>
      <charset val="129"/>
    </font>
    <font>
      <sz val="8"/>
      <color indexed="8"/>
      <name val="돋움체"/>
      <family val="3"/>
      <charset val="129"/>
    </font>
    <font>
      <sz val="9"/>
      <color theme="1"/>
      <name val="맑은 고딕"/>
      <family val="3"/>
      <charset val="129"/>
      <scheme val="major"/>
    </font>
    <font>
      <sz val="11"/>
      <color indexed="8"/>
      <name val="맑은 고딕"/>
      <family val="3"/>
      <charset val="129"/>
      <scheme val="minor"/>
    </font>
    <font>
      <sz val="8"/>
      <name val="맑은 고딕"/>
      <family val="2"/>
      <charset val="129"/>
    </font>
    <font>
      <name val="맑은 고딕"/>
      <charset val="129"/>
      <family val="2"/>
      <color theme="1"/>
      <sz val="11"/>
      <scheme val="minor"/>
    </font>
    <font>
      <name val="맑은 고딕"/>
      <b val="1"/>
      <color rgb="00000000"/>
      <sz val="14"/>
    </font>
    <font>
      <name val="맑은 고딕"/>
      <i val="1"/>
      <color rgb="00595959"/>
      <sz val="9"/>
    </font>
    <font>
      <name val="맑은 고딕"/>
      <b val="1"/>
      <color rgb="00000000"/>
      <sz val="10"/>
    </font>
    <font>
      <name val="맑은 고딕"/>
      <b val="1"/>
      <color rgb="00000000"/>
      <sz val="9"/>
    </font>
    <font>
      <name val="맑은 고딕"/>
      <color rgb="00000000"/>
      <sz val="10"/>
    </font>
    <font>
      <name val="맑은 고딕"/>
      <b val="1"/>
      <color rgb="00C00000"/>
      <sz val="10"/>
    </font>
    <font>
      <name val="맑은 고딕"/>
      <i val="1"/>
      <color rgb="00000000"/>
      <sz val="10"/>
    </font>
    <font>
      <name val="맑은 고딕"/>
      <color rgb="000000FF"/>
      <sz val="10"/>
    </font>
    <font>
      <name val="맑은 고딕"/>
      <i val="1"/>
      <color rgb="00808080"/>
      <sz val="9"/>
    </font>
    <font>
      <name val="맑은 고딕"/>
      <charset val="129"/>
      <family val="2"/>
      <color theme="1"/>
      <sz val="11"/>
      <scheme val="minor"/>
    </font>
    <font>
      <name val="맑은 고딕"/>
      <b val="1"/>
      <color rgb="00000000"/>
      <sz val="10"/>
    </font>
    <font>
      <name val="맑은 고딕"/>
      <b val="1"/>
      <color rgb="00000000"/>
      <sz val="14"/>
    </font>
    <font>
      <name val="맑은 고딕"/>
      <i val="1"/>
      <color rgb="00595959"/>
      <sz val="9"/>
    </font>
    <font>
      <name val="맑은 고딕"/>
      <color rgb="00000000"/>
      <sz val="10"/>
    </font>
    <font>
      <name val="맑은 고딕"/>
      <color rgb="000000FF"/>
      <sz val="10"/>
    </font>
    <font>
      <name val="맑은 고딕"/>
      <i val="1"/>
      <color rgb="00808080"/>
      <sz val="9"/>
    </font>
    <font>
      <name val="맑은 고딕"/>
      <b val="1"/>
      <color rgb="00C00000"/>
      <sz val="10"/>
    </font>
    <font>
      <name val="맑은 고딕"/>
      <i val="1"/>
      <color rgb="00000000"/>
      <sz val="9"/>
    </font>
  </fonts>
  <fills count="66">
    <fill>
      <patternFill patternType="none"/>
    </fill>
    <fill>
      <patternFill patternType="gray125"/>
    </fill>
    <fill>
      <patternFill patternType="solid">
        <fgColor indexed="62"/>
        <bgColor indexed="64"/>
      </patternFill>
    </fill>
    <fill>
      <patternFill patternType="solid">
        <fgColor indexed="40"/>
        <bgColor indexed="64"/>
      </patternFill>
    </fill>
    <fill>
      <patternFill patternType="solid">
        <fgColor indexed="17"/>
        <bgColor indexed="64"/>
      </patternFill>
    </fill>
    <fill>
      <patternFill patternType="solid">
        <fgColor indexed="50"/>
        <bgColor indexed="64"/>
      </patternFill>
    </fill>
    <fill>
      <patternFill patternType="solid">
        <fgColor indexed="13"/>
        <bgColor indexed="64"/>
      </patternFill>
    </fill>
    <fill>
      <patternFill patternType="solid">
        <fgColor indexed="51"/>
        <bgColor indexed="64"/>
      </patternFill>
    </fill>
    <fill>
      <patternFill patternType="solid">
        <fgColor indexed="43"/>
        <bgColor indexed="64"/>
      </patternFill>
    </fill>
    <fill>
      <patternFill patternType="solid">
        <fgColor rgb="FFFFFF00"/>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theme="8" tint="0.59999389629810485"/>
        <bgColor indexed="64"/>
      </patternFill>
    </fill>
    <fill>
      <patternFill patternType="solid">
        <fgColor indexed="20"/>
        <bgColor indexed="64"/>
      </patternFill>
    </fill>
    <fill>
      <patternFill patternType="solid">
        <fgColor indexed="18"/>
        <bgColor indexed="64"/>
      </patternFill>
    </fill>
    <fill>
      <patternFill patternType="solid">
        <fgColor theme="5" tint="0.79998168889431442"/>
        <bgColor indexed="64"/>
      </patternFill>
    </fill>
    <fill>
      <patternFill patternType="solid">
        <fgColor theme="0"/>
        <bgColor indexed="64"/>
      </patternFill>
    </fill>
    <fill>
      <patternFill patternType="solid">
        <fgColor rgb="FFFFFFFF"/>
        <bgColor indexed="64"/>
      </patternFill>
    </fill>
    <fill>
      <patternFill patternType="solid">
        <fgColor theme="0" tint="-0.14999847407452621"/>
        <bgColor indexed="64"/>
      </patternFill>
    </fill>
    <fill>
      <patternFill patternType="solid">
        <fgColor rgb="FFD7D7D7"/>
        <bgColor indexed="64"/>
      </patternFill>
    </fill>
    <fill>
      <patternFill patternType="solid">
        <fgColor rgb="FF002060"/>
        <bgColor indexed="64"/>
      </patternFill>
    </fill>
    <fill>
      <patternFill patternType="solid">
        <fgColor theme="1" tint="0.34998626667073579"/>
        <bgColor indexed="64"/>
      </patternFill>
    </fill>
    <fill>
      <patternFill patternType="solid">
        <fgColor indexed="44"/>
        <bgColor indexed="64"/>
      </patternFill>
    </fill>
    <fill>
      <patternFill patternType="solid">
        <fgColor theme="8" tint="-0.499984740745262"/>
        <bgColor indexed="64"/>
      </patternFill>
    </fill>
    <fill>
      <patternFill patternType="solid">
        <fgColor theme="9" tint="-0.499984740745262"/>
        <bgColor indexed="64"/>
      </patternFill>
    </fill>
    <fill>
      <patternFill patternType="solid">
        <fgColor theme="8" tint="-0.249977111117893"/>
        <bgColor indexed="64"/>
      </patternFill>
    </fill>
    <fill>
      <patternFill patternType="solid">
        <fgColor theme="5" tint="-0.499984740745262"/>
        <bgColor indexed="64"/>
      </patternFill>
    </fill>
    <fill>
      <patternFill patternType="solid">
        <fgColor theme="6" tint="-0.499984740745262"/>
        <bgColor indexed="64"/>
      </patternFill>
    </fill>
    <fill>
      <patternFill patternType="solid">
        <fgColor theme="7" tint="-0.499984740745262"/>
        <bgColor indexed="64"/>
      </patternFill>
    </fill>
    <fill>
      <patternFill patternType="solid">
        <fgColor theme="0" tint="-0.249977111117893"/>
        <bgColor indexed="64"/>
      </patternFill>
    </fill>
    <fill>
      <patternFill patternType="solid">
        <fgColor theme="7" tint="0.59999389629810485"/>
        <bgColor indexed="64"/>
      </patternFill>
    </fill>
    <fill>
      <patternFill patternType="solid">
        <fgColor rgb="FF7030A0"/>
        <bgColor indexed="64"/>
      </patternFill>
    </fill>
    <fill>
      <patternFill patternType="solid">
        <fgColor indexed="22"/>
        <bgColor indexed="64"/>
      </patternFill>
    </fill>
    <fill>
      <patternFill patternType="solid">
        <fgColor rgb="FFFFFF99"/>
        <bgColor indexed="64"/>
      </patternFill>
    </fill>
    <fill>
      <patternFill patternType="solid">
        <fgColor indexed="47"/>
        <bgColor indexed="64"/>
      </patternFill>
    </fill>
    <fill>
      <patternFill patternType="solid">
        <fgColor indexed="55"/>
        <bgColor indexed="64"/>
      </patternFill>
    </fill>
    <fill>
      <patternFill patternType="solid">
        <fgColor indexed="31"/>
        <bgColor indexed="64"/>
      </patternFill>
    </fill>
    <fill>
      <patternFill patternType="solid">
        <fgColor indexed="9"/>
        <bgColor indexed="64"/>
      </patternFill>
    </fill>
    <fill>
      <patternFill patternType="solid">
        <fgColor rgb="FFFFC7CE"/>
      </patternFill>
    </fill>
    <fill>
      <patternFill patternType="solid">
        <fgColor rgb="FFDCDCDC"/>
        <bgColor indexed="64"/>
      </patternFill>
    </fill>
    <fill>
      <patternFill patternType="solid">
        <fgColor indexed="23"/>
        <bgColor indexed="64"/>
      </patternFill>
    </fill>
    <fill>
      <patternFill patternType="solid">
        <fgColor rgb="FF00B0F0"/>
        <bgColor indexed="64"/>
      </patternFill>
    </fill>
    <fill>
      <patternFill patternType="solid">
        <fgColor rgb="FFDAEEF3"/>
        <bgColor indexed="64"/>
      </patternFill>
    </fill>
    <fill>
      <patternFill patternType="solid">
        <fgColor rgb="FFE9E9E9"/>
        <bgColor indexed="64"/>
      </patternFill>
    </fill>
    <fill>
      <patternFill patternType="solid">
        <fgColor theme="2"/>
        <bgColor indexed="64"/>
      </patternFill>
    </fill>
    <fill>
      <patternFill patternType="solid">
        <fgColor theme="3" tint="0.79998168889431442"/>
        <bgColor indexed="64"/>
      </patternFill>
    </fill>
    <fill>
      <patternFill patternType="solid">
        <fgColor theme="7"/>
        <bgColor indexed="64"/>
      </patternFill>
    </fill>
    <fill>
      <patternFill patternType="solid">
        <fgColor rgb="FF92D050"/>
        <bgColor indexed="64"/>
      </patternFill>
    </fill>
    <fill>
      <patternFill patternType="solid">
        <fgColor theme="4" tint="0.59999389629810485"/>
        <bgColor indexed="64"/>
      </patternFill>
    </fill>
    <fill>
      <patternFill/>
    </fill>
    <fill>
      <patternFill patternType="solid">
        <fgColor rgb="00D9E1F2"/>
      </patternFill>
    </fill>
    <fill>
      <patternFill patternType="solid">
        <fgColor rgb="00DDEBF7"/>
      </patternFill>
    </fill>
    <fill>
      <patternFill patternType="solid">
        <fgColor rgb="00F2F2F2"/>
      </patternFill>
    </fill>
    <fill>
      <patternFill patternType="solid">
        <fgColor rgb="00FFFF99"/>
      </patternFill>
    </fill>
    <fill>
      <patternFill/>
    </fill>
    <fill>
      <patternFill patternType="solid">
        <fgColor rgb="00F2F2F2"/>
      </patternFill>
    </fill>
    <fill>
      <patternFill patternType="solid">
        <fgColor rgb="00D9E1F2"/>
      </patternFill>
    </fill>
    <fill>
      <patternFill patternType="solid">
        <fgColor rgb="00DDEBF7"/>
      </patternFill>
    </fill>
    <fill>
      <patternFill patternType="solid">
        <fgColor rgb="00FFFF99"/>
      </patternFill>
    </fill>
  </fills>
  <borders count="325">
    <border>
      <left/>
      <right/>
      <top/>
      <bottom/>
      <diagonal/>
    </border>
    <border>
      <left style="medium">
        <color indexed="64"/>
      </left>
      <right style="thin">
        <color auto="1"/>
      </right>
      <top style="medium">
        <color indexed="64"/>
      </top>
      <bottom style="thin">
        <color auto="1"/>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diagonal/>
    </border>
    <border>
      <left/>
      <right style="thin">
        <color auto="1"/>
      </right>
      <top style="medium">
        <color indexed="64"/>
      </top>
      <bottom style="thin">
        <color auto="1"/>
      </bottom>
      <diagonal/>
    </border>
    <border>
      <left style="thin">
        <color indexed="64"/>
      </left>
      <right style="thin">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bottom/>
      <diagonal/>
    </border>
    <border>
      <left/>
      <right style="thin">
        <color auto="1"/>
      </right>
      <top style="thin">
        <color auto="1"/>
      </top>
      <bottom style="thin">
        <color auto="1"/>
      </bottom>
      <diagonal/>
    </border>
    <border>
      <left style="thin">
        <color indexed="64"/>
      </left>
      <right style="thin">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style="medium">
        <color indexed="64"/>
      </bottom>
      <diagonal/>
    </border>
    <border>
      <left/>
      <right style="thin">
        <color auto="1"/>
      </right>
      <top style="thin">
        <color auto="1"/>
      </top>
      <bottom style="medium">
        <color indexed="64"/>
      </bottom>
      <diagonal/>
    </border>
    <border>
      <left style="thin">
        <color auto="1"/>
      </left>
      <right style="thin">
        <color auto="1"/>
      </right>
      <top/>
      <bottom style="medium">
        <color auto="1"/>
      </bottom>
      <diagonal/>
    </border>
    <border>
      <left style="medium">
        <color indexed="64"/>
      </left>
      <right style="medium">
        <color indexed="64"/>
      </right>
      <top/>
      <bottom style="hair">
        <color indexed="64"/>
      </bottom>
      <diagonal/>
    </border>
    <border>
      <left/>
      <right style="hair">
        <color indexed="64"/>
      </right>
      <top/>
      <bottom style="hair">
        <color indexed="64"/>
      </bottom>
      <diagonal/>
    </border>
    <border>
      <left style="hair">
        <color auto="1"/>
      </left>
      <right style="hair">
        <color auto="1"/>
      </right>
      <top/>
      <bottom style="hair">
        <color auto="1"/>
      </bottom>
      <diagonal/>
    </border>
    <border>
      <left style="hair">
        <color indexed="64"/>
      </left>
      <right style="thin">
        <color indexed="64"/>
      </right>
      <top/>
      <bottom style="hair">
        <color indexed="64"/>
      </bottom>
      <diagonal/>
    </border>
    <border>
      <left style="thin">
        <color auto="1"/>
      </left>
      <right style="thin">
        <color indexed="64"/>
      </right>
      <top/>
      <bottom style="hair">
        <color auto="1"/>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medium">
        <color indexed="64"/>
      </left>
      <right style="medium">
        <color indexed="64"/>
      </right>
      <top/>
      <bottom style="dashed">
        <color indexed="64"/>
      </bottom>
      <diagonal/>
    </border>
    <border>
      <left style="thin">
        <color auto="1"/>
      </left>
      <right style="thin">
        <color auto="1"/>
      </right>
      <top/>
      <bottom style="thin">
        <color indexed="64"/>
      </bottom>
      <diagonal/>
    </border>
    <border>
      <left style="medium">
        <color indexed="64"/>
      </left>
      <right style="medium">
        <color indexed="64"/>
      </right>
      <top style="dashed">
        <color indexed="64"/>
      </top>
      <bottom style="dashed">
        <color indexed="64"/>
      </bottom>
      <diagonal/>
    </border>
    <border>
      <left style="medium">
        <color indexed="64"/>
      </left>
      <right style="medium">
        <color indexed="64"/>
      </right>
      <top style="dashed">
        <color indexed="64"/>
      </top>
      <bottom style="medium">
        <color indexed="64"/>
      </bottom>
      <diagonal/>
    </border>
    <border>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thin">
        <color indexed="64"/>
      </right>
      <top style="hair">
        <color indexed="64"/>
      </top>
      <bottom style="medium">
        <color indexed="64"/>
      </bottom>
      <diagonal/>
    </border>
    <border>
      <left style="thick">
        <color rgb="FFFF0000"/>
      </left>
      <right style="thin">
        <color auto="1"/>
      </right>
      <top style="thick">
        <color rgb="FFFF0000"/>
      </top>
      <bottom style="thin">
        <color auto="1"/>
      </bottom>
      <diagonal/>
    </border>
    <border>
      <left style="thin">
        <color indexed="64"/>
      </left>
      <right style="thick">
        <color rgb="FFFF0000"/>
      </right>
      <top style="thick">
        <color rgb="FFFF0000"/>
      </top>
      <bottom style="thin">
        <color indexed="64"/>
      </bottom>
      <diagonal/>
    </border>
    <border>
      <left style="thick">
        <color rgb="FFFF0000"/>
      </left>
      <right style="thin">
        <color indexed="64"/>
      </right>
      <top style="thin">
        <color indexed="64"/>
      </top>
      <bottom style="thin">
        <color indexed="64"/>
      </bottom>
      <diagonal/>
    </border>
    <border>
      <left style="thin">
        <color indexed="64"/>
      </left>
      <right style="thick">
        <color rgb="FFFF0000"/>
      </right>
      <top style="thin">
        <color indexed="64"/>
      </top>
      <bottom style="thin">
        <color indexed="64"/>
      </bottom>
      <diagonal/>
    </border>
    <border>
      <left style="thick">
        <color rgb="FFFF0000"/>
      </left>
      <right style="thin">
        <color auto="1"/>
      </right>
      <top style="thin">
        <color auto="1"/>
      </top>
      <bottom style="medium">
        <color indexed="64"/>
      </bottom>
      <diagonal/>
    </border>
    <border>
      <left style="thin">
        <color indexed="64"/>
      </left>
      <right style="thick">
        <color rgb="FFFF0000"/>
      </right>
      <top style="thin">
        <color indexed="64"/>
      </top>
      <bottom style="medium">
        <color indexed="64"/>
      </bottom>
      <diagonal/>
    </border>
    <border>
      <left/>
      <right/>
      <top style="medium">
        <color indexed="64"/>
      </top>
      <bottom/>
      <diagonal/>
    </border>
    <border>
      <left style="thick">
        <color rgb="FF0000FF"/>
      </left>
      <right style="thin">
        <color indexed="64"/>
      </right>
      <top style="thick">
        <color rgb="FF0000FF"/>
      </top>
      <bottom style="thin">
        <color indexed="64"/>
      </bottom>
      <diagonal/>
    </border>
    <border>
      <left style="thin">
        <color indexed="64"/>
      </left>
      <right style="thick">
        <color rgb="FF0000FF"/>
      </right>
      <top style="thick">
        <color rgb="FF0000FF"/>
      </top>
      <bottom style="thin">
        <color indexed="64"/>
      </bottom>
      <diagonal/>
    </border>
    <border>
      <left style="thick">
        <color rgb="FF00B050"/>
      </left>
      <right style="thin">
        <color indexed="64"/>
      </right>
      <top style="thick">
        <color rgb="FF00B050"/>
      </top>
      <bottom style="thin">
        <color indexed="64"/>
      </bottom>
      <diagonal/>
    </border>
    <border>
      <left style="thin">
        <color indexed="64"/>
      </left>
      <right style="thick">
        <color rgb="FF00B050"/>
      </right>
      <top style="thick">
        <color rgb="FF00B050"/>
      </top>
      <bottom style="thin">
        <color indexed="64"/>
      </bottom>
      <diagonal/>
    </border>
    <border>
      <left style="medium">
        <color indexed="64"/>
      </left>
      <right style="medium">
        <color indexed="64"/>
      </right>
      <top style="medium">
        <color indexed="64"/>
      </top>
      <bottom/>
      <diagonal/>
    </border>
    <border>
      <left style="thick">
        <color rgb="FF0000FF"/>
      </left>
      <right style="thin">
        <color indexed="64"/>
      </right>
      <top style="thin">
        <color auto="1"/>
      </top>
      <bottom style="thin">
        <color auto="1"/>
      </bottom>
      <diagonal/>
    </border>
    <border>
      <left style="thin">
        <color indexed="64"/>
      </left>
      <right style="thick">
        <color rgb="FF0000FF"/>
      </right>
      <top style="thin">
        <color auto="1"/>
      </top>
      <bottom style="thin">
        <color auto="1"/>
      </bottom>
      <diagonal/>
    </border>
    <border>
      <left style="thick">
        <color rgb="FF00B050"/>
      </left>
      <right style="thin">
        <color indexed="64"/>
      </right>
      <top style="thin">
        <color auto="1"/>
      </top>
      <bottom style="thin">
        <color auto="1"/>
      </bottom>
      <diagonal/>
    </border>
    <border>
      <left style="thin">
        <color indexed="64"/>
      </left>
      <right style="thick">
        <color rgb="FF00B050"/>
      </right>
      <top style="thin">
        <color auto="1"/>
      </top>
      <bottom style="thin">
        <color auto="1"/>
      </bottom>
      <diagonal/>
    </border>
    <border>
      <left style="medium">
        <color indexed="64"/>
      </left>
      <right style="medium">
        <color indexed="64"/>
      </right>
      <top/>
      <bottom/>
      <diagonal/>
    </border>
    <border>
      <left/>
      <right/>
      <top/>
      <bottom style="medium">
        <color auto="1"/>
      </bottom>
      <diagonal/>
    </border>
    <border>
      <left style="thick">
        <color rgb="FF0000FF"/>
      </left>
      <right style="thin">
        <color auto="1"/>
      </right>
      <top style="thin">
        <color auto="1"/>
      </top>
      <bottom style="medium">
        <color indexed="64"/>
      </bottom>
      <diagonal/>
    </border>
    <border>
      <left style="thin">
        <color auto="1"/>
      </left>
      <right style="thick">
        <color rgb="FF0000FF"/>
      </right>
      <top style="thin">
        <color auto="1"/>
      </top>
      <bottom style="medium">
        <color indexed="64"/>
      </bottom>
      <diagonal/>
    </border>
    <border>
      <left style="thick">
        <color rgb="FF00B050"/>
      </left>
      <right style="thin">
        <color auto="1"/>
      </right>
      <top style="thin">
        <color auto="1"/>
      </top>
      <bottom style="medium">
        <color indexed="64"/>
      </bottom>
      <diagonal/>
    </border>
    <border>
      <left style="thin">
        <color auto="1"/>
      </left>
      <right style="thick">
        <color rgb="FF00B050"/>
      </right>
      <top style="thin">
        <color auto="1"/>
      </top>
      <bottom style="medium">
        <color indexed="64"/>
      </bottom>
      <diagonal/>
    </border>
    <border>
      <left style="medium">
        <color indexed="64"/>
      </left>
      <right style="medium">
        <color indexed="64"/>
      </right>
      <top/>
      <bottom style="medium">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ck">
        <color rgb="FF0000FF"/>
      </right>
      <top style="medium">
        <color indexed="64"/>
      </top>
      <bottom style="thick">
        <color rgb="FF0000FF"/>
      </bottom>
      <diagonal/>
    </border>
    <border>
      <left style="thick">
        <color rgb="FF00B050"/>
      </left>
      <right style="thin">
        <color auto="1"/>
      </right>
      <top style="medium">
        <color indexed="64"/>
      </top>
      <bottom style="thick">
        <color rgb="FF00B050"/>
      </bottom>
      <diagonal/>
    </border>
    <border>
      <left style="thin">
        <color indexed="64"/>
      </left>
      <right style="thick">
        <color rgb="FF00B050"/>
      </right>
      <top style="medium">
        <color indexed="64"/>
      </top>
      <bottom style="thick">
        <color rgb="FF00B050"/>
      </bottom>
      <diagonal/>
    </border>
    <border>
      <left style="medium">
        <color indexed="64"/>
      </left>
      <right/>
      <top/>
      <bottom/>
      <diagonal/>
    </border>
    <border>
      <left style="thin">
        <color indexed="64"/>
      </left>
      <right/>
      <top style="medium">
        <color indexed="64"/>
      </top>
      <bottom/>
      <diagonal/>
    </border>
    <border>
      <left/>
      <right/>
      <top style="medium">
        <color indexed="64"/>
      </top>
      <bottom style="thin">
        <color auto="1"/>
      </bottom>
      <diagonal/>
    </border>
    <border>
      <left/>
      <right style="medium">
        <color indexed="64"/>
      </right>
      <top style="medium">
        <color indexed="64"/>
      </top>
      <bottom style="thin">
        <color indexed="64"/>
      </bottom>
      <diagonal/>
    </border>
    <border>
      <left/>
      <right style="thin">
        <color indexed="64"/>
      </right>
      <top/>
      <bottom style="thin">
        <color indexed="64"/>
      </bottom>
      <diagonal/>
    </border>
    <border>
      <left style="thin">
        <color indexed="64"/>
      </left>
      <right/>
      <top/>
      <bottom/>
      <diagonal/>
    </border>
    <border>
      <left style="medium">
        <color rgb="FFFF0000"/>
      </left>
      <right style="thin">
        <color auto="1"/>
      </right>
      <top style="thin">
        <color indexed="64"/>
      </top>
      <bottom/>
      <diagonal/>
    </border>
    <border>
      <left style="thin">
        <color indexed="64"/>
      </left>
      <right style="medium">
        <color rgb="FFFF0000"/>
      </right>
      <top style="thin">
        <color indexed="64"/>
      </top>
      <bottom/>
      <diagonal/>
    </border>
    <border>
      <left style="medium">
        <color theme="4"/>
      </left>
      <right style="thin">
        <color auto="1"/>
      </right>
      <top style="thin">
        <color indexed="64"/>
      </top>
      <bottom/>
      <diagonal/>
    </border>
    <border>
      <left style="thin">
        <color indexed="64"/>
      </left>
      <right style="medium">
        <color theme="4"/>
      </right>
      <top style="thin">
        <color indexed="64"/>
      </top>
      <bottom/>
      <diagonal/>
    </border>
    <border>
      <left style="thin">
        <color indexed="64"/>
      </left>
      <right/>
      <top/>
      <bottom style="medium">
        <color indexed="64"/>
      </bottom>
      <diagonal/>
    </border>
    <border>
      <left style="medium">
        <color rgb="FFFF0000"/>
      </left>
      <right style="thin">
        <color auto="1"/>
      </right>
      <top/>
      <bottom style="medium">
        <color indexed="64"/>
      </bottom>
      <diagonal/>
    </border>
    <border>
      <left style="thin">
        <color indexed="64"/>
      </left>
      <right style="medium">
        <color rgb="FFFF0000"/>
      </right>
      <top/>
      <bottom style="medium">
        <color indexed="64"/>
      </bottom>
      <diagonal/>
    </border>
    <border>
      <left/>
      <right/>
      <top style="thin">
        <color indexed="64"/>
      </top>
      <bottom style="medium">
        <color indexed="64"/>
      </bottom>
      <diagonal/>
    </border>
    <border>
      <left style="medium">
        <color theme="4"/>
      </left>
      <right style="thin">
        <color auto="1"/>
      </right>
      <top/>
      <bottom style="medium">
        <color indexed="64"/>
      </bottom>
      <diagonal/>
    </border>
    <border>
      <left style="thin">
        <color indexed="64"/>
      </left>
      <right style="medium">
        <color theme="4"/>
      </right>
      <top/>
      <bottom style="medium">
        <color indexed="64"/>
      </bottom>
      <diagonal/>
    </border>
    <border>
      <left style="medium">
        <color indexed="64"/>
      </left>
      <right/>
      <top/>
      <bottom style="thin">
        <color indexed="64"/>
      </bottom>
      <diagonal/>
    </border>
    <border>
      <left style="medium">
        <color rgb="FFFF0000"/>
      </left>
      <right style="thin">
        <color auto="1"/>
      </right>
      <top/>
      <bottom style="thin">
        <color indexed="64"/>
      </bottom>
      <diagonal/>
    </border>
    <border>
      <left style="thin">
        <color auto="1"/>
      </left>
      <right style="medium">
        <color rgb="FFFF0000"/>
      </right>
      <top/>
      <bottom style="thin">
        <color indexed="64"/>
      </bottom>
      <diagonal/>
    </border>
    <border>
      <left/>
      <right/>
      <top/>
      <bottom style="thin">
        <color indexed="64"/>
      </bottom>
      <diagonal/>
    </border>
    <border>
      <left style="medium">
        <color theme="4"/>
      </left>
      <right style="thin">
        <color auto="1"/>
      </right>
      <top/>
      <bottom style="thin">
        <color indexed="64"/>
      </bottom>
      <diagonal/>
    </border>
    <border>
      <left style="thin">
        <color auto="1"/>
      </left>
      <right style="medium">
        <color theme="4"/>
      </right>
      <top/>
      <bottom style="thin">
        <color indexed="64"/>
      </bottom>
      <diagonal/>
    </border>
    <border>
      <left/>
      <right style="medium">
        <color indexed="64"/>
      </right>
      <top/>
      <bottom style="thin">
        <color indexed="64"/>
      </bottom>
      <diagonal/>
    </border>
    <border>
      <left style="medium">
        <color indexed="64"/>
      </left>
      <right style="medium">
        <color indexed="64"/>
      </right>
      <top/>
      <bottom style="thin">
        <color indexed="64"/>
      </bottom>
      <diagonal/>
    </border>
    <border>
      <left style="thin">
        <color indexed="64"/>
      </left>
      <right style="medium">
        <color indexed="64"/>
      </right>
      <top style="medium">
        <color indexed="64"/>
      </top>
      <bottom style="thin">
        <color indexed="64"/>
      </bottom>
      <diagonal/>
    </border>
    <border>
      <left style="hair">
        <color indexed="64"/>
      </left>
      <right/>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style="medium">
        <color auto="1"/>
      </right>
      <top/>
      <bottom style="medium">
        <color auto="1"/>
      </bottom>
      <diagonal/>
    </border>
    <border>
      <left/>
      <right/>
      <top/>
      <bottom style="double">
        <color indexed="64"/>
      </bottom>
      <diagonal/>
    </border>
    <border>
      <left style="thin">
        <color indexed="64"/>
      </left>
      <right/>
      <top style="thin">
        <color indexed="64"/>
      </top>
      <bottom style="thin">
        <color indexed="64"/>
      </bottom>
      <diagonal/>
    </border>
    <border>
      <left style="thin">
        <color auto="1"/>
      </left>
      <right/>
      <top/>
      <bottom style="thin">
        <color auto="1"/>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right style="thin">
        <color indexed="64"/>
      </right>
      <top/>
      <bottom/>
      <diagonal/>
    </border>
    <border>
      <left style="thin">
        <color indexed="64"/>
      </left>
      <right style="thin">
        <color indexed="64"/>
      </right>
      <top style="thin">
        <color indexed="64"/>
      </top>
      <bottom/>
      <diagonal/>
    </border>
    <border>
      <left style="thin">
        <color rgb="FF000000"/>
      </left>
      <right style="thin">
        <color rgb="FF808080"/>
      </right>
      <top style="thin">
        <color rgb="FF000000"/>
      </top>
      <bottom style="thin">
        <color rgb="FF808080"/>
      </bottom>
      <diagonal/>
    </border>
    <border>
      <left style="thin">
        <color rgb="FF808080"/>
      </left>
      <right/>
      <top style="thin">
        <color rgb="FF000000"/>
      </top>
      <bottom style="thin">
        <color rgb="FF808080"/>
      </bottom>
      <diagonal/>
    </border>
    <border>
      <left/>
      <right style="thin">
        <color rgb="FF000000"/>
      </right>
      <top style="thin">
        <color rgb="FF000000"/>
      </top>
      <bottom style="thin">
        <color rgb="FF808080"/>
      </bottom>
      <diagonal/>
    </border>
    <border>
      <left style="thin">
        <color rgb="FF000000"/>
      </left>
      <right style="thin">
        <color rgb="FF808080"/>
      </right>
      <top style="thin">
        <color rgb="FF808080"/>
      </top>
      <bottom style="thin">
        <color rgb="FF808080"/>
      </bottom>
      <diagonal/>
    </border>
    <border>
      <left style="thin">
        <color rgb="FF808080"/>
      </left>
      <right style="thin">
        <color rgb="FF808080"/>
      </right>
      <top style="thin">
        <color rgb="FF808080"/>
      </top>
      <bottom style="thin">
        <color rgb="FF808080"/>
      </bottom>
      <diagonal/>
    </border>
    <border>
      <left style="thin">
        <color rgb="FF808080"/>
      </left>
      <right style="thin">
        <color rgb="FF000000"/>
      </right>
      <top style="thin">
        <color rgb="FF808080"/>
      </top>
      <bottom style="thin">
        <color rgb="FF808080"/>
      </bottom>
      <diagonal/>
    </border>
    <border>
      <left style="thin">
        <color rgb="FF000000"/>
      </left>
      <right style="thin">
        <color rgb="FF808080"/>
      </right>
      <top style="thin">
        <color rgb="FF808080"/>
      </top>
      <bottom style="thin">
        <color rgb="FF000000"/>
      </bottom>
      <diagonal/>
    </border>
    <border>
      <left style="thin">
        <color rgb="FF808080"/>
      </left>
      <right style="thin">
        <color rgb="FF808080"/>
      </right>
      <top style="thin">
        <color rgb="FF808080"/>
      </top>
      <bottom style="thin">
        <color rgb="FF000000"/>
      </bottom>
      <diagonal/>
    </border>
    <border>
      <left style="thin">
        <color rgb="FF808080"/>
      </left>
      <right style="thin">
        <color rgb="FF000000"/>
      </right>
      <top style="thin">
        <color rgb="FF808080"/>
      </top>
      <bottom style="thin">
        <color rgb="FF000000"/>
      </bottom>
      <diagonal/>
    </border>
    <border>
      <left/>
      <right/>
      <top/>
      <bottom style="hair">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medium">
        <color indexed="64"/>
      </left>
      <right style="thin">
        <color indexed="64"/>
      </right>
      <top/>
      <bottom style="hair">
        <color indexed="64"/>
      </bottom>
      <diagonal/>
    </border>
    <border>
      <left style="thin">
        <color indexed="64"/>
      </left>
      <right style="medium">
        <color indexed="64"/>
      </right>
      <top/>
      <bottom style="hair">
        <color indexed="64"/>
      </bottom>
      <diagonal/>
    </border>
    <border>
      <left style="medium">
        <color indexed="64"/>
      </left>
      <right style="thin">
        <color auto="1"/>
      </right>
      <top/>
      <bottom style="medium">
        <color indexed="64"/>
      </bottom>
      <diagonal/>
    </border>
    <border>
      <left/>
      <right style="hair">
        <color indexed="64"/>
      </right>
      <top/>
      <bottom/>
      <diagonal/>
    </border>
    <border>
      <left/>
      <right style="medium">
        <color indexed="64"/>
      </right>
      <top style="thin">
        <color indexed="64"/>
      </top>
      <bottom/>
      <diagonal/>
    </border>
    <border>
      <left/>
      <right/>
      <top style="thin">
        <color indexed="64"/>
      </top>
      <bottom style="double">
        <color indexed="64"/>
      </bottom>
      <diagonal/>
    </border>
    <border>
      <left style="thin">
        <color rgb="FF000000"/>
      </left>
      <right/>
      <top style="thin">
        <color rgb="FF808080"/>
      </top>
      <bottom style="thin">
        <color rgb="FF808080"/>
      </bottom>
      <diagonal/>
    </border>
    <border>
      <left/>
      <right style="thin">
        <color rgb="FF000000"/>
      </right>
      <top style="thin">
        <color rgb="FF808080"/>
      </top>
      <bottom style="thin">
        <color rgb="FF808080"/>
      </bottom>
      <diagonal/>
    </border>
    <border>
      <left style="thin">
        <color rgb="FF808080"/>
      </left>
      <right style="thin">
        <color rgb="FF000000"/>
      </right>
      <top style="thin">
        <color rgb="FF000000"/>
      </top>
      <bottom style="thin">
        <color rgb="FF808080"/>
      </bottom>
      <diagonal/>
    </border>
    <border>
      <left style="thin">
        <color rgb="FF808080"/>
      </left>
      <right style="thin">
        <color rgb="FF808080"/>
      </right>
      <top style="thin">
        <color rgb="FF000000"/>
      </top>
      <bottom style="thin">
        <color rgb="FF808080"/>
      </bottom>
      <diagonal/>
    </border>
    <border>
      <left style="medium">
        <color indexed="64"/>
      </left>
      <right style="thin">
        <color indexed="64"/>
      </right>
      <top/>
      <bottom/>
      <diagonal/>
    </border>
    <border>
      <left style="thin">
        <color rgb="FF000000"/>
      </left>
      <right style="thin">
        <color rgb="FF808080"/>
      </right>
      <top style="thin">
        <color rgb="FF808080"/>
      </top>
      <bottom/>
      <diagonal/>
    </border>
    <border>
      <left/>
      <right/>
      <top style="thin">
        <color rgb="FF808080"/>
      </top>
      <bottom style="thin">
        <color rgb="FF808080"/>
      </bottom>
      <diagonal/>
    </border>
    <border>
      <left/>
      <right/>
      <top style="thin">
        <color rgb="FF000000"/>
      </top>
      <bottom style="thin">
        <color rgb="FF808080"/>
      </bottom>
      <diagonal/>
    </border>
    <border>
      <left style="thin">
        <color rgb="FF808080"/>
      </left>
      <right style="thin">
        <color rgb="FF808080"/>
      </right>
      <top style="thin">
        <color rgb="FF808080"/>
      </top>
      <bottom/>
      <diagonal/>
    </border>
    <border>
      <left style="thin">
        <color rgb="FF808080"/>
      </left>
      <right style="thin">
        <color rgb="FF808080"/>
      </right>
      <top/>
      <bottom style="thin">
        <color rgb="FF808080"/>
      </bottom>
      <diagonal/>
    </border>
    <border>
      <left style="thin">
        <color rgb="FF000000"/>
      </left>
      <right style="thin">
        <color rgb="FF808080"/>
      </right>
      <top/>
      <bottom style="thin">
        <color rgb="FF808080"/>
      </bottom>
      <diagonal/>
    </border>
    <border>
      <left style="thin">
        <color indexed="64"/>
      </left>
      <right style="thin">
        <color rgb="FF808080"/>
      </right>
      <top style="thin">
        <color rgb="FF808080"/>
      </top>
      <bottom style="thin">
        <color rgb="FF808080"/>
      </bottom>
      <diagonal/>
    </border>
    <border>
      <left style="thin">
        <color indexed="64"/>
      </left>
      <right style="thin">
        <color rgb="FF808080"/>
      </right>
      <top style="thin">
        <color rgb="FF808080"/>
      </top>
      <bottom style="thin">
        <color indexed="64"/>
      </bottom>
      <diagonal/>
    </border>
    <border>
      <left style="thin">
        <color rgb="FF808080"/>
      </left>
      <right style="thin">
        <color rgb="FF808080"/>
      </right>
      <top style="thin">
        <color rgb="FF808080"/>
      </top>
      <bottom style="thin">
        <color indexed="64"/>
      </bottom>
      <diagonal/>
    </border>
    <border>
      <left style="thin">
        <color rgb="FF808080"/>
      </left>
      <right style="thin">
        <color rgb="FF000000"/>
      </right>
      <top/>
      <bottom style="thin">
        <color rgb="FF808080"/>
      </bottom>
      <diagonal/>
    </border>
    <border>
      <left/>
      <right/>
      <top style="thin">
        <color rgb="FF808080"/>
      </top>
      <bottom style="thin">
        <color rgb="FF000000"/>
      </bottom>
      <diagonal/>
    </border>
    <border>
      <left/>
      <right style="thin">
        <color rgb="FF808080"/>
      </right>
      <top style="thin">
        <color rgb="FF808080"/>
      </top>
      <bottom style="thin">
        <color rgb="FF808080"/>
      </bottom>
      <diagonal/>
    </border>
    <border>
      <left style="thin">
        <color rgb="FF000000"/>
      </left>
      <right style="thin">
        <color rgb="FF808080"/>
      </right>
      <top style="thin">
        <color rgb="FF000000"/>
      </top>
      <bottom/>
      <diagonal/>
    </border>
    <border>
      <left style="thin">
        <color rgb="FF808080"/>
      </left>
      <right style="thin">
        <color rgb="FF808080"/>
      </right>
      <top style="thin">
        <color rgb="FF000000"/>
      </top>
      <bottom/>
      <diagonal/>
    </border>
    <border>
      <left/>
      <right style="thin">
        <color rgb="FF808080"/>
      </right>
      <top/>
      <bottom style="thin">
        <color rgb="FF808080"/>
      </bottom>
      <diagonal/>
    </border>
    <border>
      <left style="thin">
        <color rgb="FF000000"/>
      </left>
      <right style="thin">
        <color rgb="FF808080"/>
      </right>
      <top/>
      <bottom style="thin">
        <color rgb="FF000000"/>
      </bottom>
      <diagonal/>
    </border>
    <border>
      <left style="thin">
        <color rgb="FF000000"/>
      </left>
      <right style="thin">
        <color rgb="FF808080"/>
      </right>
      <top/>
      <bottom/>
      <diagonal/>
    </border>
    <border>
      <left style="thin">
        <color rgb="FF000000"/>
      </left>
      <right/>
      <top style="thin">
        <color rgb="FF808080"/>
      </top>
      <bottom style="thin">
        <color rgb="FF000000"/>
      </bottom>
      <diagonal/>
    </border>
    <border>
      <left/>
      <right style="thin">
        <color rgb="FF808080"/>
      </right>
      <top style="thin">
        <color rgb="FF808080"/>
      </top>
      <bottom style="thin">
        <color rgb="FF000000"/>
      </bottom>
      <diagonal/>
    </border>
    <border>
      <left style="thin">
        <color indexed="64"/>
      </left>
      <right/>
      <top style="thin">
        <color indexed="64"/>
      </top>
      <bottom style="medium">
        <color indexed="64"/>
      </bottom>
      <diagonal/>
    </border>
    <border>
      <left/>
      <right style="thin">
        <color indexed="64"/>
      </right>
      <top style="thin">
        <color indexed="64"/>
      </top>
      <bottom style="double">
        <color indexed="64"/>
      </bottom>
      <diagonal/>
    </border>
    <border>
      <left/>
      <right style="thin">
        <color indexed="64"/>
      </right>
      <top style="medium">
        <color indexed="64"/>
      </top>
      <bottom/>
      <diagonal/>
    </border>
    <border>
      <left style="hair">
        <color indexed="64"/>
      </left>
      <right/>
      <top style="medium">
        <color indexed="64"/>
      </top>
      <bottom/>
      <diagonal/>
    </border>
    <border>
      <left/>
      <right style="hair">
        <color indexed="64"/>
      </right>
      <top style="medium">
        <color indexed="64"/>
      </top>
      <bottom/>
      <diagonal/>
    </border>
    <border>
      <left style="hair">
        <color indexed="64"/>
      </left>
      <right/>
      <top/>
      <bottom/>
      <diagonal/>
    </border>
    <border>
      <left style="hair">
        <color indexed="64"/>
      </left>
      <right/>
      <top/>
      <bottom style="thin">
        <color indexed="64"/>
      </bottom>
      <diagonal/>
    </border>
    <border>
      <left/>
      <right style="hair">
        <color indexed="64"/>
      </right>
      <top/>
      <bottom style="thin">
        <color indexed="64"/>
      </bottom>
      <diagonal/>
    </border>
    <border>
      <left style="hair">
        <color indexed="64"/>
      </left>
      <right style="hair">
        <color indexed="64"/>
      </right>
      <top style="medium">
        <color indexed="64"/>
      </top>
      <bottom/>
      <diagonal/>
    </border>
    <border>
      <left style="hair">
        <color indexed="64"/>
      </left>
      <right style="hair">
        <color indexed="64"/>
      </right>
      <top/>
      <bottom/>
      <diagonal/>
    </border>
    <border>
      <left style="hair">
        <color indexed="64"/>
      </left>
      <right style="hair">
        <color indexed="64"/>
      </right>
      <top/>
      <bottom style="thin">
        <color indexed="64"/>
      </bottom>
      <diagonal/>
    </border>
    <border>
      <left style="medium">
        <color indexed="64"/>
      </left>
      <right/>
      <top style="thin">
        <color indexed="64"/>
      </top>
      <bottom style="double">
        <color indexed="64"/>
      </bottom>
      <diagonal/>
    </border>
    <border>
      <left/>
      <right style="thin">
        <color indexed="64"/>
      </right>
      <top/>
      <bottom style="medium">
        <color indexed="64"/>
      </bottom>
      <diagonal/>
    </border>
    <border>
      <left/>
      <right style="medium">
        <color indexed="64"/>
      </right>
      <top style="thin">
        <color indexed="64"/>
      </top>
      <bottom style="double">
        <color indexed="64"/>
      </bottom>
      <diagonal/>
    </border>
    <border>
      <left style="thin">
        <color rgb="FF808080"/>
      </left>
      <right style="thin">
        <color rgb="FF000000"/>
      </right>
      <top style="thin">
        <color rgb="FF000000"/>
      </top>
      <bottom/>
      <diagonal/>
    </border>
    <border>
      <left/>
      <right style="thin">
        <color indexed="64"/>
      </right>
      <top style="thin">
        <color indexed="64"/>
      </top>
      <bottom style="thin">
        <color rgb="FF808080"/>
      </bottom>
      <diagonal/>
    </border>
    <border>
      <left/>
      <right style="thin">
        <color indexed="64"/>
      </right>
      <top style="thin">
        <color rgb="FF808080"/>
      </top>
      <bottom style="thin">
        <color rgb="FF808080"/>
      </bottom>
      <diagonal/>
    </border>
    <border>
      <left style="thin">
        <color indexed="64"/>
      </left>
      <right style="thin">
        <color rgb="FF808080"/>
      </right>
      <top/>
      <bottom style="thin">
        <color rgb="FF808080"/>
      </bottom>
      <diagonal/>
    </border>
    <border>
      <left style="thin">
        <color rgb="FF808080"/>
      </left>
      <right style="thin">
        <color indexed="64"/>
      </right>
      <top style="thin">
        <color rgb="FF808080"/>
      </top>
      <bottom style="thin">
        <color rgb="FF808080"/>
      </bottom>
      <diagonal/>
    </border>
    <border>
      <left style="thin">
        <color rgb="FF808080"/>
      </left>
      <right style="thin">
        <color indexed="64"/>
      </right>
      <top style="thin">
        <color rgb="FF808080"/>
      </top>
      <bottom style="thin">
        <color indexed="64"/>
      </bottom>
      <diagonal/>
    </border>
    <border>
      <left style="medium">
        <color auto="1"/>
      </left>
      <right style="medium">
        <color rgb="FFFF0000"/>
      </right>
      <top style="thin">
        <color indexed="64"/>
      </top>
      <bottom style="medium">
        <color auto="1"/>
      </bottom>
      <diagonal/>
    </border>
    <border>
      <left style="thick">
        <color rgb="FF0000FF"/>
      </left>
      <right style="thick">
        <color rgb="FF0000FF"/>
      </right>
      <top style="medium">
        <color indexed="64"/>
      </top>
      <bottom style="thick">
        <color rgb="FF0000FF"/>
      </bottom>
      <diagonal/>
    </border>
    <border>
      <left style="thin">
        <color indexed="22"/>
      </left>
      <right style="thin">
        <color indexed="22"/>
      </right>
      <top style="thin">
        <color indexed="22"/>
      </top>
      <bottom style="thin">
        <color indexed="22"/>
      </bottom>
      <diagonal/>
    </border>
    <border>
      <left/>
      <right style="medium">
        <color indexed="64"/>
      </right>
      <top/>
      <bottom style="thin">
        <color indexed="64"/>
      </bottom>
      <diagonal/>
    </border>
    <border>
      <left style="thin">
        <color indexed="22"/>
      </left>
      <right style="thin">
        <color indexed="22"/>
      </right>
      <top/>
      <bottom style="thin">
        <color indexed="22"/>
      </bottom>
      <diagonal/>
    </border>
    <border>
      <left style="thin">
        <color indexed="23"/>
      </left>
      <right style="thin">
        <color indexed="23"/>
      </right>
      <top style="thin">
        <color indexed="23"/>
      </top>
      <bottom style="thin">
        <color indexed="23"/>
      </bottom>
      <diagonal/>
    </border>
    <border>
      <left/>
      <right style="thin">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23"/>
      </right>
      <top style="medium">
        <color indexed="64"/>
      </top>
      <bottom style="medium">
        <color indexed="64"/>
      </bottom>
      <diagonal/>
    </border>
    <border>
      <left style="thin">
        <color indexed="23"/>
      </left>
      <right style="thin">
        <color indexed="23"/>
      </right>
      <top style="medium">
        <color indexed="64"/>
      </top>
      <bottom style="medium">
        <color indexed="64"/>
      </bottom>
      <diagonal/>
    </border>
    <border>
      <left style="thin">
        <color indexed="23"/>
      </left>
      <right style="medium">
        <color indexed="64"/>
      </right>
      <top style="medium">
        <color indexed="64"/>
      </top>
      <bottom style="medium">
        <color indexed="64"/>
      </bottom>
      <diagonal/>
    </border>
    <border>
      <left style="thin">
        <color indexed="8"/>
      </left>
      <right style="thin">
        <color indexed="23"/>
      </right>
      <top style="thin">
        <color indexed="23"/>
      </top>
      <bottom/>
      <diagonal/>
    </border>
    <border>
      <left style="medium">
        <color rgb="FFFF0000"/>
      </left>
      <right/>
      <top style="medium">
        <color indexed="64"/>
      </top>
      <bottom style="thin">
        <color indexed="64"/>
      </bottom>
      <diagonal/>
    </border>
    <border>
      <left/>
      <right style="medium">
        <color rgb="FFFF0000"/>
      </right>
      <top style="medium">
        <color indexed="64"/>
      </top>
      <bottom style="thin">
        <color indexed="64"/>
      </bottom>
      <diagonal/>
    </border>
    <border>
      <left style="medium">
        <color theme="4"/>
      </left>
      <right/>
      <top style="medium">
        <color indexed="64"/>
      </top>
      <bottom style="thin">
        <color indexed="64"/>
      </bottom>
      <diagonal/>
    </border>
    <border>
      <left/>
      <right style="medium">
        <color theme="4"/>
      </right>
      <top style="medium">
        <color indexed="64"/>
      </top>
      <bottom style="thin">
        <color indexed="64"/>
      </bottom>
      <diagonal/>
    </border>
    <border>
      <left/>
      <right style="thin">
        <color rgb="FF808080"/>
      </right>
      <top style="thin">
        <color rgb="FF000000"/>
      </top>
      <bottom style="thin">
        <color rgb="FF808080"/>
      </bottom>
      <diagonal/>
    </border>
    <border>
      <left style="thin">
        <color auto="1"/>
      </left>
      <right style="medium">
        <color rgb="FFFF0000"/>
      </right>
      <top style="medium">
        <color indexed="64"/>
      </top>
      <bottom style="thin">
        <color indexed="64"/>
      </bottom>
      <diagonal/>
    </border>
    <border>
      <left style="medium">
        <color theme="4"/>
      </left>
      <right style="thin">
        <color auto="1"/>
      </right>
      <top style="medium">
        <color indexed="64"/>
      </top>
      <bottom style="thin">
        <color indexed="64"/>
      </bottom>
      <diagonal/>
    </border>
    <border>
      <left style="thin">
        <color auto="1"/>
      </left>
      <right style="medium">
        <color theme="4"/>
      </right>
      <top style="medium">
        <color indexed="64"/>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style="medium">
        <color auto="1"/>
      </left>
      <right style="medium">
        <color auto="1"/>
      </right>
      <top style="medium">
        <color auto="1"/>
      </top>
      <bottom style="thin">
        <color auto="1"/>
      </bottom>
      <diagonal/>
    </border>
    <border>
      <left style="medium">
        <color auto="1"/>
      </left>
      <right/>
      <top style="medium">
        <color auto="1"/>
      </top>
      <bottom style="thin">
        <color auto="1"/>
      </bottom>
      <diagonal/>
    </border>
    <border>
      <left/>
      <right style="thin">
        <color auto="1"/>
      </right>
      <top style="medium">
        <color auto="1"/>
      </top>
      <bottom style="thin">
        <color auto="1"/>
      </bottom>
      <diagonal/>
    </border>
    <border>
      <left style="thin">
        <color auto="1"/>
      </left>
      <right/>
      <top style="medium">
        <color auto="1"/>
      </top>
      <bottom style="thin">
        <color auto="1"/>
      </bottom>
      <diagonal/>
    </border>
    <border>
      <left/>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bottom/>
      <diagonal/>
    </border>
    <border>
      <left style="medium">
        <color auto="1"/>
      </left>
      <right style="medium">
        <color auto="1"/>
      </right>
      <top/>
      <bottom/>
      <diagonal/>
    </border>
    <border>
      <left style="medium">
        <color auto="1"/>
      </left>
      <right style="thin">
        <color auto="1"/>
      </right>
      <top/>
      <bottom/>
      <diagonal/>
    </border>
    <border>
      <left style="medium">
        <color auto="1"/>
      </left>
      <right style="medium">
        <color auto="1"/>
      </right>
      <top/>
      <bottom style="medium">
        <color auto="1"/>
      </bottom>
      <diagonal/>
    </border>
    <border>
      <left style="thin">
        <color rgb="FF808080"/>
      </left>
      <right style="thin">
        <color indexed="64"/>
      </right>
      <top style="thin">
        <color indexed="64"/>
      </top>
      <bottom style="thin">
        <color rgb="FF808080"/>
      </bottom>
      <diagonal/>
    </border>
    <border>
      <left style="thin">
        <color indexed="64"/>
      </left>
      <right/>
      <top style="thin">
        <color rgb="FF808080"/>
      </top>
      <bottom style="thin">
        <color rgb="FF808080"/>
      </bottom>
      <diagonal/>
    </border>
    <border>
      <left style="thin">
        <color indexed="64"/>
      </left>
      <right style="thin">
        <color rgb="FF808080"/>
      </right>
      <top style="thin">
        <color indexed="64"/>
      </top>
      <bottom/>
      <diagonal/>
    </border>
    <border>
      <left style="thin">
        <color rgb="FF808080"/>
      </left>
      <right style="thin">
        <color rgb="FF808080"/>
      </right>
      <top style="thin">
        <color indexed="64"/>
      </top>
      <bottom/>
      <diagonal/>
    </border>
    <border>
      <left style="thin">
        <color indexed="64"/>
      </left>
      <right/>
      <top style="thin">
        <color rgb="FF808080"/>
      </top>
      <bottom style="thin">
        <color indexed="64"/>
      </bottom>
      <diagonal/>
    </border>
    <border>
      <left/>
      <right/>
      <top style="thin">
        <color rgb="FF808080"/>
      </top>
      <bottom style="thin">
        <color indexed="64"/>
      </bottom>
      <diagonal/>
    </border>
    <border>
      <left/>
      <right style="thin">
        <color rgb="FF808080"/>
      </right>
      <top style="thin">
        <color rgb="FF808080"/>
      </top>
      <bottom style="thin">
        <color indexed="64"/>
      </bottom>
      <diagonal/>
    </border>
    <border>
      <left style="thin">
        <color rgb="FF808080"/>
      </left>
      <right/>
      <top style="thin">
        <color indexed="64"/>
      </top>
      <bottom style="thin">
        <color rgb="FF808080"/>
      </bottom>
      <diagonal/>
    </border>
    <border>
      <left style="thin">
        <color rgb="FF808080"/>
      </left>
      <right/>
      <top/>
      <bottom/>
      <diagonal/>
    </border>
    <border>
      <left/>
      <right/>
      <top/>
      <bottom style="thick">
        <color rgb="FF86BC25"/>
      </bottom>
      <diagonal/>
    </border>
    <border>
      <left style="thin">
        <color indexed="64"/>
      </left>
      <right style="medium">
        <color indexed="64"/>
      </right>
      <top style="thin">
        <color indexed="64"/>
      </top>
      <bottom style="thin">
        <color indexed="64"/>
      </bottom>
      <diagonal/>
    </border>
    <border>
      <left style="thin">
        <color indexed="64"/>
      </left>
      <right style="thick">
        <color rgb="FFFF0000"/>
      </right>
      <top style="thin">
        <color indexed="64"/>
      </top>
      <bottom style="thin">
        <color indexed="64"/>
      </bottom>
      <diagonal/>
    </border>
    <border>
      <left style="thin">
        <color indexed="64"/>
      </left>
      <right style="thick">
        <color rgb="FF0000FF"/>
      </right>
      <top style="thin">
        <color auto="1"/>
      </top>
      <bottom style="thin">
        <color auto="1"/>
      </bottom>
      <diagonal/>
    </border>
    <border>
      <left style="thin">
        <color indexed="64"/>
      </left>
      <right style="thick">
        <color rgb="FF00B050"/>
      </right>
      <top style="thin">
        <color auto="1"/>
      </top>
      <bottom style="thin">
        <color auto="1"/>
      </bottom>
      <diagonal/>
    </border>
    <border>
      <left/>
      <right style="thin">
        <color indexed="64"/>
      </right>
      <top style="thin">
        <color indexed="64"/>
      </top>
      <bottom/>
      <diagonal/>
    </border>
    <border>
      <left/>
      <right style="thin">
        <color indexed="64"/>
      </right>
      <top/>
      <bottom style="thin">
        <color indexed="64"/>
      </bottom>
      <diagonal/>
    </border>
    <border>
      <left/>
      <right/>
      <top style="thin">
        <color indexed="64"/>
      </top>
      <bottom/>
      <diagonal/>
    </border>
    <border>
      <left style="thin">
        <color indexed="23"/>
      </left>
      <right style="thin">
        <color indexed="8"/>
      </right>
      <top style="thin">
        <color indexed="23"/>
      </top>
      <bottom style="thin">
        <color indexed="8"/>
      </bottom>
      <diagonal/>
    </border>
    <border>
      <left style="thin">
        <color rgb="FF808080"/>
      </left>
      <right/>
      <top style="thin">
        <color rgb="FF808080"/>
      </top>
      <bottom/>
      <diagonal/>
    </border>
    <border>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rgb="FF000000"/>
      </left>
      <right/>
      <top style="thin">
        <color rgb="FF000000"/>
      </top>
      <bottom/>
      <diagonal/>
    </border>
    <border>
      <left/>
      <right style="thin">
        <color rgb="FF808080"/>
      </right>
      <top style="thin">
        <color rgb="FF000000"/>
      </top>
      <bottom/>
      <diagonal/>
    </border>
    <border>
      <left style="thin">
        <color rgb="FF000000"/>
      </left>
      <right/>
      <top/>
      <bottom/>
      <diagonal/>
    </border>
    <border>
      <left/>
      <right style="thin">
        <color rgb="FF808080"/>
      </right>
      <top/>
      <bottom/>
      <diagonal/>
    </border>
    <border>
      <left style="medium">
        <color theme="3"/>
      </left>
      <right/>
      <top style="medium">
        <color theme="3"/>
      </top>
      <bottom/>
      <diagonal/>
    </border>
    <border>
      <left/>
      <right style="thin">
        <color indexed="64"/>
      </right>
      <top style="medium">
        <color theme="3"/>
      </top>
      <bottom/>
      <diagonal/>
    </border>
    <border>
      <left style="thin">
        <color indexed="64"/>
      </left>
      <right/>
      <top style="medium">
        <color theme="3"/>
      </top>
      <bottom style="thin">
        <color indexed="64"/>
      </bottom>
      <diagonal/>
    </border>
    <border>
      <left/>
      <right/>
      <top style="medium">
        <color theme="3"/>
      </top>
      <bottom style="thin">
        <color indexed="64"/>
      </bottom>
      <diagonal/>
    </border>
    <border>
      <left/>
      <right style="medium">
        <color theme="3"/>
      </right>
      <top style="medium">
        <color theme="3"/>
      </top>
      <bottom style="thin">
        <color indexed="64"/>
      </bottom>
      <diagonal/>
    </border>
    <border>
      <left style="medium">
        <color theme="3"/>
      </left>
      <right/>
      <top/>
      <bottom style="thin">
        <color indexed="64"/>
      </bottom>
      <diagonal/>
    </border>
    <border>
      <left style="thin">
        <color theme="3"/>
      </left>
      <right style="thin">
        <color theme="3"/>
      </right>
      <top style="thin">
        <color indexed="64"/>
      </top>
      <bottom/>
      <diagonal/>
    </border>
    <border>
      <left style="thin">
        <color theme="3"/>
      </left>
      <right style="medium">
        <color theme="3"/>
      </right>
      <top style="thin">
        <color indexed="64"/>
      </top>
      <bottom/>
      <diagonal/>
    </border>
    <border>
      <left style="medium">
        <color theme="3"/>
      </left>
      <right style="thin">
        <color indexed="64"/>
      </right>
      <top style="thin">
        <color indexed="64"/>
      </top>
      <bottom/>
      <diagonal/>
    </border>
    <border>
      <left style="thin">
        <color theme="3"/>
      </left>
      <right/>
      <top style="thin">
        <color theme="3"/>
      </top>
      <bottom/>
      <diagonal/>
    </border>
    <border>
      <left style="thin">
        <color theme="3"/>
      </left>
      <right style="medium">
        <color theme="3"/>
      </right>
      <top style="thin">
        <color theme="3"/>
      </top>
      <bottom/>
      <diagonal/>
    </border>
    <border>
      <left style="medium">
        <color theme="3"/>
      </left>
      <right style="thin">
        <color indexed="64"/>
      </right>
      <top/>
      <bottom/>
      <diagonal/>
    </border>
    <border>
      <left style="medium">
        <color theme="3"/>
      </left>
      <right style="thin">
        <color indexed="64"/>
      </right>
      <top/>
      <bottom style="medium">
        <color theme="3"/>
      </bottom>
      <diagonal/>
    </border>
    <border>
      <left style="thin">
        <color indexed="64"/>
      </left>
      <right/>
      <top style="thin">
        <color indexed="64"/>
      </top>
      <bottom style="medium">
        <color theme="3"/>
      </bottom>
      <diagonal/>
    </border>
    <border>
      <left style="thin">
        <color theme="3"/>
      </left>
      <right/>
      <top style="thin">
        <color theme="3"/>
      </top>
      <bottom style="medium">
        <color theme="3"/>
      </bottom>
      <diagonal/>
    </border>
    <border>
      <left style="thin">
        <color theme="3"/>
      </left>
      <right style="medium">
        <color theme="3"/>
      </right>
      <top style="thin">
        <color theme="3"/>
      </top>
      <bottom style="medium">
        <color theme="3"/>
      </bottom>
      <diagonal/>
    </border>
    <border>
      <left style="thin">
        <color indexed="8"/>
      </left>
      <right style="thin">
        <color indexed="23"/>
      </right>
      <top style="thin">
        <color indexed="8"/>
      </top>
      <bottom style="thin">
        <color indexed="23"/>
      </bottom>
      <diagonal/>
    </border>
    <border>
      <left style="thin">
        <color indexed="8"/>
      </left>
      <right style="thin">
        <color indexed="23"/>
      </right>
      <top style="thin">
        <color indexed="8"/>
      </top>
      <bottom style="thin">
        <color indexed="23"/>
      </bottom>
      <diagonal/>
    </border>
    <border>
      <left style="thin">
        <color auto="1"/>
      </left>
      <right style="thin">
        <color auto="1"/>
      </right>
      <top style="thin">
        <color auto="1"/>
      </top>
      <bottom style="thin">
        <color auto="1"/>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8"/>
      </left>
      <right style="thin">
        <color indexed="23"/>
      </right>
      <top/>
      <bottom style="thin">
        <color indexed="23"/>
      </bottom>
      <diagonal/>
    </border>
    <border>
      <left style="thin">
        <color indexed="23"/>
      </left>
      <right style="thin">
        <color indexed="23"/>
      </right>
      <top/>
      <bottom style="thin">
        <color indexed="23"/>
      </bottom>
      <diagonal/>
    </border>
    <border>
      <left style="thin">
        <color indexed="23"/>
      </left>
      <right/>
      <top/>
      <bottom style="thin">
        <color indexed="23"/>
      </bottom>
      <diagonal/>
    </border>
    <border>
      <left style="thin">
        <color indexed="23"/>
      </left>
      <right style="thin">
        <color indexed="8"/>
      </right>
      <top/>
      <bottom style="thin">
        <color indexed="23"/>
      </bottom>
      <diagonal/>
    </border>
    <border>
      <left style="thin">
        <color indexed="8"/>
      </left>
      <right style="thin">
        <color indexed="23"/>
      </right>
      <top style="thin">
        <color indexed="23"/>
      </top>
      <bottom style="thin">
        <color indexed="23"/>
      </bottom>
      <diagonal/>
    </border>
    <border>
      <left style="thin">
        <color indexed="23"/>
      </left>
      <right style="thin">
        <color indexed="23"/>
      </right>
      <top style="thin">
        <color indexed="23"/>
      </top>
      <bottom style="thin">
        <color indexed="23"/>
      </bottom>
      <diagonal/>
    </border>
    <border>
      <left style="thin">
        <color indexed="23"/>
      </left>
      <right/>
      <top style="thin">
        <color indexed="23"/>
      </top>
      <bottom style="thin">
        <color indexed="23"/>
      </bottom>
      <diagonal/>
    </border>
    <border>
      <left style="thin">
        <color indexed="23"/>
      </left>
      <right style="thin">
        <color indexed="8"/>
      </right>
      <top style="thin">
        <color indexed="23"/>
      </top>
      <bottom style="thin">
        <color indexed="23"/>
      </bottom>
      <diagonal/>
    </border>
    <border>
      <left style="thin">
        <color indexed="8"/>
      </left>
      <right style="thin">
        <color indexed="23"/>
      </right>
      <top style="thin">
        <color indexed="23"/>
      </top>
      <bottom/>
      <diagonal/>
    </border>
    <border>
      <left style="thin">
        <color indexed="23"/>
      </left>
      <right style="thin">
        <color indexed="23"/>
      </right>
      <top style="thin">
        <color indexed="23"/>
      </top>
      <bottom/>
      <diagonal/>
    </border>
    <border>
      <left style="thin">
        <color indexed="23"/>
      </left>
      <right/>
      <top style="thin">
        <color indexed="23"/>
      </top>
      <bottom/>
      <diagonal/>
    </border>
    <border>
      <left style="thin">
        <color indexed="8"/>
      </left>
      <right style="thin">
        <color indexed="23"/>
      </right>
      <top style="thin">
        <color indexed="23"/>
      </top>
      <bottom style="thin">
        <color indexed="8"/>
      </bottom>
      <diagonal/>
    </border>
    <border>
      <left style="thin">
        <color indexed="23"/>
      </left>
      <right style="thin">
        <color indexed="23"/>
      </right>
      <top style="thin">
        <color indexed="23"/>
      </top>
      <bottom style="thin">
        <color indexed="8"/>
      </bottom>
      <diagonal/>
    </border>
    <border>
      <left style="thin">
        <color indexed="23"/>
      </left>
      <right style="thin">
        <color indexed="23"/>
      </right>
      <top style="thin">
        <color indexed="23"/>
      </top>
      <bottom style="thin">
        <color indexed="23"/>
      </bottom>
      <diagonal/>
    </border>
    <border>
      <left style="thin">
        <color indexed="23"/>
      </left>
      <right style="thin">
        <color indexed="23"/>
      </right>
      <top style="thin">
        <color indexed="8"/>
      </top>
      <bottom/>
      <diagonal/>
    </border>
    <border>
      <left style="thin">
        <color indexed="64"/>
      </left>
      <right/>
      <top style="thin">
        <color indexed="64"/>
      </top>
      <bottom style="thin">
        <color indexed="64"/>
      </bottom>
      <diagonal/>
    </border>
    <border>
      <left style="thin">
        <color indexed="64"/>
      </left>
      <right style="thin">
        <color auto="1"/>
      </right>
      <top/>
      <bottom style="thin">
        <color auto="1"/>
      </bottom>
      <diagonal/>
    </border>
    <border>
      <left/>
      <right/>
      <top style="thin">
        <color indexed="64"/>
      </top>
      <bottom style="thin">
        <color rgb="FF808080"/>
      </bottom>
      <diagonal/>
    </border>
    <border>
      <left/>
      <right/>
      <top/>
      <bottom style="thin">
        <color rgb="FF808080"/>
      </bottom>
      <diagonal/>
    </border>
    <border>
      <left style="thin">
        <color rgb="FF808080"/>
      </left>
      <right style="thin">
        <color indexed="64"/>
      </right>
      <top/>
      <bottom style="thin">
        <color rgb="FF808080"/>
      </bottom>
      <diagonal/>
    </border>
    <border>
      <left style="thin">
        <color indexed="64"/>
      </left>
      <right style="thin">
        <color rgb="FF808080"/>
      </right>
      <top style="thin">
        <color indexed="64"/>
      </top>
      <bottom/>
      <diagonal/>
    </border>
    <border>
      <left style="thin">
        <color rgb="FF000000"/>
      </left>
      <right style="thin">
        <color auto="1"/>
      </right>
      <top style="thin">
        <color rgb="FF000000"/>
      </top>
      <bottom/>
      <diagonal/>
    </border>
    <border>
      <left style="thin">
        <color rgb="FF000000"/>
      </left>
      <right style="thin">
        <color auto="1"/>
      </right>
      <top/>
      <bottom style="thin">
        <color rgb="FF808080"/>
      </bottom>
      <diagonal/>
    </border>
    <border>
      <left style="thin">
        <color indexed="8"/>
      </left>
      <right style="thin">
        <color auto="1"/>
      </right>
      <top style="thin">
        <color indexed="8"/>
      </top>
      <bottom/>
      <diagonal/>
    </border>
    <border>
      <left style="thin">
        <color indexed="8"/>
      </left>
      <right style="thin">
        <color auto="1"/>
      </right>
      <top/>
      <bottom style="thin">
        <color rgb="FF808080"/>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medium">
        <color indexed="64"/>
      </left>
      <right style="thin">
        <color auto="1"/>
      </right>
      <top style="medium">
        <color indexed="64"/>
      </top>
      <bottom style="medium">
        <color indexed="64"/>
      </bottom>
      <diagonal/>
    </border>
    <border>
      <left/>
      <right/>
      <top style="thin">
        <color indexed="64"/>
      </top>
      <bottom/>
      <diagonal/>
    </border>
    <border>
      <left/>
      <right/>
      <top style="double">
        <color auto="1"/>
      </top>
      <bottom/>
      <diagonal/>
    </border>
    <border>
      <left style="medium">
        <color indexed="8"/>
      </left>
      <right style="thin">
        <color indexed="8"/>
      </right>
      <top style="medium">
        <color indexed="8"/>
      </top>
      <bottom style="medium">
        <color indexed="8"/>
      </bottom>
      <diagonal/>
    </border>
    <border>
      <left style="thin">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thin">
        <color indexed="8"/>
      </left>
      <right style="thin">
        <color indexed="8"/>
      </right>
      <top style="thin">
        <color indexed="8"/>
      </top>
      <bottom style="medium">
        <color indexed="8"/>
      </bottom>
      <diagonal/>
    </border>
    <border>
      <left style="thin">
        <color indexed="8"/>
      </left>
      <right style="medium">
        <color indexed="8"/>
      </right>
      <top style="thin">
        <color indexed="8"/>
      </top>
      <bottom style="medium">
        <color indexed="8"/>
      </bottom>
      <diagonal/>
    </border>
    <border>
      <left style="medium">
        <color indexed="8"/>
      </left>
      <right style="thin">
        <color indexed="8"/>
      </right>
      <top/>
      <bottom/>
      <diagonal/>
    </border>
    <border>
      <left style="thin">
        <color indexed="8"/>
      </left>
      <right style="thin">
        <color indexed="8"/>
      </right>
      <top/>
      <bottom/>
      <diagonal/>
    </border>
    <border>
      <left style="thin">
        <color indexed="8"/>
      </left>
      <right style="medium">
        <color indexed="8"/>
      </right>
      <top/>
      <bottom/>
      <diagonal/>
    </border>
    <border>
      <left style="thin">
        <color indexed="8"/>
      </left>
      <right style="thin">
        <color indexed="8"/>
      </right>
      <top style="thin">
        <color indexed="8"/>
      </top>
      <bottom/>
      <diagonal/>
    </border>
    <border>
      <left style="thin">
        <color indexed="8"/>
      </left>
      <right style="thin">
        <color indexed="8"/>
      </right>
      <top/>
      <bottom style="thin">
        <color indexed="8"/>
      </bottom>
      <diagonal/>
    </border>
    <border>
      <left style="thin">
        <color indexed="8"/>
      </left>
      <right style="medium">
        <color indexed="8"/>
      </right>
      <top style="thin">
        <color indexed="8"/>
      </top>
      <bottom/>
      <diagonal/>
    </border>
    <border>
      <left style="medium">
        <color indexed="8"/>
      </left>
      <right style="thin">
        <color indexed="8"/>
      </right>
      <top/>
      <bottom style="medium">
        <color indexed="8"/>
      </bottom>
      <diagonal/>
    </border>
    <border>
      <left style="thin">
        <color indexed="8"/>
      </left>
      <right style="thin">
        <color indexed="8"/>
      </right>
      <top/>
      <bottom style="medium">
        <color indexed="8"/>
      </bottom>
      <diagonal/>
    </border>
    <border>
      <left style="thin">
        <color indexed="8"/>
      </left>
      <right style="medium">
        <color indexed="8"/>
      </right>
      <top/>
      <bottom style="medium">
        <color indexed="8"/>
      </bottom>
      <diagonal/>
    </border>
    <border>
      <left style="medium">
        <color indexed="64"/>
      </left>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diagonal/>
    </border>
    <border>
      <left/>
      <right/>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rgb="FF000000"/>
      </left>
      <right style="thin">
        <color rgb="FF000000"/>
      </right>
      <top style="thin">
        <color rgb="FF000000"/>
      </top>
      <bottom style="thin">
        <color rgb="FF808080"/>
      </bottom>
      <diagonal/>
    </border>
    <border>
      <left style="thin">
        <color rgb="FF000000"/>
      </left>
      <right style="thin">
        <color rgb="FF000000"/>
      </right>
      <top style="thin">
        <color rgb="FF808080"/>
      </top>
      <bottom style="thin">
        <color rgb="FF000000"/>
      </bottom>
      <diagonal/>
    </border>
    <border>
      <left/>
      <right/>
      <top/>
      <bottom/>
      <diagonal/>
    </border>
    <border>
      <top style="medium">
        <color rgb="00000000"/>
      </top>
      <bottom style="medium">
        <color rgb="00000000"/>
      </bottom>
    </border>
    <border>
      <top style="thin">
        <color rgb="00999999"/>
      </top>
    </border>
    <border>
      <top style="thin">
        <color rgb="00999999"/>
      </top>
      <bottom style="thin">
        <color rgb="00000000"/>
      </bottom>
    </border>
    <border>
      <top style="thin">
        <color rgb="00999999"/>
      </top>
      <bottom style="double">
        <color rgb="00000000"/>
      </bottom>
    </border>
    <border>
      <left/>
      <right/>
      <top/>
      <bottom/>
      <diagonal/>
    </border>
    <border>
      <top style="thin">
        <color rgb="00999999"/>
      </top>
    </border>
    <border>
      <top style="medium">
        <color rgb="00000000"/>
      </top>
      <bottom style="medium">
        <color rgb="00000000"/>
      </bottom>
    </border>
  </borders>
  <cellStyleXfs count="71">
    <xf numFmtId="0" fontId="0" fillId="0" borderId="0">
      <alignment vertical="center"/>
    </xf>
    <xf numFmtId="41" fontId="1" fillId="0" borderId="0" applyFont="0" applyFill="0" applyBorder="0" applyAlignment="0" applyProtection="0">
      <alignment vertical="center"/>
    </xf>
    <xf numFmtId="9" fontId="1" fillId="0" borderId="0" applyFont="0" applyFill="0" applyBorder="0" applyAlignment="0" applyProtection="0">
      <alignment vertical="center"/>
    </xf>
    <xf numFmtId="0" fontId="2" fillId="0" borderId="0"/>
    <xf numFmtId="176" fontId="5" fillId="0" borderId="0" applyFont="0" applyFill="0" applyBorder="0" applyAlignment="0" applyProtection="0">
      <alignment vertical="center"/>
    </xf>
    <xf numFmtId="176" fontId="8" fillId="0" borderId="0" applyFont="0" applyFill="0" applyBorder="0" applyAlignment="0" applyProtection="0">
      <alignment vertical="center"/>
    </xf>
    <xf numFmtId="9" fontId="8" fillId="0" borderId="0" applyFont="0" applyFill="0" applyBorder="0" applyAlignment="0" applyProtection="0">
      <alignment vertical="center"/>
    </xf>
    <xf numFmtId="0" fontId="2" fillId="0" borderId="0">
      <alignment vertical="center"/>
    </xf>
    <xf numFmtId="176" fontId="1" fillId="0" borderId="0" applyFont="0" applyFill="0" applyBorder="0" applyAlignment="0" applyProtection="0">
      <alignment vertical="center"/>
    </xf>
    <xf numFmtId="0" fontId="2" fillId="0" borderId="0">
      <alignment vertical="center"/>
    </xf>
    <xf numFmtId="176" fontId="8" fillId="0" borderId="0" applyFont="0" applyFill="0" applyBorder="0" applyAlignment="0" applyProtection="0">
      <alignment vertical="center"/>
    </xf>
    <xf numFmtId="178" fontId="2" fillId="0" borderId="0"/>
    <xf numFmtId="178" fontId="2" fillId="0" borderId="0"/>
    <xf numFmtId="9" fontId="20" fillId="0" borderId="0" applyFont="0" applyFill="0" applyBorder="0" applyAlignment="0" applyProtection="0">
      <alignment vertical="center"/>
    </xf>
    <xf numFmtId="9" fontId="2" fillId="0" borderId="0" applyFont="0" applyFill="0" applyBorder="0" applyAlignment="0" applyProtection="0">
      <alignment vertical="center"/>
    </xf>
    <xf numFmtId="178" fontId="2" fillId="0" borderId="0">
      <alignment vertical="center"/>
    </xf>
    <xf numFmtId="178" fontId="21" fillId="0" borderId="0" applyBorder="0"/>
    <xf numFmtId="178" fontId="2" fillId="0" borderId="0">
      <alignment vertical="center"/>
    </xf>
    <xf numFmtId="0" fontId="20" fillId="0" borderId="0"/>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0" fontId="7" fillId="0" borderId="0">
      <alignment vertical="center"/>
    </xf>
    <xf numFmtId="41" fontId="2" fillId="0" borderId="0" applyFont="0" applyFill="0" applyBorder="0" applyAlignment="0" applyProtection="0">
      <alignment vertical="center"/>
    </xf>
    <xf numFmtId="0" fontId="20" fillId="0" borderId="0"/>
    <xf numFmtId="0" fontId="2" fillId="0" borderId="0"/>
    <xf numFmtId="0" fontId="20" fillId="0" borderId="0"/>
    <xf numFmtId="41" fontId="33" fillId="0" borderId="0" applyFont="0" applyFill="0" applyBorder="0" applyAlignment="0" applyProtection="0">
      <alignment vertical="center"/>
    </xf>
    <xf numFmtId="41" fontId="32" fillId="0" borderId="0" applyFont="0" applyFill="0" applyBorder="0" applyAlignment="0" applyProtection="0">
      <alignment vertical="center"/>
    </xf>
    <xf numFmtId="0" fontId="32" fillId="0" borderId="0"/>
    <xf numFmtId="0" fontId="2" fillId="0" borderId="0"/>
    <xf numFmtId="183" fontId="34" fillId="0" borderId="0" applyFont="0" applyFill="0" applyBorder="0" applyAlignment="0" applyProtection="0"/>
    <xf numFmtId="0" fontId="2" fillId="0" borderId="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5" fillId="0" borderId="0" applyFont="0" applyFill="0" applyBorder="0" applyAlignment="0" applyProtection="0">
      <alignment vertical="center"/>
    </xf>
    <xf numFmtId="41" fontId="8" fillId="0" borderId="0" applyFont="0" applyFill="0" applyBorder="0" applyAlignment="0" applyProtection="0">
      <alignment vertical="center"/>
    </xf>
    <xf numFmtId="41" fontId="1" fillId="0" borderId="0" applyFont="0" applyFill="0" applyBorder="0" applyAlignment="0" applyProtection="0">
      <alignment vertical="center"/>
    </xf>
    <xf numFmtId="41" fontId="8"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 fillId="0" borderId="0" applyFont="0" applyFill="0" applyBorder="0" applyAlignment="0" applyProtection="0">
      <alignment vertical="center"/>
    </xf>
    <xf numFmtId="0" fontId="1" fillId="0" borderId="0">
      <alignment vertical="center"/>
    </xf>
    <xf numFmtId="0" fontId="39" fillId="0" borderId="0"/>
    <xf numFmtId="41" fontId="9" fillId="0" borderId="0" applyFont="0" applyFill="0" applyBorder="0" applyAlignment="0" applyProtection="0">
      <alignment vertical="center"/>
    </xf>
    <xf numFmtId="9" fontId="9" fillId="0" borderId="0" applyFont="0" applyFill="0" applyBorder="0" applyAlignment="0" applyProtection="0">
      <alignment vertical="center"/>
    </xf>
    <xf numFmtId="183" fontId="39" fillId="0" borderId="0" applyFont="0" applyFill="0" applyBorder="0" applyAlignment="0" applyProtection="0"/>
    <xf numFmtId="176" fontId="33" fillId="0" borderId="0" applyFont="0" applyFill="0" applyBorder="0" applyAlignment="0" applyProtection="0">
      <alignment vertical="center"/>
    </xf>
    <xf numFmtId="9" fontId="39" fillId="0" borderId="0" applyFont="0" applyFill="0" applyBorder="0" applyAlignment="0" applyProtection="0"/>
    <xf numFmtId="0" fontId="39" fillId="0" borderId="0"/>
    <xf numFmtId="183" fontId="39" fillId="0" borderId="0" applyFont="0" applyFill="0" applyBorder="0" applyAlignment="0" applyProtection="0"/>
    <xf numFmtId="0" fontId="1" fillId="0" borderId="0">
      <alignment vertical="center"/>
    </xf>
    <xf numFmtId="0" fontId="33" fillId="0" borderId="0">
      <alignment vertical="center"/>
    </xf>
    <xf numFmtId="9" fontId="2" fillId="0" borderId="0" applyFont="0" applyFill="0" applyBorder="0" applyAlignment="0" applyProtection="0"/>
    <xf numFmtId="0" fontId="80" fillId="0" borderId="0"/>
    <xf numFmtId="41" fontId="2" fillId="0" borderId="0" applyFont="0" applyFill="0" applyBorder="0" applyAlignment="0" applyProtection="0"/>
    <xf numFmtId="41" fontId="2" fillId="0" borderId="0" applyFont="0" applyFill="0" applyBorder="0" applyAlignment="0" applyProtection="0"/>
    <xf numFmtId="0" fontId="80" fillId="0" borderId="0"/>
    <xf numFmtId="41" fontId="8" fillId="0" borderId="0" applyFont="0" applyFill="0" applyBorder="0" applyAlignment="0" applyProtection="0">
      <alignment vertical="center"/>
    </xf>
    <xf numFmtId="198" fontId="8" fillId="0" borderId="0" applyFont="0" applyFill="0" applyBorder="0" applyAlignment="0" applyProtection="0"/>
    <xf numFmtId="9" fontId="8" fillId="0" borderId="0" applyFont="0" applyFill="0" applyBorder="0" applyAlignment="0" applyProtection="0">
      <alignment vertical="center"/>
    </xf>
    <xf numFmtId="0" fontId="84" fillId="45"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0" fontId="89" fillId="0" borderId="0" applyNumberFormat="0" applyFill="0" applyBorder="0" applyAlignment="0" applyProtection="0">
      <alignment vertical="center"/>
    </xf>
    <xf numFmtId="0" fontId="94" fillId="0" borderId="0"/>
    <xf numFmtId="0" fontId="80" fillId="0" borderId="0"/>
    <xf numFmtId="0" fontId="8" fillId="0" borderId="0">
      <alignment vertical="center"/>
    </xf>
    <xf numFmtId="41" fontId="97" fillId="0" borderId="0" applyFont="0" applyFill="0" applyBorder="0" applyAlignment="0" applyProtection="0">
      <alignment vertical="center"/>
    </xf>
    <xf numFmtId="41" fontId="9" fillId="0" borderId="0" applyFont="0" applyFill="0" applyBorder="0" applyAlignment="0" applyProtection="0">
      <alignment vertical="center"/>
    </xf>
    <xf numFmtId="0" fontId="97" fillId="0" borderId="0"/>
    <xf numFmtId="0" fontId="107" fillId="0" borderId="0">
      <alignment vertical="center"/>
    </xf>
  </cellStyleXfs>
  <cellXfs count="2243">
    <xf numFmtId="0" fontId="0" fillId="0" borderId="0" xfId="0">
      <alignment vertical="center"/>
    </xf>
    <xf numFmtId="41" fontId="9" fillId="0" borderId="0" xfId="1" applyFont="1">
      <alignment vertical="center"/>
    </xf>
    <xf numFmtId="176" fontId="15" fillId="0" borderId="0" xfId="8" applyFont="1">
      <alignment vertical="center"/>
    </xf>
    <xf numFmtId="0" fontId="9" fillId="0" borderId="0" xfId="0" applyFont="1">
      <alignment vertical="center"/>
    </xf>
    <xf numFmtId="176" fontId="9" fillId="0" borderId="0" xfId="8" applyFont="1">
      <alignment vertical="center"/>
    </xf>
    <xf numFmtId="178" fontId="15" fillId="0" borderId="0" xfId="11" applyFont="1" applyAlignment="1">
      <alignment vertical="center"/>
    </xf>
    <xf numFmtId="176" fontId="15" fillId="0" borderId="0" xfId="8" applyFont="1" applyAlignment="1">
      <alignment vertical="center"/>
    </xf>
    <xf numFmtId="0" fontId="15" fillId="0" borderId="0" xfId="11" applyNumberFormat="1" applyFont="1" applyAlignment="1">
      <alignment vertical="center"/>
    </xf>
    <xf numFmtId="178" fontId="15" fillId="0" borderId="100" xfId="11" applyFont="1" applyBorder="1" applyAlignment="1">
      <alignment vertical="center"/>
    </xf>
    <xf numFmtId="176" fontId="19" fillId="0" borderId="0" xfId="8" applyFont="1" applyAlignment="1">
      <alignment horizontal="center" vertical="center"/>
    </xf>
    <xf numFmtId="178" fontId="17" fillId="0" borderId="0" xfId="11" applyFont="1" applyAlignment="1">
      <alignment vertical="center"/>
    </xf>
    <xf numFmtId="178" fontId="15" fillId="0" borderId="0" xfId="15" applyFont="1">
      <alignment vertical="center"/>
    </xf>
    <xf numFmtId="178" fontId="17" fillId="0" borderId="0" xfId="17" applyFont="1">
      <alignment vertical="center"/>
    </xf>
    <xf numFmtId="0" fontId="17" fillId="0" borderId="0" xfId="11" applyNumberFormat="1" applyFont="1" applyAlignment="1">
      <alignment vertical="center"/>
    </xf>
    <xf numFmtId="178" fontId="23" fillId="0" borderId="0" xfId="12" applyFont="1" applyAlignment="1">
      <alignment vertical="center"/>
    </xf>
    <xf numFmtId="0" fontId="27" fillId="0" borderId="111" xfId="0" applyFont="1" applyBorder="1" applyAlignment="1">
      <alignment horizontal="left" vertical="center" wrapText="1"/>
    </xf>
    <xf numFmtId="178" fontId="24" fillId="0" borderId="0" xfId="17" applyFont="1">
      <alignment vertical="center"/>
    </xf>
    <xf numFmtId="178" fontId="29" fillId="0" borderId="0" xfId="17" applyFont="1">
      <alignment vertical="center"/>
    </xf>
    <xf numFmtId="176" fontId="24" fillId="0" borderId="0" xfId="17" applyNumberFormat="1" applyFont="1">
      <alignment vertical="center"/>
    </xf>
    <xf numFmtId="176" fontId="24" fillId="0" borderId="0" xfId="17" applyNumberFormat="1" applyFont="1" applyAlignment="1">
      <alignment horizontal="right" vertical="center"/>
    </xf>
    <xf numFmtId="178" fontId="24" fillId="0" borderId="0" xfId="17" quotePrefix="1" applyFont="1">
      <alignment vertical="center"/>
    </xf>
    <xf numFmtId="0" fontId="30" fillId="20" borderId="1" xfId="23" applyFont="1" applyFill="1" applyBorder="1" applyAlignment="1">
      <alignment horizontal="center" vertical="center"/>
    </xf>
    <xf numFmtId="0" fontId="30" fillId="20" borderId="2" xfId="23" applyFont="1" applyFill="1" applyBorder="1" applyAlignment="1">
      <alignment horizontal="center" vertical="center"/>
    </xf>
    <xf numFmtId="0" fontId="30" fillId="20" borderId="93" xfId="23" applyFont="1" applyFill="1" applyBorder="1" applyAlignment="1">
      <alignment horizontal="center" vertical="center"/>
    </xf>
    <xf numFmtId="9" fontId="16" fillId="0" borderId="11" xfId="24" applyNumberFormat="1" applyFont="1" applyBorder="1" applyAlignment="1">
      <alignment horizontal="right"/>
    </xf>
    <xf numFmtId="10" fontId="16" fillId="0" borderId="12" xfId="24" applyNumberFormat="1" applyFont="1" applyBorder="1" applyAlignment="1">
      <alignment horizontal="right"/>
    </xf>
    <xf numFmtId="10" fontId="16" fillId="0" borderId="118" xfId="24" applyNumberFormat="1" applyFont="1" applyBorder="1" applyAlignment="1">
      <alignment horizontal="right"/>
    </xf>
    <xf numFmtId="178" fontId="24" fillId="0" borderId="6" xfId="17" applyFont="1" applyBorder="1">
      <alignment vertical="center"/>
    </xf>
    <xf numFmtId="176" fontId="24" fillId="0" borderId="7" xfId="17" applyNumberFormat="1" applyFont="1" applyBorder="1">
      <alignment vertical="center"/>
    </xf>
    <xf numFmtId="176" fontId="24" fillId="0" borderId="21" xfId="17" applyNumberFormat="1" applyFont="1" applyBorder="1">
      <alignment vertical="center"/>
    </xf>
    <xf numFmtId="178" fontId="24" fillId="0" borderId="11" xfId="17" applyFont="1" applyBorder="1">
      <alignment vertical="center"/>
    </xf>
    <xf numFmtId="176" fontId="24" fillId="0" borderId="12" xfId="17" applyNumberFormat="1" applyFont="1" applyBorder="1">
      <alignment vertical="center"/>
    </xf>
    <xf numFmtId="176" fontId="24" fillId="0" borderId="118" xfId="17" applyNumberFormat="1" applyFont="1" applyBorder="1">
      <alignment vertical="center"/>
    </xf>
    <xf numFmtId="178" fontId="24" fillId="18" borderId="7" xfId="17" applyFont="1" applyFill="1" applyBorder="1" applyAlignment="1">
      <alignment horizontal="center" vertical="center"/>
    </xf>
    <xf numFmtId="178" fontId="30" fillId="0" borderId="0" xfId="17" applyFont="1">
      <alignment vertical="center"/>
    </xf>
    <xf numFmtId="0" fontId="30" fillId="20" borderId="65" xfId="23" applyFont="1" applyFill="1" applyBorder="1" applyAlignment="1">
      <alignment horizontal="center" vertical="center"/>
    </xf>
    <xf numFmtId="0" fontId="30" fillId="20" borderId="30" xfId="23" applyFont="1" applyFill="1" applyBorder="1" applyAlignment="1">
      <alignment horizontal="center" vertical="center"/>
    </xf>
    <xf numFmtId="0" fontId="30" fillId="20" borderId="120" xfId="23" applyFont="1" applyFill="1" applyBorder="1" applyAlignment="1">
      <alignment horizontal="center" vertical="center"/>
    </xf>
    <xf numFmtId="0" fontId="24" fillId="0" borderId="121" xfId="23" applyFont="1" applyBorder="1" applyAlignment="1">
      <alignment horizontal="center" vertical="center"/>
    </xf>
    <xf numFmtId="0" fontId="24" fillId="0" borderId="122" xfId="23" applyFont="1" applyBorder="1" applyAlignment="1">
      <alignment horizontal="left" vertical="center"/>
    </xf>
    <xf numFmtId="0" fontId="31" fillId="0" borderId="122" xfId="23" applyFont="1" applyBorder="1" applyAlignment="1">
      <alignment horizontal="center" vertical="center"/>
    </xf>
    <xf numFmtId="176" fontId="24" fillId="0" borderId="122" xfId="10" applyFont="1" applyFill="1" applyBorder="1" applyAlignment="1">
      <alignment horizontal="center" vertical="center"/>
    </xf>
    <xf numFmtId="0" fontId="31" fillId="0" borderId="123" xfId="23" applyFont="1" applyBorder="1" applyAlignment="1">
      <alignment horizontal="center" vertical="center"/>
    </xf>
    <xf numFmtId="0" fontId="24" fillId="0" borderId="124" xfId="23" applyFont="1" applyBorder="1" applyAlignment="1">
      <alignment horizontal="center" vertical="center"/>
    </xf>
    <xf numFmtId="0" fontId="24" fillId="0" borderId="20" xfId="23" applyFont="1" applyBorder="1" applyAlignment="1">
      <alignment horizontal="left" vertical="center"/>
    </xf>
    <xf numFmtId="0" fontId="24" fillId="0" borderId="20" xfId="23" applyFont="1" applyBorder="1" applyAlignment="1">
      <alignment horizontal="center" vertical="center"/>
    </xf>
    <xf numFmtId="176" fontId="24" fillId="0" borderId="20" xfId="10" applyFont="1" applyFill="1" applyBorder="1" applyAlignment="1">
      <alignment horizontal="center" vertical="center"/>
    </xf>
    <xf numFmtId="176" fontId="24" fillId="0" borderId="125" xfId="23" applyNumberFormat="1" applyFont="1" applyBorder="1" applyAlignment="1">
      <alignment horizontal="center" vertical="center"/>
    </xf>
    <xf numFmtId="0" fontId="24" fillId="0" borderId="126" xfId="23" applyFont="1" applyBorder="1" applyAlignment="1">
      <alignment horizontal="center" vertical="center"/>
    </xf>
    <xf numFmtId="0" fontId="24" fillId="0" borderId="15" xfId="23" applyFont="1" applyBorder="1" applyAlignment="1">
      <alignment horizontal="left" vertical="center"/>
    </xf>
    <xf numFmtId="0" fontId="24" fillId="0" borderId="15" xfId="23" applyFont="1" applyBorder="1" applyAlignment="1">
      <alignment horizontal="center" vertical="center"/>
    </xf>
    <xf numFmtId="176" fontId="24" fillId="0" borderId="15" xfId="10" applyFont="1" applyFill="1" applyBorder="1" applyAlignment="1">
      <alignment horizontal="center" vertical="center"/>
    </xf>
    <xf numFmtId="0" fontId="24" fillId="0" borderId="13" xfId="23" applyFont="1" applyBorder="1" applyAlignment="1">
      <alignment horizontal="center" vertical="center"/>
    </xf>
    <xf numFmtId="176" fontId="24" fillId="0" borderId="0" xfId="10" applyFont="1" applyFill="1" applyBorder="1">
      <alignment vertical="center"/>
    </xf>
    <xf numFmtId="176" fontId="24" fillId="0" borderId="0" xfId="10" applyFont="1">
      <alignment vertical="center"/>
    </xf>
    <xf numFmtId="176" fontId="24" fillId="0" borderId="0" xfId="10" applyFont="1" applyBorder="1">
      <alignment vertical="center"/>
    </xf>
    <xf numFmtId="178" fontId="24" fillId="0" borderId="95" xfId="17" quotePrefix="1" applyFont="1" applyBorder="1">
      <alignment vertical="center"/>
    </xf>
    <xf numFmtId="176" fontId="24" fillId="0" borderId="45" xfId="17" applyNumberFormat="1" applyFont="1" applyBorder="1">
      <alignment vertical="center"/>
    </xf>
    <xf numFmtId="176" fontId="24" fillId="0" borderId="96" xfId="17" applyNumberFormat="1" applyFont="1" applyBorder="1">
      <alignment vertical="center"/>
    </xf>
    <xf numFmtId="178" fontId="24" fillId="0" borderId="69" xfId="17" quotePrefix="1" applyFont="1" applyBorder="1">
      <alignment vertical="center"/>
    </xf>
    <xf numFmtId="176" fontId="24" fillId="0" borderId="97" xfId="17" applyNumberFormat="1" applyFont="1" applyBorder="1">
      <alignment vertical="center"/>
    </xf>
    <xf numFmtId="178" fontId="24" fillId="0" borderId="69" xfId="17" applyFont="1" applyBorder="1">
      <alignment vertical="center"/>
    </xf>
    <xf numFmtId="178" fontId="24" fillId="18" borderId="6" xfId="17" applyFont="1" applyFill="1" applyBorder="1" applyAlignment="1">
      <alignment horizontal="center" vertical="center"/>
    </xf>
    <xf numFmtId="176" fontId="24" fillId="0" borderId="56" xfId="17" applyNumberFormat="1" applyFont="1" applyBorder="1">
      <alignment vertical="center"/>
    </xf>
    <xf numFmtId="176" fontId="24" fillId="0" borderId="99" xfId="17" applyNumberFormat="1" applyFont="1" applyBorder="1">
      <alignment vertical="center"/>
    </xf>
    <xf numFmtId="176" fontId="9" fillId="0" borderId="0" xfId="8" applyFont="1" applyFill="1" applyBorder="1">
      <alignment vertical="center"/>
    </xf>
    <xf numFmtId="3" fontId="9" fillId="0" borderId="0" xfId="0" applyNumberFormat="1" applyFont="1">
      <alignment vertical="center"/>
    </xf>
    <xf numFmtId="41" fontId="9" fillId="0" borderId="0" xfId="1" applyFont="1" applyFill="1">
      <alignment vertical="center"/>
    </xf>
    <xf numFmtId="178" fontId="24" fillId="0" borderId="98" xfId="17" applyFont="1" applyBorder="1">
      <alignment vertical="center"/>
    </xf>
    <xf numFmtId="178" fontId="24" fillId="0" borderId="105" xfId="17" applyFont="1" applyBorder="1">
      <alignment vertical="center"/>
    </xf>
    <xf numFmtId="178" fontId="24" fillId="0" borderId="104" xfId="17" applyFont="1" applyBorder="1">
      <alignment vertical="center"/>
    </xf>
    <xf numFmtId="178" fontId="24" fillId="0" borderId="103" xfId="17" applyFont="1" applyBorder="1">
      <alignment vertical="center"/>
    </xf>
    <xf numFmtId="178" fontId="24" fillId="0" borderId="74" xfId="17" applyFont="1" applyBorder="1">
      <alignment vertical="center"/>
    </xf>
    <xf numFmtId="178" fontId="24" fillId="0" borderId="106" xfId="17" applyFont="1" applyBorder="1">
      <alignment vertical="center"/>
    </xf>
    <xf numFmtId="3" fontId="24" fillId="0" borderId="74" xfId="17" applyNumberFormat="1" applyFont="1" applyBorder="1" applyAlignment="1">
      <alignment horizontal="left" vertical="center"/>
    </xf>
    <xf numFmtId="178" fontId="24" fillId="0" borderId="102" xfId="17" applyFont="1" applyBorder="1">
      <alignment vertical="center"/>
    </xf>
    <xf numFmtId="178" fontId="24" fillId="0" borderId="88" xfId="17" applyFont="1" applyBorder="1">
      <alignment vertical="center"/>
    </xf>
    <xf numFmtId="178" fontId="24" fillId="0" borderId="73" xfId="17" applyFont="1" applyBorder="1">
      <alignment vertical="center"/>
    </xf>
    <xf numFmtId="178" fontId="31" fillId="0" borderId="0" xfId="17" applyFont="1">
      <alignment vertical="center"/>
    </xf>
    <xf numFmtId="0" fontId="0" fillId="0" borderId="105" xfId="0" applyBorder="1">
      <alignment vertical="center"/>
    </xf>
    <xf numFmtId="0" fontId="0" fillId="0" borderId="104" xfId="0" applyBorder="1">
      <alignment vertical="center"/>
    </xf>
    <xf numFmtId="0" fontId="0" fillId="0" borderId="103" xfId="0" applyBorder="1">
      <alignment vertical="center"/>
    </xf>
    <xf numFmtId="0" fontId="0" fillId="0" borderId="74" xfId="0" applyBorder="1">
      <alignment vertical="center"/>
    </xf>
    <xf numFmtId="0" fontId="0" fillId="0" borderId="106" xfId="0" applyBorder="1">
      <alignment vertical="center"/>
    </xf>
    <xf numFmtId="0" fontId="0" fillId="0" borderId="102" xfId="0" applyBorder="1">
      <alignment vertical="center"/>
    </xf>
    <xf numFmtId="0" fontId="0" fillId="0" borderId="88" xfId="0" applyBorder="1">
      <alignment vertical="center"/>
    </xf>
    <xf numFmtId="0" fontId="0" fillId="0" borderId="73" xfId="0" applyBorder="1">
      <alignment vertical="center"/>
    </xf>
    <xf numFmtId="0" fontId="10" fillId="23" borderId="0" xfId="0" applyFont="1" applyFill="1">
      <alignment vertical="center"/>
    </xf>
    <xf numFmtId="3" fontId="10" fillId="23" borderId="0" xfId="0" applyNumberFormat="1" applyFont="1" applyFill="1">
      <alignment vertical="center"/>
    </xf>
    <xf numFmtId="182" fontId="10" fillId="23" borderId="0" xfId="0" applyNumberFormat="1" applyFont="1" applyFill="1">
      <alignment vertical="center"/>
    </xf>
    <xf numFmtId="3" fontId="27" fillId="0" borderId="113" xfId="0" applyNumberFormat="1" applyFont="1" applyBorder="1" applyAlignment="1">
      <alignment horizontal="right" vertical="top" wrapText="1"/>
    </xf>
    <xf numFmtId="0" fontId="27" fillId="0" borderId="114" xfId="0" applyFont="1" applyBorder="1" applyAlignment="1">
      <alignment horizontal="center" vertical="center" wrapText="1"/>
    </xf>
    <xf numFmtId="3" fontId="27" fillId="0" borderId="116" xfId="0" applyNumberFormat="1" applyFont="1" applyBorder="1" applyAlignment="1">
      <alignment horizontal="right" vertical="top" wrapText="1"/>
    </xf>
    <xf numFmtId="0" fontId="28" fillId="0" borderId="0" xfId="0" applyFont="1">
      <alignment vertical="center"/>
    </xf>
    <xf numFmtId="185" fontId="9" fillId="0" borderId="0" xfId="0" applyNumberFormat="1" applyFont="1">
      <alignment vertical="center"/>
    </xf>
    <xf numFmtId="185" fontId="15" fillId="0" borderId="0" xfId="11" applyNumberFormat="1" applyFont="1" applyAlignment="1">
      <alignment vertical="center"/>
    </xf>
    <xf numFmtId="185" fontId="9" fillId="0" borderId="0" xfId="8" applyNumberFormat="1" applyFont="1">
      <alignment vertical="center"/>
    </xf>
    <xf numFmtId="0" fontId="10" fillId="0" borderId="0" xfId="0" applyFont="1">
      <alignment vertical="center"/>
    </xf>
    <xf numFmtId="185" fontId="15" fillId="0" borderId="0" xfId="2" applyNumberFormat="1" applyFont="1" applyAlignment="1">
      <alignment vertical="center"/>
    </xf>
    <xf numFmtId="10" fontId="9" fillId="0" borderId="0" xfId="2" applyNumberFormat="1" applyFont="1" applyFill="1">
      <alignment vertical="center"/>
    </xf>
    <xf numFmtId="0" fontId="40" fillId="0" borderId="0" xfId="0" applyFont="1">
      <alignment vertical="center"/>
    </xf>
    <xf numFmtId="0" fontId="37" fillId="0" borderId="0" xfId="0" applyFont="1">
      <alignment vertical="center"/>
    </xf>
    <xf numFmtId="0" fontId="37" fillId="0" borderId="0" xfId="0" applyFont="1" applyAlignment="1">
      <alignment horizontal="justify" vertical="center"/>
    </xf>
    <xf numFmtId="0" fontId="27" fillId="0" borderId="0" xfId="0" applyFont="1" applyAlignment="1">
      <alignment horizontal="justify" vertical="center"/>
    </xf>
    <xf numFmtId="0" fontId="27" fillId="0" borderId="0" xfId="0" applyFont="1" applyAlignment="1">
      <alignment horizontal="left" vertical="center"/>
    </xf>
    <xf numFmtId="185" fontId="37" fillId="0" borderId="0" xfId="0" applyNumberFormat="1" applyFont="1">
      <alignment vertical="center"/>
    </xf>
    <xf numFmtId="0" fontId="27" fillId="0" borderId="114" xfId="0" applyFont="1" applyBorder="1" applyAlignment="1">
      <alignment horizontal="center" vertical="top" wrapText="1"/>
    </xf>
    <xf numFmtId="0" fontId="27" fillId="0" borderId="111" xfId="0" applyFont="1" applyBorder="1" applyAlignment="1">
      <alignment horizontal="center" vertical="center" wrapText="1"/>
    </xf>
    <xf numFmtId="176" fontId="37" fillId="0" borderId="0" xfId="0" applyNumberFormat="1" applyFont="1">
      <alignment vertical="center"/>
    </xf>
    <xf numFmtId="0" fontId="16" fillId="0" borderId="0" xfId="48" applyFont="1"/>
    <xf numFmtId="9" fontId="9" fillId="0" borderId="0" xfId="0" applyNumberFormat="1" applyFont="1" applyAlignment="1">
      <alignment horizontal="left" vertical="center"/>
    </xf>
    <xf numFmtId="185" fontId="15" fillId="0" borderId="0" xfId="8" applyNumberFormat="1" applyFont="1" applyAlignment="1">
      <alignment vertical="center"/>
    </xf>
    <xf numFmtId="179" fontId="15" fillId="0" borderId="0" xfId="2" applyNumberFormat="1" applyFont="1" applyAlignment="1">
      <alignment vertical="center"/>
    </xf>
    <xf numFmtId="185" fontId="15" fillId="0" borderId="0" xfId="11" applyNumberFormat="1" applyFont="1" applyAlignment="1">
      <alignment horizontal="center" vertical="center"/>
    </xf>
    <xf numFmtId="185" fontId="15" fillId="0" borderId="82" xfId="11" applyNumberFormat="1" applyFont="1" applyBorder="1" applyAlignment="1">
      <alignment horizontal="center" vertical="center"/>
    </xf>
    <xf numFmtId="185" fontId="17" fillId="0" borderId="129" xfId="11" applyNumberFormat="1" applyFont="1" applyBorder="1" applyAlignment="1">
      <alignment vertical="center"/>
    </xf>
    <xf numFmtId="179" fontId="17" fillId="0" borderId="129" xfId="11" applyNumberFormat="1" applyFont="1" applyBorder="1" applyAlignment="1">
      <alignment vertical="center"/>
    </xf>
    <xf numFmtId="179" fontId="15" fillId="0" borderId="0" xfId="2" applyNumberFormat="1" applyFont="1" applyAlignment="1">
      <alignment horizontal="center" vertical="center"/>
    </xf>
    <xf numFmtId="185" fontId="17" fillId="0" borderId="0" xfId="11" applyNumberFormat="1" applyFont="1" applyAlignment="1">
      <alignment horizontal="center" vertical="center"/>
    </xf>
    <xf numFmtId="185" fontId="17" fillId="0" borderId="0" xfId="11" applyNumberFormat="1" applyFont="1" applyAlignment="1">
      <alignment vertical="center"/>
    </xf>
    <xf numFmtId="179" fontId="17" fillId="0" borderId="0" xfId="11" applyNumberFormat="1" applyFont="1" applyAlignment="1">
      <alignment vertical="center"/>
    </xf>
    <xf numFmtId="185" fontId="15" fillId="0" borderId="88" xfId="11" applyNumberFormat="1" applyFont="1" applyBorder="1" applyAlignment="1">
      <alignment vertical="center"/>
    </xf>
    <xf numFmtId="0" fontId="44" fillId="0" borderId="0" xfId="16" applyNumberFormat="1" applyFont="1"/>
    <xf numFmtId="14" fontId="15" fillId="0" borderId="0" xfId="11" applyNumberFormat="1" applyFont="1" applyAlignment="1">
      <alignment vertical="center"/>
    </xf>
    <xf numFmtId="185" fontId="15" fillId="0" borderId="0" xfId="11" applyNumberFormat="1" applyFont="1" applyAlignment="1">
      <alignment horizontal="right" vertical="center"/>
    </xf>
    <xf numFmtId="185" fontId="15" fillId="0" borderId="0" xfId="8" applyNumberFormat="1" applyFont="1" applyAlignment="1">
      <alignment horizontal="right" vertical="center"/>
    </xf>
    <xf numFmtId="14" fontId="15" fillId="0" borderId="0" xfId="11" applyNumberFormat="1" applyFont="1" applyAlignment="1">
      <alignment horizontal="center" vertical="center"/>
    </xf>
    <xf numFmtId="185" fontId="18" fillId="27" borderId="82" xfId="11" applyNumberFormat="1" applyFont="1" applyFill="1" applyBorder="1" applyAlignment="1">
      <alignment horizontal="center" vertical="center"/>
    </xf>
    <xf numFmtId="184" fontId="18" fillId="27" borderId="82" xfId="11" applyNumberFormat="1" applyFont="1" applyFill="1" applyBorder="1" applyAlignment="1">
      <alignment horizontal="center" vertical="center"/>
    </xf>
    <xf numFmtId="184" fontId="18" fillId="27" borderId="154" xfId="11" applyNumberFormat="1" applyFont="1" applyFill="1" applyBorder="1" applyAlignment="1">
      <alignment horizontal="center" vertical="center"/>
    </xf>
    <xf numFmtId="185" fontId="15" fillId="15" borderId="0" xfId="11" applyNumberFormat="1" applyFont="1" applyFill="1" applyAlignment="1">
      <alignment horizontal="center" vertical="center"/>
    </xf>
    <xf numFmtId="185" fontId="15" fillId="15" borderId="0" xfId="11" applyNumberFormat="1" applyFont="1" applyFill="1" applyAlignment="1">
      <alignment horizontal="right" vertical="center"/>
    </xf>
    <xf numFmtId="14" fontId="15" fillId="15" borderId="0" xfId="11" applyNumberFormat="1" applyFont="1" applyFill="1" applyAlignment="1">
      <alignment horizontal="center" vertical="center"/>
    </xf>
    <xf numFmtId="185" fontId="15" fillId="15" borderId="0" xfId="11" applyNumberFormat="1" applyFont="1" applyFill="1" applyAlignment="1">
      <alignment vertical="center"/>
    </xf>
    <xf numFmtId="0" fontId="22" fillId="15" borderId="29" xfId="16" applyNumberFormat="1" applyFont="1" applyFill="1" applyBorder="1" applyAlignment="1">
      <alignment horizontal="center"/>
    </xf>
    <xf numFmtId="0" fontId="44" fillId="0" borderId="0" xfId="16" applyNumberFormat="1" applyFont="1" applyAlignment="1">
      <alignment horizontal="left" indent="1"/>
    </xf>
    <xf numFmtId="14" fontId="17" fillId="0" borderId="0" xfId="11" applyNumberFormat="1" applyFont="1" applyAlignment="1">
      <alignment vertical="center"/>
    </xf>
    <xf numFmtId="179" fontId="15" fillId="0" borderId="71" xfId="2" applyNumberFormat="1" applyFont="1" applyBorder="1" applyAlignment="1">
      <alignment vertical="center"/>
    </xf>
    <xf numFmtId="185" fontId="15" fillId="0" borderId="71" xfId="11" applyNumberFormat="1" applyFont="1" applyBorder="1" applyAlignment="1">
      <alignment horizontal="center" vertical="center"/>
    </xf>
    <xf numFmtId="185" fontId="23" fillId="17" borderId="0" xfId="11" applyNumberFormat="1" applyFont="1" applyFill="1" applyAlignment="1">
      <alignment horizontal="center" vertical="center"/>
    </xf>
    <xf numFmtId="185" fontId="15" fillId="0" borderId="0" xfId="11" applyNumberFormat="1" applyFont="1" applyAlignment="1">
      <alignment horizontal="left" vertical="center"/>
    </xf>
    <xf numFmtId="176" fontId="15" fillId="0" borderId="100" xfId="8" applyFont="1" applyBorder="1">
      <alignment vertical="center"/>
    </xf>
    <xf numFmtId="185" fontId="17" fillId="0" borderId="0" xfId="11" applyNumberFormat="1" applyFont="1" applyAlignment="1">
      <alignment horizontal="left" vertical="center"/>
    </xf>
    <xf numFmtId="176" fontId="15" fillId="22" borderId="0" xfId="8" applyFont="1" applyFill="1">
      <alignment vertical="center"/>
    </xf>
    <xf numFmtId="185" fontId="15" fillId="0" borderId="63" xfId="11" applyNumberFormat="1" applyFont="1" applyBorder="1" applyAlignment="1">
      <alignment vertical="center"/>
    </xf>
    <xf numFmtId="179" fontId="15" fillId="0" borderId="0" xfId="2" applyNumberFormat="1" applyFont="1">
      <alignment vertical="center"/>
    </xf>
    <xf numFmtId="186" fontId="15" fillId="0" borderId="0" xfId="2" applyNumberFormat="1" applyFont="1" applyAlignment="1">
      <alignment vertical="center"/>
    </xf>
    <xf numFmtId="184" fontId="18" fillId="27" borderId="82" xfId="11" applyNumberFormat="1" applyFont="1" applyFill="1" applyBorder="1" applyAlignment="1">
      <alignment horizontal="center" vertical="center" wrapText="1"/>
    </xf>
    <xf numFmtId="10" fontId="15" fillId="0" borderId="0" xfId="2" applyNumberFormat="1" applyFont="1">
      <alignment vertical="center"/>
    </xf>
    <xf numFmtId="0" fontId="17" fillId="0" borderId="7" xfId="11" applyNumberFormat="1" applyFont="1" applyBorder="1" applyAlignment="1">
      <alignment horizontal="left" vertical="center"/>
    </xf>
    <xf numFmtId="176" fontId="15" fillId="0" borderId="7" xfId="8" applyFont="1" applyBorder="1">
      <alignment vertical="center"/>
    </xf>
    <xf numFmtId="178" fontId="15" fillId="0" borderId="7" xfId="11" applyFont="1" applyBorder="1" applyAlignment="1">
      <alignment horizontal="left" vertical="center"/>
    </xf>
    <xf numFmtId="178" fontId="15" fillId="0" borderId="0" xfId="11" applyFont="1" applyAlignment="1">
      <alignment horizontal="left" vertical="center"/>
    </xf>
    <xf numFmtId="0" fontId="18" fillId="28" borderId="7" xfId="11" applyNumberFormat="1" applyFont="1" applyFill="1" applyBorder="1" applyAlignment="1">
      <alignment horizontal="center" vertical="center"/>
    </xf>
    <xf numFmtId="176" fontId="15" fillId="0" borderId="7" xfId="8" applyFont="1" applyFill="1" applyBorder="1">
      <alignment vertical="center"/>
    </xf>
    <xf numFmtId="185" fontId="15" fillId="0" borderId="0" xfId="11" applyNumberFormat="1" applyFont="1" applyAlignment="1">
      <alignment horizontal="right" vertical="center" indent="2"/>
    </xf>
    <xf numFmtId="185" fontId="15" fillId="0" borderId="7" xfId="8" applyNumberFormat="1" applyFont="1" applyBorder="1">
      <alignment vertical="center"/>
    </xf>
    <xf numFmtId="0" fontId="17" fillId="0" borderId="101" xfId="11" applyNumberFormat="1" applyFont="1" applyBorder="1" applyAlignment="1">
      <alignment horizontal="left" vertical="center"/>
    </xf>
    <xf numFmtId="176" fontId="15" fillId="0" borderId="63" xfId="8" applyFont="1" applyBorder="1">
      <alignment vertical="center"/>
    </xf>
    <xf numFmtId="176" fontId="15" fillId="0" borderId="9" xfId="8" applyFont="1" applyBorder="1">
      <alignment vertical="center"/>
    </xf>
    <xf numFmtId="0" fontId="17" fillId="0" borderId="63" xfId="11" applyNumberFormat="1" applyFont="1" applyBorder="1" applyAlignment="1">
      <alignment horizontal="left" vertical="center"/>
    </xf>
    <xf numFmtId="176" fontId="15" fillId="0" borderId="63" xfId="8" applyFont="1" applyFill="1" applyBorder="1">
      <alignment vertical="center"/>
    </xf>
    <xf numFmtId="185" fontId="15" fillId="0" borderId="129" xfId="11" applyNumberFormat="1" applyFont="1" applyBorder="1" applyAlignment="1">
      <alignment vertical="center"/>
    </xf>
    <xf numFmtId="178" fontId="45" fillId="23" borderId="0" xfId="11" applyFont="1" applyFill="1" applyAlignment="1">
      <alignment vertical="center"/>
    </xf>
    <xf numFmtId="0" fontId="46" fillId="15" borderId="29" xfId="16" applyNumberFormat="1" applyFont="1" applyFill="1" applyBorder="1" applyAlignment="1">
      <alignment horizontal="center"/>
    </xf>
    <xf numFmtId="184" fontId="18" fillId="27" borderId="14" xfId="11" applyNumberFormat="1" applyFont="1" applyFill="1" applyBorder="1" applyAlignment="1">
      <alignment horizontal="center" vertical="center"/>
    </xf>
    <xf numFmtId="178" fontId="17" fillId="23" borderId="0" xfId="11" applyFont="1" applyFill="1" applyAlignment="1">
      <alignment vertical="center"/>
    </xf>
    <xf numFmtId="185" fontId="10" fillId="23" borderId="0" xfId="0" applyNumberFormat="1" applyFont="1" applyFill="1">
      <alignment vertical="center"/>
    </xf>
    <xf numFmtId="185" fontId="10" fillId="23" borderId="129" xfId="0" applyNumberFormat="1" applyFont="1" applyFill="1" applyBorder="1">
      <alignment vertical="center"/>
    </xf>
    <xf numFmtId="0" fontId="10" fillId="23" borderId="104" xfId="0" applyFont="1" applyFill="1" applyBorder="1">
      <alignment vertical="center"/>
    </xf>
    <xf numFmtId="182" fontId="10" fillId="23" borderId="104" xfId="0" applyNumberFormat="1" applyFont="1" applyFill="1" applyBorder="1">
      <alignment vertical="center"/>
    </xf>
    <xf numFmtId="0" fontId="10" fillId="23" borderId="88" xfId="0" applyFont="1" applyFill="1" applyBorder="1">
      <alignment vertical="center"/>
    </xf>
    <xf numFmtId="41" fontId="10" fillId="23" borderId="88" xfId="1" applyFont="1" applyFill="1" applyBorder="1">
      <alignment vertical="center"/>
    </xf>
    <xf numFmtId="0" fontId="28" fillId="17" borderId="0" xfId="0" applyFont="1" applyFill="1">
      <alignment vertical="center"/>
    </xf>
    <xf numFmtId="185" fontId="10" fillId="23" borderId="104" xfId="0" applyNumberFormat="1" applyFont="1" applyFill="1" applyBorder="1">
      <alignment vertical="center"/>
    </xf>
    <xf numFmtId="179" fontId="10" fillId="23" borderId="0" xfId="2" applyNumberFormat="1" applyFont="1" applyFill="1">
      <alignment vertical="center"/>
    </xf>
    <xf numFmtId="0" fontId="10" fillId="23" borderId="129" xfId="0" applyFont="1" applyFill="1" applyBorder="1">
      <alignment vertical="center"/>
    </xf>
    <xf numFmtId="185" fontId="10" fillId="23" borderId="29" xfId="0" applyNumberFormat="1" applyFont="1" applyFill="1" applyBorder="1">
      <alignment vertical="center"/>
    </xf>
    <xf numFmtId="0" fontId="28" fillId="15" borderId="0" xfId="0" applyFont="1" applyFill="1" applyAlignment="1">
      <alignment horizontal="center" vertical="center"/>
    </xf>
    <xf numFmtId="185" fontId="28" fillId="15" borderId="0" xfId="0" applyNumberFormat="1" applyFont="1" applyFill="1">
      <alignment vertical="center"/>
    </xf>
    <xf numFmtId="185" fontId="10" fillId="22" borderId="0" xfId="0" applyNumberFormat="1" applyFont="1" applyFill="1">
      <alignment vertical="center"/>
    </xf>
    <xf numFmtId="185" fontId="10" fillId="16" borderId="0" xfId="0" applyNumberFormat="1" applyFont="1" applyFill="1">
      <alignment vertical="center"/>
    </xf>
    <xf numFmtId="41" fontId="45" fillId="23" borderId="0" xfId="11" applyNumberFormat="1" applyFont="1" applyFill="1" applyAlignment="1">
      <alignment vertical="center"/>
    </xf>
    <xf numFmtId="176" fontId="10" fillId="0" borderId="0" xfId="8" applyFont="1">
      <alignment vertical="center"/>
    </xf>
    <xf numFmtId="176" fontId="10" fillId="0" borderId="0" xfId="8" applyFont="1" applyBorder="1">
      <alignment vertical="center"/>
    </xf>
    <xf numFmtId="0" fontId="10" fillId="0" borderId="0" xfId="0" applyFont="1" applyAlignment="1">
      <alignment horizontal="center" vertical="center"/>
    </xf>
    <xf numFmtId="176" fontId="10" fillId="0" borderId="0" xfId="8" applyFont="1" applyBorder="1" applyAlignment="1">
      <alignment horizontal="center" vertical="center"/>
    </xf>
    <xf numFmtId="0" fontId="10" fillId="0" borderId="105" xfId="0" applyFont="1" applyBorder="1" applyAlignment="1">
      <alignment horizontal="center" vertical="center"/>
    </xf>
    <xf numFmtId="176" fontId="10" fillId="0" borderId="104" xfId="8" applyFont="1" applyBorder="1" applyAlignment="1">
      <alignment horizontal="center" vertical="center"/>
    </xf>
    <xf numFmtId="0" fontId="10" fillId="0" borderId="74" xfId="0" applyFont="1" applyBorder="1" applyAlignment="1">
      <alignment horizontal="center" vertical="center"/>
    </xf>
    <xf numFmtId="0" fontId="10" fillId="0" borderId="102" xfId="0" applyFont="1" applyBorder="1" applyAlignment="1">
      <alignment horizontal="center" vertical="center"/>
    </xf>
    <xf numFmtId="0" fontId="10" fillId="0" borderId="101" xfId="0" applyFont="1" applyBorder="1" applyAlignment="1">
      <alignment horizontal="center" vertical="center"/>
    </xf>
    <xf numFmtId="41" fontId="45" fillId="23" borderId="0" xfId="11" applyNumberFormat="1" applyFont="1" applyFill="1" applyAlignment="1">
      <alignment horizontal="left" vertical="center"/>
    </xf>
    <xf numFmtId="185" fontId="15" fillId="0" borderId="0" xfId="11" applyNumberFormat="1" applyFont="1" applyAlignment="1">
      <alignment horizontal="left" vertical="center" indent="2"/>
    </xf>
    <xf numFmtId="0" fontId="9" fillId="0" borderId="0" xfId="0" applyFont="1" applyAlignment="1">
      <alignment horizontal="left" vertical="center" indent="2"/>
    </xf>
    <xf numFmtId="185" fontId="9" fillId="0" borderId="0" xfId="1" applyNumberFormat="1" applyFont="1" applyFill="1" applyBorder="1">
      <alignment vertical="center"/>
    </xf>
    <xf numFmtId="185" fontId="9" fillId="0" borderId="0" xfId="8" applyNumberFormat="1" applyFont="1" applyFill="1" applyBorder="1">
      <alignment vertical="center"/>
    </xf>
    <xf numFmtId="0" fontId="18" fillId="27" borderId="82" xfId="0" applyFont="1" applyFill="1" applyBorder="1" applyAlignment="1">
      <alignment horizontal="center" vertical="center"/>
    </xf>
    <xf numFmtId="185" fontId="18" fillId="27" borderId="82" xfId="0" applyNumberFormat="1" applyFont="1" applyFill="1" applyBorder="1" applyAlignment="1">
      <alignment horizontal="center" vertical="center"/>
    </xf>
    <xf numFmtId="0" fontId="47" fillId="0" borderId="0" xfId="0" applyFont="1">
      <alignment vertical="center"/>
    </xf>
    <xf numFmtId="0" fontId="9" fillId="0" borderId="45" xfId="0" applyFont="1" applyBorder="1">
      <alignment vertical="center"/>
    </xf>
    <xf numFmtId="176" fontId="9" fillId="0" borderId="88" xfId="8" applyFont="1" applyFill="1" applyBorder="1">
      <alignment vertical="center"/>
    </xf>
    <xf numFmtId="0" fontId="9" fillId="0" borderId="88" xfId="0" applyFont="1" applyBorder="1">
      <alignment vertical="center"/>
    </xf>
    <xf numFmtId="185" fontId="9" fillId="0" borderId="88" xfId="0" applyNumberFormat="1" applyFont="1" applyBorder="1">
      <alignment vertical="center"/>
    </xf>
    <xf numFmtId="185" fontId="9" fillId="0" borderId="88" xfId="1" applyNumberFormat="1" applyFont="1" applyFill="1" applyBorder="1">
      <alignment vertical="center"/>
    </xf>
    <xf numFmtId="0" fontId="9" fillId="0" borderId="45" xfId="0" applyFont="1" applyBorder="1" applyAlignment="1">
      <alignment horizontal="center" vertical="center"/>
    </xf>
    <xf numFmtId="0" fontId="9" fillId="0" borderId="0" xfId="0" applyFont="1" applyAlignment="1">
      <alignment horizontal="center" vertical="center"/>
    </xf>
    <xf numFmtId="176" fontId="9" fillId="0" borderId="0" xfId="8" applyFont="1" applyFill="1" applyBorder="1" applyAlignment="1">
      <alignment horizontal="center" vertical="center"/>
    </xf>
    <xf numFmtId="0" fontId="6" fillId="0" borderId="0" xfId="0" applyFont="1" applyAlignment="1">
      <alignment horizontal="center" vertical="center"/>
    </xf>
    <xf numFmtId="0" fontId="9" fillId="0" borderId="0" xfId="0" quotePrefix="1" applyFont="1" applyAlignment="1">
      <alignment horizontal="center" vertical="center"/>
    </xf>
    <xf numFmtId="0" fontId="9" fillId="0" borderId="88" xfId="0" applyFont="1" applyBorder="1" applyAlignment="1">
      <alignment horizontal="center" vertical="center"/>
    </xf>
    <xf numFmtId="185" fontId="17" fillId="15" borderId="0" xfId="11" applyNumberFormat="1" applyFont="1" applyFill="1" applyAlignment="1">
      <alignment horizontal="center" vertical="center"/>
    </xf>
    <xf numFmtId="0" fontId="9" fillId="0" borderId="0" xfId="0" applyFont="1" applyAlignment="1">
      <alignment horizontal="left" vertical="top" wrapText="1"/>
    </xf>
    <xf numFmtId="176" fontId="9" fillId="0" borderId="117" xfId="8" applyFont="1" applyFill="1" applyBorder="1" applyAlignment="1">
      <alignment horizontal="center" vertical="center"/>
    </xf>
    <xf numFmtId="0" fontId="9" fillId="0" borderId="117" xfId="0" applyFont="1" applyBorder="1">
      <alignment vertical="center"/>
    </xf>
    <xf numFmtId="185" fontId="9" fillId="0" borderId="117" xfId="1" applyNumberFormat="1" applyFont="1" applyFill="1" applyBorder="1">
      <alignment vertical="center"/>
    </xf>
    <xf numFmtId="185" fontId="9" fillId="0" borderId="88" xfId="8" applyNumberFormat="1" applyFont="1" applyFill="1" applyBorder="1">
      <alignment vertical="center"/>
    </xf>
    <xf numFmtId="0" fontId="9" fillId="0" borderId="129" xfId="0" applyFont="1" applyBorder="1">
      <alignment vertical="center"/>
    </xf>
    <xf numFmtId="185" fontId="9" fillId="0" borderId="129" xfId="0" applyNumberFormat="1" applyFont="1" applyBorder="1">
      <alignment vertical="center"/>
    </xf>
    <xf numFmtId="0" fontId="6" fillId="17" borderId="0" xfId="0" applyFont="1" applyFill="1" applyAlignment="1">
      <alignment horizontal="center" vertical="center"/>
    </xf>
    <xf numFmtId="0" fontId="9" fillId="17" borderId="0" xfId="0" applyFont="1" applyFill="1">
      <alignment vertical="center"/>
    </xf>
    <xf numFmtId="185" fontId="9" fillId="17" borderId="0" xfId="1" applyNumberFormat="1" applyFont="1" applyFill="1" applyBorder="1">
      <alignment vertical="center"/>
    </xf>
    <xf numFmtId="176" fontId="9" fillId="17" borderId="0" xfId="8" applyFont="1" applyFill="1" applyBorder="1">
      <alignment vertical="center"/>
    </xf>
    <xf numFmtId="185" fontId="9" fillId="17" borderId="0" xfId="0" applyNumberFormat="1" applyFont="1" applyFill="1">
      <alignment vertical="center"/>
    </xf>
    <xf numFmtId="0" fontId="12" fillId="17" borderId="0" xfId="0" applyFont="1" applyFill="1" applyAlignment="1">
      <alignment horizontal="left" vertical="center"/>
    </xf>
    <xf numFmtId="185" fontId="15" fillId="0" borderId="0" xfId="11" applyNumberFormat="1" applyFont="1" applyAlignment="1">
      <alignment horizontal="left" vertical="center" indent="3"/>
    </xf>
    <xf numFmtId="0" fontId="28" fillId="0" borderId="0" xfId="0" applyFont="1" applyAlignment="1">
      <alignment horizontal="left" vertical="center"/>
    </xf>
    <xf numFmtId="0" fontId="9" fillId="0" borderId="129" xfId="0" applyFont="1" applyBorder="1" applyAlignment="1">
      <alignment horizontal="center" vertical="center"/>
    </xf>
    <xf numFmtId="176" fontId="9" fillId="0" borderId="129" xfId="8" applyFont="1" applyBorder="1">
      <alignment vertical="center"/>
    </xf>
    <xf numFmtId="0" fontId="10" fillId="0" borderId="74" xfId="8" applyNumberFormat="1" applyFont="1" applyBorder="1" applyAlignment="1">
      <alignment horizontal="center" vertical="center"/>
    </xf>
    <xf numFmtId="0" fontId="10" fillId="0" borderId="102" xfId="8" applyNumberFormat="1" applyFont="1" applyBorder="1" applyAlignment="1">
      <alignment horizontal="center" vertical="center"/>
    </xf>
    <xf numFmtId="0" fontId="10" fillId="0" borderId="101" xfId="8" applyNumberFormat="1" applyFont="1" applyBorder="1" applyAlignment="1">
      <alignment horizontal="center" vertical="center"/>
    </xf>
    <xf numFmtId="0" fontId="10" fillId="0" borderId="105" xfId="8" applyNumberFormat="1" applyFont="1" applyBorder="1" applyAlignment="1">
      <alignment horizontal="center" vertical="center"/>
    </xf>
    <xf numFmtId="185" fontId="18" fillId="27" borderId="154" xfId="0" applyNumberFormat="1" applyFont="1" applyFill="1" applyBorder="1" applyAlignment="1">
      <alignment horizontal="center" vertical="center"/>
    </xf>
    <xf numFmtId="185" fontId="9" fillId="0" borderId="0" xfId="8" applyNumberFormat="1" applyFont="1" applyFill="1" applyBorder="1" applyAlignment="1">
      <alignment horizontal="right" vertical="center"/>
    </xf>
    <xf numFmtId="185" fontId="9" fillId="0" borderId="0" xfId="0" applyNumberFormat="1" applyFont="1" applyAlignment="1">
      <alignment horizontal="right" vertical="center"/>
    </xf>
    <xf numFmtId="176" fontId="9" fillId="0" borderId="157" xfId="8" applyFont="1" applyFill="1" applyBorder="1" applyAlignment="1">
      <alignment horizontal="center" vertical="center"/>
    </xf>
    <xf numFmtId="176" fontId="9" fillId="0" borderId="159" xfId="8" applyFont="1" applyFill="1" applyBorder="1" applyAlignment="1">
      <alignment horizontal="center" vertical="center"/>
    </xf>
    <xf numFmtId="185" fontId="9" fillId="0" borderId="127" xfId="1" applyNumberFormat="1" applyFont="1" applyFill="1" applyBorder="1">
      <alignment vertical="center"/>
    </xf>
    <xf numFmtId="176" fontId="9" fillId="0" borderId="94" xfId="8" applyFont="1" applyFill="1" applyBorder="1" applyAlignment="1">
      <alignment horizontal="center" vertical="center"/>
    </xf>
    <xf numFmtId="185" fontId="9" fillId="0" borderId="17" xfId="1" applyNumberFormat="1" applyFont="1" applyFill="1" applyBorder="1">
      <alignment vertical="center"/>
    </xf>
    <xf numFmtId="0" fontId="9" fillId="0" borderId="160" xfId="0" applyFont="1" applyBorder="1" applyAlignment="1">
      <alignment horizontal="center" vertical="center"/>
    </xf>
    <xf numFmtId="185" fontId="9" fillId="0" borderId="161" xfId="1" applyNumberFormat="1" applyFont="1" applyFill="1" applyBorder="1">
      <alignment vertical="center"/>
    </xf>
    <xf numFmtId="185" fontId="9" fillId="0" borderId="162" xfId="8" applyNumberFormat="1" applyFont="1" applyFill="1" applyBorder="1" applyAlignment="1">
      <alignment horizontal="right" vertical="center"/>
    </xf>
    <xf numFmtId="185" fontId="9" fillId="0" borderId="163" xfId="8" applyNumberFormat="1" applyFont="1" applyFill="1" applyBorder="1" applyAlignment="1">
      <alignment horizontal="right" vertical="center"/>
    </xf>
    <xf numFmtId="185" fontId="9" fillId="0" borderId="18" xfId="8" applyNumberFormat="1" applyFont="1" applyFill="1" applyBorder="1" applyAlignment="1">
      <alignment horizontal="right" vertical="center"/>
    </xf>
    <xf numFmtId="185" fontId="9" fillId="0" borderId="164" xfId="0" applyNumberFormat="1" applyFont="1" applyBorder="1" applyAlignment="1">
      <alignment horizontal="right" vertical="center"/>
    </xf>
    <xf numFmtId="185" fontId="9" fillId="0" borderId="163" xfId="0" applyNumberFormat="1" applyFont="1" applyBorder="1" applyAlignment="1">
      <alignment horizontal="right" vertical="center"/>
    </xf>
    <xf numFmtId="0" fontId="9" fillId="0" borderId="159" xfId="0" applyFont="1" applyBorder="1" applyAlignment="1">
      <alignment horizontal="center" vertical="center"/>
    </xf>
    <xf numFmtId="176" fontId="9" fillId="0" borderId="160" xfId="8" applyFont="1" applyFill="1" applyBorder="1" applyAlignment="1">
      <alignment horizontal="center" vertical="center"/>
    </xf>
    <xf numFmtId="185" fontId="9" fillId="0" borderId="164" xfId="8" applyNumberFormat="1" applyFont="1" applyFill="1" applyBorder="1" applyAlignment="1">
      <alignment horizontal="right" vertical="center"/>
    </xf>
    <xf numFmtId="0" fontId="9" fillId="0" borderId="159" xfId="0" applyFont="1" applyBorder="1">
      <alignment vertical="center"/>
    </xf>
    <xf numFmtId="0" fontId="6" fillId="0" borderId="159" xfId="0" applyFont="1" applyBorder="1" applyAlignment="1">
      <alignment horizontal="center" vertical="center"/>
    </xf>
    <xf numFmtId="176" fontId="9" fillId="0" borderId="94" xfId="8" quotePrefix="1" applyFont="1" applyFill="1" applyBorder="1" applyAlignment="1">
      <alignment horizontal="center" vertical="center"/>
    </xf>
    <xf numFmtId="0" fontId="9" fillId="0" borderId="159" xfId="0" quotePrefix="1" applyFont="1" applyBorder="1" applyAlignment="1">
      <alignment horizontal="center" vertical="center"/>
    </xf>
    <xf numFmtId="0" fontId="9" fillId="0" borderId="94" xfId="0" applyFont="1" applyBorder="1">
      <alignment vertical="center"/>
    </xf>
    <xf numFmtId="185" fontId="9" fillId="0" borderId="163" xfId="0" applyNumberFormat="1" applyFont="1" applyBorder="1">
      <alignment vertical="center"/>
    </xf>
    <xf numFmtId="185" fontId="9" fillId="0" borderId="18" xfId="0" applyNumberFormat="1" applyFont="1" applyBorder="1">
      <alignment vertical="center"/>
    </xf>
    <xf numFmtId="0" fontId="9" fillId="0" borderId="18" xfId="0" applyFont="1" applyBorder="1">
      <alignment vertical="center"/>
    </xf>
    <xf numFmtId="185" fontId="9" fillId="0" borderId="164" xfId="0" applyNumberFormat="1" applyFont="1" applyBorder="1">
      <alignment vertical="center"/>
    </xf>
    <xf numFmtId="0" fontId="9" fillId="27" borderId="0" xfId="0" applyFont="1" applyFill="1">
      <alignment vertical="center"/>
    </xf>
    <xf numFmtId="0" fontId="49" fillId="0" borderId="0" xfId="0" applyFont="1">
      <alignment vertical="center"/>
    </xf>
    <xf numFmtId="10" fontId="50" fillId="0" borderId="0" xfId="0" applyNumberFormat="1" applyFont="1" applyAlignment="1">
      <alignment horizontal="left" vertical="center"/>
    </xf>
    <xf numFmtId="10" fontId="50" fillId="0" borderId="0" xfId="0" applyNumberFormat="1" applyFont="1" applyAlignment="1">
      <alignment horizontal="center" vertical="center"/>
    </xf>
    <xf numFmtId="10" fontId="50" fillId="0" borderId="0" xfId="0" applyNumberFormat="1" applyFont="1" applyAlignment="1">
      <alignment horizontal="right" vertical="center"/>
    </xf>
    <xf numFmtId="0" fontId="28" fillId="0" borderId="129" xfId="0" applyFont="1" applyBorder="1" applyAlignment="1">
      <alignment horizontal="center" vertical="center"/>
    </xf>
    <xf numFmtId="179" fontId="9" fillId="0" borderId="0" xfId="2" applyNumberFormat="1" applyFont="1">
      <alignment vertical="center"/>
    </xf>
    <xf numFmtId="0" fontId="9" fillId="0" borderId="0" xfId="0" applyFont="1" applyAlignment="1">
      <alignment horizontal="left" vertical="center"/>
    </xf>
    <xf numFmtId="0" fontId="28" fillId="12" borderId="82" xfId="0" applyFont="1" applyFill="1" applyBorder="1" applyAlignment="1">
      <alignment horizontal="center" vertical="center"/>
    </xf>
    <xf numFmtId="0" fontId="9" fillId="0" borderId="88" xfId="0" applyFont="1" applyBorder="1" applyAlignment="1">
      <alignment horizontal="left" vertical="center"/>
    </xf>
    <xf numFmtId="0" fontId="52" fillId="0" borderId="0" xfId="48" applyFont="1"/>
    <xf numFmtId="0" fontId="53" fillId="0" borderId="0" xfId="48" applyFont="1"/>
    <xf numFmtId="0" fontId="54" fillId="0" borderId="0" xfId="48" applyFont="1"/>
    <xf numFmtId="0" fontId="16" fillId="29" borderId="95" xfId="48" applyFont="1" applyFill="1" applyBorder="1"/>
    <xf numFmtId="0" fontId="53" fillId="29" borderId="45" xfId="48" applyFont="1" applyFill="1" applyBorder="1"/>
    <xf numFmtId="0" fontId="53" fillId="29" borderId="96" xfId="48" applyFont="1" applyFill="1" applyBorder="1"/>
    <xf numFmtId="0" fontId="16" fillId="29" borderId="69" xfId="48" applyFont="1" applyFill="1" applyBorder="1"/>
    <xf numFmtId="0" fontId="55" fillId="29" borderId="0" xfId="48" applyFont="1" applyFill="1"/>
    <xf numFmtId="0" fontId="57" fillId="6" borderId="0" xfId="48" applyFont="1" applyFill="1" applyAlignment="1">
      <alignment horizontal="center"/>
    </xf>
    <xf numFmtId="0" fontId="16" fillId="29" borderId="97" xfId="48" applyFont="1" applyFill="1" applyBorder="1"/>
    <xf numFmtId="14" fontId="55" fillId="6" borderId="0" xfId="48" applyNumberFormat="1" applyFont="1" applyFill="1" applyAlignment="1">
      <alignment horizontal="center"/>
    </xf>
    <xf numFmtId="14" fontId="16" fillId="0" borderId="0" xfId="48" applyNumberFormat="1" applyFont="1"/>
    <xf numFmtId="0" fontId="55" fillId="6" borderId="0" xfId="48" applyFont="1" applyFill="1" applyAlignment="1">
      <alignment horizontal="center"/>
    </xf>
    <xf numFmtId="0" fontId="16" fillId="29" borderId="98" xfId="48" applyFont="1" applyFill="1" applyBorder="1"/>
    <xf numFmtId="0" fontId="55" fillId="29" borderId="56" xfId="48" applyFont="1" applyFill="1" applyBorder="1"/>
    <xf numFmtId="0" fontId="16" fillId="29" borderId="99" xfId="48" applyFont="1" applyFill="1" applyBorder="1"/>
    <xf numFmtId="0" fontId="55" fillId="0" borderId="0" xfId="48" applyFont="1"/>
    <xf numFmtId="0" fontId="10" fillId="0" borderId="129" xfId="0" applyFont="1" applyBorder="1">
      <alignment vertical="center"/>
    </xf>
    <xf numFmtId="185" fontId="61" fillId="0" borderId="0" xfId="11" applyNumberFormat="1" applyFont="1" applyAlignment="1">
      <alignment horizontal="right" vertical="center" indent="2"/>
    </xf>
    <xf numFmtId="185" fontId="10" fillId="23" borderId="69" xfId="0" applyNumberFormat="1" applyFont="1" applyFill="1" applyBorder="1">
      <alignment vertical="center"/>
    </xf>
    <xf numFmtId="185" fontId="10" fillId="15" borderId="97" xfId="0" applyNumberFormat="1" applyFont="1" applyFill="1" applyBorder="1">
      <alignment vertical="center"/>
    </xf>
    <xf numFmtId="185" fontId="10" fillId="15" borderId="99" xfId="0" applyNumberFormat="1" applyFont="1" applyFill="1" applyBorder="1">
      <alignment vertical="center"/>
    </xf>
    <xf numFmtId="185" fontId="10" fillId="23" borderId="98" xfId="0" applyNumberFormat="1" applyFont="1" applyFill="1" applyBorder="1">
      <alignment vertical="center"/>
    </xf>
    <xf numFmtId="0" fontId="18" fillId="27" borderId="95" xfId="0" applyFont="1" applyFill="1" applyBorder="1" applyAlignment="1">
      <alignment horizontal="center" vertical="center"/>
    </xf>
    <xf numFmtId="0" fontId="18" fillId="27" borderId="96" xfId="0" applyFont="1" applyFill="1" applyBorder="1" applyAlignment="1">
      <alignment horizontal="center" vertical="center"/>
    </xf>
    <xf numFmtId="185" fontId="17" fillId="25" borderId="0" xfId="11" applyNumberFormat="1" applyFont="1" applyFill="1" applyAlignment="1">
      <alignment vertical="center"/>
    </xf>
    <xf numFmtId="185" fontId="62" fillId="0" borderId="0" xfId="0" applyNumberFormat="1" applyFont="1">
      <alignment vertical="center"/>
    </xf>
    <xf numFmtId="0" fontId="6" fillId="0" borderId="117" xfId="0" quotePrefix="1" applyFont="1" applyBorder="1" applyAlignment="1">
      <alignment horizontal="center" vertical="center"/>
    </xf>
    <xf numFmtId="0" fontId="9" fillId="0" borderId="104" xfId="0" applyFont="1" applyBorder="1">
      <alignment vertical="center"/>
    </xf>
    <xf numFmtId="185" fontId="9" fillId="0" borderId="104" xfId="0" applyNumberFormat="1" applyFont="1" applyBorder="1">
      <alignment vertical="center"/>
    </xf>
    <xf numFmtId="176" fontId="9" fillId="0" borderId="104" xfId="8" applyFont="1" applyBorder="1">
      <alignment vertical="center"/>
    </xf>
    <xf numFmtId="176" fontId="9" fillId="0" borderId="88" xfId="8" applyFont="1" applyBorder="1">
      <alignment vertical="center"/>
    </xf>
    <xf numFmtId="0" fontId="9" fillId="0" borderId="63" xfId="0" applyFont="1" applyBorder="1">
      <alignment vertical="center"/>
    </xf>
    <xf numFmtId="185" fontId="9" fillId="0" borderId="63" xfId="0" applyNumberFormat="1" applyFont="1" applyBorder="1">
      <alignment vertical="center"/>
    </xf>
    <xf numFmtId="176" fontId="9" fillId="0" borderId="63" xfId="8" applyFont="1" applyBorder="1">
      <alignment vertical="center"/>
    </xf>
    <xf numFmtId="0" fontId="43" fillId="23" borderId="0" xfId="0" applyFont="1" applyFill="1">
      <alignment vertical="center"/>
    </xf>
    <xf numFmtId="0" fontId="63" fillId="0" borderId="0" xfId="0" applyFont="1">
      <alignment vertical="center"/>
    </xf>
    <xf numFmtId="185" fontId="64" fillId="0" borderId="0" xfId="11" applyNumberFormat="1" applyFont="1" applyAlignment="1">
      <alignment vertical="center"/>
    </xf>
    <xf numFmtId="0" fontId="64" fillId="0" borderId="0" xfId="0" applyFont="1" applyAlignment="1">
      <alignment horizontal="center" vertical="center"/>
    </xf>
    <xf numFmtId="0" fontId="63" fillId="0" borderId="0" xfId="0" applyFont="1" applyAlignment="1">
      <alignment horizontal="left" vertical="top" wrapText="1"/>
    </xf>
    <xf numFmtId="0" fontId="9" fillId="15" borderId="0" xfId="0" applyFont="1" applyFill="1" applyAlignment="1">
      <alignment horizontal="left" vertical="center"/>
    </xf>
    <xf numFmtId="0" fontId="9" fillId="15" borderId="0" xfId="0" applyFont="1" applyFill="1">
      <alignment vertical="center"/>
    </xf>
    <xf numFmtId="187" fontId="15" fillId="0" borderId="0" xfId="11" applyNumberFormat="1" applyFont="1" applyAlignment="1">
      <alignment vertical="center"/>
    </xf>
    <xf numFmtId="185" fontId="10" fillId="0" borderId="129" xfId="0" applyNumberFormat="1" applyFont="1" applyBorder="1">
      <alignment vertical="center"/>
    </xf>
    <xf numFmtId="0" fontId="16" fillId="0" borderId="0" xfId="48" applyFont="1" applyAlignment="1">
      <alignment vertical="center"/>
    </xf>
    <xf numFmtId="177" fontId="16" fillId="0" borderId="0" xfId="49" applyNumberFormat="1" applyFont="1" applyAlignment="1">
      <alignment vertical="center"/>
    </xf>
    <xf numFmtId="183" fontId="16" fillId="0" borderId="0" xfId="49" applyFont="1" applyAlignment="1">
      <alignment vertical="center"/>
    </xf>
    <xf numFmtId="188" fontId="16" fillId="0" borderId="0" xfId="49" applyNumberFormat="1" applyFont="1" applyAlignment="1">
      <alignment vertical="center"/>
    </xf>
    <xf numFmtId="38" fontId="16" fillId="0" borderId="0" xfId="49" applyNumberFormat="1" applyFont="1" applyAlignment="1">
      <alignment vertical="center"/>
    </xf>
    <xf numFmtId="0" fontId="58" fillId="0" borderId="0" xfId="48" applyFont="1" applyAlignment="1">
      <alignment vertical="center"/>
    </xf>
    <xf numFmtId="183" fontId="16" fillId="0" borderId="69" xfId="49" applyFont="1" applyBorder="1" applyAlignment="1">
      <alignment vertical="center"/>
    </xf>
    <xf numFmtId="183" fontId="16" fillId="0" borderId="106" xfId="49" applyFont="1" applyBorder="1" applyAlignment="1">
      <alignment vertical="center"/>
    </xf>
    <xf numFmtId="183" fontId="16" fillId="9" borderId="106" xfId="49" applyFont="1" applyFill="1" applyBorder="1" applyAlignment="1">
      <alignment vertical="center"/>
    </xf>
    <xf numFmtId="183" fontId="16" fillId="0" borderId="97" xfId="49" applyFont="1" applyBorder="1" applyAlignment="1">
      <alignment vertical="center"/>
    </xf>
    <xf numFmtId="183" fontId="58" fillId="0" borderId="0" xfId="49" applyFont="1" applyAlignment="1">
      <alignment vertical="center"/>
    </xf>
    <xf numFmtId="183" fontId="58" fillId="0" borderId="69" xfId="49" applyFont="1" applyBorder="1" applyAlignment="1">
      <alignment vertical="center"/>
    </xf>
    <xf numFmtId="183" fontId="58" fillId="0" borderId="106" xfId="49" applyFont="1" applyBorder="1" applyAlignment="1">
      <alignment vertical="center"/>
    </xf>
    <xf numFmtId="183" fontId="58" fillId="0" borderId="97" xfId="49" applyFont="1" applyBorder="1" applyAlignment="1">
      <alignment vertical="center"/>
    </xf>
    <xf numFmtId="183" fontId="16" fillId="0" borderId="10" xfId="49" applyFont="1" applyBorder="1" applyAlignment="1">
      <alignment vertical="center"/>
    </xf>
    <xf numFmtId="183" fontId="59" fillId="30" borderId="106" xfId="49" applyFont="1" applyFill="1" applyBorder="1" applyAlignment="1">
      <alignment vertical="center"/>
    </xf>
    <xf numFmtId="183" fontId="59" fillId="0" borderId="106" xfId="49" applyFont="1" applyBorder="1" applyAlignment="1">
      <alignment vertical="center"/>
    </xf>
    <xf numFmtId="183" fontId="58" fillId="0" borderId="10" xfId="49" applyFont="1" applyBorder="1" applyAlignment="1">
      <alignment vertical="center"/>
    </xf>
    <xf numFmtId="183" fontId="58" fillId="0" borderId="155" xfId="49" applyFont="1" applyBorder="1" applyAlignment="1">
      <alignment vertical="center"/>
    </xf>
    <xf numFmtId="183" fontId="58" fillId="0" borderId="167" xfId="49" applyFont="1" applyBorder="1" applyAlignment="1">
      <alignment vertical="center"/>
    </xf>
    <xf numFmtId="183" fontId="16" fillId="10" borderId="106" xfId="49" applyFont="1" applyFill="1" applyBorder="1" applyAlignment="1">
      <alignment vertical="center"/>
    </xf>
    <xf numFmtId="183" fontId="16" fillId="23" borderId="106" xfId="49" applyFont="1" applyFill="1" applyBorder="1" applyAlignment="1">
      <alignment vertical="center"/>
    </xf>
    <xf numFmtId="183" fontId="16" fillId="6" borderId="155" xfId="49" applyFont="1" applyFill="1" applyBorder="1" applyAlignment="1">
      <alignment vertical="center"/>
    </xf>
    <xf numFmtId="183" fontId="16" fillId="0" borderId="155" xfId="49" applyFont="1" applyBorder="1" applyAlignment="1">
      <alignment vertical="center"/>
    </xf>
    <xf numFmtId="177" fontId="16" fillId="0" borderId="106" xfId="49" applyNumberFormat="1" applyFont="1" applyBorder="1" applyAlignment="1">
      <alignment vertical="center"/>
    </xf>
    <xf numFmtId="183" fontId="16" fillId="0" borderId="106" xfId="49" applyFont="1" applyBorder="1" applyAlignment="1">
      <alignment horizontal="right" vertical="center"/>
    </xf>
    <xf numFmtId="183" fontId="16" fillId="0" borderId="98" xfId="49" applyFont="1" applyBorder="1" applyAlignment="1">
      <alignment vertical="center"/>
    </xf>
    <xf numFmtId="183" fontId="16" fillId="0" borderId="166" xfId="49" applyFont="1" applyBorder="1" applyAlignment="1">
      <alignment vertical="center"/>
    </xf>
    <xf numFmtId="177" fontId="16" fillId="0" borderId="166" xfId="49" applyNumberFormat="1" applyFont="1" applyBorder="1" applyAlignment="1">
      <alignment vertical="center"/>
    </xf>
    <xf numFmtId="183" fontId="16" fillId="0" borderId="99" xfId="49" applyFont="1" applyBorder="1" applyAlignment="1">
      <alignment vertical="center"/>
    </xf>
    <xf numFmtId="183" fontId="16" fillId="0" borderId="0" xfId="48" applyNumberFormat="1" applyFont="1" applyAlignment="1">
      <alignment vertical="center"/>
    </xf>
    <xf numFmtId="189" fontId="16" fillId="0" borderId="0" xfId="49" applyNumberFormat="1" applyFont="1" applyAlignment="1">
      <alignment vertical="center"/>
    </xf>
    <xf numFmtId="0" fontId="16" fillId="23" borderId="0" xfId="48" applyFont="1" applyFill="1" applyAlignment="1">
      <alignment vertical="center"/>
    </xf>
    <xf numFmtId="183" fontId="16" fillId="23" borderId="0" xfId="49" applyFont="1" applyFill="1" applyAlignment="1">
      <alignment vertical="center"/>
    </xf>
    <xf numFmtId="183" fontId="60" fillId="27" borderId="156" xfId="49" applyFont="1" applyFill="1" applyBorder="1" applyAlignment="1">
      <alignment vertical="center"/>
    </xf>
    <xf numFmtId="183" fontId="60" fillId="27" borderId="106" xfId="49" applyFont="1" applyFill="1" applyBorder="1" applyAlignment="1">
      <alignment horizontal="center" vertical="center"/>
    </xf>
    <xf numFmtId="183" fontId="60" fillId="27" borderId="73" xfId="49" applyFont="1" applyFill="1" applyBorder="1" applyAlignment="1">
      <alignment horizontal="center" vertical="center"/>
    </xf>
    <xf numFmtId="183" fontId="60" fillId="32" borderId="45" xfId="49" applyFont="1" applyFill="1" applyBorder="1" applyAlignment="1">
      <alignment horizontal="centerContinuous" vertical="center"/>
    </xf>
    <xf numFmtId="183" fontId="60" fillId="32" borderId="156" xfId="49" applyFont="1" applyFill="1" applyBorder="1" applyAlignment="1">
      <alignment horizontal="centerContinuous" vertical="center"/>
    </xf>
    <xf numFmtId="183" fontId="60" fillId="32" borderId="63" xfId="49" applyFont="1" applyFill="1" applyBorder="1" applyAlignment="1">
      <alignment horizontal="centerContinuous" vertical="center"/>
    </xf>
    <xf numFmtId="183" fontId="60" fillId="32" borderId="9" xfId="49" applyFont="1" applyFill="1" applyBorder="1" applyAlignment="1">
      <alignment horizontal="centerContinuous" vertical="center"/>
    </xf>
    <xf numFmtId="183" fontId="60" fillId="32" borderId="73" xfId="49" applyFont="1" applyFill="1" applyBorder="1" applyAlignment="1">
      <alignment horizontal="center" vertical="center"/>
    </xf>
    <xf numFmtId="183" fontId="60" fillId="33" borderId="156" xfId="49" applyFont="1" applyFill="1" applyBorder="1" applyAlignment="1">
      <alignment horizontal="centerContinuous" vertical="center"/>
    </xf>
    <xf numFmtId="183" fontId="60" fillId="33" borderId="45" xfId="49" applyFont="1" applyFill="1" applyBorder="1" applyAlignment="1">
      <alignment horizontal="centerContinuous" vertical="center"/>
    </xf>
    <xf numFmtId="183" fontId="60" fillId="33" borderId="9" xfId="49" applyFont="1" applyFill="1" applyBorder="1" applyAlignment="1">
      <alignment horizontal="centerContinuous" vertical="center"/>
    </xf>
    <xf numFmtId="183" fontId="60" fillId="33" borderId="63" xfId="49" applyFont="1" applyFill="1" applyBorder="1" applyAlignment="1">
      <alignment horizontal="centerContinuous" vertical="center"/>
    </xf>
    <xf numFmtId="183" fontId="60" fillId="33" borderId="73" xfId="49" applyFont="1" applyFill="1" applyBorder="1" applyAlignment="1">
      <alignment horizontal="center" vertical="center"/>
    </xf>
    <xf numFmtId="183" fontId="60" fillId="34" borderId="156" xfId="49" applyFont="1" applyFill="1" applyBorder="1" applyAlignment="1">
      <alignment horizontal="centerContinuous" vertical="center"/>
    </xf>
    <xf numFmtId="183" fontId="60" fillId="34" borderId="45" xfId="49" applyFont="1" applyFill="1" applyBorder="1" applyAlignment="1">
      <alignment horizontal="centerContinuous" vertical="center"/>
    </xf>
    <xf numFmtId="183" fontId="60" fillId="34" borderId="9" xfId="49" applyFont="1" applyFill="1" applyBorder="1" applyAlignment="1">
      <alignment horizontal="centerContinuous" vertical="center"/>
    </xf>
    <xf numFmtId="183" fontId="60" fillId="34" borderId="63" xfId="49" applyFont="1" applyFill="1" applyBorder="1" applyAlignment="1">
      <alignment horizontal="centerContinuous" vertical="center"/>
    </xf>
    <xf numFmtId="183" fontId="60" fillId="34" borderId="73" xfId="49" applyFont="1" applyFill="1" applyBorder="1" applyAlignment="1">
      <alignment horizontal="center" vertical="center"/>
    </xf>
    <xf numFmtId="183" fontId="60" fillId="31" borderId="156" xfId="49" applyFont="1" applyFill="1" applyBorder="1" applyAlignment="1">
      <alignment vertical="center"/>
    </xf>
    <xf numFmtId="183" fontId="60" fillId="31" borderId="45" xfId="49" applyFont="1" applyFill="1" applyBorder="1" applyAlignment="1">
      <alignment horizontal="centerContinuous" vertical="center"/>
    </xf>
    <xf numFmtId="183" fontId="60" fillId="31" borderId="156" xfId="49" applyFont="1" applyFill="1" applyBorder="1" applyAlignment="1">
      <alignment horizontal="centerContinuous" vertical="center"/>
    </xf>
    <xf numFmtId="183" fontId="60" fillId="31" borderId="9" xfId="49" applyFont="1" applyFill="1" applyBorder="1" applyAlignment="1">
      <alignment vertical="center"/>
    </xf>
    <xf numFmtId="183" fontId="60" fillId="31" borderId="63" xfId="49" applyFont="1" applyFill="1" applyBorder="1" applyAlignment="1">
      <alignment horizontal="centerContinuous" vertical="center"/>
    </xf>
    <xf numFmtId="183" fontId="60" fillId="31" borderId="9" xfId="49" applyFont="1" applyFill="1" applyBorder="1" applyAlignment="1">
      <alignment horizontal="centerContinuous" vertical="center"/>
    </xf>
    <xf numFmtId="183" fontId="60" fillId="31" borderId="106" xfId="49" applyFont="1" applyFill="1" applyBorder="1" applyAlignment="1">
      <alignment horizontal="centerContinuous" vertical="center"/>
    </xf>
    <xf numFmtId="183" fontId="60" fillId="31" borderId="73" xfId="49" applyFont="1" applyFill="1" applyBorder="1" applyAlignment="1">
      <alignment horizontal="center" vertical="center"/>
    </xf>
    <xf numFmtId="183" fontId="60" fillId="35" borderId="96" xfId="49" applyFont="1" applyFill="1" applyBorder="1" applyAlignment="1">
      <alignment horizontal="center" vertical="center"/>
    </xf>
    <xf numFmtId="183" fontId="60" fillId="35" borderId="97" xfId="49" applyFont="1" applyFill="1" applyBorder="1" applyAlignment="1">
      <alignment horizontal="center" vertical="center"/>
    </xf>
    <xf numFmtId="183" fontId="60" fillId="35" borderId="91" xfId="49" applyFont="1" applyFill="1" applyBorder="1" applyAlignment="1">
      <alignment vertical="center"/>
    </xf>
    <xf numFmtId="183" fontId="16" fillId="0" borderId="106" xfId="49" applyFont="1" applyFill="1" applyBorder="1" applyAlignment="1">
      <alignment vertical="center"/>
    </xf>
    <xf numFmtId="183" fontId="16" fillId="19" borderId="69" xfId="49" applyFont="1" applyFill="1" applyBorder="1" applyAlignment="1">
      <alignment vertical="center"/>
    </xf>
    <xf numFmtId="183" fontId="16" fillId="19" borderId="106" xfId="49" applyFont="1" applyFill="1" applyBorder="1" applyAlignment="1">
      <alignment vertical="center"/>
    </xf>
    <xf numFmtId="183" fontId="16" fillId="19" borderId="97" xfId="49" applyFont="1" applyFill="1" applyBorder="1" applyAlignment="1">
      <alignment vertical="center"/>
    </xf>
    <xf numFmtId="183" fontId="16" fillId="19" borderId="69" xfId="49" quotePrefix="1" applyFont="1" applyFill="1" applyBorder="1" applyAlignment="1">
      <alignment vertical="center"/>
    </xf>
    <xf numFmtId="183" fontId="58" fillId="0" borderId="0" xfId="49" applyFont="1" applyFill="1" applyAlignment="1">
      <alignment vertical="center"/>
    </xf>
    <xf numFmtId="183" fontId="16" fillId="0" borderId="0" xfId="49" applyFont="1" applyFill="1" applyAlignment="1">
      <alignment vertical="center"/>
    </xf>
    <xf numFmtId="183" fontId="16" fillId="0" borderId="0" xfId="47" applyNumberFormat="1" applyFont="1" applyFill="1" applyAlignment="1">
      <alignment vertical="center"/>
    </xf>
    <xf numFmtId="185" fontId="16" fillId="0" borderId="106" xfId="49" applyNumberFormat="1" applyFont="1" applyBorder="1" applyAlignment="1">
      <alignment vertical="center"/>
    </xf>
    <xf numFmtId="185" fontId="16" fillId="0" borderId="106" xfId="49" applyNumberFormat="1" applyFont="1" applyFill="1" applyBorder="1" applyAlignment="1">
      <alignment vertical="center"/>
    </xf>
    <xf numFmtId="185" fontId="16" fillId="0" borderId="155" xfId="49" applyNumberFormat="1" applyFont="1" applyBorder="1" applyAlignment="1">
      <alignment vertical="center"/>
    </xf>
    <xf numFmtId="185" fontId="16" fillId="0" borderId="166" xfId="49" applyNumberFormat="1" applyFont="1" applyBorder="1" applyAlignment="1">
      <alignment vertical="center"/>
    </xf>
    <xf numFmtId="185" fontId="16" fillId="0" borderId="0" xfId="49" applyNumberFormat="1" applyFont="1" applyAlignment="1">
      <alignment vertical="center"/>
    </xf>
    <xf numFmtId="185" fontId="60" fillId="27" borderId="45" xfId="49" applyNumberFormat="1" applyFont="1" applyFill="1" applyBorder="1" applyAlignment="1">
      <alignment vertical="center"/>
    </xf>
    <xf numFmtId="185" fontId="60" fillId="27" borderId="0" xfId="49" applyNumberFormat="1" applyFont="1" applyFill="1" applyBorder="1" applyAlignment="1">
      <alignment horizontal="center" vertical="center"/>
    </xf>
    <xf numFmtId="185" fontId="60" fillId="27" borderId="73" xfId="49" applyNumberFormat="1" applyFont="1" applyFill="1" applyBorder="1" applyAlignment="1">
      <alignment horizontal="center" vertical="center"/>
    </xf>
    <xf numFmtId="185" fontId="16" fillId="9" borderId="106" xfId="49" applyNumberFormat="1" applyFont="1" applyFill="1" applyBorder="1" applyAlignment="1">
      <alignment vertical="center"/>
    </xf>
    <xf numFmtId="185" fontId="58" fillId="0" borderId="106" xfId="49" applyNumberFormat="1" applyFont="1" applyBorder="1" applyAlignment="1">
      <alignment vertical="center"/>
    </xf>
    <xf numFmtId="185" fontId="16" fillId="19" borderId="106" xfId="49" applyNumberFormat="1" applyFont="1" applyFill="1" applyBorder="1" applyAlignment="1">
      <alignment vertical="center"/>
    </xf>
    <xf numFmtId="185" fontId="58" fillId="0" borderId="155" xfId="49" applyNumberFormat="1" applyFont="1" applyBorder="1" applyAlignment="1">
      <alignment vertical="center"/>
    </xf>
    <xf numFmtId="185" fontId="16" fillId="6" borderId="155" xfId="49" applyNumberFormat="1" applyFont="1" applyFill="1" applyBorder="1" applyAlignment="1">
      <alignment vertical="center"/>
    </xf>
    <xf numFmtId="185" fontId="16" fillId="0" borderId="0" xfId="48" applyNumberFormat="1" applyFont="1" applyAlignment="1">
      <alignment vertical="center"/>
    </xf>
    <xf numFmtId="0" fontId="37" fillId="0" borderId="0" xfId="0" applyFont="1" applyAlignment="1">
      <alignment horizontal="center" vertical="center"/>
    </xf>
    <xf numFmtId="183" fontId="16" fillId="0" borderId="69" xfId="49" applyFont="1" applyFill="1" applyBorder="1" applyAlignment="1">
      <alignment vertical="center"/>
    </xf>
    <xf numFmtId="190" fontId="15" fillId="15" borderId="0" xfId="11" applyNumberFormat="1" applyFont="1" applyFill="1" applyAlignment="1">
      <alignment vertical="center"/>
    </xf>
    <xf numFmtId="179" fontId="15" fillId="0" borderId="71" xfId="2" applyNumberFormat="1" applyFont="1" applyFill="1" applyBorder="1" applyAlignment="1">
      <alignment vertical="center"/>
    </xf>
    <xf numFmtId="0" fontId="6" fillId="0" borderId="0" xfId="0" quotePrefix="1" applyFont="1" applyAlignment="1">
      <alignment horizontal="center" vertical="center"/>
    </xf>
    <xf numFmtId="184" fontId="9" fillId="0" borderId="159" xfId="8" quotePrefix="1" applyNumberFormat="1" applyFont="1" applyFill="1" applyBorder="1" applyAlignment="1">
      <alignment horizontal="center" vertical="center"/>
    </xf>
    <xf numFmtId="0" fontId="9" fillId="0" borderId="0" xfId="8" applyNumberFormat="1" applyFont="1" applyFill="1" applyBorder="1">
      <alignment vertical="center"/>
    </xf>
    <xf numFmtId="191" fontId="16" fillId="0" borderId="106" xfId="2" applyNumberFormat="1" applyFont="1" applyBorder="1" applyAlignment="1">
      <alignment vertical="center"/>
    </xf>
    <xf numFmtId="176" fontId="16" fillId="0" borderId="106" xfId="49" applyNumberFormat="1" applyFont="1" applyBorder="1" applyAlignment="1">
      <alignment horizontal="right" vertical="center"/>
    </xf>
    <xf numFmtId="183" fontId="16" fillId="0" borderId="97" xfId="49" applyFont="1" applyFill="1" applyBorder="1" applyAlignment="1">
      <alignment vertical="center"/>
    </xf>
    <xf numFmtId="183" fontId="16" fillId="16" borderId="106" xfId="49" applyFont="1" applyFill="1" applyBorder="1" applyAlignment="1">
      <alignment vertical="center"/>
    </xf>
    <xf numFmtId="14" fontId="15" fillId="0" borderId="0" xfId="11" quotePrefix="1" applyNumberFormat="1" applyFont="1" applyAlignment="1">
      <alignment horizontal="center" vertical="center"/>
    </xf>
    <xf numFmtId="10" fontId="15" fillId="0" borderId="0" xfId="2" applyNumberFormat="1" applyFont="1" applyAlignment="1">
      <alignment vertical="center"/>
    </xf>
    <xf numFmtId="10" fontId="17" fillId="0" borderId="129" xfId="11" applyNumberFormat="1" applyFont="1" applyBorder="1" applyAlignment="1">
      <alignment vertical="center"/>
    </xf>
    <xf numFmtId="186" fontId="17" fillId="0" borderId="129" xfId="11" applyNumberFormat="1" applyFont="1" applyBorder="1" applyAlignment="1">
      <alignment vertical="center"/>
    </xf>
    <xf numFmtId="179" fontId="9" fillId="0" borderId="88" xfId="2" applyNumberFormat="1" applyFont="1" applyBorder="1">
      <alignment vertical="center"/>
    </xf>
    <xf numFmtId="179" fontId="9" fillId="15" borderId="0" xfId="2" applyNumberFormat="1" applyFont="1" applyFill="1">
      <alignment vertical="center"/>
    </xf>
    <xf numFmtId="179" fontId="28" fillId="0" borderId="129" xfId="2" applyNumberFormat="1" applyFont="1" applyBorder="1">
      <alignment vertical="center"/>
    </xf>
    <xf numFmtId="10" fontId="50" fillId="0" borderId="0" xfId="0" applyNumberFormat="1" applyFont="1">
      <alignment vertical="center"/>
    </xf>
    <xf numFmtId="0" fontId="65" fillId="0" borderId="0" xfId="0" applyFont="1">
      <alignment vertical="center"/>
    </xf>
    <xf numFmtId="0" fontId="66" fillId="0" borderId="32" xfId="0" applyFont="1" applyBorder="1" applyAlignment="1">
      <alignment horizontal="center" vertical="center"/>
    </xf>
    <xf numFmtId="0" fontId="16" fillId="3" borderId="17" xfId="0" applyFont="1" applyFill="1" applyBorder="1" applyProtection="1">
      <alignment vertical="center"/>
      <protection locked="0"/>
    </xf>
    <xf numFmtId="0" fontId="16" fillId="4" borderId="18" xfId="0" applyFont="1" applyFill="1" applyBorder="1" applyProtection="1">
      <alignment vertical="center"/>
      <protection locked="0"/>
    </xf>
    <xf numFmtId="0" fontId="16" fillId="5" borderId="18" xfId="0" applyFont="1" applyFill="1" applyBorder="1" applyProtection="1">
      <alignment vertical="center"/>
      <protection locked="0"/>
    </xf>
    <xf numFmtId="0" fontId="16" fillId="6" borderId="18" xfId="0" applyFont="1" applyFill="1" applyBorder="1" applyProtection="1">
      <alignment vertical="center"/>
      <protection locked="0"/>
    </xf>
    <xf numFmtId="0" fontId="16" fillId="7" borderId="19" xfId="0" applyFont="1" applyFill="1" applyBorder="1" applyProtection="1">
      <alignment vertical="center"/>
      <protection locked="0"/>
    </xf>
    <xf numFmtId="176" fontId="66" fillId="8" borderId="33" xfId="5" applyFont="1" applyFill="1" applyBorder="1">
      <alignment vertical="center"/>
    </xf>
    <xf numFmtId="0" fontId="66" fillId="0" borderId="34" xfId="0" applyFont="1" applyBorder="1" applyAlignment="1">
      <alignment horizontal="center" vertical="center"/>
    </xf>
    <xf numFmtId="0" fontId="16" fillId="3" borderId="23" xfId="0" applyFont="1" applyFill="1" applyBorder="1" applyProtection="1">
      <alignment vertical="center"/>
      <protection locked="0"/>
    </xf>
    <xf numFmtId="0" fontId="16" fillId="4" borderId="24" xfId="0" applyFont="1" applyFill="1" applyBorder="1" applyProtection="1">
      <alignment vertical="center"/>
      <protection locked="0"/>
    </xf>
    <xf numFmtId="0" fontId="16" fillId="5" borderId="24" xfId="0" applyFont="1" applyFill="1" applyBorder="1" applyProtection="1">
      <alignment vertical="center"/>
      <protection locked="0"/>
    </xf>
    <xf numFmtId="0" fontId="16" fillId="6" borderId="24" xfId="0" applyFont="1" applyFill="1" applyBorder="1" applyProtection="1">
      <alignment vertical="center"/>
      <protection locked="0"/>
    </xf>
    <xf numFmtId="0" fontId="16" fillId="7" borderId="25" xfId="0" applyFont="1" applyFill="1" applyBorder="1" applyProtection="1">
      <alignment vertical="center"/>
      <protection locked="0"/>
    </xf>
    <xf numFmtId="176" fontId="65" fillId="0" borderId="0" xfId="0" applyNumberFormat="1" applyFont="1">
      <alignment vertical="center"/>
    </xf>
    <xf numFmtId="176" fontId="66" fillId="0" borderId="33" xfId="5" applyFont="1" applyFill="1" applyBorder="1">
      <alignment vertical="center"/>
    </xf>
    <xf numFmtId="3" fontId="65" fillId="0" borderId="0" xfId="0" applyNumberFormat="1" applyFont="1">
      <alignment vertical="center"/>
    </xf>
    <xf numFmtId="0" fontId="67" fillId="0" borderId="0" xfId="0" applyFont="1">
      <alignment vertical="center"/>
    </xf>
    <xf numFmtId="0" fontId="67" fillId="23" borderId="0" xfId="0" applyFont="1" applyFill="1">
      <alignment vertical="center"/>
    </xf>
    <xf numFmtId="0" fontId="66" fillId="0" borderId="16" xfId="0" applyFont="1" applyBorder="1" applyAlignment="1">
      <alignment horizontal="center" vertical="center"/>
    </xf>
    <xf numFmtId="0" fontId="16" fillId="3" borderId="17" xfId="0" applyFont="1" applyFill="1" applyBorder="1" applyAlignment="1" applyProtection="1">
      <alignment horizontal="left" vertical="center"/>
      <protection locked="0"/>
    </xf>
    <xf numFmtId="0" fontId="16" fillId="4" borderId="18" xfId="0" applyFont="1" applyFill="1" applyBorder="1" applyAlignment="1" applyProtection="1">
      <alignment horizontal="left" vertical="center"/>
      <protection locked="0"/>
    </xf>
    <xf numFmtId="0" fontId="16" fillId="5" borderId="18" xfId="0" applyFont="1" applyFill="1" applyBorder="1" applyAlignment="1" applyProtection="1">
      <alignment horizontal="left" vertical="center"/>
      <protection locked="0"/>
    </xf>
    <xf numFmtId="0" fontId="16" fillId="6" borderId="18" xfId="0" applyFont="1" applyFill="1" applyBorder="1" applyAlignment="1" applyProtection="1">
      <alignment horizontal="left" vertical="center"/>
      <protection locked="0"/>
    </xf>
    <xf numFmtId="0" fontId="66" fillId="0" borderId="21" xfId="0" applyFont="1" applyBorder="1" applyAlignment="1">
      <alignment horizontal="left" vertical="center"/>
    </xf>
    <xf numFmtId="176" fontId="66" fillId="0" borderId="64" xfId="5" applyFont="1" applyFill="1" applyBorder="1">
      <alignment vertical="center"/>
    </xf>
    <xf numFmtId="0" fontId="66" fillId="0" borderId="22" xfId="0" applyFont="1" applyBorder="1" applyAlignment="1">
      <alignment horizontal="center" vertical="center"/>
    </xf>
    <xf numFmtId="0" fontId="16" fillId="3" borderId="23" xfId="0" applyFont="1" applyFill="1" applyBorder="1" applyAlignment="1" applyProtection="1">
      <alignment horizontal="left" vertical="center"/>
      <protection locked="0"/>
    </xf>
    <xf numFmtId="0" fontId="16" fillId="4" borderId="24" xfId="0" applyFont="1" applyFill="1" applyBorder="1" applyAlignment="1" applyProtection="1">
      <alignment horizontal="left" vertical="center"/>
      <protection locked="0"/>
    </xf>
    <xf numFmtId="0" fontId="16" fillId="5" borderId="24" xfId="0" applyFont="1" applyFill="1" applyBorder="1" applyAlignment="1" applyProtection="1">
      <alignment horizontal="left" vertical="center"/>
      <protection locked="0"/>
    </xf>
    <xf numFmtId="0" fontId="16" fillId="6" borderId="24" xfId="0" applyFont="1" applyFill="1" applyBorder="1" applyAlignment="1" applyProtection="1">
      <alignment horizontal="left" vertical="center"/>
      <protection locked="0"/>
    </xf>
    <xf numFmtId="9" fontId="16" fillId="7" borderId="25" xfId="6" applyFont="1" applyFill="1" applyBorder="1" applyAlignment="1" applyProtection="1">
      <alignment vertical="center"/>
      <protection locked="0"/>
    </xf>
    <xf numFmtId="0" fontId="66" fillId="0" borderId="26" xfId="0" applyFont="1" applyBorder="1">
      <alignment vertical="center"/>
    </xf>
    <xf numFmtId="0" fontId="66" fillId="0" borderId="27" xfId="0" applyFont="1" applyBorder="1" applyAlignment="1">
      <alignment horizontal="left" vertical="center"/>
    </xf>
    <xf numFmtId="0" fontId="66" fillId="0" borderId="27" xfId="0" applyFont="1" applyBorder="1">
      <alignment vertical="center"/>
    </xf>
    <xf numFmtId="0" fontId="66" fillId="0" borderId="29" xfId="0" applyFont="1" applyBorder="1" applyAlignment="1">
      <alignment horizontal="center" vertical="center"/>
    </xf>
    <xf numFmtId="176" fontId="66" fillId="0" borderId="29" xfId="5" applyFont="1" applyFill="1" applyBorder="1">
      <alignment vertical="center"/>
    </xf>
    <xf numFmtId="41" fontId="60" fillId="2" borderId="71" xfId="1" applyFont="1" applyFill="1" applyBorder="1" applyAlignment="1">
      <alignment horizontal="center" vertical="center"/>
    </xf>
    <xf numFmtId="41" fontId="60" fillId="2" borderId="72" xfId="1" applyFont="1" applyFill="1" applyBorder="1" applyAlignment="1">
      <alignment horizontal="center" vertical="center"/>
    </xf>
    <xf numFmtId="176" fontId="66" fillId="8" borderId="85" xfId="5" applyFont="1" applyFill="1" applyBorder="1">
      <alignment vertical="center"/>
    </xf>
    <xf numFmtId="176" fontId="66" fillId="14" borderId="86" xfId="5" applyFont="1" applyFill="1" applyBorder="1">
      <alignment vertical="center"/>
    </xf>
    <xf numFmtId="176" fontId="66" fillId="14" borderId="87" xfId="5" applyFont="1" applyFill="1" applyBorder="1">
      <alignment vertical="center"/>
    </xf>
    <xf numFmtId="176" fontId="66" fillId="8" borderId="88" xfId="5" applyFont="1" applyFill="1" applyBorder="1">
      <alignment vertical="center"/>
    </xf>
    <xf numFmtId="176" fontId="66" fillId="15" borderId="89" xfId="5" applyFont="1" applyFill="1" applyBorder="1">
      <alignment vertical="center"/>
    </xf>
    <xf numFmtId="176" fontId="66" fillId="15" borderId="90" xfId="5" applyFont="1" applyFill="1" applyBorder="1">
      <alignment vertical="center"/>
    </xf>
    <xf numFmtId="176" fontId="66" fillId="8" borderId="92" xfId="5" applyFont="1" applyFill="1" applyBorder="1">
      <alignment vertical="center"/>
    </xf>
    <xf numFmtId="0" fontId="68" fillId="0" borderId="34" xfId="0" applyFont="1" applyBorder="1" applyAlignment="1">
      <alignment horizontal="center" vertical="center"/>
    </xf>
    <xf numFmtId="0" fontId="58" fillId="3" borderId="23" xfId="0" applyFont="1" applyFill="1" applyBorder="1" applyProtection="1">
      <alignment vertical="center"/>
      <protection locked="0"/>
    </xf>
    <xf numFmtId="0" fontId="58" fillId="4" borderId="24" xfId="0" applyFont="1" applyFill="1" applyBorder="1" applyProtection="1">
      <alignment vertical="center"/>
      <protection locked="0"/>
    </xf>
    <xf numFmtId="0" fontId="58" fillId="5" borderId="24" xfId="0" applyFont="1" applyFill="1" applyBorder="1" applyProtection="1">
      <alignment vertical="center"/>
      <protection locked="0"/>
    </xf>
    <xf numFmtId="0" fontId="58" fillId="6" borderId="24" xfId="0" applyFont="1" applyFill="1" applyBorder="1" applyProtection="1">
      <alignment vertical="center"/>
      <protection locked="0"/>
    </xf>
    <xf numFmtId="0" fontId="58" fillId="7" borderId="25" xfId="0" applyFont="1" applyFill="1" applyBorder="1" applyProtection="1">
      <alignment vertical="center"/>
      <protection locked="0"/>
    </xf>
    <xf numFmtId="176" fontId="68" fillId="8" borderId="33" xfId="5" applyFont="1" applyFill="1" applyBorder="1">
      <alignment vertical="center"/>
    </xf>
    <xf numFmtId="176" fontId="68" fillId="8" borderId="85" xfId="5" applyFont="1" applyFill="1" applyBorder="1">
      <alignment vertical="center"/>
    </xf>
    <xf numFmtId="176" fontId="68" fillId="14" borderId="86" xfId="5" applyFont="1" applyFill="1" applyBorder="1">
      <alignment vertical="center"/>
    </xf>
    <xf numFmtId="176" fontId="68" fillId="14" borderId="87" xfId="5" applyFont="1" applyFill="1" applyBorder="1">
      <alignment vertical="center"/>
    </xf>
    <xf numFmtId="176" fontId="68" fillId="8" borderId="88" xfId="5" applyFont="1" applyFill="1" applyBorder="1">
      <alignment vertical="center"/>
    </xf>
    <xf numFmtId="176" fontId="68" fillId="15" borderId="89" xfId="5" applyFont="1" applyFill="1" applyBorder="1">
      <alignment vertical="center"/>
    </xf>
    <xf numFmtId="176" fontId="68" fillId="15" borderId="90" xfId="5" applyFont="1" applyFill="1" applyBorder="1">
      <alignment vertical="center"/>
    </xf>
    <xf numFmtId="176" fontId="68" fillId="8" borderId="92" xfId="5" applyFont="1" applyFill="1" applyBorder="1">
      <alignment vertical="center"/>
    </xf>
    <xf numFmtId="0" fontId="69" fillId="0" borderId="0" xfId="0" applyFont="1">
      <alignment vertical="center"/>
    </xf>
    <xf numFmtId="0" fontId="68" fillId="0" borderId="35" xfId="0" applyFont="1" applyBorder="1" applyAlignment="1">
      <alignment horizontal="center" vertical="center"/>
    </xf>
    <xf numFmtId="0" fontId="58" fillId="3" borderId="36" xfId="0" applyFont="1" applyFill="1" applyBorder="1" applyProtection="1">
      <alignment vertical="center"/>
      <protection locked="0"/>
    </xf>
    <xf numFmtId="0" fontId="58" fillId="4" borderId="37" xfId="0" applyFont="1" applyFill="1" applyBorder="1" applyProtection="1">
      <alignment vertical="center"/>
      <protection locked="0"/>
    </xf>
    <xf numFmtId="0" fontId="58" fillId="5" borderId="37" xfId="0" applyFont="1" applyFill="1" applyBorder="1" applyProtection="1">
      <alignment vertical="center"/>
      <protection locked="0"/>
    </xf>
    <xf numFmtId="0" fontId="58" fillId="6" borderId="37" xfId="0" applyFont="1" applyFill="1" applyBorder="1" applyProtection="1">
      <alignment vertical="center"/>
      <protection locked="0"/>
    </xf>
    <xf numFmtId="0" fontId="58" fillId="7" borderId="38" xfId="0" applyFont="1" applyFill="1" applyBorder="1" applyProtection="1">
      <alignment vertical="center"/>
      <protection locked="0"/>
    </xf>
    <xf numFmtId="176" fontId="68" fillId="8" borderId="15" xfId="5" applyFont="1" applyFill="1" applyBorder="1">
      <alignment vertical="center"/>
    </xf>
    <xf numFmtId="176" fontId="68" fillId="8" borderId="61" xfId="5" applyFont="1" applyFill="1" applyBorder="1">
      <alignment vertical="center"/>
    </xf>
    <xf numFmtId="176" fontId="66" fillId="0" borderId="0" xfId="5" applyFont="1" applyFill="1" applyBorder="1">
      <alignment vertical="center"/>
    </xf>
    <xf numFmtId="10" fontId="37" fillId="0" borderId="0" xfId="2" applyNumberFormat="1" applyFont="1">
      <alignment vertical="center"/>
    </xf>
    <xf numFmtId="176" fontId="68" fillId="8" borderId="79" xfId="5" applyFont="1" applyFill="1" applyBorder="1">
      <alignment vertical="center"/>
    </xf>
    <xf numFmtId="176" fontId="68" fillId="8" borderId="174" xfId="5" applyFont="1" applyFill="1" applyBorder="1">
      <alignment vertical="center"/>
    </xf>
    <xf numFmtId="0" fontId="66" fillId="0" borderId="33" xfId="0" applyFont="1" applyBorder="1" applyAlignment="1">
      <alignment horizontal="center" vertical="center"/>
    </xf>
    <xf numFmtId="0" fontId="68" fillId="0" borderId="7" xfId="0" applyFont="1" applyBorder="1" applyAlignment="1">
      <alignment horizontal="center" vertical="center"/>
    </xf>
    <xf numFmtId="0" fontId="66" fillId="0" borderId="7" xfId="0" applyFont="1" applyBorder="1" applyAlignment="1">
      <alignment horizontal="center" vertical="center"/>
    </xf>
    <xf numFmtId="0" fontId="68" fillId="0" borderId="12" xfId="0" applyFont="1" applyBorder="1" applyAlignment="1">
      <alignment horizontal="center" vertical="center"/>
    </xf>
    <xf numFmtId="185" fontId="37" fillId="0" borderId="0" xfId="0" applyNumberFormat="1" applyFont="1" applyAlignment="1">
      <alignment horizontal="center" vertical="center"/>
    </xf>
    <xf numFmtId="0" fontId="61" fillId="0" borderId="0" xfId="0" applyFont="1" applyAlignment="1">
      <alignment horizontal="right" vertical="center"/>
    </xf>
    <xf numFmtId="180" fontId="37" fillId="0" borderId="0" xfId="1" applyNumberFormat="1" applyFont="1">
      <alignment vertical="center"/>
    </xf>
    <xf numFmtId="43" fontId="37" fillId="0" borderId="0" xfId="0" applyNumberFormat="1" applyFont="1">
      <alignment vertical="center"/>
    </xf>
    <xf numFmtId="176" fontId="66" fillId="8" borderId="102" xfId="5" applyFont="1" applyFill="1" applyBorder="1">
      <alignment vertical="center"/>
    </xf>
    <xf numFmtId="176" fontId="66" fillId="8" borderId="73" xfId="5" applyFont="1" applyFill="1" applyBorder="1">
      <alignment vertical="center"/>
    </xf>
    <xf numFmtId="176" fontId="68" fillId="8" borderId="166" xfId="5" applyFont="1" applyFill="1" applyBorder="1">
      <alignment vertical="center"/>
    </xf>
    <xf numFmtId="183" fontId="16" fillId="14" borderId="106" xfId="49" applyFont="1" applyFill="1" applyBorder="1" applyAlignment="1">
      <alignment vertical="center"/>
    </xf>
    <xf numFmtId="183" fontId="16" fillId="14" borderId="10" xfId="49" applyFont="1" applyFill="1" applyBorder="1" applyAlignment="1">
      <alignment vertical="center"/>
    </xf>
    <xf numFmtId="185" fontId="16" fillId="14" borderId="106" xfId="49" applyNumberFormat="1" applyFont="1" applyFill="1" applyBorder="1" applyAlignment="1">
      <alignment vertical="center"/>
    </xf>
    <xf numFmtId="183" fontId="16" fillId="37" borderId="106" xfId="49" applyFont="1" applyFill="1" applyBorder="1" applyAlignment="1">
      <alignment vertical="center"/>
    </xf>
    <xf numFmtId="177" fontId="16" fillId="0" borderId="0" xfId="49" applyNumberFormat="1" applyFont="1" applyFill="1" applyAlignment="1">
      <alignment vertical="center"/>
    </xf>
    <xf numFmtId="192" fontId="10" fillId="0" borderId="0" xfId="0" applyNumberFormat="1" applyFont="1">
      <alignment vertical="center"/>
    </xf>
    <xf numFmtId="0" fontId="28" fillId="0" borderId="0" xfId="0" applyFont="1" applyAlignment="1">
      <alignment horizontal="center" vertical="center"/>
    </xf>
    <xf numFmtId="179" fontId="28" fillId="0" borderId="0" xfId="2" applyNumberFormat="1" applyFont="1" applyBorder="1">
      <alignment vertical="center"/>
    </xf>
    <xf numFmtId="0" fontId="37" fillId="6" borderId="24" xfId="0" applyFont="1" applyFill="1" applyBorder="1" applyAlignment="1" applyProtection="1">
      <alignment horizontal="left" vertical="center"/>
      <protection locked="0"/>
    </xf>
    <xf numFmtId="185" fontId="15" fillId="14" borderId="0" xfId="11" applyNumberFormat="1" applyFont="1" applyFill="1" applyAlignment="1">
      <alignment horizontal="right" vertical="center" indent="2"/>
    </xf>
    <xf numFmtId="176" fontId="9" fillId="0" borderId="117" xfId="8" applyFont="1" applyFill="1" applyBorder="1">
      <alignment vertical="center"/>
    </xf>
    <xf numFmtId="0" fontId="70" fillId="15" borderId="29" xfId="16" applyNumberFormat="1" applyFont="1" applyFill="1" applyBorder="1" applyAlignment="1">
      <alignment horizontal="center" vertical="center"/>
    </xf>
    <xf numFmtId="0" fontId="71" fillId="0" borderId="0" xfId="16" applyNumberFormat="1" applyFont="1" applyAlignment="1">
      <alignment horizontal="left" vertical="center"/>
    </xf>
    <xf numFmtId="178" fontId="16" fillId="0" borderId="0" xfId="15" applyFont="1">
      <alignment vertical="center"/>
    </xf>
    <xf numFmtId="0" fontId="71" fillId="0" borderId="0" xfId="16" applyNumberFormat="1" applyFont="1" applyAlignment="1">
      <alignment vertical="center"/>
    </xf>
    <xf numFmtId="10" fontId="10" fillId="23" borderId="0" xfId="2" applyNumberFormat="1" applyFont="1" applyFill="1">
      <alignment vertical="center"/>
    </xf>
    <xf numFmtId="176" fontId="10" fillId="14" borderId="63" xfId="8" applyFont="1" applyFill="1" applyBorder="1">
      <alignment vertical="center"/>
    </xf>
    <xf numFmtId="176" fontId="10" fillId="14" borderId="0" xfId="8" applyFont="1" applyFill="1" applyBorder="1">
      <alignment vertical="center"/>
    </xf>
    <xf numFmtId="176" fontId="10" fillId="14" borderId="104" xfId="8" applyFont="1" applyFill="1" applyBorder="1">
      <alignment vertical="center"/>
    </xf>
    <xf numFmtId="176" fontId="10" fillId="14" borderId="9" xfId="8" applyFont="1" applyFill="1" applyBorder="1">
      <alignment vertical="center"/>
    </xf>
    <xf numFmtId="176" fontId="10" fillId="14" borderId="103" xfId="8" applyFont="1" applyFill="1" applyBorder="1">
      <alignment vertical="center"/>
    </xf>
    <xf numFmtId="0" fontId="10" fillId="14" borderId="63" xfId="0" applyFont="1" applyFill="1" applyBorder="1">
      <alignment vertical="center"/>
    </xf>
    <xf numFmtId="0" fontId="10" fillId="14" borderId="104" xfId="0" applyFont="1" applyFill="1" applyBorder="1">
      <alignment vertical="center"/>
    </xf>
    <xf numFmtId="0" fontId="10" fillId="14" borderId="88" xfId="0" applyFont="1" applyFill="1" applyBorder="1">
      <alignment vertical="center"/>
    </xf>
    <xf numFmtId="176" fontId="10" fillId="14" borderId="106" xfId="8" applyFont="1" applyFill="1" applyBorder="1">
      <alignment vertical="center"/>
    </xf>
    <xf numFmtId="176" fontId="10" fillId="14" borderId="88" xfId="8" applyFont="1" applyFill="1" applyBorder="1">
      <alignment vertical="center"/>
    </xf>
    <xf numFmtId="176" fontId="10" fillId="14" borderId="73" xfId="8" applyFont="1" applyFill="1" applyBorder="1">
      <alignment vertical="center"/>
    </xf>
    <xf numFmtId="185" fontId="9" fillId="14" borderId="0" xfId="0" applyNumberFormat="1" applyFont="1" applyFill="1">
      <alignment vertical="center"/>
    </xf>
    <xf numFmtId="185" fontId="9" fillId="14" borderId="45" xfId="8" applyNumberFormat="1" applyFont="1" applyFill="1" applyBorder="1">
      <alignment vertical="center"/>
    </xf>
    <xf numFmtId="185" fontId="9" fillId="14" borderId="0" xfId="8" applyNumberFormat="1" applyFont="1" applyFill="1" applyBorder="1">
      <alignment vertical="center"/>
    </xf>
    <xf numFmtId="185" fontId="9" fillId="14" borderId="0" xfId="1" applyNumberFormat="1" applyFont="1" applyFill="1" applyBorder="1">
      <alignment vertical="center"/>
    </xf>
    <xf numFmtId="185" fontId="9" fillId="14" borderId="158" xfId="1" applyNumberFormat="1" applyFont="1" applyFill="1" applyBorder="1">
      <alignment vertical="center"/>
    </xf>
    <xf numFmtId="185" fontId="9" fillId="14" borderId="127" xfId="1" applyNumberFormat="1" applyFont="1" applyFill="1" applyBorder="1">
      <alignment vertical="center"/>
    </xf>
    <xf numFmtId="185" fontId="9" fillId="14" borderId="117" xfId="0" applyNumberFormat="1" applyFont="1" applyFill="1" applyBorder="1">
      <alignment vertical="center"/>
    </xf>
    <xf numFmtId="185" fontId="9" fillId="14" borderId="161" xfId="1" applyNumberFormat="1" applyFont="1" applyFill="1" applyBorder="1">
      <alignment vertical="center"/>
    </xf>
    <xf numFmtId="185" fontId="9" fillId="14" borderId="88" xfId="1" applyNumberFormat="1" applyFont="1" applyFill="1" applyBorder="1">
      <alignment vertical="center"/>
    </xf>
    <xf numFmtId="185" fontId="9" fillId="14" borderId="117" xfId="1" applyNumberFormat="1" applyFont="1" applyFill="1" applyBorder="1">
      <alignment vertical="center"/>
    </xf>
    <xf numFmtId="185" fontId="9" fillId="15" borderId="163" xfId="0" applyNumberFormat="1" applyFont="1" applyFill="1" applyBorder="1">
      <alignment vertical="center"/>
    </xf>
    <xf numFmtId="183" fontId="16" fillId="38" borderId="106" xfId="49" applyFont="1" applyFill="1" applyBorder="1" applyAlignment="1">
      <alignment vertical="center"/>
    </xf>
    <xf numFmtId="185" fontId="72" fillId="0" borderId="0" xfId="11" applyNumberFormat="1" applyFont="1" applyAlignment="1">
      <alignment vertical="center"/>
    </xf>
    <xf numFmtId="0" fontId="73" fillId="0" borderId="0" xfId="0" applyFont="1">
      <alignment vertical="center"/>
    </xf>
    <xf numFmtId="0" fontId="0" fillId="0" borderId="0" xfId="0" applyAlignment="1"/>
    <xf numFmtId="0" fontId="66" fillId="0" borderId="21" xfId="0" quotePrefix="1" applyFont="1" applyBorder="1" applyAlignment="1">
      <alignment horizontal="left" vertical="center"/>
    </xf>
    <xf numFmtId="0" fontId="76" fillId="0" borderId="0" xfId="51" applyFont="1" applyAlignment="1">
      <alignment horizontal="left" vertical="center"/>
    </xf>
    <xf numFmtId="0" fontId="76" fillId="0" borderId="0" xfId="51" applyFont="1" applyAlignment="1">
      <alignment horizontal="right" vertical="center"/>
    </xf>
    <xf numFmtId="0" fontId="76" fillId="0" borderId="7" xfId="51" applyFont="1" applyBorder="1" applyAlignment="1">
      <alignment horizontal="right" vertical="center"/>
    </xf>
    <xf numFmtId="0" fontId="78" fillId="0" borderId="7" xfId="51" applyFont="1" applyBorder="1" applyAlignment="1">
      <alignment horizontal="right" vertical="center"/>
    </xf>
    <xf numFmtId="3" fontId="78" fillId="0" borderId="7" xfId="51" applyNumberFormat="1" applyFont="1" applyBorder="1" applyAlignment="1">
      <alignment horizontal="right" vertical="center"/>
    </xf>
    <xf numFmtId="194" fontId="78" fillId="0" borderId="7" xfId="51" applyNumberFormat="1" applyFont="1" applyBorder="1" applyAlignment="1">
      <alignment horizontal="right" vertical="center" wrapText="1"/>
    </xf>
    <xf numFmtId="194" fontId="78" fillId="0" borderId="176" xfId="51" applyNumberFormat="1" applyFont="1" applyBorder="1" applyAlignment="1">
      <alignment horizontal="right" vertical="center" wrapText="1"/>
    </xf>
    <xf numFmtId="0" fontId="76" fillId="0" borderId="7" xfId="51" applyFont="1" applyBorder="1" applyAlignment="1">
      <alignment horizontal="left" vertical="center"/>
    </xf>
    <xf numFmtId="0" fontId="79" fillId="0" borderId="7" xfId="51" applyFont="1" applyBorder="1" applyAlignment="1">
      <alignment horizontal="left" vertical="center"/>
    </xf>
    <xf numFmtId="0" fontId="78" fillId="0" borderId="176" xfId="51" applyFont="1" applyBorder="1" applyAlignment="1">
      <alignment horizontal="left" vertical="center"/>
    </xf>
    <xf numFmtId="0" fontId="33" fillId="0" borderId="0" xfId="51">
      <alignment vertical="center"/>
    </xf>
    <xf numFmtId="196" fontId="6" fillId="0" borderId="0" xfId="51" applyNumberFormat="1" applyFont="1">
      <alignment vertical="center"/>
    </xf>
    <xf numFmtId="196" fontId="6" fillId="0" borderId="56" xfId="51" applyNumberFormat="1" applyFont="1" applyBorder="1">
      <alignment vertical="center"/>
    </xf>
    <xf numFmtId="196" fontId="12" fillId="39" borderId="45" xfId="51" applyNumberFormat="1" applyFont="1" applyFill="1" applyBorder="1" applyAlignment="1">
      <alignment horizontal="center" vertical="center"/>
    </xf>
    <xf numFmtId="196" fontId="12" fillId="39" borderId="27" xfId="51" applyNumberFormat="1" applyFont="1" applyFill="1" applyBorder="1">
      <alignment vertical="center"/>
    </xf>
    <xf numFmtId="196" fontId="12" fillId="0" borderId="0" xfId="51" applyNumberFormat="1" applyFont="1" applyAlignment="1">
      <alignment horizontal="left" vertical="center" indent="1"/>
    </xf>
    <xf numFmtId="196" fontId="12" fillId="0" borderId="0" xfId="51" applyNumberFormat="1" applyFont="1">
      <alignment vertical="center"/>
    </xf>
    <xf numFmtId="196" fontId="6" fillId="0" borderId="0" xfId="51" applyNumberFormat="1" applyFont="1" applyAlignment="1">
      <alignment horizontal="right" vertical="center"/>
    </xf>
    <xf numFmtId="196" fontId="12" fillId="0" borderId="0" xfId="51" applyNumberFormat="1" applyFont="1" applyAlignment="1">
      <alignment horizontal="right" vertical="center"/>
    </xf>
    <xf numFmtId="196" fontId="12" fillId="39" borderId="0" xfId="51" applyNumberFormat="1" applyFont="1" applyFill="1">
      <alignment vertical="center"/>
    </xf>
    <xf numFmtId="196" fontId="6" fillId="0" borderId="0" xfId="51" applyNumberFormat="1" applyFont="1" applyAlignment="1">
      <alignment horizontal="center" vertical="center"/>
    </xf>
    <xf numFmtId="196" fontId="24" fillId="0" borderId="0" xfId="51" applyNumberFormat="1" applyFont="1">
      <alignment vertical="center"/>
    </xf>
    <xf numFmtId="41" fontId="75" fillId="0" borderId="0" xfId="35" applyFont="1" applyFill="1">
      <alignment vertical="center"/>
    </xf>
    <xf numFmtId="0" fontId="75" fillId="0" borderId="0" xfId="51" applyFont="1">
      <alignment vertical="center"/>
    </xf>
    <xf numFmtId="41" fontId="76" fillId="0" borderId="7" xfId="35" applyFont="1" applyFill="1" applyBorder="1" applyAlignment="1">
      <alignment horizontal="right" vertical="center"/>
    </xf>
    <xf numFmtId="0" fontId="78" fillId="0" borderId="7" xfId="51" applyFont="1" applyBorder="1" applyAlignment="1">
      <alignment horizontal="left" vertical="center"/>
    </xf>
    <xf numFmtId="194" fontId="75" fillId="0" borderId="0" xfId="51" applyNumberFormat="1" applyFont="1">
      <alignment vertical="center"/>
    </xf>
    <xf numFmtId="0" fontId="78" fillId="6" borderId="7" xfId="51" applyFont="1" applyFill="1" applyBorder="1" applyAlignment="1">
      <alignment horizontal="left" vertical="center"/>
    </xf>
    <xf numFmtId="41" fontId="81" fillId="0" borderId="0" xfId="35" applyFont="1" applyFill="1" applyBorder="1" applyAlignment="1" applyProtection="1">
      <alignment horizontal="left" vertical="center"/>
    </xf>
    <xf numFmtId="41" fontId="81" fillId="0" borderId="0" xfId="35" applyFont="1" applyFill="1" applyBorder="1" applyAlignment="1" applyProtection="1">
      <alignment horizontal="right" vertical="center" wrapText="1"/>
    </xf>
    <xf numFmtId="194" fontId="81" fillId="0" borderId="0" xfId="56" applyNumberFormat="1" applyFont="1" applyAlignment="1">
      <alignment horizontal="right" vertical="center" wrapText="1"/>
    </xf>
    <xf numFmtId="41" fontId="81" fillId="0" borderId="178" xfId="35" applyFont="1" applyFill="1" applyBorder="1" applyAlignment="1" applyProtection="1">
      <alignment horizontal="left" vertical="center"/>
    </xf>
    <xf numFmtId="41" fontId="81" fillId="0" borderId="178" xfId="35" applyFont="1" applyFill="1" applyBorder="1" applyAlignment="1" applyProtection="1">
      <alignment horizontal="right" vertical="center" wrapText="1"/>
    </xf>
    <xf numFmtId="194" fontId="81" fillId="0" borderId="178" xfId="56" applyNumberFormat="1" applyFont="1" applyBorder="1" applyAlignment="1">
      <alignment horizontal="right" vertical="center" wrapText="1"/>
    </xf>
    <xf numFmtId="41" fontId="81" fillId="0" borderId="176" xfId="35" applyFont="1" applyFill="1" applyBorder="1" applyAlignment="1" applyProtection="1">
      <alignment horizontal="left" vertical="center"/>
    </xf>
    <xf numFmtId="41" fontId="81" fillId="0" borderId="176" xfId="35" applyFont="1" applyFill="1" applyBorder="1" applyAlignment="1" applyProtection="1">
      <alignment horizontal="right" vertical="center" wrapText="1"/>
    </xf>
    <xf numFmtId="194" fontId="81" fillId="0" borderId="176" xfId="56" applyNumberFormat="1" applyFont="1" applyBorder="1" applyAlignment="1">
      <alignment horizontal="right" vertical="center" wrapText="1"/>
    </xf>
    <xf numFmtId="195" fontId="76" fillId="0" borderId="0" xfId="51" applyNumberFormat="1" applyFont="1" applyAlignment="1">
      <alignment horizontal="right" vertical="center"/>
    </xf>
    <xf numFmtId="3" fontId="79" fillId="0" borderId="0" xfId="51" applyNumberFormat="1" applyFont="1" applyAlignment="1">
      <alignment horizontal="right" vertical="center"/>
    </xf>
    <xf numFmtId="41" fontId="76" fillId="0" borderId="0" xfId="35" applyFont="1" applyFill="1" applyBorder="1" applyAlignment="1">
      <alignment horizontal="right" vertical="center"/>
    </xf>
    <xf numFmtId="41" fontId="81" fillId="41" borderId="176" xfId="35" applyFont="1" applyFill="1" applyBorder="1" applyAlignment="1" applyProtection="1">
      <alignment horizontal="left" vertical="center"/>
    </xf>
    <xf numFmtId="41" fontId="81" fillId="41" borderId="176" xfId="35" applyFont="1" applyFill="1" applyBorder="1" applyAlignment="1" applyProtection="1">
      <alignment horizontal="right" vertical="center" wrapText="1"/>
    </xf>
    <xf numFmtId="41" fontId="81" fillId="0" borderId="178" xfId="35" applyFont="1" applyFill="1" applyBorder="1" applyAlignment="1" applyProtection="1">
      <alignment horizontal="right" vertical="center"/>
    </xf>
    <xf numFmtId="41" fontId="81" fillId="0" borderId="176" xfId="35" applyFont="1" applyFill="1" applyBorder="1" applyAlignment="1" applyProtection="1">
      <alignment horizontal="right" vertical="center"/>
    </xf>
    <xf numFmtId="0" fontId="6" fillId="0" borderId="0" xfId="51" applyFont="1">
      <alignment vertical="center"/>
    </xf>
    <xf numFmtId="177" fontId="12" fillId="29" borderId="7" xfId="51" applyNumberFormat="1" applyFont="1" applyFill="1" applyBorder="1" applyAlignment="1">
      <alignment horizontal="center" vertical="center"/>
    </xf>
    <xf numFmtId="197" fontId="12" fillId="29" borderId="7" xfId="51" applyNumberFormat="1" applyFont="1" applyFill="1" applyBorder="1" applyAlignment="1">
      <alignment horizontal="center" vertical="center"/>
    </xf>
    <xf numFmtId="0" fontId="6" fillId="0" borderId="0" xfId="51" applyFont="1" applyAlignment="1">
      <alignment horizontal="center" vertical="center"/>
    </xf>
    <xf numFmtId="177" fontId="6" fillId="0" borderId="7" xfId="51" applyNumberFormat="1" applyFont="1" applyBorder="1">
      <alignment vertical="center"/>
    </xf>
    <xf numFmtId="177" fontId="6" fillId="29" borderId="7" xfId="51" applyNumberFormat="1" applyFont="1" applyFill="1" applyBorder="1" applyAlignment="1">
      <alignment horizontal="center" vertical="center"/>
    </xf>
    <xf numFmtId="0" fontId="6" fillId="0" borderId="7" xfId="51" applyFont="1" applyBorder="1">
      <alignment vertical="center"/>
    </xf>
    <xf numFmtId="177" fontId="6" fillId="0" borderId="0" xfId="51" applyNumberFormat="1" applyFont="1">
      <alignment vertical="center"/>
    </xf>
    <xf numFmtId="9" fontId="6" fillId="0" borderId="0" xfId="6" applyFont="1">
      <alignment vertical="center"/>
    </xf>
    <xf numFmtId="197" fontId="6" fillId="0" borderId="0" xfId="51" applyNumberFormat="1" applyFont="1">
      <alignment vertical="center"/>
    </xf>
    <xf numFmtId="3" fontId="6" fillId="0" borderId="0" xfId="51" applyNumberFormat="1" applyFont="1">
      <alignment vertical="center"/>
    </xf>
    <xf numFmtId="0" fontId="82" fillId="0" borderId="0" xfId="51" applyFont="1" applyAlignment="1">
      <alignment horizontal="left" vertical="center"/>
    </xf>
    <xf numFmtId="194" fontId="82" fillId="0" borderId="0" xfId="51" applyNumberFormat="1" applyFont="1" applyAlignment="1">
      <alignment horizontal="right" vertical="center" wrapText="1"/>
    </xf>
    <xf numFmtId="177" fontId="6" fillId="0" borderId="0" xfId="51" applyNumberFormat="1" applyFont="1" applyAlignment="1">
      <alignment horizontal="center" vertical="center"/>
    </xf>
    <xf numFmtId="177" fontId="6" fillId="0" borderId="0" xfId="57" applyNumberFormat="1" applyFont="1" applyAlignment="1">
      <alignment vertical="center"/>
    </xf>
    <xf numFmtId="177" fontId="12" fillId="0" borderId="0" xfId="51" applyNumberFormat="1" applyFont="1">
      <alignment vertical="center"/>
    </xf>
    <xf numFmtId="177" fontId="12" fillId="29" borderId="7" xfId="57" applyNumberFormat="1" applyFont="1" applyFill="1" applyBorder="1" applyAlignment="1">
      <alignment horizontal="center" vertical="center"/>
    </xf>
    <xf numFmtId="177" fontId="6" fillId="42" borderId="7" xfId="51" applyNumberFormat="1" applyFont="1" applyFill="1" applyBorder="1" applyAlignment="1">
      <alignment horizontal="left" vertical="center"/>
    </xf>
    <xf numFmtId="177" fontId="6" fillId="42" borderId="7" xfId="51" applyNumberFormat="1" applyFont="1" applyFill="1" applyBorder="1">
      <alignment vertical="center"/>
    </xf>
    <xf numFmtId="197" fontId="6" fillId="42" borderId="7" xfId="51" applyNumberFormat="1" applyFont="1" applyFill="1" applyBorder="1">
      <alignment vertical="center"/>
    </xf>
    <xf numFmtId="177" fontId="6" fillId="39" borderId="7" xfId="51" applyNumberFormat="1" applyFont="1" applyFill="1" applyBorder="1" applyAlignment="1">
      <alignment horizontal="left" vertical="center"/>
    </xf>
    <xf numFmtId="177" fontId="6" fillId="39" borderId="7" xfId="51" applyNumberFormat="1" applyFont="1" applyFill="1" applyBorder="1">
      <alignment vertical="center"/>
    </xf>
    <xf numFmtId="197" fontId="6" fillId="39" borderId="7" xfId="51" applyNumberFormat="1" applyFont="1" applyFill="1" applyBorder="1">
      <alignment vertical="center"/>
    </xf>
    <xf numFmtId="177" fontId="6" fillId="0" borderId="7" xfId="51" applyNumberFormat="1" applyFont="1" applyBorder="1" applyAlignment="1">
      <alignment horizontal="left" vertical="center"/>
    </xf>
    <xf numFmtId="197" fontId="6" fillId="0" borderId="7" xfId="51" applyNumberFormat="1" applyFont="1" applyBorder="1">
      <alignment vertical="center"/>
    </xf>
    <xf numFmtId="180" fontId="6" fillId="0" borderId="7" xfId="57" applyNumberFormat="1" applyFont="1" applyBorder="1" applyAlignment="1">
      <alignment vertical="center"/>
    </xf>
    <xf numFmtId="41" fontId="6" fillId="0" borderId="0" xfId="57" applyFont="1">
      <alignment vertical="center"/>
    </xf>
    <xf numFmtId="177" fontId="12" fillId="0" borderId="0" xfId="51" applyNumberFormat="1" applyFont="1" applyAlignment="1">
      <alignment horizontal="left" vertical="center"/>
    </xf>
    <xf numFmtId="197" fontId="6" fillId="0" borderId="0" xfId="58" applyNumberFormat="1" applyFont="1" applyAlignment="1">
      <alignment vertical="center"/>
    </xf>
    <xf numFmtId="41" fontId="12" fillId="29" borderId="7" xfId="57" applyFont="1" applyFill="1" applyBorder="1" applyAlignment="1">
      <alignment horizontal="center" vertical="center"/>
    </xf>
    <xf numFmtId="0" fontId="6" fillId="29" borderId="7" xfId="51" applyFont="1" applyFill="1" applyBorder="1" applyAlignment="1">
      <alignment horizontal="center" vertical="center"/>
    </xf>
    <xf numFmtId="41" fontId="6" fillId="29" borderId="7" xfId="57" applyFont="1" applyFill="1" applyBorder="1" applyAlignment="1">
      <alignment horizontal="center" vertical="center"/>
    </xf>
    <xf numFmtId="0" fontId="6" fillId="43" borderId="7" xfId="51" applyFont="1" applyFill="1" applyBorder="1">
      <alignment vertical="center"/>
    </xf>
    <xf numFmtId="0" fontId="6" fillId="42" borderId="7" xfId="51" applyFont="1" applyFill="1" applyBorder="1">
      <alignment vertical="center"/>
    </xf>
    <xf numFmtId="0" fontId="6" fillId="39" borderId="7" xfId="51" applyFont="1" applyFill="1" applyBorder="1">
      <alignment vertical="center"/>
    </xf>
    <xf numFmtId="0" fontId="6" fillId="0" borderId="179" xfId="51" applyFont="1" applyBorder="1">
      <alignment vertical="center"/>
    </xf>
    <xf numFmtId="0" fontId="6" fillId="6" borderId="7" xfId="51" applyFont="1" applyFill="1" applyBorder="1">
      <alignment vertical="center"/>
    </xf>
    <xf numFmtId="4" fontId="6" fillId="0" borderId="0" xfId="51" applyNumberFormat="1" applyFont="1">
      <alignment vertical="center"/>
    </xf>
    <xf numFmtId="199" fontId="82" fillId="0" borderId="0" xfId="51" applyNumberFormat="1" applyFont="1" applyAlignment="1">
      <alignment horizontal="right" vertical="center" wrapText="1"/>
    </xf>
    <xf numFmtId="41" fontId="75" fillId="0" borderId="0" xfId="35" applyFont="1" applyFill="1" applyAlignment="1">
      <alignment horizontal="center" vertical="center"/>
    </xf>
    <xf numFmtId="0" fontId="75" fillId="0" borderId="0" xfId="51" applyFont="1" applyAlignment="1">
      <alignment horizontal="center" vertical="center"/>
    </xf>
    <xf numFmtId="0" fontId="76" fillId="0" borderId="9" xfId="51" applyFont="1" applyBorder="1" applyAlignment="1">
      <alignment horizontal="left" vertical="center"/>
    </xf>
    <xf numFmtId="0" fontId="79" fillId="0" borderId="9" xfId="51" applyFont="1" applyBorder="1" applyAlignment="1">
      <alignment horizontal="left" vertical="center"/>
    </xf>
    <xf numFmtId="0" fontId="78" fillId="0" borderId="9" xfId="51" applyFont="1" applyBorder="1" applyAlignment="1">
      <alignment horizontal="left" vertical="center"/>
    </xf>
    <xf numFmtId="0" fontId="78" fillId="6" borderId="9" xfId="51" applyFont="1" applyFill="1" applyBorder="1" applyAlignment="1">
      <alignment horizontal="left" vertical="center"/>
    </xf>
    <xf numFmtId="0" fontId="75" fillId="40" borderId="50" xfId="51" applyFont="1" applyFill="1" applyBorder="1" applyAlignment="1">
      <alignment horizontal="center" vertical="center"/>
    </xf>
    <xf numFmtId="41" fontId="75" fillId="40" borderId="55" xfId="35" applyFont="1" applyFill="1" applyBorder="1" applyAlignment="1">
      <alignment horizontal="center" vertical="center"/>
    </xf>
    <xf numFmtId="41" fontId="75" fillId="40" borderId="61" xfId="35" applyFont="1" applyFill="1" applyBorder="1" applyAlignment="1">
      <alignment horizontal="center" vertical="center"/>
    </xf>
    <xf numFmtId="0" fontId="75" fillId="40" borderId="55" xfId="51" applyFont="1" applyFill="1" applyBorder="1" applyAlignment="1">
      <alignment horizontal="center" vertical="center"/>
    </xf>
    <xf numFmtId="0" fontId="75" fillId="40" borderId="61" xfId="51" applyFont="1" applyFill="1" applyBorder="1" applyAlignment="1">
      <alignment horizontal="center" vertical="center"/>
    </xf>
    <xf numFmtId="196" fontId="6" fillId="40" borderId="50" xfId="51" applyNumberFormat="1" applyFont="1" applyFill="1" applyBorder="1" applyAlignment="1">
      <alignment horizontal="center" vertical="center"/>
    </xf>
    <xf numFmtId="196" fontId="6" fillId="40" borderId="55" xfId="51" applyNumberFormat="1" applyFont="1" applyFill="1" applyBorder="1" applyAlignment="1">
      <alignment horizontal="center" vertical="center"/>
    </xf>
    <xf numFmtId="196" fontId="12" fillId="40" borderId="55" xfId="51" applyNumberFormat="1" applyFont="1" applyFill="1" applyBorder="1" applyAlignment="1">
      <alignment horizontal="center" vertical="center"/>
    </xf>
    <xf numFmtId="196" fontId="6" fillId="40" borderId="61" xfId="51" applyNumberFormat="1" applyFont="1" applyFill="1" applyBorder="1" applyAlignment="1">
      <alignment horizontal="center" vertical="center"/>
    </xf>
    <xf numFmtId="0" fontId="0" fillId="0" borderId="0" xfId="0" quotePrefix="1" applyAlignment="1"/>
    <xf numFmtId="3" fontId="78" fillId="9" borderId="7" xfId="51" applyNumberFormat="1" applyFont="1" applyFill="1" applyBorder="1" applyAlignment="1">
      <alignment horizontal="right" vertical="center"/>
    </xf>
    <xf numFmtId="176" fontId="66" fillId="8" borderId="177" xfId="5" applyFont="1" applyFill="1" applyBorder="1">
      <alignment vertical="center"/>
    </xf>
    <xf numFmtId="0" fontId="6" fillId="40" borderId="50" xfId="51" applyFont="1" applyFill="1" applyBorder="1" applyAlignment="1">
      <alignment horizontal="center" vertical="center"/>
    </xf>
    <xf numFmtId="0" fontId="6" fillId="40" borderId="55" xfId="51" applyFont="1" applyFill="1" applyBorder="1">
      <alignment vertical="center"/>
    </xf>
    <xf numFmtId="0" fontId="6" fillId="40" borderId="61" xfId="51" applyFont="1" applyFill="1" applyBorder="1">
      <alignment vertical="center"/>
    </xf>
    <xf numFmtId="181" fontId="66" fillId="8" borderId="7" xfId="5" applyNumberFormat="1" applyFont="1" applyFill="1" applyBorder="1">
      <alignment vertical="center"/>
    </xf>
    <xf numFmtId="181" fontId="66" fillId="8" borderId="63" xfId="5" applyNumberFormat="1" applyFont="1" applyFill="1" applyBorder="1">
      <alignment vertical="center"/>
    </xf>
    <xf numFmtId="181" fontId="66" fillId="10" borderId="41" xfId="5" applyNumberFormat="1" applyFont="1" applyFill="1" applyBorder="1">
      <alignment vertical="center"/>
    </xf>
    <xf numFmtId="181" fontId="66" fillId="10" borderId="42" xfId="5" applyNumberFormat="1" applyFont="1" applyFill="1" applyBorder="1">
      <alignment vertical="center"/>
    </xf>
    <xf numFmtId="181" fontId="66" fillId="12" borderId="51" xfId="5" applyNumberFormat="1" applyFont="1" applyFill="1" applyBorder="1">
      <alignment vertical="center"/>
    </xf>
    <xf numFmtId="181" fontId="66" fillId="12" borderId="52" xfId="5" applyNumberFormat="1" applyFont="1" applyFill="1" applyBorder="1">
      <alignment vertical="center"/>
    </xf>
    <xf numFmtId="181" fontId="66" fillId="13" borderId="53" xfId="5" applyNumberFormat="1" applyFont="1" applyFill="1" applyBorder="1">
      <alignment vertical="center"/>
    </xf>
    <xf numFmtId="181" fontId="66" fillId="13" borderId="54" xfId="5" applyNumberFormat="1" applyFont="1" applyFill="1" applyBorder="1">
      <alignment vertical="center"/>
    </xf>
    <xf numFmtId="181" fontId="66" fillId="8" borderId="63" xfId="1" applyNumberFormat="1" applyFont="1" applyFill="1" applyBorder="1">
      <alignment vertical="center"/>
    </xf>
    <xf numFmtId="181" fontId="66" fillId="40" borderId="7" xfId="5" applyNumberFormat="1" applyFont="1" applyFill="1" applyBorder="1">
      <alignment vertical="center"/>
    </xf>
    <xf numFmtId="181" fontId="66" fillId="0" borderId="7" xfId="5" applyNumberFormat="1" applyFont="1" applyFill="1" applyBorder="1">
      <alignment vertical="center"/>
    </xf>
    <xf numFmtId="181" fontId="66" fillId="0" borderId="63" xfId="5" applyNumberFormat="1" applyFont="1" applyFill="1" applyBorder="1">
      <alignment vertical="center"/>
    </xf>
    <xf numFmtId="181" fontId="66" fillId="40" borderId="63" xfId="5" applyNumberFormat="1" applyFont="1" applyFill="1" applyBorder="1">
      <alignment vertical="center"/>
    </xf>
    <xf numFmtId="181" fontId="66" fillId="0" borderId="65" xfId="5" applyNumberFormat="1" applyFont="1" applyFill="1" applyBorder="1">
      <alignment vertical="center"/>
    </xf>
    <xf numFmtId="181" fontId="66" fillId="0" borderId="30" xfId="5" applyNumberFormat="1" applyFont="1" applyFill="1" applyBorder="1">
      <alignment vertical="center"/>
    </xf>
    <xf numFmtId="181" fontId="66" fillId="0" borderId="27" xfId="5" applyNumberFormat="1" applyFont="1" applyFill="1" applyBorder="1">
      <alignment vertical="center"/>
    </xf>
    <xf numFmtId="181" fontId="66" fillId="12" borderId="175" xfId="5" applyNumberFormat="1" applyFont="1" applyFill="1" applyBorder="1">
      <alignment vertical="center"/>
    </xf>
    <xf numFmtId="181" fontId="66" fillId="12" borderId="66" xfId="5" applyNumberFormat="1" applyFont="1" applyFill="1" applyBorder="1">
      <alignment vertical="center"/>
    </xf>
    <xf numFmtId="181" fontId="66" fillId="13" borderId="67" xfId="5" applyNumberFormat="1" applyFont="1" applyFill="1" applyBorder="1">
      <alignment vertical="center"/>
    </xf>
    <xf numFmtId="181" fontId="66" fillId="13" borderId="68" xfId="5" applyNumberFormat="1" applyFont="1" applyFill="1" applyBorder="1">
      <alignment vertical="center"/>
    </xf>
    <xf numFmtId="181" fontId="66" fillId="0" borderId="27" xfId="1" applyNumberFormat="1" applyFont="1" applyFill="1" applyBorder="1">
      <alignment vertical="center"/>
    </xf>
    <xf numFmtId="181" fontId="37" fillId="0" borderId="0" xfId="0" applyNumberFormat="1" applyFont="1">
      <alignment vertical="center"/>
    </xf>
    <xf numFmtId="10" fontId="28" fillId="0" borderId="0" xfId="0" applyNumberFormat="1" applyFont="1">
      <alignment vertical="center"/>
    </xf>
    <xf numFmtId="10" fontId="47" fillId="0" borderId="0" xfId="0" applyNumberFormat="1" applyFont="1">
      <alignment vertical="center"/>
    </xf>
    <xf numFmtId="190" fontId="15" fillId="0" borderId="0" xfId="11" applyNumberFormat="1" applyFont="1" applyAlignment="1">
      <alignment vertical="center"/>
    </xf>
    <xf numFmtId="0" fontId="10" fillId="14" borderId="0" xfId="0" applyFont="1" applyFill="1">
      <alignment vertical="center"/>
    </xf>
    <xf numFmtId="176" fontId="10" fillId="0" borderId="0" xfId="8" applyFont="1" applyAlignment="1">
      <alignment horizontal="center" vertical="center"/>
    </xf>
    <xf numFmtId="41" fontId="10" fillId="0" borderId="0" xfId="1" applyFont="1">
      <alignment vertical="center"/>
    </xf>
    <xf numFmtId="41" fontId="10" fillId="0" borderId="0" xfId="0" applyNumberFormat="1" applyFont="1">
      <alignment vertical="center"/>
    </xf>
    <xf numFmtId="196" fontId="12" fillId="39" borderId="156" xfId="51" applyNumberFormat="1" applyFont="1" applyFill="1" applyBorder="1" applyAlignment="1">
      <alignment horizontal="center" vertical="center"/>
    </xf>
    <xf numFmtId="14" fontId="12" fillId="39" borderId="156" xfId="51" applyNumberFormat="1" applyFont="1" applyFill="1" applyBorder="1" applyAlignment="1">
      <alignment horizontal="center" vertical="center"/>
    </xf>
    <xf numFmtId="14" fontId="12" fillId="39" borderId="5" xfId="51" applyNumberFormat="1" applyFont="1" applyFill="1" applyBorder="1" applyAlignment="1">
      <alignment horizontal="center" vertical="center"/>
    </xf>
    <xf numFmtId="196" fontId="12" fillId="39" borderId="180" xfId="51" applyNumberFormat="1" applyFont="1" applyFill="1" applyBorder="1">
      <alignment vertical="center"/>
    </xf>
    <xf numFmtId="196" fontId="12" fillId="39" borderId="30" xfId="51" applyNumberFormat="1" applyFont="1" applyFill="1" applyBorder="1">
      <alignment vertical="center"/>
    </xf>
    <xf numFmtId="196" fontId="12" fillId="0" borderId="106" xfId="51" applyNumberFormat="1" applyFont="1" applyBorder="1" applyAlignment="1">
      <alignment horizontal="left" vertical="center" indent="1"/>
    </xf>
    <xf numFmtId="196" fontId="12" fillId="0" borderId="106" xfId="51" applyNumberFormat="1" applyFont="1" applyBorder="1">
      <alignment vertical="center"/>
    </xf>
    <xf numFmtId="196" fontId="12" fillId="0" borderId="10" xfId="51" applyNumberFormat="1" applyFont="1" applyBorder="1">
      <alignment vertical="center"/>
    </xf>
    <xf numFmtId="196" fontId="6" fillId="0" borderId="106" xfId="51" applyNumberFormat="1" applyFont="1" applyBorder="1" applyAlignment="1">
      <alignment horizontal="left" vertical="center" indent="1"/>
    </xf>
    <xf numFmtId="196" fontId="6" fillId="0" borderId="106" xfId="51" applyNumberFormat="1" applyFont="1" applyBorder="1" applyAlignment="1">
      <alignment horizontal="left" vertical="center" indent="2"/>
    </xf>
    <xf numFmtId="196" fontId="6" fillId="0" borderId="106" xfId="51" applyNumberFormat="1" applyFont="1" applyBorder="1">
      <alignment vertical="center"/>
    </xf>
    <xf numFmtId="196" fontId="6" fillId="0" borderId="10" xfId="51" applyNumberFormat="1" applyFont="1" applyBorder="1">
      <alignment vertical="center"/>
    </xf>
    <xf numFmtId="0" fontId="12" fillId="0" borderId="0" xfId="51" applyFont="1">
      <alignment vertical="center"/>
    </xf>
    <xf numFmtId="0" fontId="33" fillId="0" borderId="74" xfId="51" applyBorder="1">
      <alignment vertical="center"/>
    </xf>
    <xf numFmtId="196" fontId="6" fillId="0" borderId="10" xfId="51" applyNumberFormat="1" applyFont="1" applyBorder="1" applyAlignment="1">
      <alignment horizontal="left" vertical="center" indent="2"/>
    </xf>
    <xf numFmtId="196" fontId="12" fillId="0" borderId="106" xfId="51" applyNumberFormat="1" applyFont="1" applyBorder="1" applyAlignment="1">
      <alignment horizontal="left" vertical="center" indent="2"/>
    </xf>
    <xf numFmtId="196" fontId="12" fillId="42" borderId="106" xfId="51" applyNumberFormat="1" applyFont="1" applyFill="1" applyBorder="1" applyAlignment="1">
      <alignment horizontal="left" vertical="center"/>
    </xf>
    <xf numFmtId="196" fontId="12" fillId="42" borderId="106" xfId="51" applyNumberFormat="1" applyFont="1" applyFill="1" applyBorder="1">
      <alignment vertical="center"/>
    </xf>
    <xf numFmtId="196" fontId="6" fillId="42" borderId="106" xfId="51" applyNumberFormat="1" applyFont="1" applyFill="1" applyBorder="1" applyAlignment="1">
      <alignment horizontal="left" vertical="center" indent="2"/>
    </xf>
    <xf numFmtId="196" fontId="12" fillId="0" borderId="106" xfId="51" applyNumberFormat="1" applyFont="1" applyBorder="1" applyAlignment="1">
      <alignment horizontal="left" vertical="center"/>
    </xf>
    <xf numFmtId="196" fontId="12" fillId="39" borderId="65" xfId="51" applyNumberFormat="1" applyFont="1" applyFill="1" applyBorder="1">
      <alignment vertical="center"/>
    </xf>
    <xf numFmtId="196" fontId="6" fillId="0" borderId="134" xfId="51" applyNumberFormat="1" applyFont="1" applyBorder="1" applyAlignment="1">
      <alignment horizontal="left" vertical="center" indent="1"/>
    </xf>
    <xf numFmtId="196" fontId="6" fillId="0" borderId="69" xfId="51" applyNumberFormat="1" applyFont="1" applyBorder="1">
      <alignment vertical="center"/>
    </xf>
    <xf numFmtId="196" fontId="12" fillId="42" borderId="27" xfId="51" applyNumberFormat="1" applyFont="1" applyFill="1" applyBorder="1">
      <alignment vertical="center"/>
    </xf>
    <xf numFmtId="196" fontId="6" fillId="42" borderId="26" xfId="51" applyNumberFormat="1" applyFont="1" applyFill="1" applyBorder="1">
      <alignment vertical="center"/>
    </xf>
    <xf numFmtId="196" fontId="12" fillId="42" borderId="30" xfId="51" applyNumberFormat="1" applyFont="1" applyFill="1" applyBorder="1">
      <alignment vertical="center"/>
    </xf>
    <xf numFmtId="196" fontId="12" fillId="42" borderId="65" xfId="51" applyNumberFormat="1" applyFont="1" applyFill="1" applyBorder="1">
      <alignment vertical="center"/>
    </xf>
    <xf numFmtId="196" fontId="6" fillId="42" borderId="30" xfId="51" applyNumberFormat="1" applyFont="1" applyFill="1" applyBorder="1">
      <alignment vertical="center"/>
    </xf>
    <xf numFmtId="196" fontId="6" fillId="0" borderId="10" xfId="51" applyNumberFormat="1" applyFont="1" applyBorder="1" applyAlignment="1">
      <alignment horizontal="right" vertical="center"/>
    </xf>
    <xf numFmtId="196" fontId="6" fillId="0" borderId="0" xfId="57" applyNumberFormat="1" applyFont="1">
      <alignment vertical="center"/>
    </xf>
    <xf numFmtId="0" fontId="12" fillId="0" borderId="181" xfId="51" applyFont="1" applyBorder="1" applyAlignment="1">
      <alignment horizontal="center" vertical="center" wrapText="1"/>
    </xf>
    <xf numFmtId="0" fontId="12" fillId="0" borderId="64" xfId="51" applyFont="1" applyBorder="1" applyAlignment="1">
      <alignment horizontal="center" vertical="center" wrapText="1"/>
    </xf>
    <xf numFmtId="0" fontId="12" fillId="41" borderId="6" xfId="51" applyFont="1" applyFill="1" applyBorder="1" applyAlignment="1">
      <alignment horizontal="center" vertical="center" wrapText="1"/>
    </xf>
    <xf numFmtId="0" fontId="12" fillId="41" borderId="21" xfId="51" applyFont="1" applyFill="1" applyBorder="1" applyAlignment="1">
      <alignment horizontal="center" vertical="center" wrapText="1"/>
    </xf>
    <xf numFmtId="0" fontId="6" fillId="0" borderId="7" xfId="51" applyFont="1" applyBorder="1" applyAlignment="1">
      <alignment horizontal="left" vertical="center" wrapText="1"/>
    </xf>
    <xf numFmtId="196" fontId="6" fillId="0" borderId="64" xfId="57" applyNumberFormat="1" applyFont="1" applyBorder="1">
      <alignment vertical="center"/>
    </xf>
    <xf numFmtId="196" fontId="6" fillId="41" borderId="6" xfId="57" applyNumberFormat="1" applyFont="1" applyFill="1" applyBorder="1">
      <alignment vertical="center"/>
    </xf>
    <xf numFmtId="196" fontId="6" fillId="41" borderId="21" xfId="57" applyNumberFormat="1" applyFont="1" applyFill="1" applyBorder="1">
      <alignment vertical="center"/>
    </xf>
    <xf numFmtId="0" fontId="6" fillId="0" borderId="7" xfId="51" applyFont="1" applyBorder="1" applyAlignment="1">
      <alignment horizontal="left" vertical="center" shrinkToFit="1"/>
    </xf>
    <xf numFmtId="196" fontId="6" fillId="0" borderId="64" xfId="57" applyNumberFormat="1" applyFont="1" applyFill="1" applyBorder="1">
      <alignment vertical="center"/>
    </xf>
    <xf numFmtId="196" fontId="6" fillId="0" borderId="7" xfId="51" applyNumberFormat="1" applyFont="1" applyBorder="1">
      <alignment vertical="center"/>
    </xf>
    <xf numFmtId="196" fontId="6" fillId="0" borderId="182" xfId="57" applyNumberFormat="1" applyFont="1" applyBorder="1">
      <alignment vertical="center"/>
    </xf>
    <xf numFmtId="196" fontId="6" fillId="41" borderId="11" xfId="57" applyNumberFormat="1" applyFont="1" applyFill="1" applyBorder="1">
      <alignment vertical="center"/>
    </xf>
    <xf numFmtId="196" fontId="6" fillId="41" borderId="118" xfId="57" applyNumberFormat="1" applyFont="1" applyFill="1" applyBorder="1">
      <alignment vertical="center"/>
    </xf>
    <xf numFmtId="41" fontId="6" fillId="0" borderId="0" xfId="57" applyFont="1" applyFill="1">
      <alignment vertical="center"/>
    </xf>
    <xf numFmtId="0" fontId="31" fillId="39" borderId="154" xfId="51" applyFont="1" applyFill="1" applyBorder="1" applyAlignment="1">
      <alignment horizontal="center" vertical="center"/>
    </xf>
    <xf numFmtId="0" fontId="31" fillId="39" borderId="11" xfId="51" applyFont="1" applyFill="1" applyBorder="1" applyAlignment="1">
      <alignment horizontal="center" vertical="center"/>
    </xf>
    <xf numFmtId="14" fontId="31" fillId="39" borderId="82" xfId="51" applyNumberFormat="1" applyFont="1" applyFill="1" applyBorder="1" applyAlignment="1">
      <alignment horizontal="center" vertical="center"/>
    </xf>
    <xf numFmtId="14" fontId="31" fillId="39" borderId="12" xfId="51" applyNumberFormat="1" applyFont="1" applyFill="1" applyBorder="1" applyAlignment="1">
      <alignment horizontal="center" vertical="center"/>
    </xf>
    <xf numFmtId="196" fontId="12" fillId="39" borderId="119" xfId="51" applyNumberFormat="1" applyFont="1" applyFill="1" applyBorder="1">
      <alignment vertical="center"/>
    </xf>
    <xf numFmtId="196" fontId="6" fillId="0" borderId="74" xfId="51" applyNumberFormat="1" applyFont="1" applyBorder="1" applyAlignment="1">
      <alignment horizontal="left" vertical="center" indent="1"/>
    </xf>
    <xf numFmtId="196" fontId="12" fillId="42" borderId="119" xfId="51" applyNumberFormat="1" applyFont="1" applyFill="1" applyBorder="1">
      <alignment vertical="center"/>
    </xf>
    <xf numFmtId="196" fontId="6" fillId="0" borderId="74" xfId="51" applyNumberFormat="1" applyFont="1" applyBorder="1">
      <alignment vertical="center"/>
    </xf>
    <xf numFmtId="196" fontId="6" fillId="0" borderId="102" xfId="51" applyNumberFormat="1" applyFont="1" applyBorder="1">
      <alignment vertical="center"/>
    </xf>
    <xf numFmtId="196" fontId="6" fillId="0" borderId="85" xfId="51" applyNumberFormat="1" applyFont="1" applyBorder="1">
      <alignment vertical="center"/>
    </xf>
    <xf numFmtId="196" fontId="6" fillId="0" borderId="88" xfId="51" applyNumberFormat="1" applyFont="1" applyBorder="1">
      <alignment vertical="center"/>
    </xf>
    <xf numFmtId="196" fontId="6" fillId="0" borderId="33" xfId="51" applyNumberFormat="1" applyFont="1" applyBorder="1">
      <alignment vertical="center"/>
    </xf>
    <xf numFmtId="0" fontId="9" fillId="0" borderId="45" xfId="0" applyFont="1" applyBorder="1" applyAlignment="1">
      <alignment vertical="center" wrapText="1"/>
    </xf>
    <xf numFmtId="0" fontId="9" fillId="0" borderId="0" xfId="0" applyFont="1" applyAlignment="1">
      <alignment vertical="center" wrapText="1"/>
    </xf>
    <xf numFmtId="0" fontId="9" fillId="0" borderId="117" xfId="0" applyFont="1" applyBorder="1" applyAlignment="1">
      <alignment vertical="center" wrapText="1"/>
    </xf>
    <xf numFmtId="176" fontId="68" fillId="8" borderId="177" xfId="5" applyFont="1" applyFill="1" applyBorder="1">
      <alignment vertical="center"/>
    </xf>
    <xf numFmtId="176" fontId="66" fillId="11" borderId="7" xfId="5" applyFont="1" applyFill="1" applyBorder="1">
      <alignment vertical="center"/>
    </xf>
    <xf numFmtId="176" fontId="68" fillId="11" borderId="7" xfId="5" applyFont="1" applyFill="1" applyBorder="1">
      <alignment vertical="center"/>
    </xf>
    <xf numFmtId="176" fontId="66" fillId="11" borderId="33" xfId="5" applyFont="1" applyFill="1" applyBorder="1">
      <alignment vertical="center"/>
    </xf>
    <xf numFmtId="176" fontId="66" fillId="8" borderId="62" xfId="5" applyFont="1" applyFill="1" applyBorder="1">
      <alignment vertical="center"/>
    </xf>
    <xf numFmtId="176" fontId="68" fillId="8" borderId="99" xfId="5" applyFont="1" applyFill="1" applyBorder="1">
      <alignment vertical="center"/>
    </xf>
    <xf numFmtId="176" fontId="66" fillId="8" borderId="7" xfId="5" applyFont="1" applyFill="1" applyBorder="1">
      <alignment vertical="center"/>
    </xf>
    <xf numFmtId="176" fontId="68" fillId="8" borderId="7" xfId="5" applyFont="1" applyFill="1" applyBorder="1">
      <alignment vertical="center"/>
    </xf>
    <xf numFmtId="0" fontId="65" fillId="0" borderId="95" xfId="0" applyFont="1" applyBorder="1">
      <alignment vertical="center"/>
    </xf>
    <xf numFmtId="0" fontId="65" fillId="0" borderId="69" xfId="0" applyFont="1" applyBorder="1">
      <alignment vertical="center"/>
    </xf>
    <xf numFmtId="0" fontId="69" fillId="0" borderId="69" xfId="0" applyFont="1" applyBorder="1">
      <alignment vertical="center"/>
    </xf>
    <xf numFmtId="0" fontId="69" fillId="0" borderId="98" xfId="0" applyFont="1" applyBorder="1">
      <alignment vertical="center"/>
    </xf>
    <xf numFmtId="176" fontId="68" fillId="14" borderId="80" xfId="5" applyFont="1" applyFill="1" applyBorder="1">
      <alignment vertical="center"/>
    </xf>
    <xf numFmtId="176" fontId="68" fillId="14" borderId="81" xfId="5" applyFont="1" applyFill="1" applyBorder="1">
      <alignment vertical="center"/>
    </xf>
    <xf numFmtId="176" fontId="68" fillId="15" borderId="83" xfId="5" applyFont="1" applyFill="1" applyBorder="1">
      <alignment vertical="center"/>
    </xf>
    <xf numFmtId="176" fontId="68" fillId="15" borderId="84" xfId="5" applyFont="1" applyFill="1" applyBorder="1">
      <alignment vertical="center"/>
    </xf>
    <xf numFmtId="176" fontId="68" fillId="11" borderId="12" xfId="5" applyFont="1" applyFill="1" applyBorder="1">
      <alignment vertical="center"/>
    </xf>
    <xf numFmtId="176" fontId="68" fillId="8" borderId="12" xfId="5" applyFont="1" applyFill="1" applyBorder="1">
      <alignment vertical="center"/>
    </xf>
    <xf numFmtId="0" fontId="9" fillId="0" borderId="0" xfId="0" applyFont="1" applyAlignment="1">
      <alignment vertical="top"/>
    </xf>
    <xf numFmtId="41" fontId="8" fillId="0" borderId="0" xfId="57" applyFont="1">
      <alignment vertical="center"/>
    </xf>
    <xf numFmtId="14" fontId="33" fillId="0" borderId="0" xfId="51" applyNumberFormat="1">
      <alignment vertical="center"/>
    </xf>
    <xf numFmtId="41" fontId="33" fillId="0" borderId="0" xfId="51" applyNumberFormat="1">
      <alignment vertical="center"/>
    </xf>
    <xf numFmtId="41" fontId="8" fillId="0" borderId="106" xfId="57" applyFont="1" applyBorder="1">
      <alignment vertical="center"/>
    </xf>
    <xf numFmtId="0" fontId="10" fillId="9" borderId="0" xfId="0" applyFont="1" applyFill="1">
      <alignment vertical="center"/>
    </xf>
    <xf numFmtId="196" fontId="12" fillId="0" borderId="0" xfId="0" applyNumberFormat="1" applyFont="1" applyAlignment="1">
      <alignment horizontal="left" vertical="center" indent="1"/>
    </xf>
    <xf numFmtId="176" fontId="66" fillId="40" borderId="33" xfId="5" applyFont="1" applyFill="1" applyBorder="1">
      <alignment vertical="center"/>
    </xf>
    <xf numFmtId="176" fontId="66" fillId="40" borderId="85" xfId="5" applyFont="1" applyFill="1" applyBorder="1">
      <alignment vertical="center"/>
    </xf>
    <xf numFmtId="41" fontId="15" fillId="0" borderId="0" xfId="1" applyFont="1">
      <alignment vertical="center"/>
    </xf>
    <xf numFmtId="178" fontId="41" fillId="0" borderId="0" xfId="15" applyFont="1">
      <alignment vertical="center"/>
    </xf>
    <xf numFmtId="196" fontId="6" fillId="40" borderId="55" xfId="51" quotePrefix="1" applyNumberFormat="1" applyFont="1" applyFill="1" applyBorder="1" applyAlignment="1">
      <alignment horizontal="center" vertical="center"/>
    </xf>
    <xf numFmtId="41" fontId="75" fillId="40" borderId="55" xfId="35" quotePrefix="1" applyFont="1" applyFill="1" applyBorder="1" applyAlignment="1">
      <alignment horizontal="center" vertical="center"/>
    </xf>
    <xf numFmtId="176" fontId="9" fillId="0" borderId="159" xfId="8" quotePrefix="1" applyFont="1" applyFill="1" applyBorder="1" applyAlignment="1">
      <alignment horizontal="center" vertical="center"/>
    </xf>
    <xf numFmtId="0" fontId="66" fillId="0" borderId="7" xfId="0" quotePrefix="1" applyFont="1" applyBorder="1" applyAlignment="1">
      <alignment horizontal="center" vertical="center"/>
    </xf>
    <xf numFmtId="176" fontId="10" fillId="0" borderId="0" xfId="0" applyNumberFormat="1" applyFont="1">
      <alignment vertical="center"/>
    </xf>
    <xf numFmtId="0" fontId="83" fillId="26" borderId="148" xfId="0" applyFont="1" applyFill="1" applyBorder="1" applyAlignment="1">
      <alignment horizontal="center" vertical="center" wrapText="1"/>
    </xf>
    <xf numFmtId="0" fontId="83" fillId="26" borderId="139" xfId="0" applyFont="1" applyFill="1" applyBorder="1" applyAlignment="1">
      <alignment horizontal="center" vertical="center" wrapText="1"/>
    </xf>
    <xf numFmtId="0" fontId="83" fillId="0" borderId="111" xfId="0" applyFont="1" applyBorder="1" applyAlignment="1">
      <alignment vertical="center" wrapText="1"/>
    </xf>
    <xf numFmtId="0" fontId="83" fillId="0" borderId="112" xfId="0" applyFont="1" applyBorder="1" applyAlignment="1">
      <alignment horizontal="center" vertical="top" wrapText="1"/>
    </xf>
    <xf numFmtId="9" fontId="83" fillId="0" borderId="112" xfId="0" applyNumberFormat="1" applyFont="1" applyBorder="1" applyAlignment="1">
      <alignment horizontal="center" vertical="center" wrapText="1"/>
    </xf>
    <xf numFmtId="0" fontId="83" fillId="0" borderId="113" xfId="0" applyFont="1" applyBorder="1" applyAlignment="1">
      <alignment horizontal="center" vertical="center" wrapText="1"/>
    </xf>
    <xf numFmtId="0" fontId="83" fillId="0" borderId="114" xfId="0" applyFont="1" applyBorder="1" applyAlignment="1">
      <alignment vertical="center" wrapText="1"/>
    </xf>
    <xf numFmtId="0" fontId="83" fillId="0" borderId="115" xfId="0" applyFont="1" applyBorder="1" applyAlignment="1">
      <alignment horizontal="center" vertical="top" wrapText="1"/>
    </xf>
    <xf numFmtId="0" fontId="83" fillId="0" borderId="115" xfId="0" applyFont="1" applyBorder="1" applyAlignment="1">
      <alignment horizontal="center" vertical="center" wrapText="1"/>
    </xf>
    <xf numFmtId="0" fontId="83" fillId="0" borderId="116" xfId="0" applyFont="1" applyBorder="1" applyAlignment="1">
      <alignment horizontal="center" vertical="center" wrapText="1"/>
    </xf>
    <xf numFmtId="0" fontId="83" fillId="0" borderId="0" xfId="0" applyFont="1">
      <alignment vertical="center"/>
    </xf>
    <xf numFmtId="0" fontId="83" fillId="46" borderId="108" xfId="0" applyFont="1" applyFill="1" applyBorder="1" applyAlignment="1">
      <alignment horizontal="center" vertical="center" wrapText="1"/>
    </xf>
    <xf numFmtId="0" fontId="83" fillId="46" borderId="112" xfId="0" applyFont="1" applyFill="1" applyBorder="1" applyAlignment="1">
      <alignment horizontal="center" vertical="center" wrapText="1"/>
    </xf>
    <xf numFmtId="3" fontId="83" fillId="0" borderId="112" xfId="0" applyNumberFormat="1" applyFont="1" applyBorder="1" applyAlignment="1">
      <alignment horizontal="right" vertical="center" wrapText="1"/>
    </xf>
    <xf numFmtId="0" fontId="83" fillId="0" borderId="112" xfId="0" applyFont="1" applyBorder="1" applyAlignment="1">
      <alignment horizontal="right" vertical="center" wrapText="1"/>
    </xf>
    <xf numFmtId="0" fontId="83" fillId="0" borderId="113" xfId="0" applyFont="1" applyBorder="1" applyAlignment="1">
      <alignment horizontal="right" vertical="center" wrapText="1"/>
    </xf>
    <xf numFmtId="3" fontId="83" fillId="0" borderId="115" xfId="0" applyNumberFormat="1" applyFont="1" applyBorder="1" applyAlignment="1">
      <alignment horizontal="right" vertical="center" wrapText="1"/>
    </xf>
    <xf numFmtId="176" fontId="66" fillId="14" borderId="1" xfId="5" applyFont="1" applyFill="1" applyBorder="1">
      <alignment vertical="center"/>
    </xf>
    <xf numFmtId="176" fontId="66" fillId="14" borderId="192" xfId="5" applyFont="1" applyFill="1" applyBorder="1">
      <alignment vertical="center"/>
    </xf>
    <xf numFmtId="176" fontId="66" fillId="8" borderId="71" xfId="5" applyFont="1" applyFill="1" applyBorder="1">
      <alignment vertical="center"/>
    </xf>
    <xf numFmtId="176" fontId="66" fillId="15" borderId="193" xfId="5" applyFont="1" applyFill="1" applyBorder="1">
      <alignment vertical="center"/>
    </xf>
    <xf numFmtId="176" fontId="66" fillId="15" borderId="194" xfId="5" applyFont="1" applyFill="1" applyBorder="1">
      <alignment vertical="center"/>
    </xf>
    <xf numFmtId="176" fontId="66" fillId="11" borderId="2" xfId="5" applyFont="1" applyFill="1" applyBorder="1">
      <alignment vertical="center"/>
    </xf>
    <xf numFmtId="176" fontId="66" fillId="8" borderId="93" xfId="5" applyFont="1" applyFill="1" applyBorder="1">
      <alignment vertical="center"/>
    </xf>
    <xf numFmtId="176" fontId="66" fillId="14" borderId="31" xfId="5" applyFont="1" applyFill="1" applyBorder="1">
      <alignment vertical="center"/>
    </xf>
    <xf numFmtId="176" fontId="66" fillId="14" borderId="126" xfId="5" applyFont="1" applyFill="1" applyBorder="1">
      <alignment vertical="center"/>
    </xf>
    <xf numFmtId="176" fontId="66" fillId="14" borderId="81" xfId="5" applyFont="1" applyFill="1" applyBorder="1">
      <alignment vertical="center"/>
    </xf>
    <xf numFmtId="176" fontId="66" fillId="8" borderId="56" xfId="5" applyFont="1" applyFill="1" applyBorder="1">
      <alignment vertical="center"/>
    </xf>
    <xf numFmtId="176" fontId="66" fillId="15" borderId="83" xfId="5" applyFont="1" applyFill="1" applyBorder="1">
      <alignment vertical="center"/>
    </xf>
    <xf numFmtId="176" fontId="66" fillId="15" borderId="84" xfId="5" applyFont="1" applyFill="1" applyBorder="1">
      <alignment vertical="center"/>
    </xf>
    <xf numFmtId="176" fontId="66" fillId="11" borderId="12" xfId="5" applyFont="1" applyFill="1" applyBorder="1">
      <alignment vertical="center"/>
    </xf>
    <xf numFmtId="176" fontId="66" fillId="8" borderId="181" xfId="5" applyFont="1" applyFill="1" applyBorder="1">
      <alignment vertical="center"/>
    </xf>
    <xf numFmtId="176" fontId="66" fillId="8" borderId="72" xfId="5" applyFont="1" applyFill="1" applyBorder="1">
      <alignment vertical="center"/>
    </xf>
    <xf numFmtId="176" fontId="66" fillId="8" borderId="61" xfId="5" applyFont="1" applyFill="1" applyBorder="1">
      <alignment vertical="center"/>
    </xf>
    <xf numFmtId="176" fontId="66" fillId="8" borderId="99" xfId="5" applyFont="1" applyFill="1" applyBorder="1">
      <alignment vertical="center"/>
    </xf>
    <xf numFmtId="3" fontId="39" fillId="23" borderId="106" xfId="48" applyNumberFormat="1" applyFill="1" applyBorder="1" applyAlignment="1">
      <alignment vertical="center"/>
    </xf>
    <xf numFmtId="0" fontId="6" fillId="9" borderId="0" xfId="61" applyFill="1">
      <alignment vertical="center"/>
    </xf>
    <xf numFmtId="0" fontId="6" fillId="0" borderId="0" xfId="61">
      <alignment vertical="center"/>
    </xf>
    <xf numFmtId="0" fontId="12" fillId="0" borderId="195" xfId="61" applyFont="1" applyBorder="1" applyAlignment="1">
      <alignment horizontal="center" vertical="center"/>
    </xf>
    <xf numFmtId="0" fontId="12" fillId="0" borderId="195" xfId="61" applyFont="1" applyBorder="1">
      <alignment vertical="center"/>
    </xf>
    <xf numFmtId="4" fontId="6" fillId="0" borderId="195" xfId="61" applyNumberFormat="1" applyBorder="1">
      <alignment vertical="center"/>
    </xf>
    <xf numFmtId="200" fontId="6" fillId="0" borderId="195" xfId="61" applyNumberFormat="1" applyBorder="1">
      <alignment vertical="center"/>
    </xf>
    <xf numFmtId="201" fontId="6" fillId="0" borderId="195" xfId="61" applyNumberFormat="1" applyBorder="1">
      <alignment vertical="center"/>
    </xf>
    <xf numFmtId="200" fontId="6" fillId="0" borderId="0" xfId="61" applyNumberFormat="1">
      <alignment vertical="center"/>
    </xf>
    <xf numFmtId="193" fontId="6" fillId="0" borderId="0" xfId="61" applyNumberFormat="1">
      <alignment vertical="center"/>
    </xf>
    <xf numFmtId="0" fontId="12" fillId="0" borderId="0" xfId="61" applyFont="1">
      <alignment vertical="center"/>
    </xf>
    <xf numFmtId="4" fontId="6" fillId="0" borderId="0" xfId="61" applyNumberFormat="1">
      <alignment vertical="center"/>
    </xf>
    <xf numFmtId="201" fontId="6" fillId="0" borderId="0" xfId="61" applyNumberFormat="1">
      <alignment vertical="center"/>
    </xf>
    <xf numFmtId="0" fontId="12" fillId="0" borderId="196" xfId="61" applyFont="1" applyBorder="1" applyAlignment="1">
      <alignment horizontal="center" vertical="center"/>
    </xf>
    <xf numFmtId="0" fontId="12" fillId="0" borderId="197" xfId="61" applyFont="1" applyBorder="1" applyAlignment="1">
      <alignment horizontal="center" vertical="center"/>
    </xf>
    <xf numFmtId="41" fontId="12" fillId="0" borderId="198" xfId="61" applyNumberFormat="1" applyFont="1" applyBorder="1" applyAlignment="1">
      <alignment horizontal="center" vertical="center"/>
    </xf>
    <xf numFmtId="41" fontId="12" fillId="0" borderId="202" xfId="61" applyNumberFormat="1" applyFont="1" applyBorder="1" applyAlignment="1">
      <alignment horizontal="center" vertical="center"/>
    </xf>
    <xf numFmtId="0" fontId="12" fillId="0" borderId="206" xfId="61" applyFont="1" applyBorder="1">
      <alignment vertical="center"/>
    </xf>
    <xf numFmtId="0" fontId="12" fillId="0" borderId="207" xfId="61" applyFont="1" applyBorder="1">
      <alignment vertical="center"/>
    </xf>
    <xf numFmtId="0" fontId="6" fillId="0" borderId="208" xfId="61" applyBorder="1">
      <alignment vertical="center"/>
    </xf>
    <xf numFmtId="0" fontId="6" fillId="0" borderId="209" xfId="61" applyBorder="1">
      <alignment vertical="center"/>
    </xf>
    <xf numFmtId="0" fontId="6" fillId="0" borderId="195" xfId="61" applyBorder="1">
      <alignment vertical="center"/>
    </xf>
    <xf numFmtId="0" fontId="6" fillId="0" borderId="205" xfId="61" applyBorder="1">
      <alignment vertical="center"/>
    </xf>
    <xf numFmtId="0" fontId="6" fillId="49" borderId="195" xfId="61" applyFill="1" applyBorder="1" applyAlignment="1">
      <alignment horizontal="center" vertical="center"/>
    </xf>
    <xf numFmtId="0" fontId="6" fillId="0" borderId="210" xfId="61" applyBorder="1">
      <alignment vertical="center"/>
    </xf>
    <xf numFmtId="0" fontId="12" fillId="0" borderId="211" xfId="61" applyFont="1" applyBorder="1">
      <alignment vertical="center"/>
    </xf>
    <xf numFmtId="193" fontId="6" fillId="0" borderId="212" xfId="61" applyNumberFormat="1" applyBorder="1">
      <alignment vertical="center"/>
    </xf>
    <xf numFmtId="193" fontId="6" fillId="0" borderId="213" xfId="61" applyNumberFormat="1" applyBorder="1">
      <alignment vertical="center"/>
    </xf>
    <xf numFmtId="193" fontId="6" fillId="0" borderId="210" xfId="61" applyNumberFormat="1" applyBorder="1">
      <alignment vertical="center"/>
    </xf>
    <xf numFmtId="0" fontId="12" fillId="49" borderId="211" xfId="61" applyFont="1" applyFill="1" applyBorder="1">
      <alignment vertical="center"/>
    </xf>
    <xf numFmtId="0" fontId="12" fillId="49" borderId="210" xfId="61" applyFont="1" applyFill="1" applyBorder="1">
      <alignment vertical="center"/>
    </xf>
    <xf numFmtId="0" fontId="6" fillId="0" borderId="211" xfId="61" applyBorder="1">
      <alignment vertical="center"/>
    </xf>
    <xf numFmtId="0" fontId="6" fillId="49" borderId="210" xfId="61" applyFill="1" applyBorder="1">
      <alignment vertical="center"/>
    </xf>
    <xf numFmtId="0" fontId="6" fillId="0" borderId="206" xfId="61" applyBorder="1">
      <alignment vertical="center"/>
    </xf>
    <xf numFmtId="0" fontId="6" fillId="0" borderId="207" xfId="61" applyBorder="1">
      <alignment vertical="center"/>
    </xf>
    <xf numFmtId="193" fontId="6" fillId="0" borderId="214" xfId="61" applyNumberFormat="1" applyBorder="1">
      <alignment vertical="center"/>
    </xf>
    <xf numFmtId="193" fontId="6" fillId="0" borderId="206" xfId="61" applyNumberFormat="1" applyBorder="1">
      <alignment vertical="center"/>
    </xf>
    <xf numFmtId="0" fontId="6" fillId="0" borderId="7" xfId="61" applyBorder="1">
      <alignment vertical="center"/>
    </xf>
    <xf numFmtId="193" fontId="6" fillId="0" borderId="7" xfId="61" applyNumberFormat="1" applyBorder="1">
      <alignment vertical="center"/>
    </xf>
    <xf numFmtId="0" fontId="6" fillId="0" borderId="210" xfId="61" quotePrefix="1" applyBorder="1">
      <alignment vertical="center"/>
    </xf>
    <xf numFmtId="183" fontId="16" fillId="0" borderId="69" xfId="49" quotePrefix="1" applyFont="1" applyFill="1" applyBorder="1" applyAlignment="1">
      <alignment vertical="center"/>
    </xf>
    <xf numFmtId="44" fontId="37" fillId="0" borderId="0" xfId="0" applyNumberFormat="1" applyFont="1">
      <alignment vertical="center"/>
    </xf>
    <xf numFmtId="0" fontId="85" fillId="0" borderId="0" xfId="0" applyFont="1" applyAlignment="1">
      <alignment horizontal="justify" vertical="center"/>
    </xf>
    <xf numFmtId="0" fontId="83" fillId="0" borderId="0" xfId="0" applyFont="1" applyAlignment="1">
      <alignment horizontal="justify" vertical="center"/>
    </xf>
    <xf numFmtId="0" fontId="65" fillId="0" borderId="0" xfId="0" applyFont="1" applyAlignment="1">
      <alignment horizontal="justify" vertical="center"/>
    </xf>
    <xf numFmtId="196" fontId="83" fillId="0" borderId="112" xfId="0" applyNumberFormat="1" applyFont="1" applyBorder="1" applyAlignment="1">
      <alignment horizontal="right" vertical="center" wrapText="1"/>
    </xf>
    <xf numFmtId="196" fontId="83" fillId="0" borderId="115" xfId="0" applyNumberFormat="1" applyFont="1" applyBorder="1" applyAlignment="1">
      <alignment horizontal="right" vertical="center" wrapText="1"/>
    </xf>
    <xf numFmtId="0" fontId="65" fillId="0" borderId="0" xfId="0" applyFont="1" applyAlignment="1">
      <alignment horizontal="center" vertical="center"/>
    </xf>
    <xf numFmtId="0" fontId="83" fillId="46" borderId="7" xfId="0" applyFont="1" applyFill="1" applyBorder="1" applyAlignment="1">
      <alignment horizontal="center" vertical="center" wrapText="1"/>
    </xf>
    <xf numFmtId="0" fontId="83" fillId="0" borderId="7" xfId="0" applyFont="1" applyBorder="1" applyAlignment="1">
      <alignment vertical="center" wrapText="1"/>
    </xf>
    <xf numFmtId="196" fontId="83" fillId="0" borderId="7" xfId="0" applyNumberFormat="1" applyFont="1" applyBorder="1" applyAlignment="1">
      <alignment horizontal="right" vertical="center" wrapText="1"/>
    </xf>
    <xf numFmtId="0" fontId="86" fillId="0" borderId="0" xfId="0" applyFont="1">
      <alignment vertical="center"/>
    </xf>
    <xf numFmtId="0" fontId="65" fillId="0" borderId="0" xfId="0" applyFont="1" applyAlignment="1">
      <alignment horizontal="left" vertical="center"/>
    </xf>
    <xf numFmtId="0" fontId="85" fillId="0" borderId="0" xfId="0" applyFont="1" applyAlignment="1">
      <alignment horizontal="justify" vertical="center" wrapText="1"/>
    </xf>
    <xf numFmtId="0" fontId="65" fillId="0" borderId="0" xfId="0" applyFont="1" applyAlignment="1">
      <alignment horizontal="justify" vertical="center" wrapText="1"/>
    </xf>
    <xf numFmtId="0" fontId="83" fillId="0" borderId="0" xfId="0" applyFont="1" applyAlignment="1">
      <alignment horizontal="justify" vertical="center" wrapText="1"/>
    </xf>
    <xf numFmtId="0" fontId="83" fillId="0" borderId="0" xfId="0" applyFont="1" applyAlignment="1">
      <alignment horizontal="right" vertical="top" wrapText="1"/>
    </xf>
    <xf numFmtId="0" fontId="83" fillId="26" borderId="112" xfId="0" applyFont="1" applyFill="1" applyBorder="1" applyAlignment="1">
      <alignment horizontal="center" vertical="center" wrapText="1"/>
    </xf>
    <xf numFmtId="0" fontId="83" fillId="0" borderId="112" xfId="0" applyFont="1" applyBorder="1" applyAlignment="1">
      <alignment vertical="center" wrapText="1"/>
    </xf>
    <xf numFmtId="0" fontId="83" fillId="0" borderId="111" xfId="0" applyFont="1" applyBorder="1" applyAlignment="1">
      <alignment horizontal="center" vertical="center" wrapText="1"/>
    </xf>
    <xf numFmtId="0" fontId="83" fillId="0" borderId="114" xfId="0" applyFont="1" applyBorder="1" applyAlignment="1">
      <alignment horizontal="center" vertical="center" wrapText="1"/>
    </xf>
    <xf numFmtId="0" fontId="83" fillId="0" borderId="115" xfId="0" applyFont="1" applyBorder="1" applyAlignment="1">
      <alignment horizontal="right" vertical="center" wrapText="1"/>
    </xf>
    <xf numFmtId="0" fontId="83" fillId="46" borderId="108" xfId="0" applyFont="1" applyFill="1" applyBorder="1" applyAlignment="1">
      <alignment horizontal="center" vertical="top" wrapText="1"/>
    </xf>
    <xf numFmtId="0" fontId="83" fillId="46" borderId="133" xfId="0" applyFont="1" applyFill="1" applyBorder="1" applyAlignment="1">
      <alignment horizontal="center" vertical="center" wrapText="1"/>
    </xf>
    <xf numFmtId="0" fontId="83" fillId="46" borderId="132" xfId="0" applyFont="1" applyFill="1" applyBorder="1" applyAlignment="1">
      <alignment horizontal="center" vertical="center" wrapText="1"/>
    </xf>
    <xf numFmtId="196" fontId="83" fillId="0" borderId="115" xfId="0" applyNumberFormat="1" applyFont="1" applyBorder="1" applyAlignment="1">
      <alignment horizontal="right" wrapText="1"/>
    </xf>
    <xf numFmtId="0" fontId="83" fillId="26" borderId="108" xfId="0" applyFont="1" applyFill="1" applyBorder="1" applyAlignment="1">
      <alignment horizontal="center" vertical="center" wrapText="1"/>
    </xf>
    <xf numFmtId="0" fontId="83" fillId="26" borderId="133" xfId="0" applyFont="1" applyFill="1" applyBorder="1" applyAlignment="1">
      <alignment horizontal="center" vertical="center" wrapText="1"/>
    </xf>
    <xf numFmtId="0" fontId="83" fillId="26" borderId="132" xfId="0" applyFont="1" applyFill="1" applyBorder="1" applyAlignment="1">
      <alignment horizontal="center" vertical="center" wrapText="1"/>
    </xf>
    <xf numFmtId="0" fontId="83" fillId="0" borderId="0" xfId="0" applyFont="1" applyAlignment="1">
      <alignment vertical="top" wrapText="1"/>
    </xf>
    <xf numFmtId="196" fontId="83" fillId="0" borderId="112" xfId="0" applyNumberFormat="1" applyFont="1" applyBorder="1" applyAlignment="1">
      <alignment horizontal="right" vertical="top" wrapText="1"/>
    </xf>
    <xf numFmtId="196" fontId="83" fillId="0" borderId="115" xfId="0" applyNumberFormat="1" applyFont="1" applyBorder="1" applyAlignment="1">
      <alignment horizontal="right" vertical="top" wrapText="1"/>
    </xf>
    <xf numFmtId="196" fontId="83" fillId="0" borderId="113" xfId="0" applyNumberFormat="1" applyFont="1" applyBorder="1" applyAlignment="1">
      <alignment horizontal="right" vertical="center" wrapText="1"/>
    </xf>
    <xf numFmtId="196" fontId="83" fillId="0" borderId="116" xfId="0" applyNumberFormat="1" applyFont="1" applyBorder="1" applyAlignment="1">
      <alignment horizontal="right" vertical="center" wrapText="1"/>
    </xf>
    <xf numFmtId="185" fontId="65" fillId="0" borderId="0" xfId="0" applyNumberFormat="1" applyFont="1">
      <alignment vertical="center"/>
    </xf>
    <xf numFmtId="0" fontId="85" fillId="46" borderId="108" xfId="0" applyFont="1" applyFill="1" applyBorder="1" applyAlignment="1">
      <alignment horizontal="center" vertical="center" wrapText="1"/>
    </xf>
    <xf numFmtId="196" fontId="83" fillId="0" borderId="112" xfId="0" applyNumberFormat="1" applyFont="1" applyBorder="1" applyAlignment="1">
      <alignment horizontal="right" wrapText="1"/>
    </xf>
    <xf numFmtId="0" fontId="83" fillId="0" borderId="115" xfId="0" applyFont="1" applyBorder="1" applyAlignment="1">
      <alignment vertical="center" wrapText="1"/>
    </xf>
    <xf numFmtId="0" fontId="65" fillId="0" borderId="0" xfId="0" applyFont="1" applyAlignment="1">
      <alignment horizontal="right" vertical="center"/>
    </xf>
    <xf numFmtId="196" fontId="65" fillId="0" borderId="0" xfId="0" applyNumberFormat="1" applyFont="1">
      <alignment vertical="center"/>
    </xf>
    <xf numFmtId="0" fontId="83" fillId="0" borderId="0" xfId="0" applyFont="1" applyAlignment="1">
      <alignment horizontal="right" vertical="center" wrapText="1"/>
    </xf>
    <xf numFmtId="0" fontId="83" fillId="0" borderId="0" xfId="0" applyFont="1" applyAlignment="1">
      <alignment horizontal="left" vertical="center" indent="1"/>
    </xf>
    <xf numFmtId="193" fontId="65" fillId="0" borderId="0" xfId="0" applyNumberFormat="1" applyFont="1">
      <alignment vertical="center"/>
    </xf>
    <xf numFmtId="0" fontId="83" fillId="0" borderId="112" xfId="0" applyFont="1" applyBorder="1" applyAlignment="1">
      <alignment horizontal="center" vertical="center" wrapText="1"/>
    </xf>
    <xf numFmtId="0" fontId="83" fillId="46" borderId="215" xfId="0" applyFont="1" applyFill="1" applyBorder="1" applyAlignment="1">
      <alignment horizontal="center" vertical="center" wrapText="1"/>
    </xf>
    <xf numFmtId="0" fontId="83" fillId="0" borderId="216" xfId="0" applyFont="1" applyBorder="1" applyAlignment="1">
      <alignment vertical="center" wrapText="1"/>
    </xf>
    <xf numFmtId="0" fontId="83" fillId="0" borderId="170" xfId="0" applyFont="1" applyBorder="1" applyAlignment="1">
      <alignment vertical="center" wrapText="1"/>
    </xf>
    <xf numFmtId="0" fontId="83" fillId="0" borderId="141" xfId="0" applyFont="1" applyBorder="1" applyAlignment="1">
      <alignment vertical="center" wrapText="1"/>
    </xf>
    <xf numFmtId="0" fontId="83" fillId="0" borderId="142" xfId="0" applyFont="1" applyBorder="1" applyAlignment="1">
      <alignment vertical="center" wrapText="1"/>
    </xf>
    <xf numFmtId="10" fontId="83" fillId="0" borderId="112" xfId="0" applyNumberFormat="1" applyFont="1" applyBorder="1" applyAlignment="1">
      <alignment horizontal="right" vertical="center" wrapText="1"/>
    </xf>
    <xf numFmtId="10" fontId="83" fillId="0" borderId="115" xfId="0" applyNumberFormat="1" applyFont="1" applyBorder="1" applyAlignment="1">
      <alignment horizontal="right" vertical="center" wrapText="1"/>
    </xf>
    <xf numFmtId="0" fontId="83" fillId="0" borderId="0" xfId="0" applyFont="1" applyAlignment="1">
      <alignment vertical="center" wrapText="1"/>
    </xf>
    <xf numFmtId="3" fontId="83" fillId="0" borderId="0" xfId="0" applyNumberFormat="1" applyFont="1" applyAlignment="1">
      <alignment horizontal="right" vertical="top" wrapText="1"/>
    </xf>
    <xf numFmtId="0" fontId="83" fillId="46" borderId="133" xfId="0" applyFont="1" applyFill="1" applyBorder="1" applyAlignment="1">
      <alignment horizontal="center" vertical="top" wrapText="1"/>
    </xf>
    <xf numFmtId="0" fontId="83" fillId="46" borderId="112" xfId="0" applyFont="1" applyFill="1" applyBorder="1" applyAlignment="1">
      <alignment horizontal="center" vertical="top" wrapText="1"/>
    </xf>
    <xf numFmtId="0" fontId="83" fillId="46" borderId="172" xfId="0" applyFont="1" applyFill="1" applyBorder="1" applyAlignment="1">
      <alignment horizontal="center" vertical="center" wrapText="1"/>
    </xf>
    <xf numFmtId="0" fontId="83" fillId="0" borderId="172" xfId="0" applyFont="1" applyBorder="1" applyAlignment="1">
      <alignment horizontal="right" vertical="center" wrapText="1"/>
    </xf>
    <xf numFmtId="0" fontId="83" fillId="0" borderId="141" xfId="0" applyFont="1" applyBorder="1" applyAlignment="1">
      <alignment horizontal="center" vertical="center" wrapText="1"/>
    </xf>
    <xf numFmtId="0" fontId="83" fillId="46" borderId="172" xfId="0" applyFont="1" applyFill="1" applyBorder="1" applyAlignment="1">
      <alignment horizontal="center" vertical="top" wrapText="1"/>
    </xf>
    <xf numFmtId="0" fontId="83" fillId="0" borderId="7" xfId="0" applyFont="1" applyBorder="1" applyAlignment="1">
      <alignment horizontal="center" vertical="center" wrapText="1"/>
    </xf>
    <xf numFmtId="0" fontId="83" fillId="0" borderId="135" xfId="0" applyFont="1" applyBorder="1" applyAlignment="1">
      <alignment horizontal="center" vertical="center" wrapText="1"/>
    </xf>
    <xf numFmtId="0" fontId="83" fillId="0" borderId="115" xfId="0" applyFont="1" applyBorder="1" applyAlignment="1">
      <alignment vertical="top" wrapText="1"/>
    </xf>
    <xf numFmtId="2" fontId="65" fillId="0" borderId="0" xfId="0" applyNumberFormat="1" applyFont="1">
      <alignment vertical="center"/>
    </xf>
    <xf numFmtId="196" fontId="83" fillId="0" borderId="172" xfId="0" applyNumberFormat="1" applyFont="1" applyBorder="1" applyAlignment="1">
      <alignment horizontal="right" vertical="top" wrapText="1"/>
    </xf>
    <xf numFmtId="196" fontId="83" fillId="0" borderId="173" xfId="0" applyNumberFormat="1" applyFont="1" applyBorder="1" applyAlignment="1">
      <alignment horizontal="right" vertical="top" wrapText="1"/>
    </xf>
    <xf numFmtId="193" fontId="65" fillId="0" borderId="7" xfId="0" applyNumberFormat="1" applyFont="1" applyBorder="1">
      <alignment vertical="center"/>
    </xf>
    <xf numFmtId="193" fontId="65" fillId="0" borderId="7" xfId="0" applyNumberFormat="1" applyFont="1" applyBorder="1" applyAlignment="1">
      <alignment horizontal="center" vertical="center"/>
    </xf>
    <xf numFmtId="196" fontId="83" fillId="0" borderId="7" xfId="0" applyNumberFormat="1" applyFont="1" applyBorder="1" applyAlignment="1">
      <alignment horizontal="right" vertical="top" wrapText="1"/>
    </xf>
    <xf numFmtId="196" fontId="83" fillId="0" borderId="112" xfId="0" applyNumberFormat="1" applyFont="1" applyBorder="1" applyAlignment="1">
      <alignment vertical="center" wrapText="1"/>
    </xf>
    <xf numFmtId="196" fontId="65" fillId="0" borderId="195" xfId="0" applyNumberFormat="1" applyFont="1" applyBorder="1">
      <alignment vertical="center"/>
    </xf>
    <xf numFmtId="0" fontId="87" fillId="0" borderId="0" xfId="0" applyFont="1">
      <alignment vertical="center"/>
    </xf>
    <xf numFmtId="196" fontId="83" fillId="0" borderId="113" xfId="0" applyNumberFormat="1" applyFont="1" applyBorder="1" applyAlignment="1">
      <alignment horizontal="right" vertical="top" wrapText="1"/>
    </xf>
    <xf numFmtId="193" fontId="65" fillId="0" borderId="195" xfId="0" applyNumberFormat="1" applyFont="1" applyBorder="1">
      <alignment vertical="center"/>
    </xf>
    <xf numFmtId="196" fontId="83" fillId="0" borderId="172" xfId="0" applyNumberFormat="1" applyFont="1" applyBorder="1" applyAlignment="1">
      <alignment horizontal="right" vertical="center" wrapText="1"/>
    </xf>
    <xf numFmtId="196" fontId="83" fillId="0" borderId="170" xfId="0" applyNumberFormat="1" applyFont="1" applyBorder="1" applyAlignment="1">
      <alignment vertical="center" wrapText="1"/>
    </xf>
    <xf numFmtId="196" fontId="83" fillId="0" borderId="173" xfId="0" applyNumberFormat="1" applyFont="1" applyBorder="1" applyAlignment="1">
      <alignment horizontal="right" vertical="center" wrapText="1"/>
    </xf>
    <xf numFmtId="0" fontId="88" fillId="23" borderId="0" xfId="0" applyFont="1" applyFill="1">
      <alignment vertical="center"/>
    </xf>
    <xf numFmtId="0" fontId="90" fillId="0" borderId="0" xfId="0" applyFont="1" applyAlignment="1">
      <alignment vertical="center" wrapText="1"/>
    </xf>
    <xf numFmtId="0" fontId="91" fillId="24" borderId="0" xfId="0" applyFont="1" applyFill="1" applyAlignment="1">
      <alignment horizontal="left" vertical="center" wrapText="1"/>
    </xf>
    <xf numFmtId="0" fontId="93" fillId="50" borderId="0" xfId="0" applyFont="1" applyFill="1" applyAlignment="1">
      <alignment vertical="center" wrapText="1"/>
    </xf>
    <xf numFmtId="0" fontId="92" fillId="50" borderId="0" xfId="0" applyFont="1" applyFill="1" applyAlignment="1">
      <alignment vertical="center" wrapText="1"/>
    </xf>
    <xf numFmtId="0" fontId="93" fillId="24" borderId="0" xfId="0" applyFont="1" applyFill="1" applyAlignment="1">
      <alignment vertical="center" wrapText="1"/>
    </xf>
    <xf numFmtId="0" fontId="92" fillId="24" borderId="0" xfId="0" applyFont="1" applyFill="1" applyAlignment="1">
      <alignment vertical="center" wrapText="1"/>
    </xf>
    <xf numFmtId="14" fontId="92" fillId="50" borderId="0" xfId="0" applyNumberFormat="1" applyFont="1" applyFill="1" applyAlignment="1">
      <alignment vertical="center" wrapText="1"/>
    </xf>
    <xf numFmtId="14" fontId="92" fillId="24" borderId="0" xfId="0" applyNumberFormat="1" applyFont="1" applyFill="1" applyAlignment="1">
      <alignment vertical="center" wrapText="1"/>
    </xf>
    <xf numFmtId="0" fontId="89" fillId="0" borderId="0" xfId="63">
      <alignment vertical="center"/>
    </xf>
    <xf numFmtId="0" fontId="89" fillId="0" borderId="224" xfId="63" applyBorder="1" applyAlignment="1">
      <alignment horizontal="left" vertical="center" wrapText="1" indent="1"/>
    </xf>
    <xf numFmtId="0" fontId="89" fillId="50" borderId="0" xfId="63" applyFill="1" applyAlignment="1">
      <alignment vertical="center" wrapText="1"/>
    </xf>
    <xf numFmtId="0" fontId="89" fillId="24" borderId="0" xfId="63" applyFill="1" applyAlignment="1">
      <alignment vertical="center" wrapText="1"/>
    </xf>
    <xf numFmtId="14" fontId="89" fillId="50" borderId="0" xfId="63" applyNumberFormat="1" applyFill="1" applyAlignment="1">
      <alignment vertical="center" wrapText="1"/>
    </xf>
    <xf numFmtId="14" fontId="89" fillId="24" borderId="0" xfId="63" applyNumberFormat="1" applyFill="1" applyAlignment="1">
      <alignment vertical="center" wrapText="1"/>
    </xf>
    <xf numFmtId="0" fontId="93" fillId="16" borderId="0" xfId="0" applyFont="1" applyFill="1" applyAlignment="1">
      <alignment vertical="center" wrapText="1"/>
    </xf>
    <xf numFmtId="0" fontId="89" fillId="16" borderId="0" xfId="63" applyFill="1" applyAlignment="1">
      <alignment vertical="center" wrapText="1"/>
    </xf>
    <xf numFmtId="0" fontId="92" fillId="16" borderId="0" xfId="0" applyFont="1" applyFill="1" applyAlignment="1">
      <alignment vertical="center" wrapText="1"/>
    </xf>
    <xf numFmtId="9" fontId="24" fillId="0" borderId="0" xfId="2" applyFont="1" applyFill="1">
      <alignment vertical="center"/>
    </xf>
    <xf numFmtId="10" fontId="16" fillId="0" borderId="0" xfId="24" applyNumberFormat="1" applyFont="1" applyAlignment="1">
      <alignment horizontal="right"/>
    </xf>
    <xf numFmtId="196" fontId="83" fillId="0" borderId="138" xfId="0" applyNumberFormat="1" applyFont="1" applyBorder="1" applyAlignment="1">
      <alignment horizontal="right" vertical="top" wrapText="1"/>
    </xf>
    <xf numFmtId="196" fontId="12" fillId="0" borderId="210" xfId="51" applyNumberFormat="1" applyFont="1" applyBorder="1">
      <alignment vertical="center"/>
    </xf>
    <xf numFmtId="196" fontId="12" fillId="39" borderId="27" xfId="7" applyNumberFormat="1" applyFont="1" applyFill="1" applyBorder="1">
      <alignment vertical="center"/>
    </xf>
    <xf numFmtId="196" fontId="12" fillId="39" borderId="27" xfId="7" applyNumberFormat="1" applyFont="1" applyFill="1" applyBorder="1" applyAlignment="1">
      <alignment horizontal="right" vertical="center"/>
    </xf>
    <xf numFmtId="196" fontId="6" fillId="0" borderId="0" xfId="7" applyNumberFormat="1" applyFont="1" applyAlignment="1">
      <alignment horizontal="left" vertical="center" indent="1"/>
    </xf>
    <xf numFmtId="196" fontId="6" fillId="0" borderId="0" xfId="7" applyNumberFormat="1" applyFont="1" applyAlignment="1">
      <alignment horizontal="right" vertical="center"/>
    </xf>
    <xf numFmtId="196" fontId="6" fillId="0" borderId="0" xfId="7" applyNumberFormat="1" applyFont="1">
      <alignment vertical="center"/>
    </xf>
    <xf numFmtId="196" fontId="12" fillId="39" borderId="0" xfId="7" applyNumberFormat="1" applyFont="1" applyFill="1" applyAlignment="1">
      <alignment horizontal="left" vertical="center" indent="1"/>
    </xf>
    <xf numFmtId="196" fontId="12" fillId="39" borderId="0" xfId="7" applyNumberFormat="1" applyFont="1" applyFill="1" applyAlignment="1">
      <alignment horizontal="right" vertical="center"/>
    </xf>
    <xf numFmtId="196" fontId="6" fillId="0" borderId="0" xfId="7" applyNumberFormat="1" applyFont="1" applyAlignment="1">
      <alignment horizontal="left" vertical="center" indent="2"/>
    </xf>
    <xf numFmtId="196" fontId="12" fillId="0" borderId="0" xfId="7" applyNumberFormat="1" applyFont="1" applyAlignment="1">
      <alignment horizontal="left" vertical="center" indent="1"/>
    </xf>
    <xf numFmtId="196" fontId="12" fillId="0" borderId="0" xfId="7" applyNumberFormat="1" applyFont="1">
      <alignment vertical="center"/>
    </xf>
    <xf numFmtId="196" fontId="12" fillId="0" borderId="0" xfId="7" applyNumberFormat="1" applyFont="1" applyAlignment="1">
      <alignment horizontal="right" vertical="center"/>
    </xf>
    <xf numFmtId="196" fontId="12" fillId="0" borderId="0" xfId="7" applyNumberFormat="1" applyFont="1" applyAlignment="1">
      <alignment horizontal="left" vertical="center"/>
    </xf>
    <xf numFmtId="0" fontId="83" fillId="0" borderId="135" xfId="0" applyFont="1" applyBorder="1" applyAlignment="1">
      <alignment vertical="center" wrapText="1"/>
    </xf>
    <xf numFmtId="196" fontId="6" fillId="40" borderId="212" xfId="51" applyNumberFormat="1" applyFont="1" applyFill="1" applyBorder="1" applyAlignment="1">
      <alignment horizontal="center" vertical="center"/>
    </xf>
    <xf numFmtId="196" fontId="6" fillId="0" borderId="0" xfId="0" applyNumberFormat="1" applyFont="1" applyAlignment="1">
      <alignment horizontal="left" vertical="center" indent="2"/>
    </xf>
    <xf numFmtId="196" fontId="6" fillId="40" borderId="212" xfId="51" quotePrefix="1" applyNumberFormat="1" applyFont="1" applyFill="1" applyBorder="1" applyAlignment="1">
      <alignment horizontal="center" vertical="center"/>
    </xf>
    <xf numFmtId="176" fontId="37" fillId="0" borderId="0" xfId="0" applyNumberFormat="1" applyFont="1" applyAlignment="1">
      <alignment horizontal="center" vertical="center"/>
    </xf>
    <xf numFmtId="0" fontId="66" fillId="0" borderId="195" xfId="0" quotePrefix="1" applyFont="1" applyBorder="1" applyAlignment="1">
      <alignment horizontal="center" vertical="center"/>
    </xf>
    <xf numFmtId="176" fontId="66" fillId="0" borderId="206" xfId="5" applyFont="1" applyFill="1" applyBorder="1">
      <alignment vertical="center"/>
    </xf>
    <xf numFmtId="0" fontId="66" fillId="0" borderId="225" xfId="0" applyFont="1" applyBorder="1" applyAlignment="1">
      <alignment horizontal="left" vertical="center"/>
    </xf>
    <xf numFmtId="181" fontId="66" fillId="0" borderId="195" xfId="5" applyNumberFormat="1" applyFont="1" applyFill="1" applyBorder="1">
      <alignment vertical="center"/>
    </xf>
    <xf numFmtId="181" fontId="66" fillId="10" borderId="226" xfId="5" applyNumberFormat="1" applyFont="1" applyFill="1" applyBorder="1">
      <alignment vertical="center"/>
    </xf>
    <xf numFmtId="181" fontId="66" fillId="12" borderId="227" xfId="5" applyNumberFormat="1" applyFont="1" applyFill="1" applyBorder="1">
      <alignment vertical="center"/>
    </xf>
    <xf numFmtId="181" fontId="66" fillId="13" borderId="228" xfId="5" applyNumberFormat="1" applyFont="1" applyFill="1" applyBorder="1">
      <alignment vertical="center"/>
    </xf>
    <xf numFmtId="41" fontId="75" fillId="40" borderId="212" xfId="35" applyFont="1" applyFill="1" applyBorder="1" applyAlignment="1">
      <alignment horizontal="center" vertical="center"/>
    </xf>
    <xf numFmtId="0" fontId="78" fillId="0" borderId="204" xfId="51" applyFont="1" applyBorder="1" applyAlignment="1">
      <alignment horizontal="center" vertical="center"/>
    </xf>
    <xf numFmtId="194" fontId="78" fillId="0" borderId="195" xfId="51" applyNumberFormat="1" applyFont="1" applyBorder="1" applyAlignment="1">
      <alignment horizontal="right" vertical="center" wrapText="1"/>
    </xf>
    <xf numFmtId="196" fontId="6" fillId="0" borderId="210" xfId="51" applyNumberFormat="1" applyFont="1" applyBorder="1">
      <alignment vertical="center"/>
    </xf>
    <xf numFmtId="197" fontId="6" fillId="0" borderId="195" xfId="51" applyNumberFormat="1" applyFont="1" applyBorder="1">
      <alignment vertical="center"/>
    </xf>
    <xf numFmtId="14" fontId="0" fillId="0" borderId="0" xfId="0" applyNumberFormat="1">
      <alignment vertical="center"/>
    </xf>
    <xf numFmtId="196" fontId="6" fillId="42" borderId="7" xfId="51" applyNumberFormat="1" applyFont="1" applyFill="1" applyBorder="1">
      <alignment vertical="center"/>
    </xf>
    <xf numFmtId="196" fontId="6" fillId="39" borderId="7" xfId="51" applyNumberFormat="1" applyFont="1" applyFill="1" applyBorder="1">
      <alignment vertical="center"/>
    </xf>
    <xf numFmtId="196" fontId="6" fillId="0" borderId="7" xfId="57" applyNumberFormat="1" applyFont="1" applyBorder="1">
      <alignment vertical="center"/>
    </xf>
    <xf numFmtId="196" fontId="6" fillId="42" borderId="7" xfId="57" applyNumberFormat="1" applyFont="1" applyFill="1" applyBorder="1">
      <alignment vertical="center"/>
    </xf>
    <xf numFmtId="196" fontId="6" fillId="0" borderId="195" xfId="57" applyNumberFormat="1" applyFont="1" applyBorder="1">
      <alignment vertical="center"/>
    </xf>
    <xf numFmtId="177" fontId="6" fillId="0" borderId="0" xfId="57" applyNumberFormat="1" applyFont="1" applyFill="1" applyAlignment="1">
      <alignment vertical="center"/>
    </xf>
    <xf numFmtId="177" fontId="6" fillId="0" borderId="0" xfId="57" applyNumberFormat="1" applyFont="1" applyFill="1">
      <alignment vertical="center"/>
    </xf>
    <xf numFmtId="197" fontId="6" fillId="0" borderId="0" xfId="58" applyNumberFormat="1" applyFont="1" applyFill="1" applyAlignment="1">
      <alignment vertical="center"/>
    </xf>
    <xf numFmtId="180" fontId="6" fillId="39" borderId="7" xfId="57" applyNumberFormat="1" applyFont="1" applyFill="1" applyBorder="1">
      <alignment vertical="center"/>
    </xf>
    <xf numFmtId="0" fontId="6" fillId="40" borderId="212" xfId="51" applyFont="1" applyFill="1" applyBorder="1">
      <alignment vertical="center"/>
    </xf>
    <xf numFmtId="0" fontId="6" fillId="0" borderId="195" xfId="51" applyFont="1" applyBorder="1">
      <alignment vertical="center"/>
    </xf>
    <xf numFmtId="177" fontId="6" fillId="0" borderId="195" xfId="51" applyNumberFormat="1" applyFont="1" applyBorder="1">
      <alignment vertical="center"/>
    </xf>
    <xf numFmtId="196" fontId="6" fillId="39" borderId="7" xfId="57" applyNumberFormat="1" applyFont="1" applyFill="1" applyBorder="1">
      <alignment vertical="center"/>
    </xf>
    <xf numFmtId="196" fontId="6" fillId="0" borderId="195" xfId="51" applyNumberFormat="1" applyFont="1" applyBorder="1">
      <alignment vertical="center"/>
    </xf>
    <xf numFmtId="196" fontId="6" fillId="9" borderId="7" xfId="51" applyNumberFormat="1" applyFont="1" applyFill="1" applyBorder="1">
      <alignment vertical="center"/>
    </xf>
    <xf numFmtId="197" fontId="6" fillId="9" borderId="7" xfId="51" applyNumberFormat="1" applyFont="1" applyFill="1" applyBorder="1">
      <alignment vertical="center"/>
    </xf>
    <xf numFmtId="41" fontId="6" fillId="0" borderId="0" xfId="1" applyFont="1">
      <alignment vertical="center"/>
    </xf>
    <xf numFmtId="196" fontId="6" fillId="9" borderId="7" xfId="57" applyNumberFormat="1" applyFont="1" applyFill="1" applyBorder="1">
      <alignment vertical="center"/>
    </xf>
    <xf numFmtId="177" fontId="6" fillId="17" borderId="7" xfId="51" applyNumberFormat="1" applyFont="1" applyFill="1" applyBorder="1" applyAlignment="1">
      <alignment horizontal="left" vertical="center"/>
    </xf>
    <xf numFmtId="177" fontId="6" fillId="17" borderId="7" xfId="51" applyNumberFormat="1" applyFont="1" applyFill="1" applyBorder="1">
      <alignment vertical="center"/>
    </xf>
    <xf numFmtId="197" fontId="6" fillId="17" borderId="7" xfId="51" applyNumberFormat="1" applyFont="1" applyFill="1" applyBorder="1">
      <alignment vertical="center"/>
    </xf>
    <xf numFmtId="196" fontId="6" fillId="17" borderId="7" xfId="51" applyNumberFormat="1" applyFont="1" applyFill="1" applyBorder="1">
      <alignment vertical="center"/>
    </xf>
    <xf numFmtId="177" fontId="6" fillId="25" borderId="7" xfId="51" applyNumberFormat="1" applyFont="1" applyFill="1" applyBorder="1" applyAlignment="1">
      <alignment horizontal="left" vertical="center"/>
    </xf>
    <xf numFmtId="177" fontId="6" fillId="25" borderId="7" xfId="51" applyNumberFormat="1" applyFont="1" applyFill="1" applyBorder="1">
      <alignment vertical="center"/>
    </xf>
    <xf numFmtId="197" fontId="6" fillId="25" borderId="7" xfId="51" applyNumberFormat="1" applyFont="1" applyFill="1" applyBorder="1">
      <alignment vertical="center"/>
    </xf>
    <xf numFmtId="196" fontId="6" fillId="25" borderId="7" xfId="51" applyNumberFormat="1" applyFont="1" applyFill="1" applyBorder="1">
      <alignment vertical="center"/>
    </xf>
    <xf numFmtId="177" fontId="6" fillId="36" borderId="7" xfId="51" applyNumberFormat="1" applyFont="1" applyFill="1" applyBorder="1" applyAlignment="1">
      <alignment horizontal="left" vertical="center"/>
    </xf>
    <xf numFmtId="177" fontId="6" fillId="36" borderId="7" xfId="51" applyNumberFormat="1" applyFont="1" applyFill="1" applyBorder="1">
      <alignment vertical="center"/>
    </xf>
    <xf numFmtId="197" fontId="6" fillId="36" borderId="7" xfId="51" applyNumberFormat="1" applyFont="1" applyFill="1" applyBorder="1">
      <alignment vertical="center"/>
    </xf>
    <xf numFmtId="196" fontId="6" fillId="36" borderId="7" xfId="57" applyNumberFormat="1" applyFont="1" applyFill="1" applyBorder="1">
      <alignment vertical="center"/>
    </xf>
    <xf numFmtId="9" fontId="15" fillId="0" borderId="0" xfId="2" applyFont="1" applyAlignment="1">
      <alignment vertical="center"/>
    </xf>
    <xf numFmtId="197" fontId="6" fillId="9" borderId="195" xfId="51" applyNumberFormat="1" applyFont="1" applyFill="1" applyBorder="1">
      <alignment vertical="center"/>
    </xf>
    <xf numFmtId="0" fontId="6" fillId="0" borderId="0" xfId="51" applyFont="1" applyAlignment="1">
      <alignment horizontal="left" vertical="center"/>
    </xf>
    <xf numFmtId="177" fontId="10" fillId="0" borderId="0" xfId="51" applyNumberFormat="1" applyFont="1">
      <alignment vertical="center"/>
    </xf>
    <xf numFmtId="0" fontId="10" fillId="0" borderId="0" xfId="51" applyFont="1">
      <alignment vertical="center"/>
    </xf>
    <xf numFmtId="177" fontId="10" fillId="29" borderId="7" xfId="51" applyNumberFormat="1" applyFont="1" applyFill="1" applyBorder="1" applyAlignment="1">
      <alignment horizontal="center" vertical="center"/>
    </xf>
    <xf numFmtId="196" fontId="10" fillId="17" borderId="7" xfId="51" applyNumberFormat="1" applyFont="1" applyFill="1" applyBorder="1">
      <alignment vertical="center"/>
    </xf>
    <xf numFmtId="177" fontId="10" fillId="17" borderId="7" xfId="51" applyNumberFormat="1" applyFont="1" applyFill="1" applyBorder="1">
      <alignment vertical="center"/>
    </xf>
    <xf numFmtId="196" fontId="10" fillId="25" borderId="7" xfId="51" applyNumberFormat="1" applyFont="1" applyFill="1" applyBorder="1">
      <alignment vertical="center"/>
    </xf>
    <xf numFmtId="177" fontId="10" fillId="25" borderId="7" xfId="51" applyNumberFormat="1" applyFont="1" applyFill="1" applyBorder="1">
      <alignment vertical="center"/>
    </xf>
    <xf numFmtId="196" fontId="10" fillId="39" borderId="7" xfId="51" applyNumberFormat="1" applyFont="1" applyFill="1" applyBorder="1">
      <alignment vertical="center"/>
    </xf>
    <xf numFmtId="177" fontId="10" fillId="39" borderId="7" xfId="51" applyNumberFormat="1" applyFont="1" applyFill="1" applyBorder="1">
      <alignment vertical="center"/>
    </xf>
    <xf numFmtId="196" fontId="10" fillId="0" borderId="7" xfId="51" applyNumberFormat="1" applyFont="1" applyBorder="1">
      <alignment vertical="center"/>
    </xf>
    <xf numFmtId="177" fontId="10" fillId="0" borderId="7" xfId="51" applyNumberFormat="1" applyFont="1" applyBorder="1">
      <alignment vertical="center"/>
    </xf>
    <xf numFmtId="196" fontId="10" fillId="36" borderId="7" xfId="51" applyNumberFormat="1" applyFont="1" applyFill="1" applyBorder="1">
      <alignment vertical="center"/>
    </xf>
    <xf numFmtId="177" fontId="10" fillId="36" borderId="7" xfId="51" applyNumberFormat="1" applyFont="1" applyFill="1" applyBorder="1">
      <alignment vertical="center"/>
    </xf>
    <xf numFmtId="196" fontId="10" fillId="42" borderId="7" xfId="51" applyNumberFormat="1" applyFont="1" applyFill="1" applyBorder="1">
      <alignment vertical="center"/>
    </xf>
    <xf numFmtId="177" fontId="10" fillId="42" borderId="7" xfId="51" applyNumberFormat="1" applyFont="1" applyFill="1" applyBorder="1">
      <alignment vertical="center"/>
    </xf>
    <xf numFmtId="177" fontId="10" fillId="0" borderId="7" xfId="51" applyNumberFormat="1" applyFont="1" applyBorder="1" applyAlignment="1">
      <alignment horizontal="left" vertical="center"/>
    </xf>
    <xf numFmtId="204" fontId="6" fillId="17" borderId="7" xfId="51" applyNumberFormat="1" applyFont="1" applyFill="1" applyBorder="1">
      <alignment vertical="center"/>
    </xf>
    <xf numFmtId="204" fontId="6" fillId="25" borderId="7" xfId="51" applyNumberFormat="1" applyFont="1" applyFill="1" applyBorder="1">
      <alignment vertical="center"/>
    </xf>
    <xf numFmtId="204" fontId="6" fillId="39" borderId="7" xfId="51" applyNumberFormat="1" applyFont="1" applyFill="1" applyBorder="1">
      <alignment vertical="center"/>
    </xf>
    <xf numFmtId="204" fontId="6" fillId="0" borderId="7" xfId="51" applyNumberFormat="1" applyFont="1" applyBorder="1">
      <alignment vertical="center"/>
    </xf>
    <xf numFmtId="204" fontId="6" fillId="0" borderId="7" xfId="57" applyNumberFormat="1" applyFont="1" applyBorder="1">
      <alignment vertical="center"/>
    </xf>
    <xf numFmtId="204" fontId="6" fillId="36" borderId="7" xfId="57" applyNumberFormat="1" applyFont="1" applyFill="1" applyBorder="1">
      <alignment vertical="center"/>
    </xf>
    <xf numFmtId="204" fontId="6" fillId="42" borderId="7" xfId="51" applyNumberFormat="1" applyFont="1" applyFill="1" applyBorder="1">
      <alignment vertical="center"/>
    </xf>
    <xf numFmtId="180" fontId="6" fillId="29" borderId="7" xfId="57" applyNumberFormat="1" applyFont="1" applyFill="1" applyBorder="1" applyAlignment="1">
      <alignment horizontal="center" vertical="center"/>
    </xf>
    <xf numFmtId="180" fontId="6" fillId="42" borderId="7" xfId="57" applyNumberFormat="1" applyFont="1" applyFill="1" applyBorder="1">
      <alignment vertical="center"/>
    </xf>
    <xf numFmtId="180" fontId="6" fillId="0" borderId="7" xfId="57" applyNumberFormat="1" applyFont="1" applyBorder="1">
      <alignment vertical="center"/>
    </xf>
    <xf numFmtId="180" fontId="6" fillId="42" borderId="7" xfId="51" applyNumberFormat="1" applyFont="1" applyFill="1" applyBorder="1">
      <alignment vertical="center"/>
    </xf>
    <xf numFmtId="180" fontId="6" fillId="39" borderId="7" xfId="51" applyNumberFormat="1" applyFont="1" applyFill="1" applyBorder="1">
      <alignment vertical="center"/>
    </xf>
    <xf numFmtId="41" fontId="6" fillId="0" borderId="0" xfId="1" applyFont="1" applyFill="1" applyAlignment="1">
      <alignment vertical="center"/>
    </xf>
    <xf numFmtId="0" fontId="66" fillId="0" borderId="0" xfId="51" applyFont="1">
      <alignment vertical="center"/>
    </xf>
    <xf numFmtId="41" fontId="66" fillId="0" borderId="0" xfId="57" applyFont="1">
      <alignment vertical="center"/>
    </xf>
    <xf numFmtId="177" fontId="66" fillId="0" borderId="0" xfId="51" applyNumberFormat="1" applyFont="1">
      <alignment vertical="center"/>
    </xf>
    <xf numFmtId="177" fontId="68" fillId="0" borderId="0" xfId="51" applyNumberFormat="1" applyFont="1">
      <alignment vertical="center"/>
    </xf>
    <xf numFmtId="177" fontId="68" fillId="29" borderId="7" xfId="51" applyNumberFormat="1" applyFont="1" applyFill="1" applyBorder="1" applyAlignment="1">
      <alignment horizontal="center" vertical="center"/>
    </xf>
    <xf numFmtId="41" fontId="68" fillId="29" borderId="7" xfId="57" applyFont="1" applyFill="1" applyBorder="1" applyAlignment="1">
      <alignment horizontal="center" vertical="center"/>
    </xf>
    <xf numFmtId="0" fontId="66" fillId="40" borderId="50" xfId="51" applyFont="1" applyFill="1" applyBorder="1" applyAlignment="1">
      <alignment horizontal="center" vertical="center"/>
    </xf>
    <xf numFmtId="0" fontId="66" fillId="29" borderId="7" xfId="51" applyFont="1" applyFill="1" applyBorder="1" applyAlignment="1">
      <alignment horizontal="center" vertical="center"/>
    </xf>
    <xf numFmtId="197" fontId="68" fillId="29" borderId="7" xfId="51" applyNumberFormat="1" applyFont="1" applyFill="1" applyBorder="1" applyAlignment="1">
      <alignment horizontal="center" vertical="center"/>
    </xf>
    <xf numFmtId="177" fontId="37" fillId="29" borderId="7" xfId="51" applyNumberFormat="1" applyFont="1" applyFill="1" applyBorder="1" applyAlignment="1">
      <alignment horizontal="center" vertical="center"/>
    </xf>
    <xf numFmtId="180" fontId="66" fillId="29" borderId="7" xfId="57" applyNumberFormat="1" applyFont="1" applyFill="1" applyBorder="1" applyAlignment="1">
      <alignment horizontal="center" vertical="center"/>
    </xf>
    <xf numFmtId="41" fontId="66" fillId="29" borderId="7" xfId="57" applyFont="1" applyFill="1" applyBorder="1" applyAlignment="1">
      <alignment horizontal="center" vertical="center"/>
    </xf>
    <xf numFmtId="177" fontId="66" fillId="29" borderId="7" xfId="51" applyNumberFormat="1" applyFont="1" applyFill="1" applyBorder="1" applyAlignment="1">
      <alignment horizontal="center" vertical="center"/>
    </xf>
    <xf numFmtId="0" fontId="66" fillId="0" borderId="0" xfId="51" applyFont="1" applyAlignment="1">
      <alignment horizontal="center" vertical="center"/>
    </xf>
    <xf numFmtId="0" fontId="66" fillId="0" borderId="0" xfId="51" applyFont="1" applyAlignment="1">
      <alignment horizontal="left" vertical="center"/>
    </xf>
    <xf numFmtId="0" fontId="66" fillId="40" borderId="55" xfId="51" applyFont="1" applyFill="1" applyBorder="1">
      <alignment vertical="center"/>
    </xf>
    <xf numFmtId="0" fontId="66" fillId="43" borderId="7" xfId="51" applyFont="1" applyFill="1" applyBorder="1">
      <alignment vertical="center"/>
    </xf>
    <xf numFmtId="197" fontId="66" fillId="42" borderId="7" xfId="51" applyNumberFormat="1" applyFont="1" applyFill="1" applyBorder="1">
      <alignment vertical="center"/>
    </xf>
    <xf numFmtId="197" fontId="66" fillId="42" borderId="7" xfId="57" applyNumberFormat="1" applyFont="1" applyFill="1" applyBorder="1">
      <alignment vertical="center"/>
    </xf>
    <xf numFmtId="196" fontId="66" fillId="42" borderId="7" xfId="51" applyNumberFormat="1" applyFont="1" applyFill="1" applyBorder="1">
      <alignment vertical="center"/>
    </xf>
    <xf numFmtId="196" fontId="66" fillId="42" borderId="7" xfId="57" applyNumberFormat="1" applyFont="1" applyFill="1" applyBorder="1">
      <alignment vertical="center"/>
    </xf>
    <xf numFmtId="0" fontId="66" fillId="42" borderId="7" xfId="51" applyFont="1" applyFill="1" applyBorder="1">
      <alignment vertical="center"/>
    </xf>
    <xf numFmtId="177" fontId="66" fillId="42" borderId="7" xfId="51" applyNumberFormat="1" applyFont="1" applyFill="1" applyBorder="1">
      <alignment vertical="center"/>
    </xf>
    <xf numFmtId="0" fontId="66" fillId="0" borderId="7" xfId="51" applyFont="1" applyBorder="1">
      <alignment vertical="center"/>
    </xf>
    <xf numFmtId="197" fontId="66" fillId="39" borderId="7" xfId="51" applyNumberFormat="1" applyFont="1" applyFill="1" applyBorder="1">
      <alignment vertical="center"/>
    </xf>
    <xf numFmtId="197" fontId="66" fillId="39" borderId="7" xfId="57" applyNumberFormat="1" applyFont="1" applyFill="1" applyBorder="1">
      <alignment vertical="center"/>
    </xf>
    <xf numFmtId="196" fontId="66" fillId="39" borderId="7" xfId="51" applyNumberFormat="1" applyFont="1" applyFill="1" applyBorder="1">
      <alignment vertical="center"/>
    </xf>
    <xf numFmtId="196" fontId="66" fillId="39" borderId="7" xfId="57" applyNumberFormat="1" applyFont="1" applyFill="1" applyBorder="1">
      <alignment vertical="center"/>
    </xf>
    <xf numFmtId="0" fontId="66" fillId="39" borderId="7" xfId="51" applyFont="1" applyFill="1" applyBorder="1">
      <alignment vertical="center"/>
    </xf>
    <xf numFmtId="177" fontId="66" fillId="39" borderId="7" xfId="51" applyNumberFormat="1" applyFont="1" applyFill="1" applyBorder="1">
      <alignment vertical="center"/>
    </xf>
    <xf numFmtId="196" fontId="66" fillId="0" borderId="0" xfId="51" applyNumberFormat="1" applyFont="1">
      <alignment vertical="center"/>
    </xf>
    <xf numFmtId="197" fontId="66" fillId="0" borderId="7" xfId="51" applyNumberFormat="1" applyFont="1" applyBorder="1">
      <alignment vertical="center"/>
    </xf>
    <xf numFmtId="197" fontId="66" fillId="0" borderId="7" xfId="57" applyNumberFormat="1" applyFont="1" applyBorder="1">
      <alignment vertical="center"/>
    </xf>
    <xf numFmtId="196" fontId="66" fillId="0" borderId="7" xfId="51" applyNumberFormat="1" applyFont="1" applyBorder="1">
      <alignment vertical="center"/>
    </xf>
    <xf numFmtId="196" fontId="66" fillId="0" borderId="7" xfId="57" applyNumberFormat="1" applyFont="1" applyBorder="1">
      <alignment vertical="center"/>
    </xf>
    <xf numFmtId="177" fontId="66" fillId="0" borderId="7" xfId="51" applyNumberFormat="1" applyFont="1" applyBorder="1">
      <alignment vertical="center"/>
    </xf>
    <xf numFmtId="180" fontId="66" fillId="39" borderId="7" xfId="57" applyNumberFormat="1" applyFont="1" applyFill="1" applyBorder="1">
      <alignment vertical="center"/>
    </xf>
    <xf numFmtId="197" fontId="66" fillId="9" borderId="7" xfId="51" applyNumberFormat="1" applyFont="1" applyFill="1" applyBorder="1">
      <alignment vertical="center"/>
    </xf>
    <xf numFmtId="196" fontId="66" fillId="9" borderId="7" xfId="51" applyNumberFormat="1" applyFont="1" applyFill="1" applyBorder="1">
      <alignment vertical="center"/>
    </xf>
    <xf numFmtId="41" fontId="66" fillId="0" borderId="0" xfId="1" applyFont="1">
      <alignment vertical="center"/>
    </xf>
    <xf numFmtId="0" fontId="66" fillId="40" borderId="212" xfId="51" applyFont="1" applyFill="1" applyBorder="1">
      <alignment vertical="center"/>
    </xf>
    <xf numFmtId="0" fontId="66" fillId="0" borderId="195" xfId="51" applyFont="1" applyBorder="1">
      <alignment vertical="center"/>
    </xf>
    <xf numFmtId="197" fontId="66" fillId="9" borderId="195" xfId="51" applyNumberFormat="1" applyFont="1" applyFill="1" applyBorder="1">
      <alignment vertical="center"/>
    </xf>
    <xf numFmtId="196" fontId="66" fillId="0" borderId="195" xfId="51" applyNumberFormat="1" applyFont="1" applyBorder="1">
      <alignment vertical="center"/>
    </xf>
    <xf numFmtId="177" fontId="66" fillId="0" borderId="195" xfId="51" applyNumberFormat="1" applyFont="1" applyBorder="1">
      <alignment vertical="center"/>
    </xf>
    <xf numFmtId="197" fontId="66" fillId="0" borderId="0" xfId="51" applyNumberFormat="1" applyFont="1">
      <alignment vertical="center"/>
    </xf>
    <xf numFmtId="0" fontId="66" fillId="0" borderId="179" xfId="51" applyFont="1" applyBorder="1">
      <alignment vertical="center"/>
    </xf>
    <xf numFmtId="0" fontId="66" fillId="6" borderId="7" xfId="51" applyFont="1" applyFill="1" applyBorder="1">
      <alignment vertical="center"/>
    </xf>
    <xf numFmtId="196" fontId="37" fillId="0" borderId="7" xfId="51" applyNumberFormat="1" applyFont="1" applyBorder="1">
      <alignment vertical="center"/>
    </xf>
    <xf numFmtId="0" fontId="66" fillId="40" borderId="61" xfId="51" applyFont="1" applyFill="1" applyBorder="1">
      <alignment vertical="center"/>
    </xf>
    <xf numFmtId="3" fontId="66" fillId="0" borderId="0" xfId="51" applyNumberFormat="1" applyFont="1">
      <alignment vertical="center"/>
    </xf>
    <xf numFmtId="4" fontId="66" fillId="0" borderId="0" xfId="51" applyNumberFormat="1" applyFont="1">
      <alignment vertical="center"/>
    </xf>
    <xf numFmtId="0" fontId="95" fillId="0" borderId="0" xfId="51" applyFont="1" applyAlignment="1">
      <alignment horizontal="left" vertical="center"/>
    </xf>
    <xf numFmtId="199" fontId="95" fillId="0" borderId="0" xfId="51" applyNumberFormat="1" applyFont="1" applyAlignment="1">
      <alignment horizontal="right" vertical="center" wrapText="1"/>
    </xf>
    <xf numFmtId="194" fontId="95" fillId="0" borderId="0" xfId="51" applyNumberFormat="1" applyFont="1" applyAlignment="1">
      <alignment horizontal="right" vertical="center" wrapText="1"/>
    </xf>
    <xf numFmtId="187" fontId="15" fillId="15" borderId="0" xfId="11" applyNumberFormat="1" applyFont="1" applyFill="1" applyAlignment="1">
      <alignment horizontal="right" vertical="center"/>
    </xf>
    <xf numFmtId="205" fontId="6" fillId="0" borderId="0" xfId="51" applyNumberFormat="1" applyFont="1">
      <alignment vertical="center"/>
    </xf>
    <xf numFmtId="0" fontId="10" fillId="0" borderId="203" xfId="0" applyFont="1" applyBorder="1" applyAlignment="1">
      <alignment horizontal="center" vertical="center"/>
    </xf>
    <xf numFmtId="0" fontId="10" fillId="14" borderId="205" xfId="0" applyFont="1" applyFill="1" applyBorder="1">
      <alignment vertical="center"/>
    </xf>
    <xf numFmtId="176" fontId="10" fillId="14" borderId="205" xfId="8" applyFont="1" applyFill="1" applyBorder="1">
      <alignment vertical="center"/>
    </xf>
    <xf numFmtId="0" fontId="10" fillId="0" borderId="203" xfId="8" applyNumberFormat="1" applyFont="1" applyBorder="1" applyAlignment="1">
      <alignment horizontal="center" vertical="center"/>
    </xf>
    <xf numFmtId="176" fontId="10" fillId="14" borderId="204" xfId="8" applyFont="1" applyFill="1" applyBorder="1">
      <alignment vertical="center"/>
    </xf>
    <xf numFmtId="41" fontId="8" fillId="13" borderId="0" xfId="57" applyFont="1" applyFill="1">
      <alignment vertical="center"/>
    </xf>
    <xf numFmtId="41" fontId="0" fillId="0" borderId="0" xfId="57" applyFont="1">
      <alignment vertical="center"/>
    </xf>
    <xf numFmtId="0" fontId="33" fillId="0" borderId="197" xfId="51" applyBorder="1">
      <alignment vertical="center"/>
    </xf>
    <xf numFmtId="41" fontId="8" fillId="0" borderId="229" xfId="57" applyFont="1" applyBorder="1">
      <alignment vertical="center"/>
    </xf>
    <xf numFmtId="0" fontId="33" fillId="0" borderId="211" xfId="51" applyBorder="1">
      <alignment vertical="center"/>
    </xf>
    <xf numFmtId="0" fontId="33" fillId="0" borderId="207" xfId="51" applyBorder="1">
      <alignment vertical="center"/>
    </xf>
    <xf numFmtId="41" fontId="8" fillId="0" borderId="230" xfId="57" applyFont="1" applyBorder="1">
      <alignment vertical="center"/>
    </xf>
    <xf numFmtId="41" fontId="0" fillId="13" borderId="0" xfId="57" applyFont="1" applyFill="1">
      <alignment vertical="center"/>
    </xf>
    <xf numFmtId="0" fontId="10" fillId="0" borderId="211" xfId="8" applyNumberFormat="1" applyFont="1" applyBorder="1" applyAlignment="1">
      <alignment horizontal="center" vertical="center"/>
    </xf>
    <xf numFmtId="0" fontId="10" fillId="0" borderId="197" xfId="8" applyNumberFormat="1" applyFont="1" applyBorder="1" applyAlignment="1">
      <alignment horizontal="center" vertical="center"/>
    </xf>
    <xf numFmtId="176" fontId="10" fillId="14" borderId="231" xfId="8" applyFont="1" applyFill="1" applyBorder="1">
      <alignment vertical="center"/>
    </xf>
    <xf numFmtId="176" fontId="10" fillId="14" borderId="229" xfId="8" applyFont="1" applyFill="1" applyBorder="1">
      <alignment vertical="center"/>
    </xf>
    <xf numFmtId="0" fontId="10" fillId="0" borderId="207" xfId="8" applyNumberFormat="1" applyFont="1" applyBorder="1" applyAlignment="1">
      <alignment horizontal="center" vertical="center"/>
    </xf>
    <xf numFmtId="176" fontId="10" fillId="14" borderId="202" xfId="8" applyFont="1" applyFill="1" applyBorder="1">
      <alignment vertical="center"/>
    </xf>
    <xf numFmtId="176" fontId="10" fillId="14" borderId="230" xfId="8" applyFont="1" applyFill="1" applyBorder="1">
      <alignment vertical="center"/>
    </xf>
    <xf numFmtId="0" fontId="10" fillId="0" borderId="197" xfId="0" applyFont="1" applyBorder="1" applyAlignment="1">
      <alignment horizontal="center" vertical="center"/>
    </xf>
    <xf numFmtId="0" fontId="10" fillId="14" borderId="231" xfId="0" applyFont="1" applyFill="1" applyBorder="1">
      <alignment vertical="center"/>
    </xf>
    <xf numFmtId="0" fontId="10" fillId="0" borderId="207" xfId="0" applyFont="1" applyBorder="1" applyAlignment="1">
      <alignment horizontal="center" vertical="center"/>
    </xf>
    <xf numFmtId="0" fontId="10" fillId="14" borderId="202" xfId="0" applyFont="1" applyFill="1" applyBorder="1">
      <alignment vertical="center"/>
    </xf>
    <xf numFmtId="41" fontId="37" fillId="0" borderId="0" xfId="1" applyFont="1">
      <alignment vertical="center"/>
    </xf>
    <xf numFmtId="41" fontId="37" fillId="0" borderId="0" xfId="0" applyNumberFormat="1" applyFont="1">
      <alignment vertical="center"/>
    </xf>
    <xf numFmtId="181" fontId="37" fillId="0" borderId="0" xfId="1" applyNumberFormat="1" applyFont="1">
      <alignment vertical="center"/>
    </xf>
    <xf numFmtId="196" fontId="6" fillId="0" borderId="0" xfId="51" applyNumberFormat="1" applyFont="1" applyAlignment="1">
      <alignment horizontal="left" vertical="center" indent="2"/>
    </xf>
    <xf numFmtId="196" fontId="6" fillId="0" borderId="211" xfId="51" applyNumberFormat="1" applyFont="1" applyBorder="1" applyAlignment="1">
      <alignment horizontal="left" vertical="center" indent="1"/>
    </xf>
    <xf numFmtId="4" fontId="37" fillId="0" borderId="0" xfId="0" applyNumberFormat="1" applyFont="1">
      <alignment vertical="center"/>
    </xf>
    <xf numFmtId="0" fontId="10" fillId="0" borderId="211" xfId="0" applyFont="1" applyBorder="1" applyAlignment="1">
      <alignment horizontal="center" vertical="center"/>
    </xf>
    <xf numFmtId="176" fontId="10" fillId="0" borderId="0" xfId="8" applyFont="1" applyFill="1" applyBorder="1">
      <alignment vertical="center"/>
    </xf>
    <xf numFmtId="0" fontId="10" fillId="0" borderId="0" xfId="8" applyNumberFormat="1" applyFont="1" applyFill="1" applyBorder="1" applyAlignment="1">
      <alignment horizontal="center" vertical="center"/>
    </xf>
    <xf numFmtId="196" fontId="37" fillId="0" borderId="0" xfId="0" applyNumberFormat="1" applyFont="1">
      <alignment vertical="center"/>
    </xf>
    <xf numFmtId="0" fontId="9" fillId="0" borderId="197" xfId="0" applyFont="1" applyBorder="1">
      <alignment vertical="center"/>
    </xf>
    <xf numFmtId="0" fontId="9" fillId="0" borderId="229" xfId="0" applyFont="1" applyBorder="1" applyAlignment="1">
      <alignment horizontal="left" vertical="center" indent="2"/>
    </xf>
    <xf numFmtId="0" fontId="9" fillId="0" borderId="211" xfId="0" applyFont="1" applyBorder="1">
      <alignment vertical="center"/>
    </xf>
    <xf numFmtId="0" fontId="9" fillId="0" borderId="106" xfId="0" applyFont="1" applyBorder="1" applyAlignment="1">
      <alignment horizontal="left" vertical="center" indent="2"/>
    </xf>
    <xf numFmtId="0" fontId="9" fillId="0" borderId="207" xfId="0" applyFont="1" applyBorder="1">
      <alignment vertical="center"/>
    </xf>
    <xf numFmtId="0" fontId="9" fillId="0" borderId="230" xfId="0" applyFont="1" applyBorder="1" applyAlignment="1">
      <alignment horizontal="left" vertical="center" indent="2"/>
    </xf>
    <xf numFmtId="14" fontId="12" fillId="29" borderId="7" xfId="57" applyNumberFormat="1" applyFont="1" applyFill="1" applyBorder="1" applyAlignment="1">
      <alignment horizontal="center" vertical="center"/>
    </xf>
    <xf numFmtId="14" fontId="12" fillId="29" borderId="7" xfId="51" applyNumberFormat="1" applyFont="1" applyFill="1" applyBorder="1" applyAlignment="1">
      <alignment horizontal="center" vertical="center"/>
    </xf>
    <xf numFmtId="14" fontId="68" fillId="29" borderId="7" xfId="51" applyNumberFormat="1" applyFont="1" applyFill="1" applyBorder="1" applyAlignment="1">
      <alignment horizontal="center" vertical="center"/>
    </xf>
    <xf numFmtId="14" fontId="68" fillId="29" borderId="7" xfId="57" applyNumberFormat="1" applyFont="1" applyFill="1" applyBorder="1" applyAlignment="1">
      <alignment horizontal="center" vertical="center"/>
    </xf>
    <xf numFmtId="0" fontId="26" fillId="0" borderId="112" xfId="0" applyFont="1" applyBorder="1" applyAlignment="1">
      <alignment horizontal="center" vertical="center"/>
    </xf>
    <xf numFmtId="0" fontId="26" fillId="0" borderId="113" xfId="0" applyFont="1" applyBorder="1" applyAlignment="1">
      <alignment horizontal="center" vertical="center"/>
    </xf>
    <xf numFmtId="0" fontId="27" fillId="0" borderId="111" xfId="0" applyFont="1" applyBorder="1">
      <alignment vertical="center"/>
    </xf>
    <xf numFmtId="0" fontId="27" fillId="0" borderId="112" xfId="0" applyFont="1" applyBorder="1" applyAlignment="1">
      <alignment horizontal="right" vertical="center"/>
    </xf>
    <xf numFmtId="3" fontId="27" fillId="0" borderId="112" xfId="0" applyNumberFormat="1" applyFont="1" applyBorder="1" applyAlignment="1">
      <alignment horizontal="right" vertical="center"/>
    </xf>
    <xf numFmtId="3" fontId="27" fillId="0" borderId="113" xfId="0" applyNumberFormat="1" applyFont="1" applyBorder="1" applyAlignment="1">
      <alignment horizontal="right" vertical="center"/>
    </xf>
    <xf numFmtId="0" fontId="27" fillId="0" borderId="113" xfId="0" applyFont="1" applyBorder="1" applyAlignment="1">
      <alignment horizontal="right" vertical="center"/>
    </xf>
    <xf numFmtId="0" fontId="27" fillId="0" borderId="114" xfId="0" applyFont="1" applyBorder="1">
      <alignment vertical="center"/>
    </xf>
    <xf numFmtId="0" fontId="27" fillId="0" borderId="115" xfId="0" applyFont="1" applyBorder="1" applyAlignment="1">
      <alignment horizontal="right" vertical="center"/>
    </xf>
    <xf numFmtId="0" fontId="27" fillId="0" borderId="116" xfId="0" applyFont="1" applyBorder="1" applyAlignment="1">
      <alignment horizontal="right" vertical="center"/>
    </xf>
    <xf numFmtId="0" fontId="59" fillId="32" borderId="234" xfId="65" applyFont="1" applyFill="1" applyBorder="1" applyAlignment="1">
      <alignment horizontal="centerContinuous" vertical="center" wrapText="1"/>
    </xf>
    <xf numFmtId="0" fontId="59" fillId="32" borderId="234" xfId="65" applyFont="1" applyFill="1" applyBorder="1" applyAlignment="1">
      <alignment horizontal="center" vertical="center" wrapText="1"/>
    </xf>
    <xf numFmtId="207" fontId="27" fillId="0" borderId="112" xfId="0" applyNumberFormat="1" applyFont="1" applyBorder="1" applyAlignment="1">
      <alignment horizontal="right" vertical="center"/>
    </xf>
    <xf numFmtId="207" fontId="27" fillId="0" borderId="113" xfId="0" applyNumberFormat="1" applyFont="1" applyBorder="1" applyAlignment="1">
      <alignment horizontal="right" vertical="center"/>
    </xf>
    <xf numFmtId="0" fontId="10" fillId="0" borderId="74" xfId="0" quotePrefix="1" applyFont="1" applyBorder="1" applyAlignment="1">
      <alignment horizontal="center" vertical="center"/>
    </xf>
    <xf numFmtId="0" fontId="10" fillId="0" borderId="105" xfId="8" quotePrefix="1" applyNumberFormat="1" applyFont="1" applyBorder="1" applyAlignment="1">
      <alignment horizontal="center" vertical="center"/>
    </xf>
    <xf numFmtId="196" fontId="6" fillId="0" borderId="7" xfId="57" applyNumberFormat="1" applyFont="1" applyFill="1" applyBorder="1">
      <alignment vertical="center"/>
    </xf>
    <xf numFmtId="196" fontId="12" fillId="0" borderId="0" xfId="0" applyNumberFormat="1" applyFont="1">
      <alignment vertical="center"/>
    </xf>
    <xf numFmtId="196" fontId="6" fillId="0" borderId="0" xfId="0" applyNumberFormat="1" applyFont="1" applyAlignment="1">
      <alignment horizontal="right" vertical="center"/>
    </xf>
    <xf numFmtId="196" fontId="6" fillId="0" borderId="0" xfId="0" applyNumberFormat="1" applyFont="1">
      <alignment vertical="center"/>
    </xf>
    <xf numFmtId="196" fontId="96" fillId="0" borderId="0" xfId="0" applyNumberFormat="1" applyFont="1" applyAlignment="1">
      <alignment horizontal="left" vertical="center" indent="2"/>
    </xf>
    <xf numFmtId="196" fontId="12" fillId="0" borderId="0" xfId="0" applyNumberFormat="1" applyFont="1" applyAlignment="1">
      <alignment horizontal="right" vertical="center"/>
    </xf>
    <xf numFmtId="196" fontId="12" fillId="51" borderId="27" xfId="0" applyNumberFormat="1" applyFont="1" applyFill="1" applyBorder="1">
      <alignment vertical="center"/>
    </xf>
    <xf numFmtId="176" fontId="66" fillId="8" borderId="202" xfId="5" applyFont="1" applyFill="1" applyBorder="1">
      <alignment vertical="center"/>
    </xf>
    <xf numFmtId="176" fontId="68" fillId="8" borderId="195" xfId="5" applyFont="1" applyFill="1" applyBorder="1">
      <alignment vertical="center"/>
    </xf>
    <xf numFmtId="176" fontId="66" fillId="8" borderId="195" xfId="5" applyFont="1" applyFill="1" applyBorder="1">
      <alignment vertical="center"/>
    </xf>
    <xf numFmtId="196" fontId="10" fillId="0" borderId="0" xfId="0" applyNumberFormat="1" applyFont="1">
      <alignment vertical="center"/>
    </xf>
    <xf numFmtId="176" fontId="10" fillId="14" borderId="205" xfId="8" applyFont="1" applyFill="1" applyBorder="1" applyAlignment="1">
      <alignment horizontal="left" vertical="center"/>
    </xf>
    <xf numFmtId="176" fontId="69" fillId="0" borderId="0" xfId="0" applyNumberFormat="1" applyFont="1">
      <alignment vertical="center"/>
    </xf>
    <xf numFmtId="208" fontId="15" fillId="0" borderId="0" xfId="11" applyNumberFormat="1" applyFont="1" applyAlignment="1">
      <alignment horizontal="right" vertical="center"/>
    </xf>
    <xf numFmtId="0" fontId="6" fillId="0" borderId="7" xfId="51" applyFont="1" applyBorder="1" applyAlignment="1">
      <alignment vertical="top" wrapText="1"/>
    </xf>
    <xf numFmtId="0" fontId="6" fillId="0" borderId="7" xfId="51" applyFont="1" applyBorder="1" applyAlignment="1">
      <alignment horizontal="left" vertical="top" wrapText="1" indent="1"/>
    </xf>
    <xf numFmtId="41" fontId="6" fillId="0" borderId="0" xfId="51" applyNumberFormat="1" applyFont="1">
      <alignment vertical="center"/>
    </xf>
    <xf numFmtId="0" fontId="6" fillId="0" borderId="7" xfId="51" applyFont="1" applyBorder="1" applyAlignment="1">
      <alignment horizontal="left" vertical="top" wrapText="1"/>
    </xf>
    <xf numFmtId="41" fontId="12" fillId="0" borderId="0" xfId="57" applyFont="1" applyFill="1">
      <alignment vertical="center"/>
    </xf>
    <xf numFmtId="0" fontId="65" fillId="0" borderId="0" xfId="0" quotePrefix="1" applyFont="1">
      <alignment vertical="center"/>
    </xf>
    <xf numFmtId="0" fontId="65" fillId="0" borderId="235" xfId="0" applyFont="1" applyBorder="1" applyAlignment="1">
      <alignment horizontal="center" vertical="center"/>
    </xf>
    <xf numFmtId="0" fontId="65" fillId="0" borderId="235" xfId="0" applyFont="1" applyBorder="1">
      <alignment vertical="center"/>
    </xf>
    <xf numFmtId="193" fontId="33" fillId="0" borderId="0" xfId="0" applyNumberFormat="1" applyFont="1">
      <alignment vertical="center"/>
    </xf>
    <xf numFmtId="193" fontId="98" fillId="0" borderId="0" xfId="0" applyNumberFormat="1" applyFont="1">
      <alignment vertical="center"/>
    </xf>
    <xf numFmtId="193" fontId="98" fillId="0" borderId="0" xfId="0" applyNumberFormat="1" applyFont="1" applyAlignment="1">
      <alignment horizontal="right" vertical="center" wrapText="1"/>
    </xf>
    <xf numFmtId="193" fontId="99" fillId="17" borderId="235" xfId="0" applyNumberFormat="1" applyFont="1" applyFill="1" applyBorder="1" applyAlignment="1">
      <alignment horizontal="centerContinuous" vertical="center"/>
    </xf>
    <xf numFmtId="193" fontId="99" fillId="17" borderId="235" xfId="0" applyNumberFormat="1" applyFont="1" applyFill="1" applyBorder="1" applyAlignment="1">
      <alignment horizontal="centerContinuous" vertical="center" wrapText="1"/>
    </xf>
    <xf numFmtId="41" fontId="65" fillId="0" borderId="0" xfId="57" applyFont="1">
      <alignment vertical="center"/>
    </xf>
    <xf numFmtId="9" fontId="65" fillId="0" borderId="0" xfId="59" applyFont="1">
      <alignment vertical="center"/>
    </xf>
    <xf numFmtId="193" fontId="99" fillId="17" borderId="235" xfId="0" applyNumberFormat="1" applyFont="1" applyFill="1" applyBorder="1" applyAlignment="1">
      <alignment horizontal="center" vertical="center" wrapText="1"/>
    </xf>
    <xf numFmtId="193" fontId="98" fillId="0" borderId="235" xfId="0" applyNumberFormat="1" applyFont="1" applyBorder="1" applyAlignment="1">
      <alignment horizontal="center" vertical="center" wrapText="1"/>
    </xf>
    <xf numFmtId="193" fontId="65" fillId="0" borderId="235" xfId="0" applyNumberFormat="1" applyFont="1" applyBorder="1">
      <alignment vertical="center"/>
    </xf>
    <xf numFmtId="10" fontId="65" fillId="0" borderId="235" xfId="0" applyNumberFormat="1" applyFont="1" applyBorder="1">
      <alignment vertical="center"/>
    </xf>
    <xf numFmtId="193" fontId="98" fillId="0" borderId="235" xfId="0" applyNumberFormat="1" applyFont="1" applyBorder="1" applyAlignment="1">
      <alignment horizontal="right" vertical="center" wrapText="1"/>
    </xf>
    <xf numFmtId="193" fontId="65" fillId="0" borderId="235" xfId="0" applyNumberFormat="1" applyFont="1" applyBorder="1" applyAlignment="1">
      <alignment horizontal="center" vertical="center"/>
    </xf>
    <xf numFmtId="196" fontId="65" fillId="0" borderId="235" xfId="0" applyNumberFormat="1" applyFont="1" applyBorder="1">
      <alignment vertical="center"/>
    </xf>
    <xf numFmtId="10" fontId="8" fillId="0" borderId="235" xfId="6" applyNumberFormat="1" applyFont="1" applyFill="1" applyBorder="1" applyAlignment="1">
      <alignment vertical="center"/>
    </xf>
    <xf numFmtId="193" fontId="8" fillId="0" borderId="235" xfId="57" applyNumberFormat="1" applyFont="1" applyFill="1" applyBorder="1" applyAlignment="1">
      <alignment vertical="center"/>
    </xf>
    <xf numFmtId="209" fontId="83" fillId="0" borderId="112" xfId="0" applyNumberFormat="1" applyFont="1" applyBorder="1" applyAlignment="1">
      <alignment horizontal="right" vertical="center" wrapText="1"/>
    </xf>
    <xf numFmtId="196" fontId="83" fillId="0" borderId="138" xfId="0" applyNumberFormat="1" applyFont="1" applyBorder="1" applyAlignment="1">
      <alignment horizontal="right" vertical="center" wrapText="1"/>
    </xf>
    <xf numFmtId="196" fontId="83" fillId="0" borderId="235" xfId="0" applyNumberFormat="1" applyFont="1" applyBorder="1" applyAlignment="1">
      <alignment horizontal="right" vertical="center" wrapText="1"/>
    </xf>
    <xf numFmtId="0" fontId="83" fillId="46" borderId="147" xfId="0" applyFont="1" applyFill="1" applyBorder="1" applyAlignment="1">
      <alignment horizontal="center" vertical="center" wrapText="1"/>
    </xf>
    <xf numFmtId="0" fontId="83" fillId="46" borderId="148" xfId="0" applyFont="1" applyFill="1" applyBorder="1" applyAlignment="1">
      <alignment horizontal="center" vertical="center" wrapText="1"/>
    </xf>
    <xf numFmtId="0" fontId="100" fillId="0" borderId="0" xfId="51" applyFont="1">
      <alignment vertical="center"/>
    </xf>
    <xf numFmtId="0" fontId="33" fillId="0" borderId="0" xfId="51" applyAlignment="1">
      <alignment horizontal="center" vertical="center"/>
    </xf>
    <xf numFmtId="41" fontId="0" fillId="25" borderId="195" xfId="57" applyFont="1" applyFill="1" applyBorder="1" applyAlignment="1">
      <alignment horizontal="center" vertical="center"/>
    </xf>
    <xf numFmtId="41" fontId="0" fillId="25" borderId="0" xfId="57" applyFont="1" applyFill="1" applyAlignment="1">
      <alignment horizontal="center" vertical="center"/>
    </xf>
    <xf numFmtId="0" fontId="33" fillId="0" borderId="195" xfId="51" applyBorder="1" applyAlignment="1">
      <alignment horizontal="left" vertical="center"/>
    </xf>
    <xf numFmtId="196" fontId="0" fillId="0" borderId="195" xfId="57" applyNumberFormat="1" applyFont="1" applyBorder="1" applyAlignment="1">
      <alignment vertical="center"/>
    </xf>
    <xf numFmtId="196" fontId="0" fillId="0" borderId="0" xfId="57" applyNumberFormat="1" applyFont="1">
      <alignment vertical="center"/>
    </xf>
    <xf numFmtId="0" fontId="33" fillId="0" borderId="195" xfId="51" applyBorder="1" applyAlignment="1">
      <alignment horizontal="center" vertical="center"/>
    </xf>
    <xf numFmtId="0" fontId="57" fillId="0" borderId="109" xfId="51" applyFont="1" applyBorder="1" applyAlignment="1">
      <alignment vertical="center" wrapText="1"/>
    </xf>
    <xf numFmtId="0" fontId="65" fillId="0" borderId="0" xfId="51" applyFont="1">
      <alignment vertical="center"/>
    </xf>
    <xf numFmtId="0" fontId="57" fillId="0" borderId="138" xfId="51" applyFont="1" applyBorder="1" applyAlignment="1">
      <alignment horizontal="center" vertical="center" wrapText="1"/>
    </xf>
    <xf numFmtId="0" fontId="86" fillId="0" borderId="130" xfId="51" applyFont="1" applyBorder="1" applyAlignment="1">
      <alignment vertical="center" wrapText="1"/>
    </xf>
    <xf numFmtId="196" fontId="86" fillId="0" borderId="112" xfId="51" applyNumberFormat="1" applyFont="1" applyBorder="1" applyAlignment="1">
      <alignment vertical="top" wrapText="1"/>
    </xf>
    <xf numFmtId="0" fontId="86" fillId="0" borderId="136" xfId="51" applyFont="1" applyBorder="1" applyAlignment="1">
      <alignment vertical="center" wrapText="1"/>
    </xf>
    <xf numFmtId="196" fontId="86" fillId="0" borderId="136" xfId="51" applyNumberFormat="1" applyFont="1" applyBorder="1" applyAlignment="1">
      <alignment vertical="center" wrapText="1"/>
    </xf>
    <xf numFmtId="0" fontId="86" fillId="0" borderId="111" xfId="51" applyFont="1" applyBorder="1" applyAlignment="1">
      <alignment vertical="center" wrapText="1"/>
    </xf>
    <xf numFmtId="0" fontId="86" fillId="0" borderId="112" xfId="51" applyFont="1" applyBorder="1" applyAlignment="1">
      <alignment horizontal="center" vertical="center" wrapText="1"/>
    </xf>
    <xf numFmtId="196" fontId="86" fillId="0" borderId="112" xfId="51" applyNumberFormat="1" applyFont="1" applyBorder="1" applyAlignment="1">
      <alignment vertical="center" wrapText="1"/>
    </xf>
    <xf numFmtId="0" fontId="86" fillId="0" borderId="114" xfId="51" applyFont="1" applyBorder="1" applyAlignment="1">
      <alignment vertical="center" wrapText="1"/>
    </xf>
    <xf numFmtId="0" fontId="86" fillId="0" borderId="115" xfId="51" applyFont="1" applyBorder="1" applyAlignment="1">
      <alignment horizontal="center" vertical="center" wrapText="1"/>
    </xf>
    <xf numFmtId="196" fontId="86" fillId="0" borderId="115" xfId="51" applyNumberFormat="1" applyFont="1" applyBorder="1" applyAlignment="1">
      <alignment vertical="top" wrapText="1"/>
    </xf>
    <xf numFmtId="0" fontId="57" fillId="0" borderId="168" xfId="51" applyFont="1" applyBorder="1" applyAlignment="1">
      <alignment horizontal="center" vertical="center" wrapText="1"/>
    </xf>
    <xf numFmtId="0" fontId="57" fillId="0" borderId="144" xfId="51" applyFont="1" applyBorder="1" applyAlignment="1">
      <alignment horizontal="center" vertical="center" wrapText="1"/>
    </xf>
    <xf numFmtId="0" fontId="86" fillId="0" borderId="112" xfId="51" applyFont="1" applyBorder="1" applyAlignment="1">
      <alignment vertical="center" wrapText="1"/>
    </xf>
    <xf numFmtId="10" fontId="86" fillId="0" borderId="113" xfId="51" quotePrefix="1" applyNumberFormat="1" applyFont="1" applyBorder="1" applyAlignment="1">
      <alignment horizontal="right" vertical="center" wrapText="1"/>
    </xf>
    <xf numFmtId="9" fontId="86" fillId="0" borderId="113" xfId="51" quotePrefix="1" applyNumberFormat="1" applyFont="1" applyBorder="1" applyAlignment="1">
      <alignment horizontal="right" vertical="center" wrapText="1"/>
    </xf>
    <xf numFmtId="0" fontId="86" fillId="0" borderId="0" xfId="51" applyFont="1">
      <alignment vertical="center"/>
    </xf>
    <xf numFmtId="0" fontId="57" fillId="0" borderId="112" xfId="51" applyFont="1" applyBorder="1" applyAlignment="1">
      <alignment horizontal="center" vertical="center" wrapText="1"/>
    </xf>
    <xf numFmtId="0" fontId="57" fillId="0" borderId="113" xfId="51" applyFont="1" applyBorder="1" applyAlignment="1">
      <alignment horizontal="center" vertical="center" wrapText="1"/>
    </xf>
    <xf numFmtId="196" fontId="86" fillId="0" borderId="112" xfId="51" applyNumberFormat="1" applyFont="1" applyBorder="1" applyAlignment="1">
      <alignment horizontal="right" wrapText="1"/>
    </xf>
    <xf numFmtId="196" fontId="86" fillId="0" borderId="113" xfId="51" applyNumberFormat="1" applyFont="1" applyBorder="1" applyAlignment="1">
      <alignment horizontal="right" wrapText="1"/>
    </xf>
    <xf numFmtId="0" fontId="101" fillId="52" borderId="241" xfId="7" applyFont="1" applyFill="1" applyBorder="1" applyAlignment="1">
      <alignment vertical="center" wrapText="1" shrinkToFit="1"/>
    </xf>
    <xf numFmtId="0" fontId="101" fillId="52" borderId="242" xfId="7" applyFont="1" applyFill="1" applyBorder="1" applyAlignment="1">
      <alignment vertical="center" wrapText="1" shrinkToFit="1"/>
    </xf>
    <xf numFmtId="0" fontId="101" fillId="52" borderId="243" xfId="7" applyFont="1" applyFill="1" applyBorder="1" applyAlignment="1">
      <alignment horizontal="center" vertical="center"/>
    </xf>
    <xf numFmtId="0" fontId="101" fillId="52" borderId="244" xfId="7" applyFont="1" applyFill="1" applyBorder="1" applyAlignment="1">
      <alignment horizontal="center" vertical="center"/>
    </xf>
    <xf numFmtId="0" fontId="101" fillId="52" borderId="245" xfId="7" applyFont="1" applyFill="1" applyBorder="1" applyAlignment="1">
      <alignment horizontal="center" vertical="center"/>
    </xf>
    <xf numFmtId="0" fontId="101" fillId="52" borderId="246" xfId="7" applyFont="1" applyFill="1" applyBorder="1" applyAlignment="1">
      <alignment vertical="center" wrapText="1" shrinkToFit="1"/>
    </xf>
    <xf numFmtId="41" fontId="101" fillId="52" borderId="202" xfId="55" applyFont="1" applyFill="1" applyBorder="1" applyAlignment="1">
      <alignment horizontal="right" vertical="center" wrapText="1" shrinkToFit="1"/>
    </xf>
    <xf numFmtId="179" fontId="101" fillId="52" borderId="247" xfId="7" applyNumberFormat="1" applyFont="1" applyFill="1" applyBorder="1" applyAlignment="1">
      <alignment horizontal="center" vertical="center"/>
    </xf>
    <xf numFmtId="179" fontId="101" fillId="52" borderId="248" xfId="7" applyNumberFormat="1" applyFont="1" applyFill="1" applyBorder="1" applyAlignment="1">
      <alignment horizontal="center" vertical="center"/>
    </xf>
    <xf numFmtId="10" fontId="101" fillId="52" borderId="0" xfId="7" applyNumberFormat="1" applyFont="1" applyFill="1">
      <alignment vertical="center"/>
    </xf>
    <xf numFmtId="41" fontId="103" fillId="0" borderId="250" xfId="55" applyFont="1" applyFill="1" applyBorder="1" applyAlignment="1">
      <alignment horizontal="right" vertical="center" wrapText="1"/>
    </xf>
    <xf numFmtId="41" fontId="103" fillId="9" borderId="251" xfId="55" applyFont="1" applyFill="1" applyBorder="1" applyAlignment="1">
      <alignment horizontal="right" vertical="center" wrapText="1"/>
    </xf>
    <xf numFmtId="10" fontId="101" fillId="52" borderId="203" xfId="7" applyNumberFormat="1" applyFont="1" applyFill="1" applyBorder="1">
      <alignment vertical="center"/>
    </xf>
    <xf numFmtId="41" fontId="103" fillId="0" borderId="251" xfId="55" applyFont="1" applyFill="1" applyBorder="1" applyAlignment="1">
      <alignment horizontal="right" vertical="center" wrapText="1"/>
    </xf>
    <xf numFmtId="10" fontId="101" fillId="52" borderId="254" xfId="7" applyNumberFormat="1" applyFont="1" applyFill="1" applyBorder="1">
      <alignment vertical="center"/>
    </xf>
    <xf numFmtId="41" fontId="103" fillId="9" borderId="255" xfId="55" applyFont="1" applyFill="1" applyBorder="1" applyAlignment="1">
      <alignment horizontal="right" vertical="center" wrapText="1"/>
    </xf>
    <xf numFmtId="41" fontId="103" fillId="0" borderId="255" xfId="55" applyFont="1" applyFill="1" applyBorder="1" applyAlignment="1">
      <alignment horizontal="right" vertical="center" wrapText="1"/>
    </xf>
    <xf numFmtId="41" fontId="103" fillId="0" borderId="256" xfId="55" applyFont="1" applyFill="1" applyBorder="1" applyAlignment="1">
      <alignment horizontal="right" vertical="center" wrapText="1"/>
    </xf>
    <xf numFmtId="211" fontId="65" fillId="0" borderId="0" xfId="57" applyNumberFormat="1" applyFont="1">
      <alignment vertical="center"/>
    </xf>
    <xf numFmtId="211" fontId="65" fillId="0" borderId="0" xfId="51" applyNumberFormat="1" applyFont="1">
      <alignment vertical="center"/>
    </xf>
    <xf numFmtId="0" fontId="33" fillId="0" borderId="0" xfId="51" quotePrefix="1">
      <alignment vertical="center"/>
    </xf>
    <xf numFmtId="0" fontId="83" fillId="0" borderId="0" xfId="51" applyFont="1" applyAlignment="1">
      <alignment horizontal="left" vertical="center" indent="1"/>
    </xf>
    <xf numFmtId="0" fontId="83" fillId="0" borderId="0" xfId="51" applyFont="1" applyAlignment="1">
      <alignment horizontal="right" vertical="top" wrapText="1"/>
    </xf>
    <xf numFmtId="0" fontId="85" fillId="0" borderId="108" xfId="51" applyFont="1" applyBorder="1" applyAlignment="1">
      <alignment horizontal="center" vertical="top" wrapText="1"/>
    </xf>
    <xf numFmtId="0" fontId="85" fillId="0" borderId="133" xfId="51" applyFont="1" applyBorder="1" applyAlignment="1">
      <alignment horizontal="center" vertical="center" wrapText="1"/>
    </xf>
    <xf numFmtId="0" fontId="85" fillId="0" borderId="132" xfId="51" applyFont="1" applyBorder="1" applyAlignment="1">
      <alignment horizontal="center" vertical="center" wrapText="1"/>
    </xf>
    <xf numFmtId="0" fontId="85" fillId="0" borderId="111" xfId="51" applyFont="1" applyBorder="1" applyAlignment="1">
      <alignment vertical="center" wrapText="1"/>
    </xf>
    <xf numFmtId="0" fontId="83" fillId="0" borderId="112" xfId="51" applyFont="1" applyBorder="1" applyAlignment="1">
      <alignment horizontal="right" wrapText="1"/>
    </xf>
    <xf numFmtId="0" fontId="83" fillId="0" borderId="113" xfId="51" applyFont="1" applyBorder="1" applyAlignment="1">
      <alignment horizontal="right" wrapText="1"/>
    </xf>
    <xf numFmtId="0" fontId="83" fillId="0" borderId="114" xfId="51" applyFont="1" applyBorder="1" applyAlignment="1">
      <alignment vertical="center" wrapText="1"/>
    </xf>
    <xf numFmtId="196" fontId="83" fillId="0" borderId="115" xfId="51" applyNumberFormat="1" applyFont="1" applyBorder="1" applyAlignment="1">
      <alignment horizontal="right" vertical="center" wrapText="1"/>
    </xf>
    <xf numFmtId="196" fontId="83" fillId="0" borderId="116" xfId="51" applyNumberFormat="1" applyFont="1" applyBorder="1" applyAlignment="1">
      <alignment horizontal="right" vertical="center" wrapText="1"/>
    </xf>
    <xf numFmtId="0" fontId="35" fillId="0" borderId="112" xfId="51" applyFont="1" applyBorder="1" applyAlignment="1">
      <alignment horizontal="center" vertical="center" wrapText="1"/>
    </xf>
    <xf numFmtId="0" fontId="35" fillId="0" borderId="113" xfId="51" applyFont="1" applyBorder="1" applyAlignment="1">
      <alignment horizontal="center" vertical="center" wrapText="1"/>
    </xf>
    <xf numFmtId="0" fontId="14" fillId="0" borderId="111" xfId="51" applyFont="1" applyBorder="1" applyAlignment="1">
      <alignment vertical="center" wrapText="1"/>
    </xf>
    <xf numFmtId="0" fontId="14" fillId="0" borderId="112" xfId="51" applyFont="1" applyBorder="1" applyAlignment="1">
      <alignment horizontal="center" vertical="center" wrapText="1"/>
    </xf>
    <xf numFmtId="0" fontId="14" fillId="0" borderId="112" xfId="51" applyFont="1" applyBorder="1" applyAlignment="1">
      <alignment horizontal="right" vertical="center" wrapText="1"/>
    </xf>
    <xf numFmtId="0" fontId="14" fillId="0" borderId="113" xfId="51" applyFont="1" applyBorder="1" applyAlignment="1">
      <alignment horizontal="right" vertical="center" wrapText="1"/>
    </xf>
    <xf numFmtId="0" fontId="14" fillId="0" borderId="111" xfId="51" applyFont="1" applyBorder="1" applyAlignment="1">
      <alignment horizontal="center" vertical="center" wrapText="1"/>
    </xf>
    <xf numFmtId="3" fontId="14" fillId="0" borderId="112" xfId="51" applyNumberFormat="1" applyFont="1" applyBorder="1" applyAlignment="1">
      <alignment horizontal="right" vertical="center" wrapText="1"/>
    </xf>
    <xf numFmtId="3" fontId="14" fillId="0" borderId="113" xfId="51" applyNumberFormat="1" applyFont="1" applyBorder="1" applyAlignment="1">
      <alignment horizontal="right" vertical="center" wrapText="1"/>
    </xf>
    <xf numFmtId="3" fontId="14" fillId="9" borderId="112" xfId="51" applyNumberFormat="1" applyFont="1" applyFill="1" applyBorder="1" applyAlignment="1">
      <alignment horizontal="right" vertical="center" wrapText="1"/>
    </xf>
    <xf numFmtId="3" fontId="14" fillId="0" borderId="115" xfId="51" applyNumberFormat="1" applyFont="1" applyBorder="1" applyAlignment="1">
      <alignment horizontal="right" vertical="center" wrapText="1"/>
    </xf>
    <xf numFmtId="3" fontId="14" fillId="0" borderId="116" xfId="51" applyNumberFormat="1" applyFont="1" applyBorder="1" applyAlignment="1">
      <alignment horizontal="right" vertical="center" wrapText="1"/>
    </xf>
    <xf numFmtId="3" fontId="14" fillId="9" borderId="115" xfId="51" applyNumberFormat="1" applyFont="1" applyFill="1" applyBorder="1" applyAlignment="1">
      <alignment horizontal="right" vertical="center" wrapText="1"/>
    </xf>
    <xf numFmtId="0" fontId="83" fillId="0" borderId="111" xfId="0" applyFont="1" applyBorder="1" applyAlignment="1">
      <alignment vertical="top" wrapText="1"/>
    </xf>
    <xf numFmtId="3" fontId="83" fillId="0" borderId="113" xfId="0" applyNumberFormat="1" applyFont="1" applyBorder="1" applyAlignment="1">
      <alignment horizontal="right" vertical="center" wrapText="1"/>
    </xf>
    <xf numFmtId="0" fontId="83" fillId="46" borderId="168" xfId="0" applyFont="1" applyFill="1" applyBorder="1" applyAlignment="1">
      <alignment horizontal="center" vertical="center" wrapText="1"/>
    </xf>
    <xf numFmtId="209" fontId="10" fillId="0" borderId="0" xfId="0" applyNumberFormat="1" applyFont="1">
      <alignment vertical="center"/>
    </xf>
    <xf numFmtId="193" fontId="68" fillId="17" borderId="257" xfId="0" applyNumberFormat="1" applyFont="1" applyFill="1" applyBorder="1" applyAlignment="1">
      <alignment horizontal="center" vertical="center" wrapText="1"/>
    </xf>
    <xf numFmtId="193" fontId="66" fillId="0" borderId="195" xfId="57" applyNumberFormat="1" applyFont="1" applyBorder="1">
      <alignment vertical="center"/>
    </xf>
    <xf numFmtId="193" fontId="68" fillId="17" borderId="258" xfId="0" applyNumberFormat="1" applyFont="1" applyFill="1" applyBorder="1" applyAlignment="1">
      <alignment horizontal="center" vertical="center" wrapText="1"/>
    </xf>
    <xf numFmtId="193" fontId="66" fillId="0" borderId="7" xfId="57" applyNumberFormat="1" applyFont="1" applyBorder="1">
      <alignment vertical="center"/>
    </xf>
    <xf numFmtId="0" fontId="27" fillId="0" borderId="111" xfId="0" applyFont="1" applyBorder="1" applyAlignment="1">
      <alignment vertical="center" wrapText="1"/>
    </xf>
    <xf numFmtId="196" fontId="27" fillId="0" borderId="112" xfId="0" applyNumberFormat="1" applyFont="1" applyBorder="1" applyAlignment="1">
      <alignment horizontal="right" vertical="center" wrapText="1"/>
    </xf>
    <xf numFmtId="196" fontId="27" fillId="0" borderId="113" xfId="0" applyNumberFormat="1" applyFont="1" applyBorder="1" applyAlignment="1">
      <alignment horizontal="right" vertical="center" wrapText="1"/>
    </xf>
    <xf numFmtId="0" fontId="27" fillId="0" borderId="114" xfId="0" applyFont="1" applyBorder="1" applyAlignment="1">
      <alignment vertical="center" wrapText="1"/>
    </xf>
    <xf numFmtId="196" fontId="27" fillId="0" borderId="115" xfId="0" applyNumberFormat="1" applyFont="1" applyBorder="1" applyAlignment="1">
      <alignment horizontal="right" vertical="center" wrapText="1"/>
    </xf>
    <xf numFmtId="193" fontId="65" fillId="0" borderId="259" xfId="0" applyNumberFormat="1" applyFont="1" applyBorder="1">
      <alignment vertical="center"/>
    </xf>
    <xf numFmtId="0" fontId="0" fillId="16" borderId="0" xfId="0" quotePrefix="1" applyFill="1" applyAlignment="1"/>
    <xf numFmtId="0" fontId="0" fillId="0" borderId="0" xfId="0" applyAlignment="1">
      <alignment horizontal="left"/>
    </xf>
    <xf numFmtId="0" fontId="0" fillId="16" borderId="0" xfId="0" applyFill="1" applyAlignment="1"/>
    <xf numFmtId="0" fontId="66" fillId="0" borderId="259" xfId="0" applyFont="1" applyBorder="1" applyAlignment="1">
      <alignment horizontal="center" vertical="center"/>
    </xf>
    <xf numFmtId="0" fontId="66" fillId="0" borderId="259" xfId="0" quotePrefix="1" applyFont="1" applyBorder="1" applyAlignment="1">
      <alignment horizontal="center" vertical="center"/>
    </xf>
    <xf numFmtId="0" fontId="6" fillId="0" borderId="259" xfId="51" applyFont="1" applyBorder="1">
      <alignment vertical="center"/>
    </xf>
    <xf numFmtId="212" fontId="6" fillId="0" borderId="0" xfId="57" applyNumberFormat="1" applyFont="1">
      <alignment vertical="center"/>
    </xf>
    <xf numFmtId="0" fontId="66" fillId="0" borderId="259" xfId="51" applyFont="1" applyBorder="1">
      <alignment vertical="center"/>
    </xf>
    <xf numFmtId="44" fontId="10" fillId="0" borderId="0" xfId="0" applyNumberFormat="1" applyFont="1">
      <alignment vertical="center"/>
    </xf>
    <xf numFmtId="0" fontId="83" fillId="26" borderId="109" xfId="0" applyFont="1" applyFill="1" applyBorder="1" applyAlignment="1">
      <alignment horizontal="centerContinuous" vertical="center" wrapText="1"/>
    </xf>
    <xf numFmtId="0" fontId="83" fillId="26" borderId="191" xfId="0" applyFont="1" applyFill="1" applyBorder="1" applyAlignment="1">
      <alignment horizontal="centerContinuous" vertical="center" wrapText="1"/>
    </xf>
    <xf numFmtId="0" fontId="30" fillId="47" borderId="7" xfId="51" applyFont="1" applyFill="1" applyBorder="1" applyAlignment="1">
      <alignment horizontal="center" vertical="center" wrapText="1"/>
    </xf>
    <xf numFmtId="14" fontId="30" fillId="47" borderId="7" xfId="51" applyNumberFormat="1" applyFont="1" applyFill="1" applyBorder="1" applyAlignment="1">
      <alignment horizontal="center" vertical="center" wrapText="1"/>
    </xf>
    <xf numFmtId="0" fontId="12" fillId="39" borderId="7" xfId="51" applyFont="1" applyFill="1" applyBorder="1" applyAlignment="1">
      <alignment vertical="top" wrapText="1"/>
    </xf>
    <xf numFmtId="196" fontId="12" fillId="39" borderId="7" xfId="51" applyNumberFormat="1" applyFont="1" applyFill="1" applyBorder="1" applyAlignment="1">
      <alignment vertical="center" wrapText="1"/>
    </xf>
    <xf numFmtId="0" fontId="12" fillId="39" borderId="7" xfId="51" applyFont="1" applyFill="1" applyBorder="1" applyAlignment="1">
      <alignment horizontal="left" vertical="top" wrapText="1" indent="1"/>
    </xf>
    <xf numFmtId="0" fontId="12" fillId="39" borderId="7" xfId="51" applyFont="1" applyFill="1" applyBorder="1" applyAlignment="1">
      <alignment horizontal="left" vertical="top" wrapText="1" indent="2"/>
    </xf>
    <xf numFmtId="0" fontId="6" fillId="0" borderId="7" xfId="51" applyFont="1" applyBorder="1" applyAlignment="1">
      <alignment horizontal="left" vertical="top" wrapText="1" indent="3"/>
    </xf>
    <xf numFmtId="196" fontId="6" fillId="0" borderId="7" xfId="51" applyNumberFormat="1" applyFont="1" applyBorder="1" applyAlignment="1">
      <alignment vertical="center" wrapText="1"/>
    </xf>
    <xf numFmtId="0" fontId="24" fillId="44" borderId="7" xfId="60" applyFont="1" applyFill="1" applyBorder="1" applyAlignment="1">
      <alignment horizontal="left" vertical="top" wrapText="1" indent="3"/>
    </xf>
    <xf numFmtId="0" fontId="24" fillId="0" borderId="7" xfId="60" applyFont="1" applyFill="1" applyBorder="1" applyAlignment="1">
      <alignment horizontal="left" vertical="top" wrapText="1" indent="3"/>
    </xf>
    <xf numFmtId="196" fontId="31" fillId="39" borderId="7" xfId="51" applyNumberFormat="1" applyFont="1" applyFill="1" applyBorder="1" applyAlignment="1">
      <alignment vertical="center" wrapText="1"/>
    </xf>
    <xf numFmtId="0" fontId="6" fillId="0" borderId="235" xfId="51" applyFont="1" applyBorder="1" applyAlignment="1">
      <alignment horizontal="left" vertical="top" wrapText="1" indent="3"/>
    </xf>
    <xf numFmtId="196" fontId="6" fillId="0" borderId="235" xfId="51" applyNumberFormat="1" applyFont="1" applyBorder="1">
      <alignment vertical="center"/>
    </xf>
    <xf numFmtId="0" fontId="6" fillId="0" borderId="195" xfId="51" applyFont="1" applyBorder="1" applyAlignment="1">
      <alignment horizontal="left" vertical="top" wrapText="1" indent="3"/>
    </xf>
    <xf numFmtId="196" fontId="12" fillId="39" borderId="7" xfId="51" applyNumberFormat="1" applyFont="1" applyFill="1" applyBorder="1" applyAlignment="1">
      <alignment horizontal="right" vertical="center" wrapText="1"/>
    </xf>
    <xf numFmtId="196" fontId="6" fillId="0" borderId="195" xfId="51" applyNumberFormat="1" applyFont="1" applyBorder="1" applyAlignment="1">
      <alignment vertical="center" wrapText="1"/>
    </xf>
    <xf numFmtId="41" fontId="6" fillId="6" borderId="0" xfId="57" applyFont="1" applyFill="1" applyAlignment="1">
      <alignment vertical="center"/>
    </xf>
    <xf numFmtId="0" fontId="38" fillId="0" borderId="0" xfId="0" applyFont="1">
      <alignment vertical="center"/>
    </xf>
    <xf numFmtId="0" fontId="104" fillId="0" borderId="0" xfId="0" applyFont="1">
      <alignment vertical="center"/>
    </xf>
    <xf numFmtId="0" fontId="27" fillId="0" borderId="0" xfId="0" applyFont="1" applyAlignment="1">
      <alignment horizontal="right" vertical="top" wrapText="1"/>
    </xf>
    <xf numFmtId="0" fontId="27" fillId="46" borderId="111" xfId="0" applyFont="1" applyFill="1" applyBorder="1" applyAlignment="1">
      <alignment horizontal="center" vertical="center" wrapText="1"/>
    </xf>
    <xf numFmtId="0" fontId="27" fillId="46" borderId="112" xfId="0" applyFont="1" applyFill="1" applyBorder="1" applyAlignment="1">
      <alignment horizontal="center" vertical="center" wrapText="1"/>
    </xf>
    <xf numFmtId="0" fontId="27" fillId="0" borderId="135" xfId="0" applyFont="1" applyBorder="1" applyAlignment="1">
      <alignment vertical="center" wrapText="1"/>
    </xf>
    <xf numFmtId="193" fontId="6" fillId="0" borderId="195" xfId="0" applyNumberFormat="1" applyFont="1" applyBorder="1" applyAlignment="1">
      <alignment horizontal="center" vertical="center" wrapText="1"/>
    </xf>
    <xf numFmtId="14" fontId="10" fillId="0" borderId="195" xfId="0" applyNumberFormat="1" applyFont="1" applyBorder="1" applyAlignment="1">
      <alignment horizontal="center" vertical="center"/>
    </xf>
    <xf numFmtId="193" fontId="10" fillId="0" borderId="195" xfId="0" applyNumberFormat="1" applyFont="1" applyBorder="1">
      <alignment vertical="center"/>
    </xf>
    <xf numFmtId="3" fontId="27" fillId="0" borderId="112" xfId="0" applyNumberFormat="1" applyFont="1" applyBorder="1" applyAlignment="1">
      <alignment horizontal="right" vertical="center" wrapText="1"/>
    </xf>
    <xf numFmtId="193" fontId="6" fillId="0" borderId="195" xfId="0" applyNumberFormat="1" applyFont="1" applyBorder="1" applyAlignment="1">
      <alignment horizontal="center" vertical="center"/>
    </xf>
    <xf numFmtId="3" fontId="27" fillId="0" borderId="115" xfId="0" applyNumberFormat="1" applyFont="1" applyBorder="1" applyAlignment="1">
      <alignment horizontal="right" vertical="center" wrapText="1"/>
    </xf>
    <xf numFmtId="0" fontId="37" fillId="0" borderId="195" xfId="0" applyFont="1" applyBorder="1" applyAlignment="1">
      <alignment horizontal="center" vertical="center"/>
    </xf>
    <xf numFmtId="0" fontId="37" fillId="0" borderId="195" xfId="0" applyFont="1" applyBorder="1">
      <alignment vertical="center"/>
    </xf>
    <xf numFmtId="196" fontId="37" fillId="0" borderId="195" xfId="0" applyNumberFormat="1" applyFont="1" applyBorder="1">
      <alignment vertical="center"/>
    </xf>
    <xf numFmtId="0" fontId="41" fillId="0" borderId="0" xfId="0" applyFont="1">
      <alignment vertical="center"/>
    </xf>
    <xf numFmtId="0" fontId="27" fillId="46" borderId="108" xfId="0" applyFont="1" applyFill="1" applyBorder="1" applyAlignment="1">
      <alignment horizontal="center" vertical="center" wrapText="1"/>
    </xf>
    <xf numFmtId="0" fontId="27" fillId="46" borderId="132" xfId="0" applyFont="1" applyFill="1" applyBorder="1" applyAlignment="1">
      <alignment horizontal="center" vertical="center" wrapText="1"/>
    </xf>
    <xf numFmtId="0" fontId="83" fillId="46" borderId="109" xfId="0" applyFont="1" applyFill="1" applyBorder="1" applyAlignment="1">
      <alignment horizontal="centerContinuous" vertical="center" wrapText="1"/>
    </xf>
    <xf numFmtId="0" fontId="83" fillId="46" borderId="137" xfId="0" applyFont="1" applyFill="1" applyBorder="1" applyAlignment="1">
      <alignment horizontal="centerContinuous" vertical="center" wrapText="1"/>
    </xf>
    <xf numFmtId="0" fontId="83" fillId="46" borderId="191" xfId="0" applyFont="1" applyFill="1" applyBorder="1" applyAlignment="1">
      <alignment horizontal="centerContinuous" vertical="center" wrapText="1"/>
    </xf>
    <xf numFmtId="185" fontId="16" fillId="51" borderId="0" xfId="49" applyNumberFormat="1" applyFont="1" applyFill="1" applyAlignment="1">
      <alignment vertical="center"/>
    </xf>
    <xf numFmtId="183" fontId="16" fillId="51" borderId="106" xfId="49" applyFont="1" applyFill="1" applyBorder="1" applyAlignment="1">
      <alignment vertical="center"/>
    </xf>
    <xf numFmtId="0" fontId="37" fillId="0" borderId="0" xfId="0" applyFont="1" applyAlignment="1">
      <alignment horizontal="justify" vertical="center" wrapText="1"/>
    </xf>
    <xf numFmtId="0" fontId="27" fillId="0" borderId="0" xfId="0" applyFont="1" applyAlignment="1">
      <alignment vertical="top" wrapText="1"/>
    </xf>
    <xf numFmtId="0" fontId="27" fillId="46" borderId="133" xfId="0" applyFont="1" applyFill="1" applyBorder="1" applyAlignment="1">
      <alignment horizontal="center" vertical="center" wrapText="1"/>
    </xf>
    <xf numFmtId="196" fontId="27" fillId="0" borderId="112" xfId="0" applyNumberFormat="1" applyFont="1" applyBorder="1" applyAlignment="1">
      <alignment horizontal="right" vertical="top" wrapText="1"/>
    </xf>
    <xf numFmtId="196" fontId="27" fillId="0" borderId="113" xfId="0" applyNumberFormat="1" applyFont="1" applyBorder="1" applyAlignment="1">
      <alignment horizontal="right" vertical="top" wrapText="1"/>
    </xf>
    <xf numFmtId="196" fontId="27" fillId="0" borderId="146" xfId="0" applyNumberFormat="1" applyFont="1" applyBorder="1" applyAlignment="1">
      <alignment horizontal="right" vertical="top" wrapText="1"/>
    </xf>
    <xf numFmtId="196" fontId="27" fillId="0" borderId="233" xfId="0" applyNumberFormat="1" applyFont="1" applyBorder="1" applyAlignment="1">
      <alignment horizontal="right" vertical="top" wrapText="1"/>
    </xf>
    <xf numFmtId="196" fontId="27" fillId="0" borderId="115" xfId="0" applyNumberFormat="1" applyFont="1" applyBorder="1" applyAlignment="1">
      <alignment horizontal="right" vertical="top" wrapText="1"/>
    </xf>
    <xf numFmtId="3" fontId="37" fillId="0" borderId="0" xfId="0" applyNumberFormat="1" applyFont="1">
      <alignment vertical="center"/>
    </xf>
    <xf numFmtId="196" fontId="27" fillId="0" borderId="0" xfId="0" applyNumberFormat="1" applyFont="1" applyAlignment="1">
      <alignment horizontal="right" vertical="top" wrapText="1"/>
    </xf>
    <xf numFmtId="196" fontId="27" fillId="0" borderId="138" xfId="0" applyNumberFormat="1" applyFont="1" applyBorder="1" applyAlignment="1">
      <alignment horizontal="right" vertical="top" wrapText="1"/>
    </xf>
    <xf numFmtId="196" fontId="27" fillId="0" borderId="195" xfId="0" applyNumberFormat="1" applyFont="1" applyBorder="1" applyAlignment="1">
      <alignment horizontal="right" vertical="top" wrapText="1"/>
    </xf>
    <xf numFmtId="0" fontId="27" fillId="0" borderId="146" xfId="0" applyFont="1" applyBorder="1" applyAlignment="1">
      <alignment vertical="center" wrapText="1"/>
    </xf>
    <xf numFmtId="0" fontId="37" fillId="0" borderId="260" xfId="0" applyFont="1" applyBorder="1">
      <alignment vertical="center"/>
    </xf>
    <xf numFmtId="0" fontId="37" fillId="0" borderId="261" xfId="0" applyFont="1" applyBorder="1">
      <alignment vertical="center"/>
    </xf>
    <xf numFmtId="0" fontId="37" fillId="0" borderId="211" xfId="0" applyFont="1" applyBorder="1">
      <alignment vertical="center"/>
    </xf>
    <xf numFmtId="4" fontId="37" fillId="0" borderId="106" xfId="0" applyNumberFormat="1" applyFont="1" applyBorder="1">
      <alignment vertical="center"/>
    </xf>
    <xf numFmtId="0" fontId="37" fillId="0" borderId="207" xfId="0" applyFont="1" applyBorder="1">
      <alignment vertical="center"/>
    </xf>
    <xf numFmtId="4" fontId="37" fillId="0" borderId="230" xfId="0" applyNumberFormat="1" applyFont="1" applyBorder="1">
      <alignment vertical="center"/>
    </xf>
    <xf numFmtId="0" fontId="83" fillId="51" borderId="108" xfId="0" applyFont="1" applyFill="1" applyBorder="1" applyAlignment="1">
      <alignment horizontal="center" vertical="center" wrapText="1"/>
    </xf>
    <xf numFmtId="0" fontId="83" fillId="51" borderId="133" xfId="0" applyFont="1" applyFill="1" applyBorder="1" applyAlignment="1">
      <alignment horizontal="center" vertical="center" wrapText="1"/>
    </xf>
    <xf numFmtId="0" fontId="83" fillId="51" borderId="132" xfId="0" applyFont="1" applyFill="1" applyBorder="1" applyAlignment="1">
      <alignment horizontal="center" vertical="center" wrapText="1"/>
    </xf>
    <xf numFmtId="0" fontId="27" fillId="0" borderId="0" xfId="0" applyFont="1" applyAlignment="1">
      <alignment horizontal="justify" vertical="center" wrapText="1"/>
    </xf>
    <xf numFmtId="0" fontId="27" fillId="0" borderId="7" xfId="0" applyFont="1" applyBorder="1" applyAlignment="1">
      <alignment wrapText="1"/>
    </xf>
    <xf numFmtId="196" fontId="27" fillId="0" borderId="7" xfId="0" applyNumberFormat="1" applyFont="1" applyBorder="1" applyAlignment="1">
      <alignment horizontal="right" wrapText="1"/>
    </xf>
    <xf numFmtId="0" fontId="27" fillId="0" borderId="259" xfId="0" applyFont="1" applyBorder="1" applyAlignment="1">
      <alignment wrapText="1"/>
    </xf>
    <xf numFmtId="0" fontId="27" fillId="0" borderId="7" xfId="0" applyFont="1" applyBorder="1" applyAlignment="1">
      <alignment horizontal="center" vertical="center" wrapText="1"/>
    </xf>
    <xf numFmtId="0" fontId="27" fillId="0" borderId="0" xfId="0" applyFont="1" applyAlignment="1">
      <alignment horizontal="center" vertical="center" wrapText="1"/>
    </xf>
    <xf numFmtId="0" fontId="85" fillId="17" borderId="108" xfId="0" applyFont="1" applyFill="1" applyBorder="1" applyAlignment="1">
      <alignment horizontal="center" vertical="center" wrapText="1"/>
    </xf>
    <xf numFmtId="0" fontId="85" fillId="17" borderId="133" xfId="0" applyFont="1" applyFill="1" applyBorder="1" applyAlignment="1">
      <alignment horizontal="center" vertical="center" wrapText="1"/>
    </xf>
    <xf numFmtId="41" fontId="66" fillId="0" borderId="0" xfId="51" applyNumberFormat="1" applyFont="1">
      <alignment vertical="center"/>
    </xf>
    <xf numFmtId="196" fontId="27" fillId="9" borderId="112" xfId="0" applyNumberFormat="1" applyFont="1" applyFill="1" applyBorder="1" applyAlignment="1">
      <alignment horizontal="right" vertical="top" wrapText="1"/>
    </xf>
    <xf numFmtId="0" fontId="83" fillId="0" borderId="130" xfId="0" applyFont="1" applyBorder="1" applyAlignment="1">
      <alignment vertical="center" wrapText="1"/>
    </xf>
    <xf numFmtId="0" fontId="83" fillId="0" borderId="136" xfId="0" applyFont="1" applyBorder="1" applyAlignment="1">
      <alignment vertical="center" wrapText="1"/>
    </xf>
    <xf numFmtId="0" fontId="83" fillId="0" borderId="131" xfId="0" applyFont="1" applyBorder="1" applyAlignment="1">
      <alignment vertical="center" wrapText="1"/>
    </xf>
    <xf numFmtId="0" fontId="27" fillId="0" borderId="0" xfId="0" applyFont="1" applyAlignment="1">
      <alignment horizontal="right" vertical="center"/>
    </xf>
    <xf numFmtId="14" fontId="37" fillId="0" borderId="0" xfId="0" applyNumberFormat="1" applyFont="1">
      <alignment vertical="center"/>
    </xf>
    <xf numFmtId="0" fontId="27" fillId="0" borderId="111" xfId="0" applyFont="1" applyBorder="1" applyAlignment="1">
      <alignment horizontal="center" vertical="center"/>
    </xf>
    <xf numFmtId="14" fontId="27" fillId="0" borderId="112" xfId="0" applyNumberFormat="1" applyFont="1" applyBorder="1" applyAlignment="1">
      <alignment horizontal="center" vertical="center"/>
    </xf>
    <xf numFmtId="0" fontId="27" fillId="0" borderId="112" xfId="0" applyFont="1" applyBorder="1" applyAlignment="1">
      <alignment horizontal="center" vertical="center"/>
    </xf>
    <xf numFmtId="209" fontId="27" fillId="0" borderId="259" xfId="0" applyNumberFormat="1" applyFont="1" applyBorder="1" applyAlignment="1">
      <alignment horizontal="right" vertical="center"/>
    </xf>
    <xf numFmtId="0" fontId="27" fillId="0" borderId="115" xfId="0" applyFont="1" applyBorder="1" applyAlignment="1">
      <alignment horizontal="center" vertical="center"/>
    </xf>
    <xf numFmtId="3" fontId="27" fillId="0" borderId="116" xfId="0" applyNumberFormat="1" applyFont="1" applyBorder="1" applyAlignment="1">
      <alignment horizontal="right" vertical="center"/>
    </xf>
    <xf numFmtId="193" fontId="12" fillId="12" borderId="195" xfId="0" applyNumberFormat="1" applyFont="1" applyFill="1" applyBorder="1" applyAlignment="1">
      <alignment horizontal="centerContinuous" vertical="center" wrapText="1"/>
    </xf>
    <xf numFmtId="0" fontId="10" fillId="0" borderId="195" xfId="0" applyFont="1" applyBorder="1">
      <alignment vertical="center"/>
    </xf>
    <xf numFmtId="209" fontId="27" fillId="0" borderId="195" xfId="0" applyNumberFormat="1" applyFont="1" applyBorder="1" applyAlignment="1">
      <alignment horizontal="right" vertical="center"/>
    </xf>
    <xf numFmtId="210" fontId="10" fillId="0" borderId="195" xfId="0" applyNumberFormat="1" applyFont="1" applyBorder="1">
      <alignment vertical="center"/>
    </xf>
    <xf numFmtId="193" fontId="6" fillId="0" borderId="195" xfId="57" applyNumberFormat="1" applyFont="1" applyFill="1" applyBorder="1" applyAlignment="1">
      <alignment horizontal="right" vertical="center" wrapText="1"/>
    </xf>
    <xf numFmtId="193" fontId="10" fillId="0" borderId="0" xfId="0" applyNumberFormat="1" applyFont="1">
      <alignment vertical="center"/>
    </xf>
    <xf numFmtId="0" fontId="27" fillId="17" borderId="195" xfId="0" applyFont="1" applyFill="1" applyBorder="1" applyAlignment="1">
      <alignment horizontal="center" vertical="center"/>
    </xf>
    <xf numFmtId="0" fontId="26" fillId="17" borderId="139" xfId="0" applyFont="1" applyFill="1" applyBorder="1" applyAlignment="1">
      <alignment horizontal="center" vertical="center"/>
    </xf>
    <xf numFmtId="0" fontId="27" fillId="0" borderId="111" xfId="0" applyFont="1" applyBorder="1" applyAlignment="1">
      <alignment horizontal="left" vertical="center"/>
    </xf>
    <xf numFmtId="210" fontId="27" fillId="0" borderId="112" xfId="0" applyNumberFormat="1" applyFont="1" applyBorder="1" applyAlignment="1">
      <alignment horizontal="right" vertical="center" wrapText="1"/>
    </xf>
    <xf numFmtId="0" fontId="27" fillId="0" borderId="114" xfId="0" applyFont="1" applyBorder="1" applyAlignment="1">
      <alignment horizontal="left" vertical="center"/>
    </xf>
    <xf numFmtId="0" fontId="27" fillId="51" borderId="259" xfId="0" applyFont="1" applyFill="1" applyBorder="1" applyAlignment="1">
      <alignment horizontal="center" vertical="center"/>
    </xf>
    <xf numFmtId="0" fontId="26" fillId="51" borderId="191" xfId="0" applyFont="1" applyFill="1" applyBorder="1" applyAlignment="1">
      <alignment horizontal="centerContinuous" vertical="center" wrapText="1"/>
    </xf>
    <xf numFmtId="0" fontId="26" fillId="51" borderId="133" xfId="0" applyFont="1" applyFill="1" applyBorder="1" applyAlignment="1">
      <alignment horizontal="centerContinuous" vertical="center" wrapText="1"/>
    </xf>
    <xf numFmtId="0" fontId="26" fillId="51" borderId="149" xfId="0" applyFont="1" applyFill="1" applyBorder="1" applyAlignment="1">
      <alignment horizontal="center" vertical="center" wrapText="1"/>
    </xf>
    <xf numFmtId="0" fontId="26" fillId="51" borderId="139" xfId="0" applyFont="1" applyFill="1" applyBorder="1" applyAlignment="1">
      <alignment horizontal="center" vertical="center" wrapText="1"/>
    </xf>
    <xf numFmtId="0" fontId="26" fillId="17" borderId="191" xfId="0" applyFont="1" applyFill="1" applyBorder="1" applyAlignment="1">
      <alignment horizontal="centerContinuous" vertical="center" wrapText="1"/>
    </xf>
    <xf numFmtId="0" fontId="26" fillId="17" borderId="133" xfId="0" applyFont="1" applyFill="1" applyBorder="1" applyAlignment="1">
      <alignment horizontal="centerContinuous" vertical="center" wrapText="1"/>
    </xf>
    <xf numFmtId="0" fontId="26" fillId="17" borderId="149" xfId="0" applyFont="1" applyFill="1" applyBorder="1" applyAlignment="1">
      <alignment horizontal="center" vertical="center" wrapText="1"/>
    </xf>
    <xf numFmtId="0" fontId="26" fillId="17" borderId="139" xfId="0" applyFont="1" applyFill="1" applyBorder="1" applyAlignment="1">
      <alignment horizontal="center" vertical="center" wrapText="1"/>
    </xf>
    <xf numFmtId="0" fontId="37" fillId="0" borderId="26" xfId="0" applyFont="1" applyBorder="1">
      <alignment vertical="center"/>
    </xf>
    <xf numFmtId="0" fontId="37" fillId="0" borderId="27" xfId="0" applyFont="1" applyBorder="1" applyAlignment="1">
      <alignment horizontal="center" vertical="center"/>
    </xf>
    <xf numFmtId="0" fontId="37" fillId="0" borderId="28" xfId="0" applyFont="1" applyBorder="1" applyAlignment="1">
      <alignment horizontal="center" vertical="center"/>
    </xf>
    <xf numFmtId="0" fontId="16" fillId="0" borderId="0" xfId="0" applyFont="1">
      <alignment vertical="center"/>
    </xf>
    <xf numFmtId="0" fontId="37" fillId="0" borderId="0" xfId="0" applyFont="1" applyAlignment="1">
      <alignment horizontal="left" vertical="center"/>
    </xf>
    <xf numFmtId="0" fontId="37" fillId="0" borderId="235" xfId="0" applyFont="1" applyBorder="1" applyAlignment="1">
      <alignment horizontal="center" vertical="center"/>
    </xf>
    <xf numFmtId="0" fontId="37" fillId="0" borderId="235" xfId="0" applyFont="1" applyBorder="1">
      <alignment vertical="center"/>
    </xf>
    <xf numFmtId="0" fontId="27" fillId="0" borderId="0" xfId="0" applyFont="1" applyAlignment="1">
      <alignment horizontal="right" vertical="top"/>
    </xf>
    <xf numFmtId="0" fontId="27" fillId="46" borderId="112" xfId="0" applyFont="1" applyFill="1" applyBorder="1" applyAlignment="1">
      <alignment horizontal="center" vertical="center"/>
    </xf>
    <xf numFmtId="203" fontId="27" fillId="0" borderId="112" xfId="0" applyNumberFormat="1" applyFont="1" applyBorder="1" applyAlignment="1">
      <alignment horizontal="right" vertical="center"/>
    </xf>
    <xf numFmtId="202" fontId="27" fillId="0" borderId="112" xfId="0" applyNumberFormat="1" applyFont="1" applyBorder="1" applyAlignment="1">
      <alignment horizontal="right" vertical="center"/>
    </xf>
    <xf numFmtId="0" fontId="27" fillId="0" borderId="138" xfId="0" applyFont="1" applyBorder="1" applyAlignment="1">
      <alignment horizontal="center" vertical="center"/>
    </xf>
    <xf numFmtId="0" fontId="27" fillId="26" borderId="7" xfId="0" applyFont="1" applyFill="1" applyBorder="1" applyAlignment="1">
      <alignment horizontal="center" vertical="center"/>
    </xf>
    <xf numFmtId="0" fontId="27" fillId="0" borderId="7" xfId="0" applyFont="1" applyBorder="1" applyAlignment="1">
      <alignment horizontal="center" vertical="center"/>
    </xf>
    <xf numFmtId="196" fontId="27" fillId="0" borderId="7" xfId="0" applyNumberFormat="1" applyFont="1" applyBorder="1" applyAlignment="1">
      <alignment horizontal="right" vertical="center"/>
    </xf>
    <xf numFmtId="0" fontId="37" fillId="0" borderId="0" xfId="0" applyFont="1" applyAlignment="1">
      <alignment horizontal="right" vertical="center"/>
    </xf>
    <xf numFmtId="0" fontId="26" fillId="17" borderId="108" xfId="0" applyFont="1" applyFill="1" applyBorder="1" applyAlignment="1">
      <alignment horizontal="center" vertical="center"/>
    </xf>
    <xf numFmtId="0" fontId="26" fillId="17" borderId="133" xfId="0" applyFont="1" applyFill="1" applyBorder="1" applyAlignment="1">
      <alignment horizontal="center" vertical="center"/>
    </xf>
    <xf numFmtId="0" fontId="26" fillId="17" borderId="132" xfId="0" applyFont="1" applyFill="1" applyBorder="1" applyAlignment="1">
      <alignment horizontal="center" vertical="center"/>
    </xf>
    <xf numFmtId="196" fontId="27" fillId="0" borderId="112" xfId="0" applyNumberFormat="1" applyFont="1" applyBorder="1" applyAlignment="1">
      <alignment horizontal="right" vertical="center"/>
    </xf>
    <xf numFmtId="196" fontId="27" fillId="0" borderId="113" xfId="0" applyNumberFormat="1" applyFont="1" applyBorder="1" applyAlignment="1">
      <alignment horizontal="right" vertical="center"/>
    </xf>
    <xf numFmtId="0" fontId="27" fillId="0" borderId="114" xfId="0" applyFont="1" applyBorder="1" applyAlignment="1">
      <alignment horizontal="center" vertical="center"/>
    </xf>
    <xf numFmtId="196" fontId="27" fillId="0" borderId="115" xfId="0" applyNumberFormat="1" applyFont="1" applyBorder="1" applyAlignment="1">
      <alignment horizontal="right" vertical="center"/>
    </xf>
    <xf numFmtId="0" fontId="37" fillId="0" borderId="195" xfId="0" applyFont="1" applyBorder="1" applyAlignment="1">
      <alignment horizontal="justify" vertical="center"/>
    </xf>
    <xf numFmtId="9" fontId="27" fillId="0" borderId="115" xfId="0" applyNumberFormat="1" applyFont="1" applyBorder="1" applyAlignment="1">
      <alignment horizontal="right" vertical="center"/>
    </xf>
    <xf numFmtId="0" fontId="37" fillId="0" borderId="96" xfId="0" applyFont="1" applyBorder="1">
      <alignment vertical="center"/>
    </xf>
    <xf numFmtId="4" fontId="37" fillId="0" borderId="97" xfId="0" applyNumberFormat="1" applyFont="1" applyBorder="1">
      <alignment vertical="center"/>
    </xf>
    <xf numFmtId="4" fontId="37" fillId="0" borderId="99" xfId="0" applyNumberFormat="1" applyFont="1" applyBorder="1">
      <alignment vertical="center"/>
    </xf>
    <xf numFmtId="0" fontId="37" fillId="0" borderId="95" xfId="0" applyFont="1" applyBorder="1" applyAlignment="1">
      <alignment horizontal="left" vertical="center"/>
    </xf>
    <xf numFmtId="0" fontId="37" fillId="0" borderId="69" xfId="0" applyFont="1" applyBorder="1" applyAlignment="1">
      <alignment horizontal="left" vertical="center"/>
    </xf>
    <xf numFmtId="0" fontId="37" fillId="0" borderId="98" xfId="0" applyFont="1" applyBorder="1" applyAlignment="1">
      <alignment horizontal="left" vertical="center"/>
    </xf>
    <xf numFmtId="0" fontId="26" fillId="17" borderId="109" xfId="0" applyFont="1" applyFill="1" applyBorder="1" applyAlignment="1">
      <alignment horizontal="centerContinuous" vertical="center" wrapText="1"/>
    </xf>
    <xf numFmtId="0" fontId="26" fillId="17" borderId="137" xfId="0" applyFont="1" applyFill="1" applyBorder="1" applyAlignment="1">
      <alignment horizontal="centerContinuous" vertical="center" wrapText="1"/>
    </xf>
    <xf numFmtId="0" fontId="26" fillId="17" borderId="112" xfId="0" applyFont="1" applyFill="1" applyBorder="1" applyAlignment="1">
      <alignment horizontal="center" vertical="center" wrapText="1"/>
    </xf>
    <xf numFmtId="179" fontId="27" fillId="0" borderId="112" xfId="0" applyNumberFormat="1" applyFont="1" applyBorder="1" applyAlignment="1">
      <alignment horizontal="right" vertical="center" wrapText="1"/>
    </xf>
    <xf numFmtId="0" fontId="27" fillId="0" borderId="113" xfId="0" applyFont="1" applyBorder="1" applyAlignment="1">
      <alignment horizontal="right" vertical="center" wrapText="1"/>
    </xf>
    <xf numFmtId="196" fontId="27" fillId="0" borderId="223" xfId="0" applyNumberFormat="1" applyFont="1" applyBorder="1" applyAlignment="1">
      <alignment horizontal="center" vertical="center" wrapText="1"/>
    </xf>
    <xf numFmtId="9" fontId="27" fillId="0" borderId="112" xfId="0" applyNumberFormat="1" applyFont="1" applyBorder="1" applyAlignment="1">
      <alignment horizontal="right" vertical="center" wrapText="1"/>
    </xf>
    <xf numFmtId="196" fontId="27" fillId="0" borderId="0" xfId="0" applyNumberFormat="1" applyFont="1" applyAlignment="1">
      <alignment horizontal="right" vertical="center" wrapText="1"/>
    </xf>
    <xf numFmtId="196" fontId="27" fillId="0" borderId="0" xfId="0" applyNumberFormat="1" applyFont="1">
      <alignment vertical="center"/>
    </xf>
    <xf numFmtId="196" fontId="27" fillId="0" borderId="0" xfId="0" applyNumberFormat="1" applyFont="1" applyAlignment="1">
      <alignment horizontal="center" vertical="center" wrapText="1"/>
    </xf>
    <xf numFmtId="0" fontId="27" fillId="17" borderId="108" xfId="0" applyFont="1" applyFill="1" applyBorder="1" applyAlignment="1">
      <alignment horizontal="center" vertical="center" wrapText="1"/>
    </xf>
    <xf numFmtId="0" fontId="27" fillId="17" borderId="133" xfId="0" applyFont="1" applyFill="1" applyBorder="1" applyAlignment="1">
      <alignment horizontal="center" vertical="center" wrapText="1"/>
    </xf>
    <xf numFmtId="0" fontId="27" fillId="17" borderId="132" xfId="0" applyFont="1" applyFill="1" applyBorder="1" applyAlignment="1">
      <alignment horizontal="center" vertical="center" wrapText="1"/>
    </xf>
    <xf numFmtId="0" fontId="26" fillId="0" borderId="0" xfId="0" applyFont="1" applyAlignment="1">
      <alignment horizontal="left" vertical="center" wrapText="1"/>
    </xf>
    <xf numFmtId="0" fontId="27" fillId="0" borderId="7" xfId="0" applyFont="1" applyBorder="1" applyAlignment="1">
      <alignment horizontal="left" vertical="center" wrapText="1"/>
    </xf>
    <xf numFmtId="185" fontId="27" fillId="22" borderId="7" xfId="0" applyNumberFormat="1" applyFont="1" applyFill="1" applyBorder="1" applyAlignment="1">
      <alignment horizontal="right" vertical="center" wrapText="1"/>
    </xf>
    <xf numFmtId="185" fontId="27" fillId="0" borderId="7" xfId="0" applyNumberFormat="1" applyFont="1" applyBorder="1" applyAlignment="1">
      <alignment horizontal="right" vertical="center" wrapText="1"/>
    </xf>
    <xf numFmtId="0" fontId="26" fillId="17" borderId="108" xfId="0" applyFont="1" applyFill="1" applyBorder="1" applyAlignment="1">
      <alignment horizontal="center" vertical="center" wrapText="1"/>
    </xf>
    <xf numFmtId="0" fontId="26" fillId="17" borderId="133" xfId="0" applyFont="1" applyFill="1" applyBorder="1" applyAlignment="1">
      <alignment horizontal="center" vertical="center" wrapText="1"/>
    </xf>
    <xf numFmtId="0" fontId="38" fillId="17" borderId="7" xfId="0" applyFont="1" applyFill="1" applyBorder="1" applyAlignment="1">
      <alignment horizontal="center" vertical="center" wrapText="1"/>
    </xf>
    <xf numFmtId="0" fontId="38" fillId="17" borderId="7" xfId="0" applyFont="1" applyFill="1" applyBorder="1" applyAlignment="1">
      <alignment horizontal="center" vertical="center"/>
    </xf>
    <xf numFmtId="0" fontId="26" fillId="17" borderId="7" xfId="0" applyFont="1" applyFill="1" applyBorder="1" applyAlignment="1">
      <alignment horizontal="center" vertical="center" wrapText="1"/>
    </xf>
    <xf numFmtId="0" fontId="42" fillId="0" borderId="0" xfId="0" applyFont="1" applyAlignment="1">
      <alignment horizontal="center" vertical="center"/>
    </xf>
    <xf numFmtId="196" fontId="26" fillId="0" borderId="115" xfId="0" applyNumberFormat="1" applyFont="1" applyBorder="1" applyAlignment="1">
      <alignment horizontal="right" vertical="top" wrapText="1"/>
    </xf>
    <xf numFmtId="4" fontId="65" fillId="0" borderId="96" xfId="0" applyNumberFormat="1" applyFont="1" applyBorder="1">
      <alignment vertical="center"/>
    </xf>
    <xf numFmtId="4" fontId="65" fillId="0" borderId="97" xfId="0" applyNumberFormat="1" applyFont="1" applyBorder="1">
      <alignment vertical="center"/>
    </xf>
    <xf numFmtId="0" fontId="65" fillId="0" borderId="98" xfId="0" applyFont="1" applyBorder="1">
      <alignment vertical="center"/>
    </xf>
    <xf numFmtId="4" fontId="65" fillId="0" borderId="99" xfId="0" applyNumberFormat="1" applyFont="1" applyBorder="1">
      <alignment vertical="center"/>
    </xf>
    <xf numFmtId="196" fontId="83" fillId="14" borderId="112" xfId="0" applyNumberFormat="1" applyFont="1" applyFill="1" applyBorder="1" applyAlignment="1">
      <alignment horizontal="right" vertical="center" wrapText="1"/>
    </xf>
    <xf numFmtId="0" fontId="85" fillId="17" borderId="132" xfId="0" applyFont="1" applyFill="1" applyBorder="1" applyAlignment="1">
      <alignment horizontal="center" vertical="center" wrapText="1"/>
    </xf>
    <xf numFmtId="0" fontId="105" fillId="0" borderId="0" xfId="0" applyFont="1" applyAlignment="1">
      <alignment horizontal="center" vertical="center"/>
    </xf>
    <xf numFmtId="0" fontId="69" fillId="0" borderId="195" xfId="0" applyFont="1" applyBorder="1" applyAlignment="1">
      <alignment horizontal="center" vertical="center"/>
    </xf>
    <xf numFmtId="0" fontId="106" fillId="0" borderId="0" xfId="0" applyFont="1">
      <alignment vertical="center"/>
    </xf>
    <xf numFmtId="196" fontId="83" fillId="17" borderId="172" xfId="0" applyNumberFormat="1" applyFont="1" applyFill="1" applyBorder="1" applyAlignment="1">
      <alignment horizontal="right" vertical="center" wrapText="1"/>
    </xf>
    <xf numFmtId="0" fontId="26" fillId="17" borderId="111" xfId="0" applyFont="1" applyFill="1" applyBorder="1" applyAlignment="1">
      <alignment horizontal="center" vertical="center" wrapText="1"/>
    </xf>
    <xf numFmtId="185" fontId="26" fillId="17" borderId="113" xfId="0" applyNumberFormat="1" applyFont="1" applyFill="1" applyBorder="1" applyAlignment="1">
      <alignment horizontal="center" vertical="center" wrapText="1"/>
    </xf>
    <xf numFmtId="183" fontId="16" fillId="53" borderId="106" xfId="49" applyFont="1" applyFill="1" applyBorder="1" applyAlignment="1">
      <alignment vertical="center"/>
    </xf>
    <xf numFmtId="0" fontId="27" fillId="46" borderId="108" xfId="0" applyFont="1" applyFill="1" applyBorder="1" applyAlignment="1">
      <alignment horizontal="center" vertical="center"/>
    </xf>
    <xf numFmtId="0" fontId="27" fillId="46" borderId="133" xfId="0" applyFont="1" applyFill="1" applyBorder="1" applyAlignment="1">
      <alignment horizontal="center" vertical="center"/>
    </xf>
    <xf numFmtId="0" fontId="27" fillId="0" borderId="135" xfId="0" applyFont="1" applyBorder="1">
      <alignment vertical="center"/>
    </xf>
    <xf numFmtId="0" fontId="27" fillId="0" borderId="0" xfId="0" applyFont="1">
      <alignment vertical="center"/>
    </xf>
    <xf numFmtId="0" fontId="27" fillId="46" borderId="109" xfId="0" applyFont="1" applyFill="1" applyBorder="1" applyAlignment="1">
      <alignment horizontal="centerContinuous" vertical="center"/>
    </xf>
    <xf numFmtId="0" fontId="27" fillId="46" borderId="191" xfId="0" applyFont="1" applyFill="1" applyBorder="1" applyAlignment="1">
      <alignment horizontal="centerContinuous" vertical="center"/>
    </xf>
    <xf numFmtId="0" fontId="27" fillId="46" borderId="112" xfId="0" applyFont="1" applyFill="1" applyBorder="1" applyAlignment="1">
      <alignment horizontal="centerContinuous" vertical="center"/>
    </xf>
    <xf numFmtId="0" fontId="27" fillId="46" borderId="138" xfId="0" applyFont="1" applyFill="1" applyBorder="1" applyAlignment="1">
      <alignment horizontal="center" vertical="center"/>
    </xf>
    <xf numFmtId="0" fontId="27" fillId="0" borderId="111" xfId="0" applyFont="1" applyBorder="1" applyAlignment="1">
      <alignment vertical="top"/>
    </xf>
    <xf numFmtId="196" fontId="27" fillId="0" borderId="112" xfId="0" applyNumberFormat="1" applyFont="1" applyBorder="1" applyAlignment="1">
      <alignment horizontal="right" vertical="top"/>
    </xf>
    <xf numFmtId="0" fontId="37" fillId="9" borderId="0" xfId="0" applyFont="1" applyFill="1">
      <alignment vertical="center"/>
    </xf>
    <xf numFmtId="183" fontId="16" fillId="9" borderId="10" xfId="49" applyFont="1" applyFill="1" applyBorder="1" applyAlignment="1">
      <alignment vertical="center" shrinkToFit="1"/>
    </xf>
    <xf numFmtId="193" fontId="12" fillId="12" borderId="259" xfId="0" applyNumberFormat="1" applyFont="1" applyFill="1" applyBorder="1" applyAlignment="1">
      <alignment horizontal="centerContinuous" vertical="center"/>
    </xf>
    <xf numFmtId="193" fontId="12" fillId="12" borderId="259" xfId="0" applyNumberFormat="1" applyFont="1" applyFill="1" applyBorder="1" applyAlignment="1">
      <alignment horizontal="center" vertical="center"/>
    </xf>
    <xf numFmtId="193" fontId="6" fillId="0" borderId="263" xfId="0" applyNumberFormat="1" applyFont="1" applyBorder="1" applyAlignment="1">
      <alignment horizontal="left" vertical="center" wrapText="1"/>
    </xf>
    <xf numFmtId="193" fontId="6" fillId="0" borderId="264" xfId="0" applyNumberFormat="1" applyFont="1" applyBorder="1" applyAlignment="1">
      <alignment horizontal="right" vertical="center" wrapText="1"/>
    </xf>
    <xf numFmtId="193" fontId="6" fillId="0" borderId="265" xfId="0" applyNumberFormat="1" applyFont="1" applyBorder="1" applyAlignment="1">
      <alignment horizontal="right" vertical="center" wrapText="1"/>
    </xf>
    <xf numFmtId="193" fontId="6" fillId="0" borderId="266" xfId="0" applyNumberFormat="1" applyFont="1" applyBorder="1" applyAlignment="1">
      <alignment horizontal="right" vertical="center" wrapText="1"/>
    </xf>
    <xf numFmtId="193" fontId="6" fillId="0" borderId="267" xfId="0" applyNumberFormat="1" applyFont="1" applyBorder="1" applyAlignment="1">
      <alignment horizontal="left" vertical="center" wrapText="1"/>
    </xf>
    <xf numFmtId="193" fontId="6" fillId="0" borderId="268" xfId="0" applyNumberFormat="1" applyFont="1" applyBorder="1" applyAlignment="1">
      <alignment horizontal="right" vertical="center" wrapText="1"/>
    </xf>
    <xf numFmtId="193" fontId="6" fillId="0" borderId="269" xfId="0" applyNumberFormat="1" applyFont="1" applyBorder="1" applyAlignment="1">
      <alignment horizontal="right" vertical="center" wrapText="1"/>
    </xf>
    <xf numFmtId="193" fontId="6" fillId="0" borderId="270" xfId="57" applyNumberFormat="1" applyFont="1" applyFill="1" applyBorder="1" applyAlignment="1">
      <alignment horizontal="right" vertical="center" wrapText="1"/>
    </xf>
    <xf numFmtId="193" fontId="6" fillId="0" borderId="271" xfId="0" applyNumberFormat="1" applyFont="1" applyBorder="1" applyAlignment="1">
      <alignment horizontal="left" vertical="center" wrapText="1"/>
    </xf>
    <xf numFmtId="193" fontId="6" fillId="0" borderId="272" xfId="0" applyNumberFormat="1" applyFont="1" applyBorder="1" applyAlignment="1">
      <alignment horizontal="right" vertical="center" wrapText="1"/>
    </xf>
    <xf numFmtId="193" fontId="6" fillId="0" borderId="273" xfId="57" applyNumberFormat="1" applyFont="1" applyFill="1" applyBorder="1" applyAlignment="1">
      <alignment horizontal="right" vertical="center" wrapText="1"/>
    </xf>
    <xf numFmtId="193" fontId="6" fillId="0" borderId="274" xfId="0" applyNumberFormat="1" applyFont="1" applyBorder="1" applyAlignment="1">
      <alignment horizontal="center" vertical="center" wrapText="1"/>
    </xf>
    <xf numFmtId="193" fontId="6" fillId="0" borderId="275" xfId="0" applyNumberFormat="1" applyFont="1" applyBorder="1" applyAlignment="1">
      <alignment horizontal="right" vertical="center" wrapText="1"/>
    </xf>
    <xf numFmtId="0" fontId="83" fillId="26" borderId="7" xfId="0" applyFont="1" applyFill="1" applyBorder="1" applyAlignment="1">
      <alignment horizontal="center" vertical="center" wrapText="1"/>
    </xf>
    <xf numFmtId="41" fontId="0" fillId="0" borderId="0" xfId="1" applyFont="1">
      <alignment vertical="center"/>
    </xf>
    <xf numFmtId="180" fontId="0" fillId="0" borderId="0" xfId="1" applyNumberFormat="1" applyFont="1">
      <alignment vertical="center"/>
    </xf>
    <xf numFmtId="197" fontId="6" fillId="16" borderId="7" xfId="51" applyNumberFormat="1" applyFont="1" applyFill="1" applyBorder="1">
      <alignment vertical="center"/>
    </xf>
    <xf numFmtId="196" fontId="6" fillId="16" borderId="7" xfId="57" applyNumberFormat="1" applyFont="1" applyFill="1" applyBorder="1">
      <alignment vertical="center"/>
    </xf>
    <xf numFmtId="193" fontId="66" fillId="0" borderId="0" xfId="0" applyNumberFormat="1" applyFont="1">
      <alignment vertical="center"/>
    </xf>
    <xf numFmtId="193" fontId="68" fillId="17" borderId="277" xfId="0" applyNumberFormat="1" applyFont="1" applyFill="1" applyBorder="1" applyAlignment="1">
      <alignment horizontal="center" vertical="center" wrapText="1"/>
    </xf>
    <xf numFmtId="193" fontId="68" fillId="17" borderId="277" xfId="0" applyNumberFormat="1" applyFont="1" applyFill="1" applyBorder="1" applyAlignment="1">
      <alignment horizontal="center" vertical="center"/>
    </xf>
    <xf numFmtId="193" fontId="66" fillId="0" borderId="278" xfId="0" applyNumberFormat="1" applyFont="1" applyBorder="1" applyAlignment="1">
      <alignment horizontal="center" vertical="center"/>
    </xf>
    <xf numFmtId="193" fontId="66" fillId="0" borderId="259" xfId="0" applyNumberFormat="1" applyFont="1" applyBorder="1" applyAlignment="1">
      <alignment horizontal="right" vertical="center" wrapText="1"/>
    </xf>
    <xf numFmtId="0" fontId="14" fillId="0" borderId="115" xfId="0" applyFont="1" applyBorder="1" applyAlignment="1">
      <alignment horizontal="center" vertical="top" wrapText="1"/>
    </xf>
    <xf numFmtId="0" fontId="27" fillId="46" borderId="259" xfId="0" applyFont="1" applyFill="1" applyBorder="1" applyAlignment="1">
      <alignment horizontal="center" vertical="center"/>
    </xf>
    <xf numFmtId="193" fontId="6" fillId="0" borderId="259" xfId="57" applyNumberFormat="1" applyFont="1" applyFill="1" applyBorder="1" applyAlignment="1">
      <alignment horizontal="right" vertical="center" wrapText="1"/>
    </xf>
    <xf numFmtId="213" fontId="6" fillId="0" borderId="0" xfId="61" applyNumberFormat="1">
      <alignment vertical="center"/>
    </xf>
    <xf numFmtId="214" fontId="6" fillId="0" borderId="0" xfId="61" applyNumberFormat="1">
      <alignment vertical="center"/>
    </xf>
    <xf numFmtId="0" fontId="26" fillId="51" borderId="259" xfId="0" applyFont="1" applyFill="1" applyBorder="1" applyAlignment="1">
      <alignment horizontal="center" vertical="center" wrapText="1"/>
    </xf>
    <xf numFmtId="0" fontId="26" fillId="51" borderId="259" xfId="0" applyFont="1" applyFill="1" applyBorder="1" applyAlignment="1">
      <alignment horizontal="centerContinuous" vertical="center" wrapText="1"/>
    </xf>
    <xf numFmtId="0" fontId="26" fillId="51" borderId="7" xfId="0" applyFont="1" applyFill="1" applyBorder="1" applyAlignment="1">
      <alignment horizontal="centerContinuous" vertical="center" wrapText="1"/>
    </xf>
    <xf numFmtId="0" fontId="12" fillId="17" borderId="183" xfId="51" applyFont="1" applyFill="1" applyBorder="1" applyAlignment="1">
      <alignment horizontal="center" vertical="center" wrapText="1"/>
    </xf>
    <xf numFmtId="0" fontId="12" fillId="17" borderId="184" xfId="51" applyFont="1" applyFill="1" applyBorder="1" applyAlignment="1">
      <alignment horizontal="center" vertical="center" wrapText="1"/>
    </xf>
    <xf numFmtId="0" fontId="12" fillId="17" borderId="185" xfId="51" applyFont="1" applyFill="1" applyBorder="1" applyAlignment="1">
      <alignment horizontal="center" vertical="center" wrapText="1"/>
    </xf>
    <xf numFmtId="0" fontId="6" fillId="17" borderId="186" xfId="51" applyFont="1" applyFill="1" applyBorder="1" applyAlignment="1">
      <alignment vertical="top" wrapText="1"/>
    </xf>
    <xf numFmtId="196" fontId="6" fillId="17" borderId="195" xfId="51" applyNumberFormat="1" applyFont="1" applyFill="1" applyBorder="1">
      <alignment vertical="center"/>
    </xf>
    <xf numFmtId="0" fontId="6" fillId="17" borderId="7" xfId="51" applyFont="1" applyFill="1" applyBorder="1">
      <alignment vertical="center"/>
    </xf>
    <xf numFmtId="0" fontId="6" fillId="17" borderId="7" xfId="51" applyFont="1" applyFill="1" applyBorder="1" applyAlignment="1">
      <alignment vertical="top" wrapText="1"/>
    </xf>
    <xf numFmtId="0" fontId="83" fillId="51" borderId="281" xfId="0" applyFont="1" applyFill="1" applyBorder="1" applyAlignment="1">
      <alignment horizontal="center" vertical="center" wrapText="1"/>
    </xf>
    <xf numFmtId="0" fontId="83" fillId="51" borderId="282" xfId="0" applyFont="1" applyFill="1" applyBorder="1" applyAlignment="1">
      <alignment horizontal="center" vertical="center" wrapText="1"/>
    </xf>
    <xf numFmtId="0" fontId="83" fillId="51" borderId="280" xfId="0" applyFont="1" applyFill="1" applyBorder="1" applyAlignment="1">
      <alignment horizontal="centerContinuous" vertical="center" wrapText="1"/>
    </xf>
    <xf numFmtId="0" fontId="83" fillId="51" borderId="215" xfId="0" applyFont="1" applyFill="1" applyBorder="1" applyAlignment="1">
      <alignment horizontal="centerContinuous" vertical="center" wrapText="1"/>
    </xf>
    <xf numFmtId="196" fontId="83" fillId="0" borderId="136" xfId="0" applyNumberFormat="1" applyFont="1" applyBorder="1" applyAlignment="1">
      <alignment vertical="center" wrapText="1"/>
    </xf>
    <xf numFmtId="196" fontId="27" fillId="0" borderId="259" xfId="0" applyNumberFormat="1" applyFont="1" applyBorder="1" applyAlignment="1">
      <alignment wrapText="1"/>
    </xf>
    <xf numFmtId="3" fontId="27" fillId="0" borderId="0" xfId="0" applyNumberFormat="1" applyFont="1" applyAlignment="1">
      <alignment horizontal="center" wrapText="1"/>
    </xf>
    <xf numFmtId="196" fontId="83" fillId="0" borderId="146" xfId="0" applyNumberFormat="1" applyFont="1" applyBorder="1" applyAlignment="1">
      <alignment vertical="center" wrapText="1"/>
    </xf>
    <xf numFmtId="0" fontId="66" fillId="0" borderId="0" xfId="0" applyFont="1" applyAlignment="1"/>
    <xf numFmtId="0" fontId="37" fillId="0" borderId="0" xfId="0" applyFont="1" applyAlignment="1"/>
    <xf numFmtId="0" fontId="37" fillId="0" borderId="0" xfId="0" applyFont="1" applyAlignment="1">
      <alignment horizontal="right"/>
    </xf>
    <xf numFmtId="0" fontId="66" fillId="0" borderId="259" xfId="0" applyFont="1" applyBorder="1" applyAlignment="1">
      <alignment horizontal="center"/>
    </xf>
    <xf numFmtId="0" fontId="27" fillId="26" borderId="23" xfId="0" applyFont="1" applyFill="1" applyBorder="1" applyAlignment="1">
      <alignment horizontal="center" vertical="center" wrapText="1"/>
    </xf>
    <xf numFmtId="0" fontId="27" fillId="26" borderId="24" xfId="0" applyFont="1" applyFill="1" applyBorder="1" applyAlignment="1">
      <alignment horizontal="center" vertical="center" wrapText="1"/>
    </xf>
    <xf numFmtId="0" fontId="66" fillId="0" borderId="195" xfId="0" applyFont="1" applyBorder="1" applyAlignment="1"/>
    <xf numFmtId="0" fontId="37" fillId="0" borderId="23" xfId="0" applyFont="1" applyBorder="1" applyAlignment="1"/>
    <xf numFmtId="196" fontId="27" fillId="0" borderId="24" xfId="0" applyNumberFormat="1" applyFont="1" applyBorder="1" applyAlignment="1">
      <alignment horizontal="right" vertical="center" wrapText="1"/>
    </xf>
    <xf numFmtId="0" fontId="66" fillId="0" borderId="195" xfId="0" applyFont="1" applyBorder="1" applyAlignment="1">
      <alignment horizontal="center"/>
    </xf>
    <xf numFmtId="0" fontId="27" fillId="26" borderId="195" xfId="0" applyFont="1" applyFill="1" applyBorder="1" applyAlignment="1">
      <alignment horizontal="center" vertical="center" wrapText="1"/>
    </xf>
    <xf numFmtId="0" fontId="37" fillId="0" borderId="195" xfId="0" applyFont="1" applyBorder="1" applyAlignment="1"/>
    <xf numFmtId="4" fontId="66" fillId="0" borderId="195" xfId="0" applyNumberFormat="1" applyFont="1" applyBorder="1" applyAlignment="1"/>
    <xf numFmtId="4" fontId="37" fillId="0" borderId="195" xfId="0" applyNumberFormat="1" applyFont="1" applyBorder="1">
      <alignment vertical="center"/>
    </xf>
    <xf numFmtId="196" fontId="66" fillId="0" borderId="195" xfId="1" applyNumberFormat="1" applyFont="1" applyFill="1" applyBorder="1" applyAlignment="1" applyProtection="1"/>
    <xf numFmtId="185" fontId="65" fillId="0" borderId="26" xfId="0" applyNumberFormat="1" applyFont="1" applyBorder="1">
      <alignment vertical="center"/>
    </xf>
    <xf numFmtId="193" fontId="66" fillId="0" borderId="7" xfId="57" applyNumberFormat="1" applyFont="1" applyFill="1" applyBorder="1">
      <alignment vertical="center"/>
    </xf>
    <xf numFmtId="41" fontId="15" fillId="0" borderId="0" xfId="1" applyFont="1" applyAlignment="1">
      <alignment horizontal="left" vertical="center" indent="2"/>
    </xf>
    <xf numFmtId="0" fontId="9" fillId="0" borderId="259" xfId="0" applyFont="1" applyBorder="1">
      <alignment vertical="center"/>
    </xf>
    <xf numFmtId="185" fontId="15" fillId="0" borderId="259" xfId="11" applyNumberFormat="1" applyFont="1" applyBorder="1" applyAlignment="1">
      <alignment horizontal="left" vertical="center" indent="2"/>
    </xf>
    <xf numFmtId="185" fontId="15" fillId="0" borderId="259" xfId="11" applyNumberFormat="1" applyFont="1" applyBorder="1" applyAlignment="1">
      <alignment horizontal="center" vertical="center"/>
    </xf>
    <xf numFmtId="41" fontId="15" fillId="0" borderId="259" xfId="1" applyFont="1" applyBorder="1" applyAlignment="1">
      <alignment horizontal="left" vertical="center" indent="2"/>
    </xf>
    <xf numFmtId="179" fontId="9" fillId="0" borderId="259" xfId="2" applyNumberFormat="1" applyFont="1" applyBorder="1">
      <alignment vertical="center"/>
    </xf>
    <xf numFmtId="41" fontId="15" fillId="0" borderId="259" xfId="1" applyFont="1" applyBorder="1" applyAlignment="1">
      <alignment horizontal="right" vertical="center" indent="2"/>
    </xf>
    <xf numFmtId="193" fontId="6" fillId="0" borderId="259" xfId="0" applyNumberFormat="1" applyFont="1" applyBorder="1" applyAlignment="1">
      <alignment horizontal="center" vertical="center" wrapText="1"/>
    </xf>
    <xf numFmtId="193" fontId="10" fillId="0" borderId="259" xfId="0" applyNumberFormat="1" applyFont="1" applyBorder="1">
      <alignment vertical="center"/>
    </xf>
    <xf numFmtId="193" fontId="83" fillId="0" borderId="141" xfId="0" applyNumberFormat="1" applyFont="1" applyBorder="1" applyAlignment="1">
      <alignment horizontal="center" vertical="center" wrapText="1"/>
    </xf>
    <xf numFmtId="193" fontId="83" fillId="0" borderId="112" xfId="0" applyNumberFormat="1" applyFont="1" applyBorder="1" applyAlignment="1">
      <alignment horizontal="center" vertical="center" wrapText="1"/>
    </xf>
    <xf numFmtId="193" fontId="83" fillId="0" borderId="172" xfId="0" applyNumberFormat="1" applyFont="1" applyBorder="1" applyAlignment="1">
      <alignment horizontal="right" vertical="center" wrapText="1"/>
    </xf>
    <xf numFmtId="193" fontId="83" fillId="0" borderId="141" xfId="0" applyNumberFormat="1" applyFont="1" applyBorder="1" applyAlignment="1">
      <alignment vertical="center" wrapText="1"/>
    </xf>
    <xf numFmtId="193" fontId="83" fillId="0" borderId="173" xfId="0" applyNumberFormat="1" applyFont="1" applyBorder="1" applyAlignment="1">
      <alignment horizontal="right" vertical="center" wrapText="1"/>
    </xf>
    <xf numFmtId="0" fontId="37" fillId="0" borderId="7" xfId="0" applyFont="1" applyBorder="1">
      <alignment vertical="center"/>
    </xf>
    <xf numFmtId="196" fontId="37" fillId="0" borderId="7" xfId="0" applyNumberFormat="1" applyFont="1" applyBorder="1">
      <alignment vertical="center"/>
    </xf>
    <xf numFmtId="0" fontId="65" fillId="0" borderId="7" xfId="0" applyFont="1" applyBorder="1">
      <alignment vertical="center"/>
    </xf>
    <xf numFmtId="196" fontId="65" fillId="0" borderId="7" xfId="0" applyNumberFormat="1" applyFont="1" applyBorder="1">
      <alignment vertical="center"/>
    </xf>
    <xf numFmtId="209" fontId="27" fillId="0" borderId="7" xfId="0" applyNumberFormat="1" applyFont="1" applyBorder="1" applyAlignment="1">
      <alignment horizontal="right" vertical="center"/>
    </xf>
    <xf numFmtId="183" fontId="16" fillId="54" borderId="106" xfId="49" applyFont="1" applyFill="1" applyBorder="1" applyAlignment="1">
      <alignment vertical="center"/>
    </xf>
    <xf numFmtId="0" fontId="65" fillId="9" borderId="0" xfId="0" applyFont="1" applyFill="1" applyAlignment="1">
      <alignment horizontal="center" vertical="center"/>
    </xf>
    <xf numFmtId="193" fontId="12" fillId="17" borderId="259" xfId="0" applyNumberFormat="1" applyFont="1" applyFill="1" applyBorder="1" applyAlignment="1">
      <alignment horizontal="centerContinuous" vertical="center" wrapText="1"/>
    </xf>
    <xf numFmtId="193" fontId="12" fillId="17" borderId="278" xfId="0" applyNumberFormat="1" applyFont="1" applyFill="1" applyBorder="1" applyAlignment="1">
      <alignment horizontal="centerContinuous" vertical="center" wrapText="1"/>
    </xf>
    <xf numFmtId="193" fontId="12" fillId="17" borderId="259" xfId="0" applyNumberFormat="1" applyFont="1" applyFill="1" applyBorder="1" applyAlignment="1">
      <alignment horizontal="center" vertical="center" wrapText="1"/>
    </xf>
    <xf numFmtId="193" fontId="12" fillId="17" borderId="278" xfId="0" applyNumberFormat="1" applyFont="1" applyFill="1" applyBorder="1" applyAlignment="1">
      <alignment horizontal="center" vertical="center" wrapText="1"/>
    </xf>
    <xf numFmtId="0" fontId="26" fillId="17" borderId="288" xfId="0" applyFont="1" applyFill="1" applyBorder="1" applyAlignment="1">
      <alignment horizontal="centerContinuous" vertical="center" wrapText="1"/>
    </xf>
    <xf numFmtId="193" fontId="12" fillId="17" borderId="288" xfId="0" applyNumberFormat="1" applyFont="1" applyFill="1" applyBorder="1" applyAlignment="1">
      <alignment horizontal="centerContinuous" vertical="center" wrapText="1"/>
    </xf>
    <xf numFmtId="193" fontId="12" fillId="17" borderId="288" xfId="0" applyNumberFormat="1" applyFont="1" applyFill="1" applyBorder="1" applyAlignment="1">
      <alignment horizontal="center" vertical="center" wrapText="1"/>
    </xf>
    <xf numFmtId="0" fontId="27" fillId="46" borderId="288" xfId="0" applyFont="1" applyFill="1" applyBorder="1" applyAlignment="1">
      <alignment horizontal="center" vertical="center"/>
    </xf>
    <xf numFmtId="41" fontId="37" fillId="0" borderId="288" xfId="0" applyNumberFormat="1" applyFont="1" applyBorder="1">
      <alignment vertical="center"/>
    </xf>
    <xf numFmtId="196" fontId="27" fillId="0" borderId="288" xfId="0" applyNumberFormat="1" applyFont="1" applyBorder="1" applyAlignment="1">
      <alignment horizontal="right" vertical="top" wrapText="1"/>
    </xf>
    <xf numFmtId="196" fontId="26" fillId="0" borderId="288" xfId="0" applyNumberFormat="1" applyFont="1" applyBorder="1" applyAlignment="1">
      <alignment horizontal="right" vertical="top" wrapText="1"/>
    </xf>
    <xf numFmtId="0" fontId="6" fillId="0" borderId="288" xfId="51" applyFont="1" applyBorder="1">
      <alignment vertical="center"/>
    </xf>
    <xf numFmtId="180" fontId="6" fillId="9" borderId="259" xfId="1" applyNumberFormat="1" applyFont="1" applyFill="1" applyBorder="1">
      <alignment vertical="center"/>
    </xf>
    <xf numFmtId="180" fontId="6" fillId="9" borderId="288" xfId="1" applyNumberFormat="1" applyFont="1" applyFill="1" applyBorder="1">
      <alignment vertical="center"/>
    </xf>
    <xf numFmtId="0" fontId="66" fillId="0" borderId="288" xfId="51" applyFont="1" applyBorder="1">
      <alignment vertical="center"/>
    </xf>
    <xf numFmtId="0" fontId="108" fillId="47" borderId="288" xfId="51" applyFont="1" applyFill="1" applyBorder="1" applyAlignment="1">
      <alignment horizontal="center" vertical="center" wrapText="1"/>
    </xf>
    <xf numFmtId="14" fontId="108" fillId="47" borderId="288" xfId="51" applyNumberFormat="1" applyFont="1" applyFill="1" applyBorder="1" applyAlignment="1">
      <alignment horizontal="center" vertical="center" wrapText="1"/>
    </xf>
    <xf numFmtId="0" fontId="109" fillId="39" borderId="288" xfId="51" applyFont="1" applyFill="1" applyBorder="1" applyAlignment="1">
      <alignment vertical="top" wrapText="1"/>
    </xf>
    <xf numFmtId="0" fontId="109" fillId="39" borderId="288" xfId="51" applyFont="1" applyFill="1" applyBorder="1" applyAlignment="1">
      <alignment horizontal="left" vertical="top" wrapText="1" indent="1"/>
    </xf>
    <xf numFmtId="0" fontId="109" fillId="39" borderId="288" xfId="51" applyFont="1" applyFill="1" applyBorder="1" applyAlignment="1">
      <alignment horizontal="left" vertical="top" wrapText="1" indent="2"/>
    </xf>
    <xf numFmtId="0" fontId="8" fillId="0" borderId="288" xfId="51" applyFont="1" applyBorder="1" applyAlignment="1">
      <alignment horizontal="left" vertical="top" wrapText="1" indent="3"/>
    </xf>
    <xf numFmtId="0" fontId="75" fillId="44" borderId="288" xfId="60" applyFont="1" applyFill="1" applyBorder="1" applyAlignment="1">
      <alignment horizontal="left" vertical="top" wrapText="1" indent="3"/>
    </xf>
    <xf numFmtId="0" fontId="75" fillId="0" borderId="288" xfId="60" applyFont="1" applyFill="1" applyBorder="1" applyAlignment="1">
      <alignment horizontal="left" vertical="top" wrapText="1" indent="3"/>
    </xf>
    <xf numFmtId="0" fontId="27" fillId="0" borderId="135" xfId="0" applyFont="1" applyBorder="1" applyAlignment="1">
      <alignment vertical="top"/>
    </xf>
    <xf numFmtId="209" fontId="28" fillId="0" borderId="0" xfId="0" applyNumberFormat="1" applyFont="1">
      <alignment vertical="center"/>
    </xf>
    <xf numFmtId="209" fontId="37" fillId="0" borderId="0" xfId="0" applyNumberFormat="1" applyFont="1">
      <alignment vertical="center"/>
    </xf>
    <xf numFmtId="193" fontId="109" fillId="17" borderId="288" xfId="0" applyNumberFormat="1" applyFont="1" applyFill="1" applyBorder="1" applyAlignment="1">
      <alignment horizontal="centerContinuous" vertical="center" wrapText="1"/>
    </xf>
    <xf numFmtId="193" fontId="109" fillId="17" borderId="288" xfId="0" applyNumberFormat="1" applyFont="1" applyFill="1" applyBorder="1" applyAlignment="1">
      <alignment horizontal="center" vertical="center" wrapText="1"/>
    </xf>
    <xf numFmtId="193" fontId="8" fillId="0" borderId="267" xfId="0" applyNumberFormat="1" applyFont="1" applyBorder="1" applyAlignment="1">
      <alignment horizontal="left" vertical="center" wrapText="1"/>
    </xf>
    <xf numFmtId="193" fontId="8" fillId="0" borderId="276" xfId="0" applyNumberFormat="1" applyFont="1" applyBorder="1" applyAlignment="1">
      <alignment horizontal="right" vertical="center" wrapText="1"/>
    </xf>
    <xf numFmtId="209" fontId="65" fillId="0" borderId="0" xfId="0" applyNumberFormat="1" applyFont="1">
      <alignment vertical="center"/>
    </xf>
    <xf numFmtId="0" fontId="65" fillId="0" borderId="259" xfId="0" applyFont="1" applyBorder="1">
      <alignment vertical="center"/>
    </xf>
    <xf numFmtId="196" fontId="65" fillId="0" borderId="259" xfId="0" applyNumberFormat="1" applyFont="1" applyBorder="1">
      <alignment vertical="center"/>
    </xf>
    <xf numFmtId="10" fontId="10" fillId="0" borderId="195" xfId="0" applyNumberFormat="1" applyFont="1" applyBorder="1" applyAlignment="1">
      <alignment horizontal="center" vertical="center"/>
    </xf>
    <xf numFmtId="10" fontId="10" fillId="0" borderId="259" xfId="0" applyNumberFormat="1" applyFont="1" applyBorder="1" applyAlignment="1">
      <alignment horizontal="center" vertical="center"/>
    </xf>
    <xf numFmtId="14" fontId="10" fillId="0" borderId="259" xfId="0" applyNumberFormat="1" applyFont="1" applyBorder="1" applyAlignment="1">
      <alignment horizontal="center" vertical="center"/>
    </xf>
    <xf numFmtId="185" fontId="65" fillId="0" borderId="28" xfId="0" applyNumberFormat="1" applyFont="1" applyBorder="1">
      <alignment vertical="center"/>
    </xf>
    <xf numFmtId="0" fontId="37" fillId="0" borderId="259" xfId="0" applyFont="1" applyBorder="1" applyAlignment="1">
      <alignment horizontal="center" vertical="center"/>
    </xf>
    <xf numFmtId="0" fontId="37" fillId="0" borderId="259" xfId="0" applyFont="1" applyBorder="1">
      <alignment vertical="center"/>
    </xf>
    <xf numFmtId="9" fontId="83" fillId="0" borderId="115" xfId="2" applyFont="1" applyBorder="1" applyAlignment="1">
      <alignment horizontal="right" vertical="center" wrapText="1"/>
    </xf>
    <xf numFmtId="41" fontId="65" fillId="0" borderId="0" xfId="1" applyFont="1">
      <alignment vertical="center"/>
    </xf>
    <xf numFmtId="43" fontId="65" fillId="0" borderId="0" xfId="0" applyNumberFormat="1" applyFont="1">
      <alignment vertical="center"/>
    </xf>
    <xf numFmtId="181" fontId="65" fillId="0" borderId="0" xfId="0" applyNumberFormat="1" applyFont="1">
      <alignment vertical="center"/>
    </xf>
    <xf numFmtId="181" fontId="65" fillId="0" borderId="0" xfId="0" applyNumberFormat="1" applyFont="1" applyAlignment="1">
      <alignment horizontal="center" vertical="center"/>
    </xf>
    <xf numFmtId="0" fontId="37" fillId="0" borderId="288" xfId="0" applyFont="1" applyBorder="1">
      <alignment vertical="center"/>
    </xf>
    <xf numFmtId="41" fontId="37" fillId="0" borderId="288" xfId="1" applyFont="1" applyBorder="1">
      <alignment vertical="center"/>
    </xf>
    <xf numFmtId="180" fontId="37" fillId="0" borderId="288" xfId="1" applyNumberFormat="1" applyFont="1" applyBorder="1">
      <alignment vertical="center"/>
    </xf>
    <xf numFmtId="0" fontId="27" fillId="0" borderId="135" xfId="0" applyFont="1" applyBorder="1" applyAlignment="1">
      <alignment horizontal="center" vertical="center"/>
    </xf>
    <xf numFmtId="193" fontId="65" fillId="0" borderId="96" xfId="0" applyNumberFormat="1" applyFont="1" applyBorder="1">
      <alignment vertical="center"/>
    </xf>
    <xf numFmtId="193" fontId="65" fillId="0" borderId="69" xfId="0" applyNumberFormat="1" applyFont="1" applyBorder="1">
      <alignment vertical="center"/>
    </xf>
    <xf numFmtId="193" fontId="65" fillId="0" borderId="97" xfId="0" applyNumberFormat="1" applyFont="1" applyBorder="1">
      <alignment vertical="center"/>
    </xf>
    <xf numFmtId="193" fontId="65" fillId="0" borderId="98" xfId="0" applyNumberFormat="1" applyFont="1" applyBorder="1">
      <alignment vertical="center"/>
    </xf>
    <xf numFmtId="193" fontId="65" fillId="0" borderId="99" xfId="0" applyNumberFormat="1" applyFont="1" applyBorder="1">
      <alignment vertical="center"/>
    </xf>
    <xf numFmtId="193" fontId="65" fillId="0" borderId="95" xfId="0" applyNumberFormat="1" applyFont="1" applyBorder="1" applyAlignment="1">
      <alignment horizontal="center" vertical="center"/>
    </xf>
    <xf numFmtId="193" fontId="65" fillId="0" borderId="45" xfId="0" applyNumberFormat="1" applyFont="1" applyBorder="1" applyAlignment="1">
      <alignment horizontal="center" vertical="center"/>
    </xf>
    <xf numFmtId="193" fontId="65" fillId="0" borderId="56" xfId="0" applyNumberFormat="1" applyFont="1" applyBorder="1">
      <alignment vertical="center"/>
    </xf>
    <xf numFmtId="179" fontId="65" fillId="0" borderId="97" xfId="2" applyNumberFormat="1" applyFont="1" applyBorder="1">
      <alignment vertical="center"/>
    </xf>
    <xf numFmtId="193" fontId="33" fillId="0" borderId="195" xfId="0" applyNumberFormat="1" applyFont="1" applyBorder="1">
      <alignment vertical="center"/>
    </xf>
    <xf numFmtId="193" fontId="65" fillId="0" borderId="26" xfId="0" applyNumberFormat="1" applyFont="1" applyBorder="1">
      <alignment vertical="center"/>
    </xf>
    <xf numFmtId="193" fontId="65" fillId="0" borderId="28" xfId="0" applyNumberFormat="1" applyFont="1" applyBorder="1">
      <alignment vertical="center"/>
    </xf>
    <xf numFmtId="193" fontId="8" fillId="0" borderId="264" xfId="0" applyNumberFormat="1" applyFont="1" applyBorder="1" applyAlignment="1">
      <alignment horizontal="right" vertical="center" wrapText="1"/>
    </xf>
    <xf numFmtId="0" fontId="6" fillId="0" borderId="288" xfId="51" applyFont="1" applyBorder="1" applyAlignment="1">
      <alignment horizontal="left" vertical="top" wrapText="1" indent="3"/>
    </xf>
    <xf numFmtId="196" fontId="6" fillId="0" borderId="288" xfId="51" applyNumberFormat="1" applyFont="1" applyBorder="1">
      <alignment vertical="center"/>
    </xf>
    <xf numFmtId="196" fontId="83" fillId="0" borderId="112" xfId="0" applyNumberFormat="1" applyFont="1" applyBorder="1" applyAlignment="1">
      <alignment horizontal="center" vertical="center" wrapText="1"/>
    </xf>
    <xf numFmtId="0" fontId="83" fillId="0" borderId="113" xfId="0" applyFont="1" applyBorder="1" applyAlignment="1">
      <alignment vertical="center" wrapText="1"/>
    </xf>
    <xf numFmtId="0" fontId="85" fillId="17" borderId="132" xfId="0" applyFont="1" applyFill="1" applyBorder="1" applyAlignment="1">
      <alignment horizontal="center" vertical="top" wrapText="1"/>
    </xf>
    <xf numFmtId="0" fontId="85" fillId="17" borderId="112" xfId="0" applyFont="1" applyFill="1" applyBorder="1" applyAlignment="1">
      <alignment horizontal="center" vertical="center" wrapText="1"/>
    </xf>
    <xf numFmtId="0" fontId="85" fillId="17" borderId="113" xfId="0" applyFont="1" applyFill="1" applyBorder="1" applyAlignment="1">
      <alignment horizontal="center" vertical="top" wrapText="1"/>
    </xf>
    <xf numFmtId="0" fontId="83" fillId="0" borderId="130" xfId="0" applyFont="1" applyBorder="1" applyAlignment="1">
      <alignment vertical="top" wrapText="1"/>
    </xf>
    <xf numFmtId="0" fontId="83" fillId="0" borderId="114" xfId="0" applyFont="1" applyBorder="1" applyAlignment="1">
      <alignment vertical="top" wrapText="1"/>
    </xf>
    <xf numFmtId="196" fontId="83" fillId="0" borderId="0" xfId="0" applyNumberFormat="1" applyFont="1" applyAlignment="1">
      <alignment horizontal="center" vertical="center" wrapText="1"/>
    </xf>
    <xf numFmtId="0" fontId="83" fillId="0" borderId="288" xfId="0" applyFont="1" applyBorder="1" applyAlignment="1">
      <alignment vertical="top" wrapText="1"/>
    </xf>
    <xf numFmtId="196" fontId="83" fillId="0" borderId="288" xfId="0" applyNumberFormat="1" applyFont="1" applyBorder="1" applyAlignment="1">
      <alignment horizontal="right" vertical="center" wrapText="1"/>
    </xf>
    <xf numFmtId="0" fontId="27" fillId="46" borderId="137" xfId="0" applyFont="1" applyFill="1" applyBorder="1" applyAlignment="1">
      <alignment horizontal="centerContinuous" vertical="center"/>
    </xf>
    <xf numFmtId="193" fontId="83" fillId="0" borderId="112" xfId="0" applyNumberFormat="1" applyFont="1" applyBorder="1" applyAlignment="1">
      <alignment horizontal="right" vertical="center" wrapText="1"/>
    </xf>
    <xf numFmtId="193" fontId="57" fillId="17" borderId="288" xfId="0" applyNumberFormat="1" applyFont="1" applyFill="1" applyBorder="1" applyAlignment="1">
      <alignment horizontal="center" vertical="center" wrapText="1"/>
    </xf>
    <xf numFmtId="193" fontId="86" fillId="17" borderId="288" xfId="0" applyNumberFormat="1" applyFont="1" applyFill="1" applyBorder="1" applyAlignment="1">
      <alignment horizontal="center" vertical="center"/>
    </xf>
    <xf numFmtId="193" fontId="65" fillId="0" borderId="0" xfId="0" applyNumberFormat="1" applyFont="1" applyAlignment="1">
      <alignment horizontal="center" vertical="center"/>
    </xf>
    <xf numFmtId="193" fontId="65" fillId="0" borderId="288" xfId="0" applyNumberFormat="1" applyFont="1" applyBorder="1">
      <alignment vertical="center"/>
    </xf>
    <xf numFmtId="193" fontId="109" fillId="17" borderId="259" xfId="0" applyNumberFormat="1" applyFont="1" applyFill="1" applyBorder="1" applyAlignment="1">
      <alignment horizontal="centerContinuous" vertical="center" wrapText="1"/>
    </xf>
    <xf numFmtId="193" fontId="109" fillId="17" borderId="259" xfId="0" applyNumberFormat="1" applyFont="1" applyFill="1" applyBorder="1" applyAlignment="1">
      <alignment horizontal="center" vertical="center" wrapText="1"/>
    </xf>
    <xf numFmtId="193" fontId="83" fillId="0" borderId="259" xfId="0" applyNumberFormat="1" applyFont="1" applyBorder="1" applyAlignment="1">
      <alignment horizontal="right" vertical="center" wrapText="1"/>
    </xf>
    <xf numFmtId="193" fontId="83" fillId="0" borderId="259" xfId="0" applyNumberFormat="1" applyFont="1" applyBorder="1" applyAlignment="1">
      <alignment horizontal="right" vertical="top" wrapText="1"/>
    </xf>
    <xf numFmtId="0" fontId="83" fillId="0" borderId="152" xfId="0" applyFont="1" applyBorder="1" applyAlignment="1">
      <alignment horizontal="center" vertical="top" wrapText="1"/>
    </xf>
    <xf numFmtId="0" fontId="69" fillId="9" borderId="0" xfId="0" applyFont="1" applyFill="1">
      <alignment vertical="center"/>
    </xf>
    <xf numFmtId="0" fontId="83" fillId="0" borderId="288" xfId="0" applyFont="1" applyBorder="1" applyAlignment="1">
      <alignment vertical="center" wrapText="1"/>
    </xf>
    <xf numFmtId="181" fontId="65" fillId="0" borderId="288" xfId="0" applyNumberFormat="1" applyFont="1" applyBorder="1">
      <alignment vertical="center"/>
    </xf>
    <xf numFmtId="0" fontId="110" fillId="0" borderId="0" xfId="0" applyFont="1">
      <alignment vertical="center"/>
    </xf>
    <xf numFmtId="185" fontId="33" fillId="0" borderId="0" xfId="0" applyNumberFormat="1" applyFont="1">
      <alignment vertical="center"/>
    </xf>
    <xf numFmtId="0" fontId="33" fillId="0" borderId="0" xfId="0" applyFont="1">
      <alignment vertical="center"/>
    </xf>
    <xf numFmtId="0" fontId="110" fillId="26" borderId="148" xfId="0" applyFont="1" applyFill="1" applyBorder="1" applyAlignment="1">
      <alignment horizontal="center" vertical="center" wrapText="1"/>
    </xf>
    <xf numFmtId="0" fontId="110" fillId="26" borderId="139" xfId="0" applyFont="1" applyFill="1" applyBorder="1" applyAlignment="1">
      <alignment horizontal="center" vertical="center" wrapText="1"/>
    </xf>
    <xf numFmtId="0" fontId="110" fillId="24" borderId="111" xfId="0" applyFont="1" applyFill="1" applyBorder="1" applyAlignment="1">
      <alignment vertical="center" wrapText="1"/>
    </xf>
    <xf numFmtId="9" fontId="110" fillId="24" borderId="112" xfId="0" applyNumberFormat="1" applyFont="1" applyFill="1" applyBorder="1" applyAlignment="1">
      <alignment horizontal="center" vertical="center" wrapText="1"/>
    </xf>
    <xf numFmtId="196" fontId="110" fillId="24" borderId="112" xfId="0" applyNumberFormat="1" applyFont="1" applyFill="1" applyBorder="1" applyAlignment="1">
      <alignment horizontal="right" vertical="center" wrapText="1"/>
    </xf>
    <xf numFmtId="196" fontId="110" fillId="24" borderId="113" xfId="0" applyNumberFormat="1" applyFont="1" applyFill="1" applyBorder="1" applyAlignment="1">
      <alignment horizontal="right" vertical="center" wrapText="1"/>
    </xf>
    <xf numFmtId="0" fontId="83" fillId="46" borderId="140" xfId="0" applyFont="1" applyFill="1" applyBorder="1" applyAlignment="1">
      <alignment horizontal="center" vertical="center" wrapText="1"/>
    </xf>
    <xf numFmtId="0" fontId="83" fillId="46" borderId="139" xfId="0" applyFont="1" applyFill="1" applyBorder="1" applyAlignment="1">
      <alignment horizontal="center" vertical="center" wrapText="1"/>
    </xf>
    <xf numFmtId="0" fontId="10" fillId="0" borderId="197" xfId="0" quotePrefix="1" applyFont="1" applyBorder="1" applyAlignment="1">
      <alignment horizontal="center" vertical="center"/>
    </xf>
    <xf numFmtId="0" fontId="10" fillId="0" borderId="288" xfId="0" applyFont="1" applyBorder="1" applyAlignment="1">
      <alignment horizontal="center" vertical="center"/>
    </xf>
    <xf numFmtId="0" fontId="33" fillId="17" borderId="288" xfId="0" applyFont="1" applyFill="1" applyBorder="1" applyAlignment="1">
      <alignment horizontal="center" vertical="center"/>
    </xf>
    <xf numFmtId="0" fontId="47" fillId="17" borderId="288" xfId="0" applyFont="1" applyFill="1" applyBorder="1" applyAlignment="1">
      <alignment horizontal="center" vertical="center"/>
    </xf>
    <xf numFmtId="0" fontId="33" fillId="0" borderId="288" xfId="0" applyFont="1" applyBorder="1">
      <alignment vertical="center"/>
    </xf>
    <xf numFmtId="10" fontId="33" fillId="0" borderId="288" xfId="0" applyNumberFormat="1" applyFont="1" applyBorder="1">
      <alignment vertical="center"/>
    </xf>
    <xf numFmtId="14" fontId="33" fillId="17" borderId="288" xfId="0" applyNumberFormat="1" applyFont="1" applyFill="1" applyBorder="1" applyAlignment="1">
      <alignment horizontal="center" vertical="center"/>
    </xf>
    <xf numFmtId="10" fontId="33" fillId="17" borderId="288" xfId="0" applyNumberFormat="1" applyFont="1" applyFill="1" applyBorder="1">
      <alignment vertical="center"/>
    </xf>
    <xf numFmtId="0" fontId="33" fillId="0" borderId="288" xfId="0" applyFont="1" applyBorder="1" applyAlignment="1">
      <alignment horizontal="center" vertical="center"/>
    </xf>
    <xf numFmtId="181" fontId="33" fillId="0" borderId="288" xfId="0" applyNumberFormat="1" applyFont="1" applyBorder="1" applyAlignment="1">
      <alignment horizontal="right" vertical="center"/>
    </xf>
    <xf numFmtId="181" fontId="47" fillId="0" borderId="288" xfId="0" applyNumberFormat="1" applyFont="1" applyBorder="1" applyAlignment="1">
      <alignment horizontal="right" vertical="center"/>
    </xf>
    <xf numFmtId="181" fontId="33" fillId="17" borderId="288" xfId="0" applyNumberFormat="1" applyFont="1" applyFill="1" applyBorder="1" applyAlignment="1">
      <alignment horizontal="right" vertical="center"/>
    </xf>
    <xf numFmtId="181" fontId="47" fillId="17" borderId="288" xfId="0" applyNumberFormat="1" applyFont="1" applyFill="1" applyBorder="1" applyAlignment="1">
      <alignment horizontal="right" vertical="center"/>
    </xf>
    <xf numFmtId="3" fontId="33" fillId="0" borderId="0" xfId="0" applyNumberFormat="1" applyFont="1">
      <alignment vertical="center"/>
    </xf>
    <xf numFmtId="0" fontId="47" fillId="0" borderId="290" xfId="0" applyFont="1" applyBorder="1" applyAlignment="1">
      <alignment horizontal="center" vertical="center"/>
    </xf>
    <xf numFmtId="14" fontId="47" fillId="0" borderId="120" xfId="0" applyNumberFormat="1" applyFont="1" applyBorder="1" applyAlignment="1">
      <alignment horizontal="center" vertical="center"/>
    </xf>
    <xf numFmtId="196" fontId="83" fillId="0" borderId="288" xfId="0" applyNumberFormat="1" applyFont="1" applyBorder="1" applyAlignment="1">
      <alignment horizontal="right" vertical="top" wrapText="1"/>
    </xf>
    <xf numFmtId="10" fontId="65" fillId="0" borderId="288" xfId="0" applyNumberFormat="1" applyFont="1" applyBorder="1">
      <alignment vertical="center"/>
    </xf>
    <xf numFmtId="181" fontId="33" fillId="0" borderId="0" xfId="0" applyNumberFormat="1" applyFont="1">
      <alignment vertical="center"/>
    </xf>
    <xf numFmtId="196" fontId="33" fillId="0" borderId="0" xfId="0" applyNumberFormat="1" applyFont="1">
      <alignment vertical="center"/>
    </xf>
    <xf numFmtId="196" fontId="33" fillId="0" borderId="288" xfId="0" applyNumberFormat="1" applyFont="1" applyBorder="1">
      <alignment vertical="center"/>
    </xf>
    <xf numFmtId="0" fontId="28" fillId="16" borderId="0" xfId="0" applyFont="1" applyFill="1">
      <alignment vertical="center"/>
    </xf>
    <xf numFmtId="177" fontId="0" fillId="0" borderId="0" xfId="0" applyNumberFormat="1">
      <alignment vertical="center"/>
    </xf>
    <xf numFmtId="215" fontId="0" fillId="0" borderId="0" xfId="0" applyNumberFormat="1">
      <alignment vertical="center"/>
    </xf>
    <xf numFmtId="41" fontId="0" fillId="0" borderId="0" xfId="43" applyFont="1">
      <alignment vertical="center"/>
    </xf>
    <xf numFmtId="216" fontId="0" fillId="0" borderId="0" xfId="0" applyNumberFormat="1">
      <alignment vertical="center"/>
    </xf>
    <xf numFmtId="215" fontId="0" fillId="0" borderId="288" xfId="0" applyNumberFormat="1" applyBorder="1" applyAlignment="1">
      <alignment horizontal="center" vertical="center"/>
    </xf>
    <xf numFmtId="0" fontId="0" fillId="0" borderId="288" xfId="0" applyBorder="1" applyAlignment="1">
      <alignment horizontal="center" vertical="center"/>
    </xf>
    <xf numFmtId="14" fontId="10" fillId="0" borderId="288" xfId="0" applyNumberFormat="1" applyFont="1" applyBorder="1">
      <alignment vertical="center"/>
    </xf>
    <xf numFmtId="196" fontId="0" fillId="0" borderId="288" xfId="0" applyNumberFormat="1" applyBorder="1">
      <alignment vertical="center"/>
    </xf>
    <xf numFmtId="196" fontId="0" fillId="9" borderId="288" xfId="0" applyNumberFormat="1" applyFill="1" applyBorder="1">
      <alignment vertical="center"/>
    </xf>
    <xf numFmtId="14" fontId="47" fillId="0" borderId="0" xfId="0" applyNumberFormat="1" applyFont="1" applyAlignment="1">
      <alignment horizontal="left" vertical="center"/>
    </xf>
    <xf numFmtId="0" fontId="33" fillId="0" borderId="26" xfId="0" applyFont="1" applyBorder="1">
      <alignment vertical="center"/>
    </xf>
    <xf numFmtId="181" fontId="33" fillId="0" borderId="27" xfId="0" applyNumberFormat="1" applyFont="1" applyBorder="1">
      <alignment vertical="center"/>
    </xf>
    <xf numFmtId="0" fontId="33" fillId="0" borderId="27" xfId="0" applyFont="1" applyBorder="1">
      <alignment vertical="center"/>
    </xf>
    <xf numFmtId="181" fontId="33" fillId="0" borderId="28" xfId="0" applyNumberFormat="1" applyFont="1" applyBorder="1">
      <alignment vertical="center"/>
    </xf>
    <xf numFmtId="14" fontId="33" fillId="0" borderId="291" xfId="0" applyNumberFormat="1" applyFont="1" applyBorder="1" applyAlignment="1">
      <alignment horizontal="left" vertical="center"/>
    </xf>
    <xf numFmtId="196" fontId="33" fillId="0" borderId="291" xfId="0" applyNumberFormat="1" applyFont="1" applyBorder="1">
      <alignment vertical="center"/>
    </xf>
    <xf numFmtId="0" fontId="6" fillId="0" borderId="288" xfId="51" applyFont="1" applyBorder="1" applyAlignment="1">
      <alignment horizontal="left" vertical="top" wrapText="1" indent="1"/>
    </xf>
    <xf numFmtId="0" fontId="33" fillId="0" borderId="0" xfId="0" applyFont="1" applyAlignment="1">
      <alignment horizontal="center" vertical="center"/>
    </xf>
    <xf numFmtId="196" fontId="6" fillId="0" borderId="213" xfId="51" applyNumberFormat="1" applyFont="1" applyBorder="1" applyAlignment="1">
      <alignment horizontal="left" vertical="center" indent="1"/>
    </xf>
    <xf numFmtId="3" fontId="33" fillId="0" borderId="288" xfId="0" applyNumberFormat="1" applyFont="1" applyBorder="1">
      <alignment vertical="center"/>
    </xf>
    <xf numFmtId="10" fontId="33" fillId="0" borderId="288" xfId="2" applyNumberFormat="1" applyFont="1" applyFill="1" applyBorder="1">
      <alignment vertical="center"/>
    </xf>
    <xf numFmtId="0" fontId="9" fillId="0" borderId="26" xfId="0" applyFont="1" applyBorder="1">
      <alignment vertical="center"/>
    </xf>
    <xf numFmtId="0" fontId="9" fillId="0" borderId="27" xfId="0" applyFont="1" applyBorder="1">
      <alignment vertical="center"/>
    </xf>
    <xf numFmtId="185" fontId="9" fillId="0" borderId="27" xfId="8" applyNumberFormat="1" applyFont="1" applyBorder="1">
      <alignment vertical="center"/>
    </xf>
    <xf numFmtId="185" fontId="9" fillId="0" borderId="28" xfId="8" applyNumberFormat="1" applyFont="1" applyBorder="1">
      <alignment vertical="center"/>
    </xf>
    <xf numFmtId="193" fontId="69" fillId="9" borderId="0" xfId="0" applyNumberFormat="1" applyFont="1" applyFill="1">
      <alignment vertical="center"/>
    </xf>
    <xf numFmtId="179" fontId="65" fillId="0" borderId="97" xfId="2" applyNumberFormat="1" applyFont="1" applyFill="1" applyBorder="1">
      <alignment vertical="center"/>
    </xf>
    <xf numFmtId="0" fontId="65" fillId="0" borderId="26" xfId="0" applyFont="1" applyBorder="1">
      <alignment vertical="center"/>
    </xf>
    <xf numFmtId="4" fontId="65" fillId="0" borderId="28" xfId="0" applyNumberFormat="1" applyFont="1" applyBorder="1">
      <alignment vertical="center"/>
    </xf>
    <xf numFmtId="3" fontId="65" fillId="0" borderId="28" xfId="0" applyNumberFormat="1" applyFont="1" applyBorder="1">
      <alignment vertical="center"/>
    </xf>
    <xf numFmtId="181" fontId="0" fillId="0" borderId="0" xfId="0" applyNumberFormat="1">
      <alignment vertical="center"/>
    </xf>
    <xf numFmtId="0" fontId="0" fillId="55" borderId="0" xfId="0" applyFill="1" applyAlignment="1">
      <alignment horizontal="center" vertical="center"/>
    </xf>
    <xf numFmtId="0" fontId="0" fillId="55" borderId="0" xfId="0" applyFill="1">
      <alignment vertical="center"/>
    </xf>
    <xf numFmtId="0" fontId="0" fillId="0" borderId="0" xfId="0" applyAlignment="1">
      <alignment horizontal="center" vertical="center"/>
    </xf>
    <xf numFmtId="0" fontId="0" fillId="18" borderId="0" xfId="0" applyFill="1" applyAlignment="1">
      <alignment horizontal="center" vertical="center"/>
    </xf>
    <xf numFmtId="41" fontId="0" fillId="18" borderId="0" xfId="1" applyFont="1" applyFill="1">
      <alignment vertical="center"/>
    </xf>
    <xf numFmtId="0" fontId="0" fillId="0" borderId="292" xfId="0" applyBorder="1" applyAlignment="1">
      <alignment horizontal="center" vertical="center"/>
    </xf>
    <xf numFmtId="41" fontId="0" fillId="0" borderId="292" xfId="1" applyFont="1" applyBorder="1">
      <alignment vertical="center"/>
    </xf>
    <xf numFmtId="217" fontId="0" fillId="0" borderId="0" xfId="1" applyNumberFormat="1" applyFont="1">
      <alignment vertical="center"/>
    </xf>
    <xf numFmtId="217" fontId="0" fillId="0" borderId="292" xfId="1" applyNumberFormat="1" applyFont="1" applyBorder="1">
      <alignment vertical="center"/>
    </xf>
    <xf numFmtId="41" fontId="65" fillId="0" borderId="28" xfId="1" applyFont="1" applyFill="1" applyBorder="1">
      <alignment vertical="center"/>
    </xf>
    <xf numFmtId="41" fontId="0" fillId="13" borderId="0" xfId="1" applyFont="1" applyFill="1">
      <alignment vertical="center"/>
    </xf>
    <xf numFmtId="217" fontId="0" fillId="13" borderId="0" xfId="1" applyNumberFormat="1" applyFont="1" applyFill="1">
      <alignment vertical="center"/>
    </xf>
    <xf numFmtId="218" fontId="65" fillId="0" borderId="28" xfId="0" applyNumberFormat="1" applyFont="1" applyBorder="1">
      <alignment vertical="center"/>
    </xf>
    <xf numFmtId="196" fontId="12" fillId="39" borderId="195" xfId="51" applyNumberFormat="1" applyFont="1" applyFill="1" applyBorder="1" applyAlignment="1">
      <alignment vertical="center" wrapText="1"/>
    </xf>
    <xf numFmtId="196" fontId="31" fillId="39" borderId="195" xfId="51" applyNumberFormat="1" applyFont="1" applyFill="1" applyBorder="1" applyAlignment="1">
      <alignment vertical="center" wrapText="1"/>
    </xf>
    <xf numFmtId="196" fontId="12" fillId="39" borderId="195" xfId="51" applyNumberFormat="1" applyFont="1" applyFill="1" applyBorder="1" applyAlignment="1">
      <alignment horizontal="right" vertical="center" wrapText="1"/>
    </xf>
    <xf numFmtId="180" fontId="6" fillId="0" borderId="7" xfId="57" applyNumberFormat="1" applyFont="1" applyFill="1" applyBorder="1" applyAlignment="1">
      <alignment vertical="center"/>
    </xf>
    <xf numFmtId="180" fontId="66" fillId="0" borderId="259" xfId="1" applyNumberFormat="1" applyFont="1" applyFill="1" applyBorder="1">
      <alignment vertical="center"/>
    </xf>
    <xf numFmtId="180" fontId="66" fillId="0" borderId="288" xfId="1" applyNumberFormat="1" applyFont="1" applyFill="1" applyBorder="1">
      <alignment vertical="center"/>
    </xf>
    <xf numFmtId="0" fontId="111" fillId="44" borderId="0" xfId="0" applyFont="1" applyFill="1" applyAlignment="1">
      <alignment horizontal="center" vertical="top"/>
    </xf>
    <xf numFmtId="0" fontId="112" fillId="44" borderId="0" xfId="0" applyFont="1" applyFill="1" applyAlignment="1">
      <alignment horizontal="center" vertical="center"/>
    </xf>
    <xf numFmtId="0" fontId="112" fillId="44" borderId="0" xfId="0" applyFont="1" applyFill="1" applyAlignment="1">
      <alignment horizontal="left" vertical="center"/>
    </xf>
    <xf numFmtId="0" fontId="112" fillId="44" borderId="0" xfId="0" applyFont="1" applyFill="1" applyAlignment="1">
      <alignment horizontal="right" vertical="center"/>
    </xf>
    <xf numFmtId="0" fontId="114" fillId="44" borderId="298" xfId="0" applyFont="1" applyFill="1" applyBorder="1" applyAlignment="1">
      <alignment horizontal="center" vertical="center"/>
    </xf>
    <xf numFmtId="219" fontId="115" fillId="44" borderId="299" xfId="0" applyNumberFormat="1" applyFont="1" applyFill="1" applyBorder="1" applyAlignment="1">
      <alignment horizontal="right" vertical="center"/>
    </xf>
    <xf numFmtId="219" fontId="115" fillId="44" borderId="300" xfId="0" applyNumberFormat="1" applyFont="1" applyFill="1" applyBorder="1" applyAlignment="1">
      <alignment horizontal="right" vertical="center"/>
    </xf>
    <xf numFmtId="219" fontId="115" fillId="44" borderId="301" xfId="0" applyNumberFormat="1" applyFont="1" applyFill="1" applyBorder="1" applyAlignment="1">
      <alignment horizontal="right" vertical="center"/>
    </xf>
    <xf numFmtId="0" fontId="116" fillId="44" borderId="298" xfId="0" applyFont="1" applyFill="1" applyBorder="1" applyAlignment="1">
      <alignment horizontal="center" vertical="center"/>
    </xf>
    <xf numFmtId="219" fontId="117" fillId="44" borderId="299" xfId="0" applyNumberFormat="1" applyFont="1" applyFill="1" applyBorder="1" applyAlignment="1">
      <alignment horizontal="right" vertical="center"/>
    </xf>
    <xf numFmtId="219" fontId="117" fillId="44" borderId="302" xfId="0" applyNumberFormat="1" applyFont="1" applyFill="1" applyBorder="1" applyAlignment="1">
      <alignment horizontal="right" vertical="center"/>
    </xf>
    <xf numFmtId="219" fontId="115" fillId="44" borderId="303" xfId="0" applyNumberFormat="1" applyFont="1" applyFill="1" applyBorder="1" applyAlignment="1">
      <alignment horizontal="right" vertical="center"/>
    </xf>
    <xf numFmtId="0" fontId="114" fillId="44" borderId="304" xfId="0" applyFont="1" applyFill="1" applyBorder="1" applyAlignment="1">
      <alignment horizontal="center" vertical="center"/>
    </xf>
    <xf numFmtId="219" fontId="115" fillId="44" borderId="296" xfId="0" applyNumberFormat="1" applyFont="1" applyFill="1" applyBorder="1" applyAlignment="1">
      <alignment horizontal="right" vertical="center"/>
    </xf>
    <xf numFmtId="219" fontId="115" fillId="44" borderId="297" xfId="0" applyNumberFormat="1" applyFont="1" applyFill="1" applyBorder="1" applyAlignment="1">
      <alignment horizontal="right" vertical="center"/>
    </xf>
    <xf numFmtId="0" fontId="118" fillId="44" borderId="0" xfId="0" applyFont="1" applyFill="1" applyAlignment="1">
      <alignment horizontal="center" vertical="center"/>
    </xf>
    <xf numFmtId="0" fontId="116" fillId="44" borderId="0" xfId="0" applyFont="1" applyFill="1" applyAlignment="1">
      <alignment horizontal="center" vertical="center"/>
    </xf>
    <xf numFmtId="0" fontId="116" fillId="44" borderId="0" xfId="0" applyFont="1" applyFill="1" applyAlignment="1">
      <alignment horizontal="left" vertical="center"/>
    </xf>
    <xf numFmtId="0" fontId="116" fillId="44" borderId="0" xfId="0" applyFont="1" applyFill="1" applyAlignment="1">
      <alignment horizontal="right" vertical="center"/>
    </xf>
    <xf numFmtId="0" fontId="114" fillId="44" borderId="298" xfId="0" applyFont="1" applyFill="1" applyBorder="1" applyAlignment="1">
      <alignment horizontal="right" vertical="center"/>
    </xf>
    <xf numFmtId="0" fontId="115" fillId="44" borderId="299" xfId="0" applyFont="1" applyFill="1" applyBorder="1" applyAlignment="1">
      <alignment horizontal="right" vertical="center"/>
    </xf>
    <xf numFmtId="0" fontId="116" fillId="44" borderId="298" xfId="0" applyFont="1" applyFill="1" applyBorder="1" applyAlignment="1">
      <alignment horizontal="right" vertical="center"/>
    </xf>
    <xf numFmtId="219" fontId="117" fillId="44" borderId="300" xfId="0" applyNumberFormat="1" applyFont="1" applyFill="1" applyBorder="1" applyAlignment="1">
      <alignment horizontal="right" vertical="center"/>
    </xf>
    <xf numFmtId="0" fontId="116" fillId="44" borderId="304" xfId="0" applyFont="1" applyFill="1" applyBorder="1" applyAlignment="1">
      <alignment horizontal="right" vertical="center"/>
    </xf>
    <xf numFmtId="219" fontId="117" fillId="44" borderId="305" xfId="0" applyNumberFormat="1" applyFont="1" applyFill="1" applyBorder="1" applyAlignment="1">
      <alignment horizontal="right" vertical="center"/>
    </xf>
    <xf numFmtId="0" fontId="117" fillId="44" borderId="306" xfId="0" applyFont="1" applyFill="1" applyBorder="1" applyAlignment="1">
      <alignment horizontal="right" vertical="center"/>
    </xf>
    <xf numFmtId="0" fontId="112" fillId="0" borderId="0" xfId="0" applyFont="1" applyAlignment="1">
      <alignment horizontal="left" vertical="center"/>
    </xf>
    <xf numFmtId="0" fontId="119" fillId="44" borderId="298" xfId="0" applyFont="1" applyFill="1" applyBorder="1" applyAlignment="1">
      <alignment horizontal="right" vertical="center"/>
    </xf>
    <xf numFmtId="0" fontId="114" fillId="44" borderId="304" xfId="0" applyFont="1" applyFill="1" applyBorder="1" applyAlignment="1">
      <alignment horizontal="right" vertical="center"/>
    </xf>
    <xf numFmtId="219" fontId="115" fillId="44" borderId="305" xfId="0" applyNumberFormat="1" applyFont="1" applyFill="1" applyBorder="1" applyAlignment="1">
      <alignment horizontal="right" vertical="center"/>
    </xf>
    <xf numFmtId="0" fontId="115" fillId="44" borderId="305" xfId="0" applyFont="1" applyFill="1" applyBorder="1" applyAlignment="1">
      <alignment horizontal="right" vertical="center"/>
    </xf>
    <xf numFmtId="219" fontId="115" fillId="44" borderId="306" xfId="0" applyNumberFormat="1" applyFont="1" applyFill="1" applyBorder="1" applyAlignment="1">
      <alignment horizontal="right" vertical="center"/>
    </xf>
    <xf numFmtId="0" fontId="0" fillId="0" borderId="0" xfId="0" quotePrefix="1">
      <alignment vertical="center"/>
    </xf>
    <xf numFmtId="0" fontId="0" fillId="0" borderId="95" xfId="0" applyBorder="1">
      <alignment vertical="center"/>
    </xf>
    <xf numFmtId="0" fontId="0" fillId="0" borderId="96" xfId="0" applyBorder="1">
      <alignment vertical="center"/>
    </xf>
    <xf numFmtId="0" fontId="0" fillId="0" borderId="307" xfId="0" applyBorder="1">
      <alignment vertical="center"/>
    </xf>
    <xf numFmtId="0" fontId="0" fillId="0" borderId="97" xfId="0" applyBorder="1">
      <alignment vertical="center"/>
    </xf>
    <xf numFmtId="219" fontId="0" fillId="0" borderId="97" xfId="0" applyNumberFormat="1" applyBorder="1">
      <alignment vertical="center"/>
    </xf>
    <xf numFmtId="0" fontId="0" fillId="0" borderId="307" xfId="0" quotePrefix="1" applyBorder="1">
      <alignment vertical="center"/>
    </xf>
    <xf numFmtId="0" fontId="0" fillId="0" borderId="308" xfId="0" applyBorder="1">
      <alignment vertical="center"/>
    </xf>
    <xf numFmtId="219" fontId="0" fillId="0" borderId="309" xfId="0" applyNumberFormat="1" applyBorder="1">
      <alignment vertical="center"/>
    </xf>
    <xf numFmtId="196" fontId="6" fillId="0" borderId="310" xfId="51" applyNumberFormat="1" applyFont="1" applyBorder="1">
      <alignment vertical="center"/>
    </xf>
    <xf numFmtId="196" fontId="12" fillId="0" borderId="310" xfId="51" applyNumberFormat="1" applyFont="1" applyBorder="1">
      <alignment vertical="center"/>
    </xf>
    <xf numFmtId="41" fontId="10" fillId="23" borderId="291" xfId="1" applyFont="1" applyFill="1" applyBorder="1">
      <alignment vertical="center"/>
    </xf>
    <xf numFmtId="41" fontId="10" fillId="23" borderId="0" xfId="1" applyFont="1" applyFill="1">
      <alignment vertical="center"/>
    </xf>
    <xf numFmtId="10" fontId="9" fillId="0" borderId="0" xfId="2" applyNumberFormat="1" applyFont="1">
      <alignment vertical="center"/>
    </xf>
    <xf numFmtId="10" fontId="9" fillId="0" borderId="88" xfId="2" applyNumberFormat="1" applyFont="1" applyBorder="1">
      <alignment vertical="center"/>
    </xf>
    <xf numFmtId="10" fontId="9" fillId="15" borderId="0" xfId="2" applyNumberFormat="1" applyFont="1" applyFill="1">
      <alignment vertical="center"/>
    </xf>
    <xf numFmtId="185" fontId="10" fillId="0" borderId="0" xfId="0" applyNumberFormat="1" applyFont="1">
      <alignment vertical="center"/>
    </xf>
    <xf numFmtId="14" fontId="33" fillId="0" borderId="288" xfId="0" applyNumberFormat="1" applyFont="1" applyBorder="1" applyAlignment="1">
      <alignment horizontal="center" vertical="center"/>
    </xf>
    <xf numFmtId="0" fontId="33" fillId="0" borderId="95" xfId="0" applyFont="1" applyBorder="1">
      <alignment vertical="center"/>
    </xf>
    <xf numFmtId="181" fontId="33" fillId="0" borderId="45" xfId="0" applyNumberFormat="1" applyFont="1" applyBorder="1">
      <alignment vertical="center"/>
    </xf>
    <xf numFmtId="0" fontId="33" fillId="0" borderId="45" xfId="0" applyFont="1" applyBorder="1">
      <alignment vertical="center"/>
    </xf>
    <xf numFmtId="196" fontId="33" fillId="0" borderId="96" xfId="0" applyNumberFormat="1" applyFont="1" applyBorder="1">
      <alignment vertical="center"/>
    </xf>
    <xf numFmtId="0" fontId="33" fillId="0" borderId="307" xfId="0" applyFont="1" applyBorder="1">
      <alignment vertical="center"/>
    </xf>
    <xf numFmtId="181" fontId="33" fillId="0" borderId="97" xfId="0" applyNumberFormat="1" applyFont="1" applyBorder="1">
      <alignment vertical="center"/>
    </xf>
    <xf numFmtId="0" fontId="33" fillId="0" borderId="97" xfId="0" applyFont="1" applyBorder="1">
      <alignment vertical="center"/>
    </xf>
    <xf numFmtId="0" fontId="33" fillId="0" borderId="308" xfId="0" applyFont="1" applyBorder="1">
      <alignment vertical="center"/>
    </xf>
    <xf numFmtId="181" fontId="33" fillId="0" borderId="311" xfId="0" applyNumberFormat="1" applyFont="1" applyBorder="1">
      <alignment vertical="center"/>
    </xf>
    <xf numFmtId="0" fontId="33" fillId="0" borderId="311" xfId="0" applyFont="1" applyBorder="1">
      <alignment vertical="center"/>
    </xf>
    <xf numFmtId="181" fontId="33" fillId="0" borderId="309" xfId="0" applyNumberFormat="1" applyFont="1" applyBorder="1">
      <alignment vertical="center"/>
    </xf>
    <xf numFmtId="176" fontId="10" fillId="14" borderId="0" xfId="8" applyFont="1" applyFill="1" applyBorder="1" applyAlignment="1">
      <alignment horizontal="left" vertical="center"/>
    </xf>
    <xf numFmtId="176" fontId="10" fillId="0" borderId="0" xfId="8" applyFont="1" applyFill="1" applyBorder="1" applyAlignment="1">
      <alignment horizontal="left" vertical="center"/>
    </xf>
    <xf numFmtId="0" fontId="10" fillId="0" borderId="312" xfId="8" applyNumberFormat="1" applyFont="1" applyBorder="1" applyAlignment="1">
      <alignment horizontal="center" vertical="center"/>
    </xf>
    <xf numFmtId="176" fontId="10" fillId="14" borderId="291" xfId="8" applyFont="1" applyFill="1" applyBorder="1" applyAlignment="1">
      <alignment horizontal="left" vertical="center"/>
    </xf>
    <xf numFmtId="176" fontId="10" fillId="14" borderId="313" xfId="8" applyFont="1" applyFill="1" applyBorder="1">
      <alignment vertical="center"/>
    </xf>
    <xf numFmtId="0" fontId="10" fillId="0" borderId="314" xfId="8" applyNumberFormat="1" applyFont="1" applyBorder="1" applyAlignment="1">
      <alignment horizontal="center" vertical="center"/>
    </xf>
    <xf numFmtId="176" fontId="10" fillId="14" borderId="88" xfId="8" applyFont="1" applyFill="1" applyBorder="1" applyAlignment="1">
      <alignment horizontal="left" vertical="center"/>
    </xf>
    <xf numFmtId="0" fontId="10" fillId="0" borderId="312" xfId="0" applyFont="1" applyBorder="1" applyAlignment="1">
      <alignment horizontal="center" vertical="center"/>
    </xf>
    <xf numFmtId="0" fontId="10" fillId="14" borderId="291" xfId="0" applyFont="1" applyFill="1" applyBorder="1">
      <alignment vertical="center"/>
    </xf>
    <xf numFmtId="0" fontId="10" fillId="0" borderId="314" xfId="0" applyFont="1" applyBorder="1" applyAlignment="1">
      <alignment horizontal="center" vertical="center"/>
    </xf>
    <xf numFmtId="196" fontId="33" fillId="0" borderId="97" xfId="0" applyNumberFormat="1" applyFont="1" applyBorder="1">
      <alignment vertical="center"/>
    </xf>
    <xf numFmtId="219" fontId="0" fillId="0" borderId="0" xfId="0" applyNumberFormat="1" applyAlignment="1"/>
    <xf numFmtId="179" fontId="83" fillId="0" borderId="115" xfId="0" applyNumberFormat="1" applyFont="1" applyBorder="1" applyAlignment="1">
      <alignment horizontal="center" vertical="center" wrapText="1"/>
    </xf>
    <xf numFmtId="0" fontId="120" fillId="0" borderId="288" xfId="0" applyFont="1" applyBorder="1" applyAlignment="1">
      <alignment horizontal="center" vertical="center"/>
    </xf>
    <xf numFmtId="180" fontId="120" fillId="0" borderId="288" xfId="57" applyNumberFormat="1" applyFont="1" applyBorder="1">
      <alignment vertical="center"/>
    </xf>
    <xf numFmtId="202" fontId="27" fillId="9" borderId="112" xfId="0" applyNumberFormat="1" applyFont="1" applyFill="1" applyBorder="1" applyAlignment="1">
      <alignment horizontal="right" vertical="center"/>
    </xf>
    <xf numFmtId="185" fontId="37" fillId="0" borderId="0" xfId="0" quotePrefix="1" applyNumberFormat="1" applyFont="1">
      <alignment vertical="center"/>
    </xf>
    <xf numFmtId="0" fontId="83" fillId="51" borderId="140" xfId="0" applyFont="1" applyFill="1" applyBorder="1" applyAlignment="1">
      <alignment horizontal="center" vertical="center" wrapText="1"/>
    </xf>
    <xf numFmtId="0" fontId="83" fillId="51" borderId="139" xfId="0" applyFont="1" applyFill="1" applyBorder="1" applyAlignment="1">
      <alignment horizontal="center" vertical="center" wrapText="1"/>
    </xf>
    <xf numFmtId="0" fontId="38" fillId="17" borderId="288" xfId="0" applyFont="1" applyFill="1" applyBorder="1" applyAlignment="1">
      <alignment horizontal="center" vertical="center" wrapText="1"/>
    </xf>
    <xf numFmtId="0" fontId="26" fillId="17" borderId="288" xfId="0" applyFont="1" applyFill="1" applyBorder="1" applyAlignment="1">
      <alignment horizontal="center" vertical="center" wrapText="1"/>
    </xf>
    <xf numFmtId="185" fontId="27" fillId="0" borderId="288" xfId="0" applyNumberFormat="1" applyFont="1" applyBorder="1" applyAlignment="1">
      <alignment horizontal="right" vertical="center" wrapText="1"/>
    </xf>
    <xf numFmtId="0" fontId="14" fillId="0" borderId="0" xfId="0" applyFont="1" applyAlignment="1">
      <alignment horizontal="center" vertical="center" wrapText="1"/>
    </xf>
    <xf numFmtId="0" fontId="14" fillId="0" borderId="0" xfId="0" applyFont="1" applyAlignment="1">
      <alignment vertical="center" wrapText="1"/>
    </xf>
    <xf numFmtId="3" fontId="14" fillId="0" borderId="0" xfId="0" applyNumberFormat="1" applyFont="1" applyAlignment="1">
      <alignment horizontal="right" vertical="center" wrapText="1"/>
    </xf>
    <xf numFmtId="183" fontId="16" fillId="0" borderId="307" xfId="49" applyFont="1" applyBorder="1" applyAlignment="1">
      <alignment vertical="center"/>
    </xf>
    <xf numFmtId="183" fontId="16" fillId="0" borderId="307" xfId="49" applyFont="1" applyFill="1" applyBorder="1" applyAlignment="1">
      <alignment vertical="center"/>
    </xf>
    <xf numFmtId="3" fontId="14" fillId="0" borderId="112" xfId="0" applyNumberFormat="1" applyFont="1" applyBorder="1" applyAlignment="1">
      <alignment horizontal="right" vertical="center" wrapText="1"/>
    </xf>
    <xf numFmtId="0" fontId="14" fillId="46" borderId="108" xfId="0" applyFont="1" applyFill="1" applyBorder="1" applyAlignment="1">
      <alignment horizontal="center" vertical="center" wrapText="1"/>
    </xf>
    <xf numFmtId="0" fontId="14" fillId="46" borderId="133" xfId="0" applyFont="1" applyFill="1" applyBorder="1" applyAlignment="1">
      <alignment horizontal="center" vertical="center" wrapText="1"/>
    </xf>
    <xf numFmtId="0" fontId="14" fillId="0" borderId="130" xfId="0" applyFont="1" applyBorder="1" applyAlignment="1">
      <alignment vertical="center" wrapText="1"/>
    </xf>
    <xf numFmtId="0" fontId="14" fillId="0" borderId="111" xfId="0" applyFont="1" applyBorder="1" applyAlignment="1">
      <alignment vertical="center" wrapText="1"/>
    </xf>
    <xf numFmtId="0" fontId="14" fillId="0" borderId="114" xfId="0" applyFont="1" applyBorder="1" applyAlignment="1">
      <alignment horizontal="center" vertical="center" wrapText="1"/>
    </xf>
    <xf numFmtId="3" fontId="14" fillId="0" borderId="115" xfId="0" applyNumberFormat="1" applyFont="1" applyBorder="1" applyAlignment="1">
      <alignment horizontal="right" vertical="center" wrapText="1"/>
    </xf>
    <xf numFmtId="0" fontId="14" fillId="0" borderId="136" xfId="0" applyFont="1" applyBorder="1" applyAlignment="1">
      <alignment vertical="center" wrapText="1"/>
    </xf>
    <xf numFmtId="41" fontId="16" fillId="0" borderId="0" xfId="1" applyFont="1" applyAlignment="1">
      <alignment vertical="center"/>
    </xf>
    <xf numFmtId="41" fontId="16" fillId="0" borderId="0" xfId="48" applyNumberFormat="1" applyFont="1" applyAlignment="1">
      <alignment vertical="center"/>
    </xf>
    <xf numFmtId="0" fontId="65" fillId="0" borderId="307" xfId="0" applyFont="1" applyBorder="1">
      <alignment vertical="center"/>
    </xf>
    <xf numFmtId="196" fontId="65" fillId="0" borderId="288" xfId="0" applyNumberFormat="1" applyFont="1" applyBorder="1">
      <alignment vertical="center"/>
    </xf>
    <xf numFmtId="193" fontId="65" fillId="0" borderId="307" xfId="0" applyNumberFormat="1" applyFont="1" applyBorder="1">
      <alignment vertical="center"/>
    </xf>
    <xf numFmtId="0" fontId="83" fillId="46" borderId="113" xfId="0" applyFont="1" applyFill="1" applyBorder="1" applyAlignment="1">
      <alignment horizontal="center" vertical="center" wrapText="1"/>
    </xf>
    <xf numFmtId="196" fontId="83" fillId="0" borderId="0" xfId="0" applyNumberFormat="1" applyFont="1" applyAlignment="1">
      <alignment horizontal="right" vertical="center" wrapText="1"/>
    </xf>
    <xf numFmtId="0" fontId="83" fillId="46" borderId="288" xfId="0" applyFont="1" applyFill="1" applyBorder="1" applyAlignment="1">
      <alignment horizontal="center" vertical="center" wrapText="1"/>
    </xf>
    <xf numFmtId="0" fontId="83" fillId="46" borderId="288" xfId="0" applyFont="1" applyFill="1" applyBorder="1" applyAlignment="1">
      <alignment horizontal="centerContinuous" vertical="center" wrapText="1"/>
    </xf>
    <xf numFmtId="0" fontId="83" fillId="0" borderId="288" xfId="0" applyFont="1" applyBorder="1" applyAlignment="1">
      <alignment horizontal="center" vertical="center" wrapText="1"/>
    </xf>
    <xf numFmtId="206" fontId="121" fillId="0" borderId="232" xfId="0" applyNumberFormat="1" applyFont="1" applyBorder="1" applyAlignment="1">
      <alignment horizontal="center" vertical="center" wrapText="1"/>
    </xf>
    <xf numFmtId="196" fontId="83" fillId="0" borderId="143" xfId="0" applyNumberFormat="1" applyFont="1" applyBorder="1" applyAlignment="1">
      <alignment horizontal="right" vertical="center" wrapText="1"/>
    </xf>
    <xf numFmtId="0" fontId="83" fillId="25" borderId="133" xfId="0" applyFont="1" applyFill="1" applyBorder="1" applyAlignment="1">
      <alignment horizontal="center" vertical="center" wrapText="1"/>
    </xf>
    <xf numFmtId="0" fontId="86" fillId="25" borderId="133" xfId="0" applyFont="1" applyFill="1" applyBorder="1" applyAlignment="1">
      <alignment horizontal="center" vertical="center" wrapText="1"/>
    </xf>
    <xf numFmtId="0" fontId="86" fillId="25" borderId="133" xfId="0" applyFont="1" applyFill="1" applyBorder="1" applyAlignment="1">
      <alignment horizontal="center" vertical="top" wrapText="1"/>
    </xf>
    <xf numFmtId="0" fontId="86" fillId="25" borderId="132" xfId="0" applyFont="1" applyFill="1" applyBorder="1" applyAlignment="1">
      <alignment horizontal="center" vertical="center" wrapText="1"/>
    </xf>
    <xf numFmtId="0" fontId="86" fillId="0" borderId="111" xfId="0" applyFont="1" applyBorder="1" applyAlignment="1">
      <alignment horizontal="center" vertical="center" wrapText="1"/>
    </xf>
    <xf numFmtId="0" fontId="86" fillId="0" borderId="112" xfId="0" applyFont="1" applyBorder="1" applyAlignment="1">
      <alignment horizontal="center" vertical="center" wrapText="1"/>
    </xf>
    <xf numFmtId="0" fontId="86" fillId="0" borderId="113" xfId="0" applyFont="1" applyBorder="1" applyAlignment="1">
      <alignment horizontal="center" vertical="center" wrapText="1"/>
    </xf>
    <xf numFmtId="0" fontId="86" fillId="0" borderId="135" xfId="0" applyFont="1" applyBorder="1" applyAlignment="1">
      <alignment horizontal="center" vertical="center" wrapText="1"/>
    </xf>
    <xf numFmtId="0" fontId="86" fillId="0" borderId="151" xfId="0" applyFont="1" applyBorder="1" applyAlignment="1">
      <alignment horizontal="center" vertical="center" wrapText="1"/>
    </xf>
    <xf numFmtId="0" fontId="86" fillId="0" borderId="150" xfId="0" applyFont="1" applyBorder="1" applyAlignment="1">
      <alignment horizontal="center" vertical="center" wrapText="1"/>
    </xf>
    <xf numFmtId="0" fontId="86" fillId="0" borderId="115" xfId="0" applyFont="1" applyBorder="1" applyAlignment="1">
      <alignment horizontal="center" vertical="center" wrapText="1"/>
    </xf>
    <xf numFmtId="0" fontId="86" fillId="0" borderId="116" xfId="0" applyFont="1" applyBorder="1" applyAlignment="1">
      <alignment horizontal="center" vertical="center" wrapText="1"/>
    </xf>
    <xf numFmtId="0" fontId="83" fillId="0" borderId="133" xfId="0" applyFont="1" applyBorder="1" applyAlignment="1">
      <alignment vertical="center" wrapText="1"/>
    </xf>
    <xf numFmtId="0" fontId="83" fillId="25" borderId="108" xfId="0" applyFont="1" applyFill="1" applyBorder="1" applyAlignment="1">
      <alignment horizontal="center" vertical="center" wrapText="1"/>
    </xf>
    <xf numFmtId="0" fontId="83" fillId="25" borderId="132" xfId="0" applyFont="1" applyFill="1" applyBorder="1" applyAlignment="1">
      <alignment horizontal="center" vertical="center" wrapText="1"/>
    </xf>
    <xf numFmtId="3" fontId="83" fillId="0" borderId="315" xfId="0" applyNumberFormat="1" applyFont="1" applyBorder="1" applyAlignment="1">
      <alignment horizontal="right" vertical="center" wrapText="1"/>
    </xf>
    <xf numFmtId="3" fontId="83" fillId="0" borderId="316" xfId="0" applyNumberFormat="1" applyFont="1" applyBorder="1" applyAlignment="1">
      <alignment horizontal="right" vertical="center" wrapText="1"/>
    </xf>
    <xf numFmtId="196" fontId="83" fillId="0" borderId="133" xfId="0" applyNumberFormat="1" applyFont="1" applyBorder="1" applyAlignment="1">
      <alignment horizontal="right" vertical="center" wrapText="1"/>
    </xf>
    <xf numFmtId="196" fontId="83" fillId="0" borderId="132" xfId="0" applyNumberFormat="1" applyFont="1" applyBorder="1" applyAlignment="1">
      <alignment horizontal="right" vertical="center" wrapText="1"/>
    </xf>
    <xf numFmtId="219" fontId="0" fillId="0" borderId="0" xfId="0" applyNumberFormat="1">
      <alignment vertical="center"/>
    </xf>
    <xf numFmtId="196" fontId="83" fillId="0" borderId="138" xfId="0" applyNumberFormat="1" applyFont="1" applyBorder="1" applyAlignment="1">
      <alignment horizontal="right" wrapText="1"/>
    </xf>
    <xf numFmtId="196" fontId="27" fillId="0" borderId="0" xfId="0" applyNumberFormat="1" applyFont="1" applyAlignment="1">
      <alignment horizontal="right" vertical="center"/>
    </xf>
    <xf numFmtId="0" fontId="85" fillId="0" borderId="133" xfId="0" applyFont="1" applyBorder="1" applyAlignment="1">
      <alignment horizontal="center" vertical="center" wrapText="1"/>
    </xf>
    <xf numFmtId="0" fontId="85" fillId="0" borderId="112" xfId="0" applyFont="1" applyBorder="1" applyAlignment="1">
      <alignment horizontal="center" vertical="center" wrapText="1"/>
    </xf>
    <xf numFmtId="0" fontId="83" fillId="0" borderId="111" xfId="0" applyFont="1" applyBorder="1" applyAlignment="1">
      <alignment horizontal="left" vertical="top" wrapText="1"/>
    </xf>
    <xf numFmtId="0" fontId="83" fillId="0" borderId="112" xfId="0" applyFont="1" applyBorder="1" applyAlignment="1">
      <alignment horizontal="left" vertical="top" wrapText="1"/>
    </xf>
    <xf numFmtId="0" fontId="83" fillId="0" borderId="135" xfId="0" applyFont="1" applyBorder="1" applyAlignment="1">
      <alignment horizontal="left" vertical="top" wrapText="1"/>
    </xf>
    <xf numFmtId="0" fontId="83" fillId="0" borderId="114" xfId="0" applyFont="1" applyBorder="1" applyAlignment="1">
      <alignment horizontal="left" vertical="top" wrapText="1"/>
    </xf>
    <xf numFmtId="41" fontId="33" fillId="0" borderId="0" xfId="1" applyFont="1">
      <alignment vertical="center"/>
    </xf>
    <xf numFmtId="0" fontId="83" fillId="0" borderId="0" xfId="0" applyFont="1" applyAlignment="1">
      <alignment horizontal="left" vertical="top" wrapText="1"/>
    </xf>
    <xf numFmtId="0" fontId="85" fillId="0" borderId="147" xfId="0" applyFont="1" applyBorder="1" applyAlignment="1">
      <alignment horizontal="center" vertical="center" wrapText="1"/>
    </xf>
    <xf numFmtId="0" fontId="85" fillId="0" borderId="140" xfId="0" applyFont="1" applyBorder="1" applyAlignment="1">
      <alignment horizontal="center" vertical="center" wrapText="1"/>
    </xf>
    <xf numFmtId="0" fontId="51" fillId="0" borderId="0" xfId="48" applyFont="1" applyAlignment="1">
      <alignment horizontal="center"/>
    </xf>
    <xf numFmtId="0" fontId="26" fillId="0" borderId="109" xfId="0" applyFont="1" applyBorder="1" applyAlignment="1">
      <alignment horizontal="center" vertical="center"/>
    </xf>
    <xf numFmtId="0" fontId="26" fillId="0" borderId="110" xfId="0" applyFont="1" applyBorder="1" applyAlignment="1">
      <alignment horizontal="center" vertical="center"/>
    </xf>
    <xf numFmtId="0" fontId="26" fillId="0" borderId="147" xfId="0" applyFont="1" applyBorder="1" applyAlignment="1">
      <alignment horizontal="center" vertical="center"/>
    </xf>
    <xf numFmtId="0" fontId="26" fillId="0" borderId="140" xfId="0" applyFont="1" applyBorder="1" applyAlignment="1">
      <alignment horizontal="center" vertical="center"/>
    </xf>
    <xf numFmtId="183" fontId="16" fillId="0" borderId="69" xfId="49" applyFont="1" applyBorder="1" applyAlignment="1">
      <alignment horizontal="center" vertical="center"/>
    </xf>
    <xf numFmtId="183" fontId="16" fillId="0" borderId="106" xfId="49" applyFont="1" applyBorder="1" applyAlignment="1">
      <alignment horizontal="center" vertical="center"/>
    </xf>
    <xf numFmtId="183" fontId="58" fillId="0" borderId="69" xfId="49" applyFont="1" applyBorder="1" applyAlignment="1">
      <alignment horizontal="center" vertical="center"/>
    </xf>
    <xf numFmtId="183" fontId="58" fillId="0" borderId="106" xfId="49" applyFont="1" applyBorder="1" applyAlignment="1">
      <alignment horizontal="center" vertical="center"/>
    </xf>
    <xf numFmtId="183" fontId="16" fillId="0" borderId="165" xfId="49" applyFont="1" applyBorder="1" applyAlignment="1">
      <alignment horizontal="center" vertical="center"/>
    </xf>
    <xf numFmtId="183" fontId="16" fillId="0" borderId="155" xfId="49" applyFont="1" applyBorder="1" applyAlignment="1">
      <alignment horizontal="center" vertical="center"/>
    </xf>
    <xf numFmtId="38" fontId="58" fillId="0" borderId="0" xfId="48" applyNumberFormat="1" applyFont="1" applyAlignment="1">
      <alignment vertical="center"/>
    </xf>
    <xf numFmtId="0" fontId="58" fillId="0" borderId="0" xfId="48" applyFont="1" applyAlignment="1">
      <alignment vertical="center"/>
    </xf>
    <xf numFmtId="14" fontId="58" fillId="0" borderId="56" xfId="48" applyNumberFormat="1" applyFont="1" applyBorder="1" applyAlignment="1">
      <alignment horizontal="left" vertical="center"/>
    </xf>
    <xf numFmtId="183" fontId="60" fillId="27" borderId="95" xfId="49" applyFont="1" applyFill="1" applyBorder="1" applyAlignment="1">
      <alignment horizontal="center" vertical="center"/>
    </xf>
    <xf numFmtId="183" fontId="60" fillId="27" borderId="156" xfId="49" applyFont="1" applyFill="1" applyBorder="1" applyAlignment="1">
      <alignment horizontal="center" vertical="center"/>
    </xf>
    <xf numFmtId="183" fontId="60" fillId="27" borderId="69" xfId="49" applyFont="1" applyFill="1" applyBorder="1" applyAlignment="1">
      <alignment horizontal="center" vertical="center"/>
    </xf>
    <xf numFmtId="183" fontId="60" fillId="27" borderId="106" xfId="49" applyFont="1" applyFill="1" applyBorder="1" applyAlignment="1">
      <alignment horizontal="center" vertical="center"/>
    </xf>
    <xf numFmtId="183" fontId="58" fillId="0" borderId="165" xfId="49" applyFont="1" applyBorder="1" applyAlignment="1">
      <alignment horizontal="center" vertical="center"/>
    </xf>
    <xf numFmtId="183" fontId="58" fillId="0" borderId="155" xfId="49" applyFont="1" applyBorder="1" applyAlignment="1">
      <alignment horizontal="center" vertical="center"/>
    </xf>
    <xf numFmtId="0" fontId="60" fillId="2" borderId="50" xfId="3" applyFont="1" applyFill="1" applyBorder="1" applyAlignment="1">
      <alignment horizontal="center" vertical="center"/>
    </xf>
    <xf numFmtId="0" fontId="60" fillId="2" borderId="55" xfId="3" applyFont="1" applyFill="1" applyBorder="1" applyAlignment="1">
      <alignment horizontal="center" vertical="center"/>
    </xf>
    <xf numFmtId="0" fontId="60" fillId="2" borderId="61" xfId="3" applyFont="1" applyFill="1" applyBorder="1" applyAlignment="1">
      <alignment horizontal="center" vertical="center"/>
    </xf>
    <xf numFmtId="0" fontId="58" fillId="10" borderId="41" xfId="3" applyFont="1" applyFill="1" applyBorder="1" applyAlignment="1">
      <alignment horizontal="center" vertical="center"/>
    </xf>
    <xf numFmtId="0" fontId="58" fillId="10" borderId="43" xfId="3" applyFont="1" applyFill="1" applyBorder="1" applyAlignment="1">
      <alignment horizontal="center" vertical="center"/>
    </xf>
    <xf numFmtId="0" fontId="58" fillId="10" borderId="42" xfId="3" applyFont="1" applyFill="1" applyBorder="1" applyAlignment="1">
      <alignment horizontal="center" vertical="center"/>
    </xf>
    <xf numFmtId="0" fontId="58" fillId="10" borderId="44" xfId="3" applyFont="1" applyFill="1" applyBorder="1" applyAlignment="1">
      <alignment horizontal="center" vertical="center"/>
    </xf>
    <xf numFmtId="0" fontId="58" fillId="12" borderId="51" xfId="3" applyFont="1" applyFill="1" applyBorder="1" applyAlignment="1">
      <alignment horizontal="center" vertical="center"/>
    </xf>
    <xf numFmtId="0" fontId="58" fillId="12" borderId="57" xfId="3" applyFont="1" applyFill="1" applyBorder="1" applyAlignment="1">
      <alignment horizontal="center" vertical="center"/>
    </xf>
    <xf numFmtId="0" fontId="58" fillId="12" borderId="52" xfId="3" applyFont="1" applyFill="1" applyBorder="1" applyAlignment="1">
      <alignment horizontal="center" vertical="center"/>
    </xf>
    <xf numFmtId="0" fontId="58" fillId="12" borderId="58" xfId="3" applyFont="1" applyFill="1" applyBorder="1" applyAlignment="1">
      <alignment horizontal="center" vertical="center"/>
    </xf>
    <xf numFmtId="0" fontId="58" fillId="13" borderId="53" xfId="3" applyFont="1" applyFill="1" applyBorder="1" applyAlignment="1">
      <alignment horizontal="center" vertical="center"/>
    </xf>
    <xf numFmtId="0" fontId="58" fillId="13" borderId="59" xfId="3" applyFont="1" applyFill="1" applyBorder="1" applyAlignment="1">
      <alignment horizontal="center" vertical="center"/>
    </xf>
    <xf numFmtId="0" fontId="58" fillId="13" borderId="54" xfId="3" applyFont="1" applyFill="1" applyBorder="1" applyAlignment="1">
      <alignment horizontal="center" vertical="center"/>
    </xf>
    <xf numFmtId="0" fontId="58" fillId="13" borderId="60" xfId="3" applyFont="1" applyFill="1" applyBorder="1" applyAlignment="1">
      <alignment horizontal="center" vertical="center"/>
    </xf>
    <xf numFmtId="0" fontId="58" fillId="12" borderId="46" xfId="3" applyFont="1" applyFill="1" applyBorder="1" applyAlignment="1">
      <alignment horizontal="center" vertical="center"/>
    </xf>
    <xf numFmtId="0" fontId="58" fillId="12" borderId="47" xfId="3" applyFont="1" applyFill="1" applyBorder="1" applyAlignment="1">
      <alignment horizontal="center" vertical="center"/>
    </xf>
    <xf numFmtId="0" fontId="60" fillId="2" borderId="45" xfId="3" applyFont="1" applyFill="1" applyBorder="1" applyAlignment="1">
      <alignment horizontal="center" vertical="center"/>
    </xf>
    <xf numFmtId="0" fontId="60" fillId="2" borderId="0" xfId="3" applyFont="1" applyFill="1" applyAlignment="1">
      <alignment horizontal="center" vertical="center"/>
    </xf>
    <xf numFmtId="0" fontId="60" fillId="2" borderId="56" xfId="3" applyFont="1" applyFill="1" applyBorder="1" applyAlignment="1">
      <alignment horizontal="center" vertical="center"/>
    </xf>
    <xf numFmtId="0" fontId="58" fillId="13" borderId="48" xfId="3" applyFont="1" applyFill="1" applyBorder="1" applyAlignment="1">
      <alignment horizontal="center" vertical="center"/>
    </xf>
    <xf numFmtId="0" fontId="58" fillId="13" borderId="49" xfId="3" applyFont="1" applyFill="1" applyBorder="1" applyAlignment="1">
      <alignment horizontal="center" vertical="center"/>
    </xf>
    <xf numFmtId="41" fontId="60" fillId="2" borderId="45" xfId="1" applyFont="1" applyFill="1" applyBorder="1" applyAlignment="1">
      <alignment horizontal="center" vertical="center"/>
    </xf>
    <xf numFmtId="41" fontId="60" fillId="2" borderId="0" xfId="1" applyFont="1" applyFill="1" applyBorder="1" applyAlignment="1">
      <alignment horizontal="center" vertical="center"/>
    </xf>
    <xf numFmtId="41" fontId="60" fillId="2" borderId="56" xfId="1" applyFont="1" applyFill="1" applyBorder="1" applyAlignment="1">
      <alignment horizontal="center" vertical="center"/>
    </xf>
    <xf numFmtId="176" fontId="60" fillId="2" borderId="5" xfId="4" applyFont="1" applyFill="1" applyBorder="1" applyAlignment="1">
      <alignment horizontal="center" vertical="center" wrapText="1"/>
    </xf>
    <xf numFmtId="176" fontId="60" fillId="2" borderId="10" xfId="4" applyFont="1" applyFill="1" applyBorder="1" applyAlignment="1">
      <alignment horizontal="center" vertical="center" wrapText="1"/>
    </xf>
    <xf numFmtId="176" fontId="60" fillId="2" borderId="15" xfId="4" applyFont="1" applyFill="1" applyBorder="1" applyAlignment="1">
      <alignment horizontal="center" vertical="center" wrapText="1"/>
    </xf>
    <xf numFmtId="0" fontId="58" fillId="10" borderId="39" xfId="3" applyFont="1" applyFill="1" applyBorder="1" applyAlignment="1">
      <alignment horizontal="center" vertical="center"/>
    </xf>
    <xf numFmtId="0" fontId="58" fillId="10" borderId="40" xfId="3" applyFont="1" applyFill="1" applyBorder="1" applyAlignment="1">
      <alignment horizontal="center" vertical="center"/>
    </xf>
    <xf numFmtId="0" fontId="60" fillId="2" borderId="1" xfId="3" applyFont="1" applyFill="1" applyBorder="1" applyAlignment="1">
      <alignment horizontal="center" vertical="center"/>
    </xf>
    <xf numFmtId="0" fontId="60" fillId="2" borderId="6" xfId="3" applyFont="1" applyFill="1" applyBorder="1" applyAlignment="1">
      <alignment horizontal="center" vertical="center"/>
    </xf>
    <xf numFmtId="0" fontId="60" fillId="2" borderId="11" xfId="3" applyFont="1" applyFill="1" applyBorder="1" applyAlignment="1">
      <alignment horizontal="center" vertical="center"/>
    </xf>
    <xf numFmtId="0" fontId="60" fillId="2" borderId="2" xfId="3" applyFont="1" applyFill="1" applyBorder="1" applyAlignment="1">
      <alignment horizontal="center" vertical="center" wrapText="1"/>
    </xf>
    <xf numFmtId="0" fontId="60" fillId="2" borderId="7" xfId="3" applyFont="1" applyFill="1" applyBorder="1" applyAlignment="1">
      <alignment horizontal="center" vertical="center" wrapText="1"/>
    </xf>
    <xf numFmtId="0" fontId="60" fillId="2" borderId="12" xfId="3" applyFont="1" applyFill="1" applyBorder="1" applyAlignment="1">
      <alignment horizontal="center" vertical="center" wrapText="1"/>
    </xf>
    <xf numFmtId="0" fontId="60" fillId="2" borderId="3" xfId="3" applyFont="1" applyFill="1" applyBorder="1" applyAlignment="1">
      <alignment horizontal="center" vertical="center"/>
    </xf>
    <xf numFmtId="0" fontId="60" fillId="2" borderId="8" xfId="3" applyFont="1" applyFill="1" applyBorder="1" applyAlignment="1">
      <alignment horizontal="center" vertical="center"/>
    </xf>
    <xf numFmtId="0" fontId="60" fillId="2" borderId="13" xfId="3" applyFont="1" applyFill="1" applyBorder="1" applyAlignment="1">
      <alignment horizontal="center" vertical="center"/>
    </xf>
    <xf numFmtId="0" fontId="60" fillId="2" borderId="4" xfId="3" applyFont="1" applyFill="1" applyBorder="1" applyAlignment="1">
      <alignment horizontal="center" vertical="center" wrapText="1"/>
    </xf>
    <xf numFmtId="0" fontId="60" fillId="2" borderId="9" xfId="3" applyFont="1" applyFill="1" applyBorder="1" applyAlignment="1">
      <alignment horizontal="center" vertical="center" wrapText="1"/>
    </xf>
    <xf numFmtId="0" fontId="60" fillId="2" borderId="14" xfId="3" applyFont="1" applyFill="1" applyBorder="1" applyAlignment="1">
      <alignment horizontal="center" vertical="center" wrapText="1"/>
    </xf>
    <xf numFmtId="41" fontId="58" fillId="14" borderId="75" xfId="1" applyFont="1" applyFill="1" applyBorder="1" applyAlignment="1">
      <alignment horizontal="center" vertical="center"/>
    </xf>
    <xf numFmtId="41" fontId="58" fillId="14" borderId="80" xfId="1" applyFont="1" applyFill="1" applyBorder="1" applyAlignment="1">
      <alignment horizontal="center" vertical="center"/>
    </xf>
    <xf numFmtId="41" fontId="58" fillId="14" borderId="76" xfId="1" applyFont="1" applyFill="1" applyBorder="1" applyAlignment="1">
      <alignment horizontal="center" vertical="center"/>
    </xf>
    <xf numFmtId="41" fontId="58" fillId="14" borderId="81" xfId="1" applyFont="1" applyFill="1" applyBorder="1" applyAlignment="1">
      <alignment horizontal="center" vertical="center"/>
    </xf>
    <xf numFmtId="41" fontId="60" fillId="2" borderId="63" xfId="1" applyFont="1" applyFill="1" applyBorder="1" applyAlignment="1">
      <alignment horizontal="center" vertical="center"/>
    </xf>
    <xf numFmtId="41" fontId="60" fillId="2" borderId="82" xfId="1" applyFont="1" applyFill="1" applyBorder="1" applyAlignment="1">
      <alignment horizontal="center" vertical="center"/>
    </xf>
    <xf numFmtId="41" fontId="58" fillId="15" borderId="77" xfId="1" applyFont="1" applyFill="1" applyBorder="1" applyAlignment="1">
      <alignment horizontal="center" vertical="center"/>
    </xf>
    <xf numFmtId="41" fontId="58" fillId="15" borderId="83" xfId="1" applyFont="1" applyFill="1" applyBorder="1" applyAlignment="1">
      <alignment horizontal="center" vertical="center"/>
    </xf>
    <xf numFmtId="41" fontId="58" fillId="15" borderId="78" xfId="1" applyFont="1" applyFill="1" applyBorder="1" applyAlignment="1">
      <alignment horizontal="center" vertical="center"/>
    </xf>
    <xf numFmtId="41" fontId="58" fillId="15" borderId="84" xfId="1" applyFont="1" applyFill="1" applyBorder="1" applyAlignment="1">
      <alignment horizontal="center" vertical="center"/>
    </xf>
    <xf numFmtId="41" fontId="60" fillId="2" borderId="62" xfId="1" applyFont="1" applyFill="1" applyBorder="1" applyAlignment="1">
      <alignment horizontal="center" vertical="center"/>
    </xf>
    <xf numFmtId="41" fontId="60" fillId="2" borderId="128" xfId="1" applyFont="1" applyFill="1" applyBorder="1" applyAlignment="1">
      <alignment horizontal="center" vertical="center"/>
    </xf>
    <xf numFmtId="41" fontId="58" fillId="11" borderId="1" xfId="1" applyFont="1" applyFill="1" applyBorder="1" applyAlignment="1">
      <alignment horizontal="center" vertical="center"/>
    </xf>
    <xf numFmtId="41" fontId="58" fillId="11" borderId="93" xfId="1" applyFont="1" applyFill="1" applyBorder="1" applyAlignment="1">
      <alignment horizontal="center" vertical="center"/>
    </xf>
    <xf numFmtId="41" fontId="58" fillId="11" borderId="6" xfId="1" applyFont="1" applyFill="1" applyBorder="1" applyAlignment="1">
      <alignment horizontal="center" vertical="center"/>
    </xf>
    <xf numFmtId="41" fontId="58" fillId="11" borderId="11" xfId="1" applyFont="1" applyFill="1" applyBorder="1" applyAlignment="1">
      <alignment horizontal="center" vertical="center"/>
    </xf>
    <xf numFmtId="41" fontId="58" fillId="11" borderId="21" xfId="1" applyFont="1" applyFill="1" applyBorder="1" applyAlignment="1">
      <alignment horizontal="center" vertical="center"/>
    </xf>
    <xf numFmtId="41" fontId="58" fillId="11" borderId="118" xfId="1" applyFont="1" applyFill="1" applyBorder="1" applyAlignment="1">
      <alignment horizontal="center" vertical="center"/>
    </xf>
    <xf numFmtId="0" fontId="60" fillId="2" borderId="31" xfId="3" applyFont="1" applyFill="1" applyBorder="1" applyAlignment="1">
      <alignment horizontal="center" vertical="center"/>
    </xf>
    <xf numFmtId="0" fontId="60" fillId="2" borderId="33" xfId="3" applyFont="1" applyFill="1" applyBorder="1" applyAlignment="1">
      <alignment horizontal="center" vertical="center" wrapText="1"/>
    </xf>
    <xf numFmtId="0" fontId="60" fillId="2" borderId="2" xfId="3" applyFont="1" applyFill="1" applyBorder="1" applyAlignment="1">
      <alignment horizontal="center" vertical="center"/>
    </xf>
    <xf numFmtId="0" fontId="60" fillId="2" borderId="33" xfId="3" applyFont="1" applyFill="1" applyBorder="1" applyAlignment="1">
      <alignment horizontal="center" vertical="center"/>
    </xf>
    <xf numFmtId="0" fontId="60" fillId="2" borderId="7" xfId="3" applyFont="1" applyFill="1" applyBorder="1" applyAlignment="1">
      <alignment horizontal="center" vertical="center"/>
    </xf>
    <xf numFmtId="0" fontId="60" fillId="2" borderId="50" xfId="3" applyFont="1" applyFill="1" applyBorder="1" applyAlignment="1">
      <alignment horizontal="center" vertical="center" wrapText="1"/>
    </xf>
    <xf numFmtId="41" fontId="60" fillId="2" borderId="70" xfId="1" applyFont="1" applyFill="1" applyBorder="1" applyAlignment="1">
      <alignment horizontal="center" vertical="center"/>
    </xf>
    <xf numFmtId="41" fontId="60" fillId="2" borderId="74" xfId="1" applyFont="1" applyFill="1" applyBorder="1" applyAlignment="1">
      <alignment horizontal="center" vertical="center"/>
    </xf>
    <xf numFmtId="41" fontId="60" fillId="2" borderId="79" xfId="1" applyFont="1" applyFill="1" applyBorder="1" applyAlignment="1">
      <alignment horizontal="center" vertical="center"/>
    </xf>
    <xf numFmtId="41" fontId="58" fillId="14" borderId="187" xfId="1" applyFont="1" applyFill="1" applyBorder="1" applyAlignment="1">
      <alignment horizontal="center" vertical="center"/>
    </xf>
    <xf numFmtId="41" fontId="58" fillId="14" borderId="188" xfId="1" applyFont="1" applyFill="1" applyBorder="1" applyAlignment="1">
      <alignment horizontal="center" vertical="center"/>
    </xf>
    <xf numFmtId="41" fontId="58" fillId="15" borderId="189" xfId="1" applyFont="1" applyFill="1" applyBorder="1" applyAlignment="1">
      <alignment horizontal="center" vertical="center"/>
    </xf>
    <xf numFmtId="41" fontId="58" fillId="15" borderId="190" xfId="1" applyFont="1" applyFill="1" applyBorder="1" applyAlignment="1">
      <alignment horizontal="center" vertical="center"/>
    </xf>
    <xf numFmtId="0" fontId="33" fillId="0" borderId="7" xfId="51" applyBorder="1">
      <alignment vertical="center"/>
    </xf>
    <xf numFmtId="0" fontId="77" fillId="0" borderId="7" xfId="51" applyFont="1" applyBorder="1" applyAlignment="1">
      <alignment horizontal="center" vertical="center"/>
    </xf>
    <xf numFmtId="0" fontId="77" fillId="0" borderId="9" xfId="51" applyFont="1" applyBorder="1" applyAlignment="1">
      <alignment horizontal="center" vertical="center"/>
    </xf>
    <xf numFmtId="0" fontId="114" fillId="39" borderId="293" xfId="0" applyFont="1" applyFill="1" applyBorder="1" applyAlignment="1">
      <alignment horizontal="center" vertical="center"/>
    </xf>
    <xf numFmtId="0" fontId="114" fillId="39" borderId="294" xfId="0" applyFont="1" applyFill="1" applyBorder="1" applyAlignment="1">
      <alignment horizontal="center" vertical="center"/>
    </xf>
    <xf numFmtId="0" fontId="114" fillId="39" borderId="295" xfId="0" applyFont="1" applyFill="1" applyBorder="1" applyAlignment="1">
      <alignment horizontal="center" vertical="center"/>
    </xf>
    <xf numFmtId="0" fontId="114" fillId="39" borderId="296" xfId="0" applyFont="1" applyFill="1" applyBorder="1" applyAlignment="1">
      <alignment horizontal="center" vertical="center"/>
    </xf>
    <xf numFmtId="0" fontId="114" fillId="39" borderId="297" xfId="0" applyFont="1" applyFill="1" applyBorder="1" applyAlignment="1">
      <alignment horizontal="center" vertical="center"/>
    </xf>
    <xf numFmtId="0" fontId="113" fillId="39" borderId="293" xfId="0" applyFont="1" applyFill="1" applyBorder="1" applyAlignment="1">
      <alignment horizontal="center" vertical="center"/>
    </xf>
    <xf numFmtId="0" fontId="113" fillId="39" borderId="294" xfId="0" applyFont="1" applyFill="1" applyBorder="1" applyAlignment="1">
      <alignment horizontal="center" vertical="center"/>
    </xf>
    <xf numFmtId="0" fontId="113" fillId="39" borderId="295" xfId="0" applyFont="1" applyFill="1" applyBorder="1" applyAlignment="1">
      <alignment horizontal="center" vertical="center"/>
    </xf>
    <xf numFmtId="0" fontId="113" fillId="39" borderId="296" xfId="0" applyFont="1" applyFill="1" applyBorder="1" applyAlignment="1">
      <alignment horizontal="center" vertical="center"/>
    </xf>
    <xf numFmtId="0" fontId="113" fillId="39" borderId="297" xfId="0" applyFont="1" applyFill="1" applyBorder="1" applyAlignment="1">
      <alignment horizontal="center" vertical="center"/>
    </xf>
    <xf numFmtId="0" fontId="10" fillId="0" borderId="0" xfId="51" applyFont="1">
      <alignment vertical="center"/>
    </xf>
    <xf numFmtId="177" fontId="10" fillId="29" borderId="203" xfId="51" applyNumberFormat="1" applyFont="1" applyFill="1" applyBorder="1" applyAlignment="1">
      <alignment horizontal="center" vertical="center"/>
    </xf>
    <xf numFmtId="177" fontId="10" fillId="29" borderId="204" xfId="51" applyNumberFormat="1" applyFont="1" applyFill="1" applyBorder="1" applyAlignment="1">
      <alignment horizontal="center" vertical="center"/>
    </xf>
    <xf numFmtId="0" fontId="33" fillId="0" borderId="0" xfId="51">
      <alignment vertical="center"/>
    </xf>
    <xf numFmtId="0" fontId="37" fillId="0" borderId="0" xfId="51" applyFont="1">
      <alignment vertical="center"/>
    </xf>
    <xf numFmtId="177" fontId="37" fillId="29" borderId="203" xfId="51" applyNumberFormat="1" applyFont="1" applyFill="1" applyBorder="1" applyAlignment="1">
      <alignment horizontal="center" vertical="center"/>
    </xf>
    <xf numFmtId="177" fontId="37" fillId="29" borderId="204" xfId="51" applyNumberFormat="1" applyFont="1" applyFill="1" applyBorder="1" applyAlignment="1">
      <alignment horizontal="center" vertical="center"/>
    </xf>
    <xf numFmtId="14" fontId="37" fillId="29" borderId="203" xfId="51" applyNumberFormat="1" applyFont="1" applyFill="1" applyBorder="1" applyAlignment="1">
      <alignment horizontal="center" vertical="center"/>
    </xf>
    <xf numFmtId="14" fontId="37" fillId="29" borderId="204" xfId="51" applyNumberFormat="1" applyFont="1" applyFill="1" applyBorder="1" applyAlignment="1">
      <alignment horizontal="center" vertical="center"/>
    </xf>
    <xf numFmtId="14" fontId="10" fillId="29" borderId="203" xfId="51" applyNumberFormat="1" applyFont="1" applyFill="1" applyBorder="1" applyAlignment="1">
      <alignment horizontal="center" vertical="center"/>
    </xf>
    <xf numFmtId="14" fontId="10" fillId="29" borderId="204" xfId="51" applyNumberFormat="1" applyFont="1" applyFill="1" applyBorder="1" applyAlignment="1">
      <alignment horizontal="center" vertical="center"/>
    </xf>
    <xf numFmtId="0" fontId="33" fillId="17" borderId="288" xfId="0" applyFont="1" applyFill="1" applyBorder="1" applyAlignment="1">
      <alignment horizontal="center" vertical="center"/>
    </xf>
    <xf numFmtId="185" fontId="15" fillId="0" borderId="129" xfId="11" applyNumberFormat="1" applyFont="1" applyBorder="1" applyAlignment="1">
      <alignment horizontal="center" vertical="center"/>
    </xf>
    <xf numFmtId="185" fontId="15" fillId="0" borderId="82" xfId="11" applyNumberFormat="1" applyFont="1" applyBorder="1" applyAlignment="1">
      <alignment horizontal="center" vertical="center"/>
    </xf>
    <xf numFmtId="185" fontId="17" fillId="14" borderId="0" xfId="11" applyNumberFormat="1" applyFont="1" applyFill="1" applyAlignment="1">
      <alignment horizontal="center" vertical="center"/>
    </xf>
    <xf numFmtId="185" fontId="15" fillId="0" borderId="0" xfId="11" applyNumberFormat="1" applyFont="1" applyAlignment="1">
      <alignment horizontal="center" vertical="center"/>
    </xf>
    <xf numFmtId="0" fontId="18" fillId="28" borderId="107" xfId="11" applyNumberFormat="1" applyFont="1" applyFill="1" applyBorder="1" applyAlignment="1">
      <alignment horizontal="center" vertical="center"/>
    </xf>
    <xf numFmtId="0" fontId="18" fillId="28" borderId="33" xfId="11" applyNumberFormat="1" applyFont="1" applyFill="1" applyBorder="1" applyAlignment="1">
      <alignment horizontal="center" vertical="center"/>
    </xf>
    <xf numFmtId="0" fontId="18" fillId="28" borderId="74" xfId="11" applyNumberFormat="1" applyFont="1" applyFill="1" applyBorder="1" applyAlignment="1">
      <alignment horizontal="center" vertical="center"/>
    </xf>
    <xf numFmtId="0" fontId="18" fillId="28" borderId="0" xfId="11" applyNumberFormat="1" applyFont="1" applyFill="1" applyAlignment="1">
      <alignment horizontal="center" vertical="center"/>
    </xf>
    <xf numFmtId="10" fontId="15" fillId="0" borderId="45" xfId="2" applyNumberFormat="1" applyFont="1" applyBorder="1" applyAlignment="1">
      <alignment horizontal="right" vertical="center"/>
    </xf>
    <xf numFmtId="10" fontId="15" fillId="0" borderId="0" xfId="2" applyNumberFormat="1" applyFont="1" applyAlignment="1">
      <alignment horizontal="right" vertical="center"/>
    </xf>
    <xf numFmtId="185" fontId="15" fillId="0" borderId="45" xfId="2" applyNumberFormat="1" applyFont="1" applyBorder="1" applyAlignment="1">
      <alignment horizontal="right" vertical="center"/>
    </xf>
    <xf numFmtId="185" fontId="15" fillId="0" borderId="0" xfId="2" applyNumberFormat="1" applyFont="1" applyAlignment="1">
      <alignment horizontal="right" vertical="center"/>
    </xf>
    <xf numFmtId="185" fontId="17" fillId="0" borderId="129" xfId="11" applyNumberFormat="1" applyFont="1" applyBorder="1" applyAlignment="1">
      <alignment horizontal="center" vertical="center"/>
    </xf>
    <xf numFmtId="0" fontId="18" fillId="28" borderId="7" xfId="11" applyNumberFormat="1" applyFont="1" applyFill="1" applyBorder="1" applyAlignment="1">
      <alignment horizontal="center" vertical="center"/>
    </xf>
    <xf numFmtId="41" fontId="12" fillId="48" borderId="203" xfId="61" applyNumberFormat="1" applyFont="1" applyFill="1" applyBorder="1" applyAlignment="1">
      <alignment horizontal="center" vertical="center"/>
    </xf>
    <xf numFmtId="41" fontId="12" fillId="48" borderId="204" xfId="61" applyNumberFormat="1" applyFont="1" applyFill="1" applyBorder="1" applyAlignment="1">
      <alignment horizontal="center" vertical="center"/>
    </xf>
    <xf numFmtId="41" fontId="12" fillId="0" borderId="199" xfId="61" applyNumberFormat="1" applyFont="1" applyBorder="1" applyAlignment="1">
      <alignment horizontal="center" vertical="center" wrapText="1"/>
    </xf>
    <xf numFmtId="41" fontId="12" fillId="0" borderId="200" xfId="61" applyNumberFormat="1" applyFont="1" applyBorder="1" applyAlignment="1">
      <alignment horizontal="center" vertical="center"/>
    </xf>
    <xf numFmtId="41" fontId="12" fillId="0" borderId="201" xfId="61" applyNumberFormat="1" applyFont="1" applyBorder="1" applyAlignment="1">
      <alignment horizontal="center" vertical="center" wrapText="1"/>
    </xf>
    <xf numFmtId="41" fontId="12" fillId="0" borderId="201" xfId="61" applyNumberFormat="1" applyFont="1" applyBorder="1" applyAlignment="1">
      <alignment horizontal="center" vertical="center"/>
    </xf>
    <xf numFmtId="0" fontId="28" fillId="12" borderId="82" xfId="0" applyFont="1" applyFill="1" applyBorder="1" applyAlignment="1">
      <alignment horizontal="center" vertical="center"/>
    </xf>
    <xf numFmtId="185" fontId="17" fillId="15" borderId="0" xfId="11" applyNumberFormat="1" applyFont="1" applyFill="1" applyAlignment="1">
      <alignment horizontal="center" vertical="center"/>
    </xf>
    <xf numFmtId="0" fontId="30" fillId="21" borderId="74" xfId="23" applyFont="1" applyFill="1" applyBorder="1" applyAlignment="1">
      <alignment horizontal="left" vertical="center"/>
    </xf>
    <xf numFmtId="0" fontId="30" fillId="21" borderId="0" xfId="23" applyFont="1" applyFill="1" applyAlignment="1">
      <alignment horizontal="left" vertical="center"/>
    </xf>
    <xf numFmtId="0" fontId="30" fillId="20" borderId="65" xfId="23" applyFont="1" applyFill="1" applyBorder="1" applyAlignment="1">
      <alignment horizontal="center" vertical="center"/>
    </xf>
    <xf numFmtId="0" fontId="30" fillId="20" borderId="30" xfId="23" applyFont="1" applyFill="1" applyBorder="1" applyAlignment="1">
      <alignment horizontal="center" vertical="center"/>
    </xf>
    <xf numFmtId="0" fontId="30" fillId="20" borderId="119" xfId="23" applyFont="1" applyFill="1" applyBorder="1" applyAlignment="1">
      <alignment horizontal="center" vertical="center"/>
    </xf>
    <xf numFmtId="0" fontId="30" fillId="20" borderId="28" xfId="23" applyFont="1" applyFill="1" applyBorder="1" applyAlignment="1">
      <alignment horizontal="center" vertical="center"/>
    </xf>
    <xf numFmtId="0" fontId="6" fillId="0" borderId="7" xfId="51" applyFont="1" applyBorder="1" applyAlignment="1">
      <alignment horizontal="center" vertical="center" wrapText="1"/>
    </xf>
    <xf numFmtId="0" fontId="33" fillId="0" borderId="1" xfId="51" applyBorder="1" applyAlignment="1">
      <alignment horizontal="center" vertical="center"/>
    </xf>
    <xf numFmtId="0" fontId="33" fillId="0" borderId="93" xfId="51" applyBorder="1" applyAlignment="1">
      <alignment horizontal="center" vertical="center"/>
    </xf>
    <xf numFmtId="0" fontId="33" fillId="0" borderId="195" xfId="51" applyBorder="1" applyAlignment="1">
      <alignment horizontal="left" vertical="center"/>
    </xf>
    <xf numFmtId="0" fontId="33" fillId="25" borderId="195" xfId="51" applyFill="1" applyBorder="1" applyAlignment="1">
      <alignment horizontal="center" vertical="center"/>
    </xf>
    <xf numFmtId="0" fontId="57" fillId="0" borderId="237" xfId="51" applyFont="1" applyBorder="1" applyAlignment="1">
      <alignment horizontal="center" vertical="center" wrapText="1"/>
    </xf>
    <xf numFmtId="0" fontId="57" fillId="0" borderId="238" xfId="51" applyFont="1" applyBorder="1" applyAlignment="1">
      <alignment horizontal="center" vertical="center" wrapText="1"/>
    </xf>
    <xf numFmtId="0" fontId="57" fillId="0" borderId="239" xfId="51" applyFont="1" applyBorder="1" applyAlignment="1">
      <alignment horizontal="center" vertical="center" wrapText="1"/>
    </xf>
    <xf numFmtId="0" fontId="57" fillId="0" borderId="240" xfId="51" applyFont="1" applyBorder="1" applyAlignment="1">
      <alignment horizontal="center" vertical="center" wrapText="1"/>
    </xf>
    <xf numFmtId="0" fontId="86" fillId="0" borderId="130" xfId="51" applyFont="1" applyBorder="1" applyAlignment="1">
      <alignment vertical="center" wrapText="1"/>
    </xf>
    <xf numFmtId="0" fontId="86" fillId="0" borderId="146" xfId="51" applyFont="1" applyBorder="1" applyAlignment="1">
      <alignment vertical="center" wrapText="1"/>
    </xf>
    <xf numFmtId="0" fontId="57" fillId="0" borderId="147" xfId="51" applyFont="1" applyBorder="1" applyAlignment="1">
      <alignment horizontal="center" vertical="center" wrapText="1"/>
    </xf>
    <xf numFmtId="0" fontId="57" fillId="0" borderId="140" xfId="51" applyFont="1" applyBorder="1" applyAlignment="1">
      <alignment horizontal="center" vertical="center" wrapText="1"/>
    </xf>
    <xf numFmtId="0" fontId="57" fillId="0" borderId="148" xfId="51" applyFont="1" applyBorder="1" applyAlignment="1">
      <alignment horizontal="center" vertical="center" wrapText="1"/>
    </xf>
    <xf numFmtId="0" fontId="57" fillId="0" borderId="139" xfId="51" applyFont="1" applyBorder="1" applyAlignment="1">
      <alignment horizontal="center" vertical="center" wrapText="1"/>
    </xf>
    <xf numFmtId="0" fontId="86" fillId="0" borderId="136" xfId="51" applyFont="1" applyBorder="1" applyAlignment="1">
      <alignment vertical="center" wrapText="1"/>
    </xf>
    <xf numFmtId="0" fontId="86" fillId="0" borderId="131" xfId="51" applyFont="1" applyBorder="1" applyAlignment="1">
      <alignment vertical="center" wrapText="1"/>
    </xf>
    <xf numFmtId="0" fontId="86" fillId="0" borderId="135" xfId="51" applyFont="1" applyBorder="1" applyAlignment="1">
      <alignment vertical="center" wrapText="1"/>
    </xf>
    <xf numFmtId="0" fontId="86" fillId="0" borderId="140" xfId="51" applyFont="1" applyBorder="1" applyAlignment="1">
      <alignment vertical="center" wrapText="1"/>
    </xf>
    <xf numFmtId="196" fontId="86" fillId="0" borderId="138" xfId="51" applyNumberFormat="1" applyFont="1" applyBorder="1" applyAlignment="1">
      <alignment horizontal="right" vertical="center" wrapText="1"/>
    </xf>
    <xf numFmtId="0" fontId="86" fillId="0" borderId="139" xfId="51" applyFont="1" applyBorder="1" applyAlignment="1">
      <alignment horizontal="right" vertical="center" wrapText="1"/>
    </xf>
    <xf numFmtId="0" fontId="86" fillId="0" borderId="138" xfId="51" applyFont="1" applyBorder="1" applyAlignment="1">
      <alignment horizontal="center" vertical="center" wrapText="1"/>
    </xf>
    <xf numFmtId="0" fontId="86" fillId="0" borderId="139" xfId="51" applyFont="1" applyBorder="1" applyAlignment="1">
      <alignment horizontal="center" vertical="center" wrapText="1"/>
    </xf>
    <xf numFmtId="0" fontId="86" fillId="0" borderId="138" xfId="51" applyFont="1" applyBorder="1" applyAlignment="1">
      <alignment vertical="center" wrapText="1"/>
    </xf>
    <xf numFmtId="0" fontId="86" fillId="0" borderId="139" xfId="51" applyFont="1" applyBorder="1" applyAlignment="1">
      <alignment vertical="center" wrapText="1"/>
    </xf>
    <xf numFmtId="0" fontId="57" fillId="0" borderId="109" xfId="51" applyFont="1" applyBorder="1" applyAlignment="1">
      <alignment horizontal="center" vertical="center" wrapText="1"/>
    </xf>
    <xf numFmtId="0" fontId="57" fillId="0" borderId="191" xfId="51" applyFont="1" applyBorder="1" applyAlignment="1">
      <alignment horizontal="center" vertical="center" wrapText="1"/>
    </xf>
    <xf numFmtId="0" fontId="57" fillId="0" borderId="110" xfId="51" applyFont="1" applyBorder="1" applyAlignment="1">
      <alignment horizontal="center" vertical="center" wrapText="1"/>
    </xf>
    <xf numFmtId="0" fontId="101" fillId="52" borderId="249" xfId="7" applyFont="1" applyFill="1" applyBorder="1" applyAlignment="1">
      <alignment horizontal="center" vertical="center"/>
    </xf>
    <xf numFmtId="0" fontId="101" fillId="52" borderId="252" xfId="7" applyFont="1" applyFill="1" applyBorder="1" applyAlignment="1">
      <alignment horizontal="center" vertical="center"/>
    </xf>
    <xf numFmtId="0" fontId="101" fillId="52" borderId="253" xfId="7" applyFont="1" applyFill="1" applyBorder="1" applyAlignment="1">
      <alignment horizontal="center" vertical="center"/>
    </xf>
    <xf numFmtId="0" fontId="35" fillId="0" borderId="147" xfId="51" applyFont="1" applyBorder="1" applyAlignment="1">
      <alignment horizontal="center" vertical="center" wrapText="1"/>
    </xf>
    <xf numFmtId="0" fontId="35" fillId="0" borderId="140" xfId="51" applyFont="1" applyBorder="1" applyAlignment="1">
      <alignment horizontal="center" vertical="center" wrapText="1"/>
    </xf>
    <xf numFmtId="0" fontId="35" fillId="0" borderId="148" xfId="51" applyFont="1" applyBorder="1" applyAlignment="1">
      <alignment horizontal="center" vertical="center" wrapText="1"/>
    </xf>
    <xf numFmtId="0" fontId="35" fillId="0" borderId="139" xfId="51" applyFont="1" applyBorder="1" applyAlignment="1">
      <alignment horizontal="center" vertical="center" wrapText="1"/>
    </xf>
    <xf numFmtId="0" fontId="35" fillId="0" borderId="109" xfId="51" applyFont="1" applyBorder="1" applyAlignment="1">
      <alignment horizontal="center" vertical="center" wrapText="1"/>
    </xf>
    <xf numFmtId="0" fontId="35" fillId="0" borderId="110" xfId="51" applyFont="1" applyBorder="1" applyAlignment="1">
      <alignment horizontal="center" vertical="center" wrapText="1"/>
    </xf>
    <xf numFmtId="0" fontId="14" fillId="0" borderId="152" xfId="51" applyFont="1" applyBorder="1" applyAlignment="1">
      <alignment horizontal="center" vertical="center" wrapText="1"/>
    </xf>
    <xf numFmtId="0" fontId="14" fillId="0" borderId="145" xfId="51" applyFont="1" applyBorder="1" applyAlignment="1">
      <alignment horizontal="center" vertical="center" wrapText="1"/>
    </xf>
    <xf numFmtId="0" fontId="14" fillId="0" borderId="153" xfId="51" applyFont="1" applyBorder="1" applyAlignment="1">
      <alignment horizontal="center" vertical="center" wrapText="1"/>
    </xf>
    <xf numFmtId="0" fontId="83" fillId="46" borderId="7" xfId="0" applyFont="1" applyFill="1" applyBorder="1" applyAlignment="1">
      <alignment horizontal="center" vertical="center" wrapText="1"/>
    </xf>
    <xf numFmtId="0" fontId="83" fillId="26" borderId="148" xfId="0" applyFont="1" applyFill="1" applyBorder="1" applyAlignment="1">
      <alignment horizontal="center" vertical="center" wrapText="1"/>
    </xf>
    <xf numFmtId="0" fontId="83" fillId="26" borderId="139" xfId="0" applyFont="1" applyFill="1" applyBorder="1" applyAlignment="1">
      <alignment horizontal="center" vertical="center" wrapText="1"/>
    </xf>
    <xf numFmtId="0" fontId="83" fillId="26" borderId="147" xfId="0" applyFont="1" applyFill="1" applyBorder="1" applyAlignment="1">
      <alignment horizontal="center" vertical="center" wrapText="1"/>
    </xf>
    <xf numFmtId="0" fontId="83" fillId="26" borderId="140" xfId="0" applyFont="1" applyFill="1" applyBorder="1" applyAlignment="1">
      <alignment horizontal="center" vertical="center" wrapText="1"/>
    </xf>
    <xf numFmtId="0" fontId="83" fillId="26" borderId="168" xfId="0" applyFont="1" applyFill="1" applyBorder="1" applyAlignment="1">
      <alignment horizontal="center" vertical="center" wrapText="1"/>
    </xf>
    <xf numFmtId="0" fontId="83" fillId="26" borderId="144" xfId="0" applyFont="1" applyFill="1" applyBorder="1" applyAlignment="1">
      <alignment horizontal="center" vertical="center" wrapText="1"/>
    </xf>
    <xf numFmtId="0" fontId="27" fillId="26" borderId="7" xfId="0" applyFont="1" applyFill="1" applyBorder="1" applyAlignment="1">
      <alignment horizontal="center" vertical="center"/>
    </xf>
    <xf numFmtId="0" fontId="27" fillId="0" borderId="7" xfId="0" applyFont="1" applyBorder="1" applyAlignment="1">
      <alignment horizontal="center" vertical="center"/>
    </xf>
    <xf numFmtId="0" fontId="27" fillId="46" borderId="147" xfId="0" applyFont="1" applyFill="1" applyBorder="1" applyAlignment="1">
      <alignment horizontal="center" vertical="center"/>
    </xf>
    <xf numFmtId="0" fontId="27" fillId="46" borderId="140" xfId="0" applyFont="1" applyFill="1" applyBorder="1" applyAlignment="1">
      <alignment horizontal="center" vertical="center"/>
    </xf>
    <xf numFmtId="0" fontId="27" fillId="46" borderId="148" xfId="0" applyFont="1" applyFill="1" applyBorder="1" applyAlignment="1">
      <alignment horizontal="center" vertical="center"/>
    </xf>
    <xf numFmtId="0" fontId="27" fillId="46" borderId="139" xfId="0" applyFont="1" applyFill="1" applyBorder="1" applyAlignment="1">
      <alignment horizontal="center" vertical="center"/>
    </xf>
    <xf numFmtId="0" fontId="27" fillId="46" borderId="109" xfId="0" applyFont="1" applyFill="1" applyBorder="1" applyAlignment="1">
      <alignment horizontal="center" vertical="center"/>
    </xf>
    <xf numFmtId="0" fontId="27" fillId="46" borderId="191" xfId="0" applyFont="1" applyFill="1" applyBorder="1" applyAlignment="1">
      <alignment horizontal="center" vertical="center"/>
    </xf>
    <xf numFmtId="0" fontId="27" fillId="0" borderId="135" xfId="0" applyFont="1" applyBorder="1" applyAlignment="1">
      <alignment horizontal="center" vertical="center"/>
    </xf>
    <xf numFmtId="0" fontId="27" fillId="0" borderId="151" xfId="0" applyFont="1" applyBorder="1" applyAlignment="1">
      <alignment horizontal="center" vertical="center"/>
    </xf>
    <xf numFmtId="0" fontId="27" fillId="0" borderId="140" xfId="0" applyFont="1" applyBorder="1" applyAlignment="1">
      <alignment horizontal="center" vertical="center"/>
    </xf>
    <xf numFmtId="0" fontId="27" fillId="0" borderId="150" xfId="0" applyFont="1" applyBorder="1" applyAlignment="1">
      <alignment horizontal="center" vertical="center"/>
    </xf>
    <xf numFmtId="0" fontId="85" fillId="17" borderId="147" xfId="0" applyFont="1" applyFill="1" applyBorder="1" applyAlignment="1">
      <alignment horizontal="center" vertical="center" wrapText="1"/>
    </xf>
    <xf numFmtId="0" fontId="85" fillId="17" borderId="140" xfId="0" applyFont="1" applyFill="1" applyBorder="1" applyAlignment="1">
      <alignment horizontal="center" vertical="center" wrapText="1"/>
    </xf>
    <xf numFmtId="0" fontId="83" fillId="0" borderId="130" xfId="0" applyFont="1" applyBorder="1" applyAlignment="1">
      <alignment vertical="top" wrapText="1"/>
    </xf>
    <xf numFmtId="0" fontId="83" fillId="0" borderId="136" xfId="0" applyFont="1" applyBorder="1" applyAlignment="1">
      <alignment vertical="top" wrapText="1"/>
    </xf>
    <xf numFmtId="0" fontId="83" fillId="0" borderId="131" xfId="0" applyFont="1" applyBorder="1" applyAlignment="1">
      <alignment vertical="top" wrapText="1"/>
    </xf>
    <xf numFmtId="0" fontId="27" fillId="46" borderId="151" xfId="0" applyFont="1" applyFill="1" applyBorder="1" applyAlignment="1">
      <alignment horizontal="center" vertical="center"/>
    </xf>
    <xf numFmtId="0" fontId="26" fillId="17" borderId="147" xfId="0" applyFont="1" applyFill="1" applyBorder="1" applyAlignment="1">
      <alignment horizontal="center" vertical="center" wrapText="1"/>
    </xf>
    <xf numFmtId="0" fontId="26" fillId="17" borderId="140" xfId="0" applyFont="1" applyFill="1" applyBorder="1" applyAlignment="1">
      <alignment horizontal="center" vertical="center" wrapText="1"/>
    </xf>
    <xf numFmtId="0" fontId="26" fillId="17" borderId="109" xfId="0" applyFont="1" applyFill="1" applyBorder="1" applyAlignment="1">
      <alignment horizontal="center" vertical="center" wrapText="1"/>
    </xf>
    <xf numFmtId="0" fontId="26" fillId="17" borderId="191" xfId="0" applyFont="1" applyFill="1" applyBorder="1" applyAlignment="1">
      <alignment horizontal="center" vertical="center" wrapText="1"/>
    </xf>
    <xf numFmtId="0" fontId="26" fillId="17" borderId="148" xfId="0" applyFont="1" applyFill="1" applyBorder="1" applyAlignment="1">
      <alignment horizontal="center" vertical="center" wrapText="1"/>
    </xf>
    <xf numFmtId="0" fontId="26" fillId="17" borderId="139" xfId="0" applyFont="1" applyFill="1" applyBorder="1" applyAlignment="1">
      <alignment horizontal="center" vertical="center" wrapText="1"/>
    </xf>
    <xf numFmtId="193" fontId="109" fillId="17" borderId="289" xfId="0" applyNumberFormat="1" applyFont="1" applyFill="1" applyBorder="1" applyAlignment="1">
      <alignment horizontal="center" vertical="center" wrapText="1"/>
    </xf>
    <xf numFmtId="193" fontId="109" fillId="17" borderId="279" xfId="0" applyNumberFormat="1" applyFont="1" applyFill="1" applyBorder="1" applyAlignment="1">
      <alignment horizontal="center" vertical="center" wrapText="1"/>
    </xf>
    <xf numFmtId="0" fontId="26" fillId="46" borderId="147" xfId="0" applyFont="1" applyFill="1" applyBorder="1" applyAlignment="1">
      <alignment horizontal="center" vertical="center" wrapText="1"/>
    </xf>
    <xf numFmtId="0" fontId="26" fillId="46" borderId="140" xfId="0" applyFont="1" applyFill="1" applyBorder="1" applyAlignment="1">
      <alignment horizontal="center" vertical="center" wrapText="1"/>
    </xf>
    <xf numFmtId="0" fontId="27" fillId="46" borderId="109" xfId="0" applyFont="1" applyFill="1" applyBorder="1" applyAlignment="1">
      <alignment horizontal="center" vertical="center" wrapText="1"/>
    </xf>
    <xf numFmtId="0" fontId="27" fillId="46" borderId="137" xfId="0" applyFont="1" applyFill="1" applyBorder="1" applyAlignment="1">
      <alignment horizontal="center" vertical="center" wrapText="1"/>
    </xf>
    <xf numFmtId="0" fontId="27" fillId="46" borderId="191" xfId="0" applyFont="1" applyFill="1" applyBorder="1" applyAlignment="1">
      <alignment horizontal="center" vertical="center" wrapText="1"/>
    </xf>
    <xf numFmtId="0" fontId="83" fillId="46" borderId="147" xfId="0" applyFont="1" applyFill="1" applyBorder="1" applyAlignment="1">
      <alignment horizontal="center" vertical="center" wrapText="1"/>
    </xf>
    <xf numFmtId="0" fontId="83" fillId="46" borderId="140" xfId="0" applyFont="1" applyFill="1" applyBorder="1" applyAlignment="1">
      <alignment horizontal="center" vertical="center" wrapText="1"/>
    </xf>
    <xf numFmtId="0" fontId="83" fillId="46" borderId="288" xfId="0" applyFont="1" applyFill="1" applyBorder="1" applyAlignment="1">
      <alignment horizontal="center" vertical="center" wrapText="1"/>
    </xf>
    <xf numFmtId="0" fontId="83" fillId="0" borderId="135" xfId="0" applyFont="1" applyBorder="1" applyAlignment="1">
      <alignment horizontal="center" vertical="center" wrapText="1"/>
    </xf>
    <xf numFmtId="0" fontId="83" fillId="0" borderId="151" xfId="0" applyFont="1" applyBorder="1" applyAlignment="1">
      <alignment horizontal="center" vertical="center" wrapText="1"/>
    </xf>
    <xf numFmtId="0" fontId="83" fillId="0" borderId="150" xfId="0" applyFont="1" applyBorder="1" applyAlignment="1">
      <alignment horizontal="center" vertical="center" wrapText="1"/>
    </xf>
    <xf numFmtId="0" fontId="110" fillId="26" borderId="147" xfId="0" applyFont="1" applyFill="1" applyBorder="1" applyAlignment="1">
      <alignment horizontal="center" vertical="center" wrapText="1"/>
    </xf>
    <xf numFmtId="0" fontId="110" fillId="26" borderId="140" xfId="0" applyFont="1" applyFill="1" applyBorder="1" applyAlignment="1">
      <alignment horizontal="center" vertical="center" wrapText="1"/>
    </xf>
    <xf numFmtId="0" fontId="110" fillId="26" borderId="148" xfId="0" applyFont="1" applyFill="1" applyBorder="1" applyAlignment="1">
      <alignment horizontal="center" vertical="center" wrapText="1"/>
    </xf>
    <xf numFmtId="0" fontId="110" fillId="26" borderId="139" xfId="0" applyFont="1" applyFill="1" applyBorder="1" applyAlignment="1">
      <alignment horizontal="center" vertical="center" wrapText="1"/>
    </xf>
    <xf numFmtId="0" fontId="110" fillId="26" borderId="168" xfId="0" applyFont="1" applyFill="1" applyBorder="1" applyAlignment="1">
      <alignment horizontal="center" vertical="center" wrapText="1"/>
    </xf>
    <xf numFmtId="0" fontId="110" fillId="26" borderId="144" xfId="0" applyFont="1" applyFill="1" applyBorder="1" applyAlignment="1">
      <alignment horizontal="center" vertical="center" wrapText="1"/>
    </xf>
    <xf numFmtId="0" fontId="83" fillId="46" borderId="148" xfId="0" applyFont="1" applyFill="1" applyBorder="1" applyAlignment="1">
      <alignment horizontal="center" vertical="center" wrapText="1"/>
    </xf>
    <xf numFmtId="0" fontId="83" fillId="46" borderId="139" xfId="0" applyFont="1" applyFill="1" applyBorder="1" applyAlignment="1">
      <alignment horizontal="center" vertical="center" wrapText="1"/>
    </xf>
    <xf numFmtId="0" fontId="83" fillId="46" borderId="109" xfId="0" applyFont="1" applyFill="1" applyBorder="1" applyAlignment="1">
      <alignment horizontal="center" vertical="center" wrapText="1"/>
    </xf>
    <xf numFmtId="0" fontId="83" fillId="46" borderId="191" xfId="0" applyFont="1" applyFill="1" applyBorder="1" applyAlignment="1">
      <alignment horizontal="center" vertical="center" wrapText="1"/>
    </xf>
    <xf numFmtId="0" fontId="83" fillId="51" borderId="109" xfId="0" applyFont="1" applyFill="1" applyBorder="1" applyAlignment="1">
      <alignment horizontal="center" vertical="center" wrapText="1"/>
    </xf>
    <xf numFmtId="0" fontId="83" fillId="51" borderId="191" xfId="0" applyFont="1" applyFill="1" applyBorder="1" applyAlignment="1">
      <alignment horizontal="center" vertical="center" wrapText="1"/>
    </xf>
    <xf numFmtId="193" fontId="12" fillId="12" borderId="259" xfId="0" applyNumberFormat="1" applyFont="1" applyFill="1" applyBorder="1" applyAlignment="1">
      <alignment horizontal="center" vertical="center"/>
    </xf>
    <xf numFmtId="0" fontId="27" fillId="0" borderId="135" xfId="0" applyFont="1" applyBorder="1" applyAlignment="1">
      <alignment vertical="center" wrapText="1"/>
    </xf>
    <xf numFmtId="0" fontId="27" fillId="0" borderId="151" xfId="0" applyFont="1" applyBorder="1" applyAlignment="1">
      <alignment vertical="center" wrapText="1"/>
    </xf>
    <xf numFmtId="0" fontId="27" fillId="0" borderId="140" xfId="0" applyFont="1" applyBorder="1" applyAlignment="1">
      <alignment vertical="center" wrapText="1"/>
    </xf>
    <xf numFmtId="0" fontId="27" fillId="0" borderId="152" xfId="0" applyFont="1" applyBorder="1" applyAlignment="1">
      <alignment horizontal="center" vertical="center" wrapText="1"/>
    </xf>
    <xf numFmtId="0" fontId="27" fillId="0" borderId="145" xfId="0" applyFont="1" applyBorder="1" applyAlignment="1">
      <alignment horizontal="center" vertical="center" wrapText="1"/>
    </xf>
    <xf numFmtId="0" fontId="27" fillId="0" borderId="153" xfId="0" applyFont="1" applyBorder="1" applyAlignment="1">
      <alignment horizontal="center" vertical="center" wrapText="1"/>
    </xf>
    <xf numFmtId="0" fontId="27" fillId="0" borderId="130" xfId="0" applyFont="1" applyBorder="1" applyAlignment="1">
      <alignment horizontal="center" vertical="center" wrapText="1"/>
    </xf>
    <xf numFmtId="0" fontId="27" fillId="0" borderId="136" xfId="0" applyFont="1" applyBorder="1" applyAlignment="1">
      <alignment horizontal="center" vertical="center" wrapText="1"/>
    </xf>
    <xf numFmtId="0" fontId="27" fillId="0" borderId="146" xfId="0" applyFont="1" applyBorder="1" applyAlignment="1">
      <alignment horizontal="center" vertical="center" wrapText="1"/>
    </xf>
    <xf numFmtId="0" fontId="83" fillId="0" borderId="130" xfId="0" applyFont="1" applyBorder="1" applyAlignment="1">
      <alignment vertical="center" wrapText="1"/>
    </xf>
    <xf numFmtId="0" fontId="83" fillId="0" borderId="136" xfId="0" applyFont="1" applyBorder="1" applyAlignment="1">
      <alignment vertical="center" wrapText="1"/>
    </xf>
    <xf numFmtId="0" fontId="83" fillId="0" borderId="131" xfId="0" applyFont="1" applyBorder="1" applyAlignment="1">
      <alignment vertical="center" wrapText="1"/>
    </xf>
    <xf numFmtId="193" fontId="66" fillId="0" borderId="107" xfId="0" applyNumberFormat="1" applyFont="1" applyBorder="1" applyAlignment="1">
      <alignment horizontal="right" vertical="center" wrapText="1"/>
    </xf>
    <xf numFmtId="193" fontId="66" fillId="0" borderId="210" xfId="0" applyNumberFormat="1" applyFont="1" applyBorder="1" applyAlignment="1">
      <alignment horizontal="right" vertical="center" wrapText="1"/>
    </xf>
    <xf numFmtId="193" fontId="66" fillId="0" borderId="279" xfId="0" applyNumberFormat="1" applyFont="1" applyBorder="1" applyAlignment="1">
      <alignment horizontal="right" vertical="center" wrapText="1"/>
    </xf>
    <xf numFmtId="193" fontId="66" fillId="0" borderId="107" xfId="0" applyNumberFormat="1" applyFont="1" applyBorder="1" applyAlignment="1">
      <alignment horizontal="center" vertical="center"/>
    </xf>
    <xf numFmtId="193" fontId="66" fillId="0" borderId="210" xfId="0" applyNumberFormat="1" applyFont="1" applyBorder="1" applyAlignment="1">
      <alignment horizontal="center" vertical="center"/>
    </xf>
    <xf numFmtId="193" fontId="66" fillId="0" borderId="279" xfId="0" applyNumberFormat="1" applyFont="1" applyBorder="1" applyAlignment="1">
      <alignment horizontal="center" vertical="center"/>
    </xf>
    <xf numFmtId="193" fontId="66" fillId="0" borderId="107" xfId="0" applyNumberFormat="1" applyFont="1" applyBorder="1" applyAlignment="1">
      <alignment horizontal="center" vertical="center" wrapText="1"/>
    </xf>
    <xf numFmtId="193" fontId="66" fillId="0" borderId="210" xfId="0" applyNumberFormat="1" applyFont="1" applyBorder="1" applyAlignment="1">
      <alignment horizontal="center" vertical="center" wrapText="1"/>
    </xf>
    <xf numFmtId="193" fontId="66" fillId="0" borderId="279" xfId="0" applyNumberFormat="1" applyFont="1" applyBorder="1" applyAlignment="1">
      <alignment horizontal="center" vertical="center" wrapText="1"/>
    </xf>
    <xf numFmtId="0" fontId="83" fillId="46" borderId="217" xfId="0" applyFont="1" applyFill="1" applyBorder="1" applyAlignment="1">
      <alignment horizontal="center" vertical="center" wrapText="1"/>
    </xf>
    <xf numFmtId="0" fontId="83" fillId="46" borderId="171" xfId="0" applyFont="1" applyFill="1" applyBorder="1" applyAlignment="1">
      <alignment horizontal="center" vertical="center" wrapText="1"/>
    </xf>
    <xf numFmtId="0" fontId="83" fillId="46" borderId="218" xfId="0" applyFont="1" applyFill="1" applyBorder="1" applyAlignment="1">
      <alignment horizontal="center" vertical="center" wrapText="1"/>
    </xf>
    <xf numFmtId="0" fontId="83" fillId="46" borderId="222" xfId="0" applyFont="1" applyFill="1" applyBorder="1" applyAlignment="1">
      <alignment horizontal="center" vertical="top" wrapText="1"/>
    </xf>
    <xf numFmtId="0" fontId="83" fillId="46" borderId="169" xfId="0" applyFont="1" applyFill="1" applyBorder="1" applyAlignment="1">
      <alignment horizontal="center" vertical="top" wrapText="1"/>
    </xf>
    <xf numFmtId="193" fontId="83" fillId="0" borderId="219" xfId="0" applyNumberFormat="1" applyFont="1" applyBorder="1" applyAlignment="1">
      <alignment horizontal="center" vertical="center" wrapText="1"/>
    </xf>
    <xf numFmtId="193" fontId="83" fillId="0" borderId="220" xfId="0" applyNumberFormat="1" applyFont="1" applyBorder="1" applyAlignment="1">
      <alignment horizontal="center" vertical="center" wrapText="1"/>
    </xf>
    <xf numFmtId="193" fontId="83" fillId="0" borderId="221" xfId="0" applyNumberFormat="1" applyFont="1" applyBorder="1" applyAlignment="1">
      <alignment horizontal="center" vertical="center" wrapText="1"/>
    </xf>
    <xf numFmtId="0" fontId="83" fillId="0" borderId="219" xfId="0" applyFont="1" applyBorder="1" applyAlignment="1">
      <alignment horizontal="center" vertical="center" wrapText="1"/>
    </xf>
    <xf numFmtId="0" fontId="83" fillId="0" borderId="221" xfId="0" applyFont="1" applyBorder="1" applyAlignment="1">
      <alignment horizontal="center" vertical="center" wrapText="1"/>
    </xf>
    <xf numFmtId="0" fontId="83" fillId="17" borderId="284" xfId="0" applyFont="1" applyFill="1" applyBorder="1" applyAlignment="1">
      <alignment horizontal="center" vertical="center" wrapText="1"/>
    </xf>
    <xf numFmtId="0" fontId="83" fillId="17" borderId="285" xfId="0" applyFont="1" applyFill="1" applyBorder="1" applyAlignment="1">
      <alignment horizontal="center" vertical="center" wrapText="1"/>
    </xf>
    <xf numFmtId="193" fontId="99" fillId="17" borderId="286" xfId="0" applyNumberFormat="1" applyFont="1" applyFill="1" applyBorder="1" applyAlignment="1">
      <alignment horizontal="center" vertical="center" wrapText="1"/>
    </xf>
    <xf numFmtId="193" fontId="99" fillId="17" borderId="287" xfId="0" applyNumberFormat="1" applyFont="1" applyFill="1" applyBorder="1" applyAlignment="1">
      <alignment horizontal="center" vertical="center" wrapText="1"/>
    </xf>
    <xf numFmtId="0" fontId="83" fillId="51" borderId="283" xfId="0" applyFont="1" applyFill="1" applyBorder="1" applyAlignment="1">
      <alignment horizontal="center" vertical="center" wrapText="1"/>
    </xf>
    <xf numFmtId="0" fontId="83" fillId="51" borderId="171" xfId="0" applyFont="1" applyFill="1" applyBorder="1" applyAlignment="1">
      <alignment horizontal="center" vertical="center" wrapText="1"/>
    </xf>
    <xf numFmtId="0" fontId="38" fillId="17" borderId="7" xfId="0" applyFont="1" applyFill="1" applyBorder="1" applyAlignment="1">
      <alignment horizontal="center" vertical="center"/>
    </xf>
    <xf numFmtId="0" fontId="26" fillId="17" borderId="196" xfId="0" applyFont="1" applyFill="1" applyBorder="1" applyAlignment="1">
      <alignment horizontal="center" vertical="center" wrapText="1"/>
    </xf>
    <xf numFmtId="0" fontId="26" fillId="17" borderId="33" xfId="0" applyFont="1" applyFill="1" applyBorder="1" applyAlignment="1">
      <alignment horizontal="center" vertical="center" wrapText="1"/>
    </xf>
    <xf numFmtId="0" fontId="26" fillId="17" borderId="237" xfId="0" applyFont="1" applyFill="1" applyBorder="1" applyAlignment="1">
      <alignment horizontal="center" vertical="center" wrapText="1"/>
    </xf>
    <xf numFmtId="0" fontId="26" fillId="51" borderId="262" xfId="0" applyFont="1" applyFill="1" applyBorder="1" applyAlignment="1">
      <alignment horizontal="center" vertical="center" wrapText="1"/>
    </xf>
    <xf numFmtId="0" fontId="26" fillId="51" borderId="279" xfId="0" applyFont="1" applyFill="1" applyBorder="1" applyAlignment="1">
      <alignment horizontal="center" vertical="center" wrapText="1"/>
    </xf>
    <xf numFmtId="0" fontId="26" fillId="51" borderId="147" xfId="0" applyFont="1" applyFill="1" applyBorder="1" applyAlignment="1">
      <alignment horizontal="center" vertical="center" wrapText="1"/>
    </xf>
    <xf numFmtId="0" fontId="26" fillId="51" borderId="140" xfId="0" applyFont="1" applyFill="1" applyBorder="1" applyAlignment="1">
      <alignment horizontal="center" vertical="center" wrapText="1"/>
    </xf>
    <xf numFmtId="0" fontId="27" fillId="0" borderId="130" xfId="0" applyFont="1" applyBorder="1" applyAlignment="1">
      <alignment horizontal="center" vertical="center"/>
    </xf>
    <xf numFmtId="0" fontId="27" fillId="0" borderId="136" xfId="0" applyFont="1" applyBorder="1" applyAlignment="1">
      <alignment horizontal="center" vertical="center"/>
    </xf>
    <xf numFmtId="0" fontId="27" fillId="0" borderId="146" xfId="0" applyFont="1" applyBorder="1" applyAlignment="1">
      <alignment horizontal="center" vertical="center"/>
    </xf>
    <xf numFmtId="0" fontId="27" fillId="0" borderId="152" xfId="0" applyFont="1" applyBorder="1" applyAlignment="1">
      <alignment horizontal="center" vertical="center"/>
    </xf>
    <xf numFmtId="0" fontId="27" fillId="0" borderId="145" xfId="0" applyFont="1" applyBorder="1" applyAlignment="1">
      <alignment horizontal="center" vertical="center"/>
    </xf>
    <xf numFmtId="0" fontId="27" fillId="0" borderId="153" xfId="0" applyFont="1" applyBorder="1" applyAlignment="1">
      <alignment horizontal="center" vertical="center"/>
    </xf>
    <xf numFmtId="0" fontId="83" fillId="26" borderId="7" xfId="0" applyFont="1" applyFill="1" applyBorder="1" applyAlignment="1">
      <alignment horizontal="center" vertical="center" wrapText="1"/>
    </xf>
    <xf numFmtId="193" fontId="99" fillId="12" borderId="236" xfId="0" applyNumberFormat="1" applyFont="1" applyFill="1" applyBorder="1" applyAlignment="1">
      <alignment horizontal="center" vertical="center" wrapText="1"/>
    </xf>
    <xf numFmtId="193" fontId="99" fillId="12" borderId="206" xfId="0" applyNumberFormat="1" applyFont="1" applyFill="1" applyBorder="1" applyAlignment="1">
      <alignment horizontal="center" vertical="center" wrapText="1"/>
    </xf>
    <xf numFmtId="0" fontId="83" fillId="0" borderId="152" xfId="0" applyFont="1" applyBorder="1" applyAlignment="1">
      <alignment horizontal="center" vertical="center" wrapText="1"/>
    </xf>
    <xf numFmtId="0" fontId="83" fillId="0" borderId="153" xfId="0" applyFont="1" applyBorder="1" applyAlignment="1">
      <alignment horizontal="center" vertical="center" wrapText="1"/>
    </xf>
    <xf numFmtId="0" fontId="83" fillId="26" borderId="109" xfId="0" applyFont="1" applyFill="1" applyBorder="1" applyAlignment="1">
      <alignment horizontal="center" vertical="center" wrapText="1"/>
    </xf>
    <xf numFmtId="0" fontId="83" fillId="26" borderId="191" xfId="0" applyFont="1" applyFill="1" applyBorder="1" applyAlignment="1">
      <alignment horizontal="center" vertical="center" wrapText="1"/>
    </xf>
    <xf numFmtId="0" fontId="83" fillId="0" borderId="147" xfId="0" applyFont="1" applyBorder="1" applyAlignment="1">
      <alignment horizontal="center" vertical="center" wrapText="1"/>
    </xf>
    <xf numFmtId="0" fontId="83" fillId="46" borderId="110" xfId="0" applyFont="1" applyFill="1" applyBorder="1" applyAlignment="1">
      <alignment horizontal="center" vertical="center" wrapText="1"/>
    </xf>
    <xf numFmtId="0" fontId="123" fillId="56" borderId="317" xfId="0" applyNumberFormat="1" applyFont="1" applyFill="1" applyBorder="1"/>
    <xf numFmtId="0" fontId="124" fillId="56" borderId="317" xfId="0" applyNumberFormat="1" applyFont="1" applyFill="1" applyBorder="1"/>
    <xf numFmtId="0" fontId="125" fillId="56" borderId="317" xfId="0" applyNumberFormat="1" applyFont="1" applyFill="1" applyBorder="1"/>
    <xf numFmtId="220" fontId="126" fillId="56" borderId="317" xfId="0" applyNumberFormat="1" applyFont="1" applyFill="1" applyBorder="1" applyAlignment="1">
      <alignment horizontal="right"/>
    </xf>
    <xf numFmtId="0" fontId="126" fillId="57" borderId="318" xfId="0" applyNumberFormat="1" applyFont="1" applyFill="1" applyBorder="1" applyAlignment="1">
      <alignment horizontal="center" vertical="center" wrapText="1"/>
    </xf>
    <xf numFmtId="0" fontId="127" fillId="57" borderId="318" xfId="0" applyNumberFormat="1" applyFont="1" applyFill="1" applyBorder="1" applyAlignment="1">
      <alignment horizontal="center" vertical="center" wrapText="1"/>
    </xf>
    <xf numFmtId="0" fontId="126" fillId="58" borderId="317" xfId="0" applyNumberFormat="1" applyFont="1" applyFill="1" applyBorder="1"/>
    <xf numFmtId="0" fontId="123" fillId="58" borderId="317" xfId="0" applyNumberFormat="1" applyFont="1" applyFill="1" applyBorder="1"/>
    <xf numFmtId="0" fontId="128" fillId="56" borderId="317" xfId="0" applyNumberFormat="1" applyFont="1" applyFill="1" applyBorder="1"/>
    <xf numFmtId="221" fontId="128" fillId="56" borderId="317" xfId="0" applyNumberFormat="1" applyFont="1" applyFill="1" applyBorder="1"/>
    <xf numFmtId="0" fontId="126" fillId="59" borderId="319" xfId="0" applyNumberFormat="1" applyFont="1" applyFill="1" applyBorder="1"/>
    <xf numFmtId="0" fontId="123" fillId="59" borderId="319" xfId="0" applyNumberFormat="1" applyFont="1" applyFill="1" applyBorder="1"/>
    <xf numFmtId="221" fontId="126" fillId="59" borderId="319" xfId="0" applyNumberFormat="1" applyFont="1" applyFill="1" applyBorder="1"/>
    <xf numFmtId="0" fontId="126" fillId="59" borderId="320" xfId="0" applyNumberFormat="1" applyFont="1" applyFill="1" applyBorder="1"/>
    <xf numFmtId="0" fontId="123" fillId="59" borderId="320" xfId="0" applyNumberFormat="1" applyFont="1" applyFill="1" applyBorder="1"/>
    <xf numFmtId="221" fontId="126" fillId="59" borderId="320" xfId="0" applyNumberFormat="1" applyFont="1" applyFill="1" applyBorder="1"/>
    <xf numFmtId="0" fontId="126" fillId="59" borderId="321" xfId="0" applyNumberFormat="1" applyFont="1" applyFill="1" applyBorder="1"/>
    <xf numFmtId="0" fontId="123" fillId="59" borderId="321" xfId="0" applyNumberFormat="1" applyFont="1" applyFill="1" applyBorder="1"/>
    <xf numFmtId="221" fontId="126" fillId="59" borderId="321" xfId="0" applyNumberFormat="1" applyFont="1" applyFill="1" applyBorder="1"/>
    <xf numFmtId="0" fontId="126" fillId="56" borderId="317" xfId="0" applyNumberFormat="1" applyFont="1" applyFill="1" applyBorder="1"/>
    <xf numFmtId="0" fontId="129" fillId="56" borderId="317" xfId="0" applyNumberFormat="1" applyFont="1" applyFill="1" applyBorder="1"/>
    <xf numFmtId="0" fontId="128" fillId="56" borderId="317" xfId="0" applyNumberFormat="1" applyFont="1" applyFill="1" applyBorder="1" applyAlignment="1">
      <alignment vertical="top" wrapText="1"/>
    </xf>
    <xf numFmtId="0" fontId="126" fillId="56" borderId="317" xfId="0" applyNumberFormat="1" applyFont="1" applyFill="1" applyBorder="1" applyAlignment="1">
      <alignment vertical="top" wrapText="1"/>
    </xf>
    <xf numFmtId="221" fontId="126" fillId="56" borderId="317" xfId="0" applyNumberFormat="1" applyFont="1" applyFill="1" applyBorder="1"/>
    <xf numFmtId="0" fontId="128" fillId="56" borderId="317" xfId="0" applyNumberFormat="1" applyFont="1" applyFill="1" applyBorder="1" applyAlignment="1">
      <alignment wrapText="1"/>
    </xf>
    <xf numFmtId="0" fontId="130" fillId="56" borderId="317" xfId="0" applyNumberFormat="1" applyFont="1" applyFill="1" applyBorder="1" applyAlignment="1">
      <alignment vertical="top" wrapText="1"/>
    </xf>
    <xf numFmtId="0" fontId="128" fillId="56" borderId="317" xfId="0" applyNumberFormat="1" applyFont="1" applyFill="1" applyBorder="1" applyAlignment="1">
      <alignment horizontal="center"/>
    </xf>
    <xf numFmtId="0" fontId="131" fillId="60" borderId="317" xfId="0" applyNumberFormat="1" applyFont="1" applyFill="1" applyBorder="1" applyAlignment="1">
      <alignment horizontal="center"/>
    </xf>
    <xf numFmtId="222" fontId="128" fillId="56" borderId="317" xfId="0" applyNumberFormat="1" applyFont="1" applyFill="1" applyBorder="1" applyAlignment="1">
      <alignment horizontal="center"/>
    </xf>
    <xf numFmtId="1" fontId="128" fillId="56" borderId="317" xfId="0" applyNumberFormat="1" applyFont="1" applyFill="1" applyBorder="1" applyAlignment="1">
      <alignment horizontal="center"/>
    </xf>
    <xf numFmtId="0" fontId="126" fillId="57" borderId="317" xfId="0" applyNumberFormat="1" applyFont="1" applyFill="1" applyBorder="1" applyAlignment="1">
      <alignment horizontal="center"/>
    </xf>
    <xf numFmtId="0" fontId="132" fillId="56" borderId="317" xfId="0" applyNumberFormat="1" applyFont="1" applyFill="1" applyBorder="1"/>
    <xf numFmtId="0" fontId="131" fillId="56" borderId="317" xfId="0" applyNumberFormat="1" applyFont="1" applyFill="1" applyBorder="1" applyAlignment="1">
      <alignment horizontal="center"/>
    </xf>
    <xf numFmtId="222" fontId="131" fillId="56" borderId="317" xfId="0" applyNumberFormat="1" applyFont="1" applyFill="1" applyBorder="1" applyAlignment="1">
      <alignment horizontal="center"/>
    </xf>
    <xf numFmtId="0" fontId="133" fillId="61" borderId="322" xfId="0" applyNumberFormat="1" applyFont="1" applyFill="1" applyBorder="1"/>
    <xf numFmtId="0" fontId="134" fillId="62" borderId="323" xfId="0" applyNumberFormat="1" applyFont="1" applyFill="1" applyBorder="1"/>
    <xf numFmtId="223" fontId="134" fillId="62" borderId="323" xfId="0" applyNumberFormat="1" applyFont="1" applyFill="1" applyBorder="1"/>
    <xf numFmtId="0" fontId="135" fillId="61" borderId="322" xfId="0" applyNumberFormat="1" applyFont="1" applyFill="1" applyBorder="1"/>
    <xf numFmtId="0" fontId="136" fillId="61" borderId="322" xfId="0" applyNumberFormat="1" applyFont="1" applyFill="1" applyBorder="1"/>
    <xf numFmtId="0" fontId="134" fillId="63" borderId="322" xfId="0" applyNumberFormat="1" applyFont="1" applyFill="1" applyBorder="1"/>
    <xf numFmtId="224" fontId="134" fillId="63" borderId="322" xfId="0" applyNumberFormat="1" applyFont="1" applyFill="1" applyBorder="1" applyAlignment="1">
      <alignment horizontal="center"/>
    </xf>
    <xf numFmtId="0" fontId="134" fillId="63" borderId="322" xfId="0" applyNumberFormat="1" applyFont="1" applyFill="1" applyBorder="1" applyAlignment="1">
      <alignment horizontal="center"/>
    </xf>
    <xf numFmtId="0" fontId="134" fillId="64" borderId="323" xfId="0" applyNumberFormat="1" applyFont="1" applyFill="1" applyBorder="1"/>
    <xf numFmtId="0" fontId="133" fillId="64" borderId="323" xfId="0" applyNumberFormat="1" applyFont="1" applyFill="1" applyBorder="1"/>
    <xf numFmtId="223" fontId="134" fillId="64" borderId="323" xfId="0" applyNumberFormat="1" applyFont="1" applyFill="1" applyBorder="1"/>
    <xf numFmtId="0" fontId="133" fillId="62" borderId="323" xfId="0" applyNumberFormat="1" applyFont="1" applyFill="1" applyBorder="1"/>
    <xf numFmtId="0" fontId="137" fillId="61" borderId="322" xfId="0" applyNumberFormat="1" applyFont="1" applyFill="1" applyBorder="1" applyAlignment="1">
      <alignment indent="1"/>
    </xf>
    <xf numFmtId="223" fontId="137" fillId="61" borderId="322" xfId="0" applyNumberFormat="1" applyFont="1" applyFill="1" applyBorder="1"/>
    <xf numFmtId="0" fontId="137" fillId="61" borderId="322" xfId="0" applyNumberFormat="1" applyFont="1" applyFill="1" applyBorder="1" applyAlignment="1">
      <alignment indent="2"/>
    </xf>
    <xf numFmtId="0" fontId="138" fillId="65" borderId="322" xfId="0" applyNumberFormat="1" applyFont="1" applyFill="1" applyBorder="1"/>
    <xf numFmtId="0" fontId="137" fillId="61" borderId="322" xfId="0" applyNumberFormat="1" applyFont="1" applyFill="1" applyBorder="1" applyAlignment="1">
      <alignment horizontal="center"/>
    </xf>
    <xf numFmtId="0" fontId="139" fillId="61" borderId="322" xfId="0" applyNumberFormat="1" applyFont="1" applyFill="1" applyBorder="1"/>
    <xf numFmtId="0" fontId="137" fillId="61" borderId="322" xfId="0" applyNumberFormat="1" applyFont="1" applyFill="1" applyBorder="1"/>
    <xf numFmtId="223" fontId="138" fillId="65" borderId="322" xfId="0" applyNumberFormat="1" applyFont="1" applyFill="1" applyBorder="1"/>
    <xf numFmtId="0" fontId="134" fillId="61" borderId="322" xfId="0" applyNumberFormat="1" applyFont="1" applyFill="1" applyBorder="1"/>
    <xf numFmtId="0" fontId="140" fillId="61" borderId="322" xfId="0" applyNumberFormat="1" applyFont="1" applyFill="1" applyBorder="1"/>
    <xf numFmtId="223" fontId="134" fillId="61" borderId="322" xfId="0" applyNumberFormat="1" applyFont="1" applyFill="1" applyBorder="1"/>
    <xf numFmtId="0" fontId="141" fillId="61" borderId="322" xfId="0" applyNumberFormat="1" applyFont="1" applyFill="1" applyBorder="1" applyAlignment="1">
      <alignment vertical="top" wrapText="1"/>
    </xf>
    <xf numFmtId="0" fontId="134" fillId="63" borderId="324" xfId="0" applyNumberFormat="1" applyFont="1" applyFill="1" applyBorder="1" applyAlignment="1">
      <alignment horizontal="center"/>
    </xf>
    <xf numFmtId="224" fontId="134" fillId="63" borderId="324" xfId="0" applyNumberFormat="1" applyFont="1" applyFill="1" applyBorder="1" applyAlignment="1">
      <alignment horizontal="center"/>
    </xf>
    <xf numFmtId="0" fontId="137" fillId="64" borderId="322" xfId="0" applyNumberFormat="1" applyFont="1" applyFill="1" applyBorder="1"/>
    <xf numFmtId="0" fontId="133" fillId="64" borderId="322" xfId="0" applyNumberFormat="1" applyFont="1" applyFill="1" applyBorder="1"/>
    <xf numFmtId="225" fontId="137" fillId="61" borderId="322" xfId="0" applyNumberFormat="1" applyFont="1" applyFill="1" applyBorder="1"/>
  </cellXfs>
  <cellStyles count="71">
    <cellStyle name="Comma [0]" xfId="68" xr:uid="{00000000-0005-0000-0000-000000000000}"/>
    <cellStyle name="Normal 2" xfId="64" xr:uid="{00000000-0005-0000-0000-000001000000}"/>
    <cellStyle name="나쁨 2" xfId="60" xr:uid="{00000000-0005-0000-0000-000002000000}"/>
    <cellStyle name="백분율" xfId="2" builtinId="5"/>
    <cellStyle name="백분율 13 4" xfId="44" xr:uid="{00000000-0005-0000-0000-000004000000}"/>
    <cellStyle name="백분율 15" xfId="6" xr:uid="{00000000-0005-0000-0000-000005000000}"/>
    <cellStyle name="백분율 2" xfId="47" xr:uid="{00000000-0005-0000-0000-000006000000}"/>
    <cellStyle name="백분율 2 2" xfId="13" xr:uid="{00000000-0005-0000-0000-000007000000}"/>
    <cellStyle name="백분율 2 2 2" xfId="59" xr:uid="{00000000-0005-0000-0000-000008000000}"/>
    <cellStyle name="백분율 2 3" xfId="52" xr:uid="{00000000-0005-0000-0000-000009000000}"/>
    <cellStyle name="백분율 3 2" xfId="14" xr:uid="{00000000-0005-0000-0000-00000A000000}"/>
    <cellStyle name="쉼표 [0]" xfId="1" builtinId="6"/>
    <cellStyle name="쉼표 [0] 10" xfId="46" xr:uid="{00000000-0005-0000-0000-00000D000000}"/>
    <cellStyle name="쉼표 [0] 10 2" xfId="54" xr:uid="{00000000-0005-0000-0000-00000E000000}"/>
    <cellStyle name="쉼표 [0] 15" xfId="8" xr:uid="{00000000-0005-0000-0000-00000F000000}"/>
    <cellStyle name="쉼표 [0] 15 18" xfId="43" xr:uid="{00000000-0005-0000-0000-000010000000}"/>
    <cellStyle name="쉼표 [0] 15 2" xfId="36" xr:uid="{00000000-0005-0000-0000-000011000000}"/>
    <cellStyle name="쉼표 [0] 17 4" xfId="67" xr:uid="{00000000-0005-0000-0000-000012000000}"/>
    <cellStyle name="쉼표 [0] 19" xfId="4" xr:uid="{00000000-0005-0000-0000-000013000000}"/>
    <cellStyle name="쉼표 [0] 19 2" xfId="34" xr:uid="{00000000-0005-0000-0000-000014000000}"/>
    <cellStyle name="쉼표 [0] 2" xfId="33" xr:uid="{00000000-0005-0000-0000-000015000000}"/>
    <cellStyle name="쉼표 [0] 2 2" xfId="20" xr:uid="{00000000-0005-0000-0000-000016000000}"/>
    <cellStyle name="쉼표 [0] 2 2 2" xfId="39" xr:uid="{00000000-0005-0000-0000-000017000000}"/>
    <cellStyle name="쉼표 [0] 2 2 2 2" xfId="57" xr:uid="{00000000-0005-0000-0000-000018000000}"/>
    <cellStyle name="쉼표 [0] 2 2 3 3" xfId="27" xr:uid="{00000000-0005-0000-0000-000019000000}"/>
    <cellStyle name="쉼표 [0] 2 3" xfId="49" xr:uid="{00000000-0005-0000-0000-00001A000000}"/>
    <cellStyle name="쉼표 [0] 2 3 2 2" xfId="5" xr:uid="{00000000-0005-0000-0000-00001B000000}"/>
    <cellStyle name="쉼표 [0] 2 3 2 2 2" xfId="35" xr:uid="{00000000-0005-0000-0000-00001C000000}"/>
    <cellStyle name="쉼표 [0] 2 4" xfId="55" xr:uid="{00000000-0005-0000-0000-00001D000000}"/>
    <cellStyle name="쉼표 [0] 24 2 2" xfId="32" xr:uid="{00000000-0005-0000-0000-00001E000000}"/>
    <cellStyle name="쉼표 [0] 24 2 2 2" xfId="26" xr:uid="{00000000-0005-0000-0000-00001F000000}"/>
    <cellStyle name="쉼표 [0] 3" xfId="10" xr:uid="{00000000-0005-0000-0000-000020000000}"/>
    <cellStyle name="쉼표 [0] 3 2" xfId="37" xr:uid="{00000000-0005-0000-0000-000021000000}"/>
    <cellStyle name="쉼표 [0] 32" xfId="30" xr:uid="{00000000-0005-0000-0000-000022000000}"/>
    <cellStyle name="쉼표 [0] 4" xfId="45" xr:uid="{00000000-0005-0000-0000-000023000000}"/>
    <cellStyle name="쉼표 [0] 5" xfId="62" xr:uid="{00000000-0005-0000-0000-000024000000}"/>
    <cellStyle name="쉼표 [0] 6" xfId="19" xr:uid="{00000000-0005-0000-0000-000025000000}"/>
    <cellStyle name="쉼표 [0] 6 2" xfId="38" xr:uid="{00000000-0005-0000-0000-000026000000}"/>
    <cellStyle name="쉼표 [0] 7" xfId="22" xr:uid="{00000000-0005-0000-0000-000027000000}"/>
    <cellStyle name="쉼표 [0] 7 2" xfId="40" xr:uid="{00000000-0005-0000-0000-000028000000}"/>
    <cellStyle name="쉼표 2 8" xfId="58" xr:uid="{00000000-0005-0000-0000-000029000000}"/>
    <cellStyle name="一般 2" xfId="70" xr:uid="{00000000-0005-0000-0000-00002A000000}"/>
    <cellStyle name="一般 3" xfId="69" xr:uid="{00000000-0005-0000-0000-00002B000000}"/>
    <cellStyle name="표준" xfId="0" builtinId="0"/>
    <cellStyle name="표준 10 7" xfId="53" xr:uid="{00000000-0005-0000-0000-00002D000000}"/>
    <cellStyle name="표준 12 2" xfId="24" xr:uid="{00000000-0005-0000-0000-00002E000000}"/>
    <cellStyle name="표준 13" xfId="25" xr:uid="{00000000-0005-0000-0000-00002F000000}"/>
    <cellStyle name="표준 16" xfId="21" xr:uid="{00000000-0005-0000-0000-000030000000}"/>
    <cellStyle name="표준 16 2" xfId="56" xr:uid="{00000000-0005-0000-0000-000031000000}"/>
    <cellStyle name="표준 2" xfId="18" xr:uid="{00000000-0005-0000-0000-000032000000}"/>
    <cellStyle name="표준 2 2" xfId="48" xr:uid="{00000000-0005-0000-0000-000033000000}"/>
    <cellStyle name="표준 2 2 2 3" xfId="23" xr:uid="{00000000-0005-0000-0000-000034000000}"/>
    <cellStyle name="표준 2 2 5 2" xfId="29" xr:uid="{00000000-0005-0000-0000-000035000000}"/>
    <cellStyle name="표준 2 2 5 2 2" xfId="28" xr:uid="{00000000-0005-0000-0000-000036000000}"/>
    <cellStyle name="표준 2 2_B1." xfId="31" xr:uid="{00000000-0005-0000-0000-000037000000}"/>
    <cellStyle name="표준 2 6" xfId="65" xr:uid="{00000000-0005-0000-0000-000038000000}"/>
    <cellStyle name="표준 2_엘지이노텍(법인세)IFRS" xfId="9" xr:uid="{00000000-0005-0000-0000-000039000000}"/>
    <cellStyle name="표준 2_엘지이노텍(법인세)IFRS 2" xfId="17" xr:uid="{00000000-0005-0000-0000-00003A000000}"/>
    <cellStyle name="표준 20" xfId="66" xr:uid="{00000000-0005-0000-0000-00003B000000}"/>
    <cellStyle name="표준 3" xfId="7" xr:uid="{00000000-0005-0000-0000-00003C000000}"/>
    <cellStyle name="표준 34" xfId="41" xr:uid="{00000000-0005-0000-0000-00003D000000}"/>
    <cellStyle name="표준 4" xfId="42" xr:uid="{00000000-0005-0000-0000-00003E000000}"/>
    <cellStyle name="표준 5" xfId="51" xr:uid="{00000000-0005-0000-0000-00003F000000}"/>
    <cellStyle name="표준 56" xfId="50" xr:uid="{00000000-0005-0000-0000-000040000000}"/>
    <cellStyle name="표준 6" xfId="61" xr:uid="{00000000-0005-0000-0000-000041000000}"/>
    <cellStyle name="표준_(3103)지분법평가Test 3" xfId="12" xr:uid="{00000000-0005-0000-0000-000042000000}"/>
    <cellStyle name="표준_(3103)지분법평가Test_0512지분법" xfId="11" xr:uid="{00000000-0005-0000-0000-000043000000}"/>
    <cellStyle name="표준_LG_NOTES_V6.3_kor_Sim_변경 2" xfId="15" xr:uid="{00000000-0005-0000-0000-000044000000}"/>
    <cellStyle name="표준_STANDRD1 2" xfId="16" xr:uid="{00000000-0005-0000-0000-000045000000}"/>
    <cellStyle name="표준_정산표_20090803_1" xfId="3" xr:uid="{00000000-0005-0000-0000-000046000000}"/>
    <cellStyle name="하이퍼링크" xfId="63" builtinId="8"/>
  </cellStyles>
  <dxfs count="174">
    <dxf>
      <fill>
        <patternFill>
          <bgColor theme="9" tint="0.79998168889431442"/>
        </patternFill>
      </fill>
    </dxf>
    <dxf>
      <fill>
        <patternFill>
          <bgColor theme="5"/>
        </patternFill>
      </fill>
    </dxf>
    <dxf>
      <fill>
        <patternFill>
          <bgColor rgb="FFC00000"/>
        </patternFill>
      </fill>
    </dxf>
    <dxf>
      <fill>
        <patternFill>
          <bgColor theme="9" tint="0.79998168889431442"/>
        </patternFill>
      </fill>
    </dxf>
    <dxf>
      <fill>
        <patternFill>
          <bgColor rgb="FFFF0000"/>
        </patternFill>
      </fill>
    </dxf>
    <dxf>
      <fill>
        <patternFill>
          <bgColor rgb="FFFF0000"/>
        </patternFill>
      </fill>
    </dxf>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rgb="FFFF0000"/>
        </patternFill>
      </fill>
    </dxf>
    <dxf>
      <fill>
        <patternFill>
          <bgColor theme="9" tint="0.79998168889431442"/>
        </patternFill>
      </fill>
    </dxf>
    <dxf>
      <fill>
        <patternFill>
          <bgColor theme="5"/>
        </patternFill>
      </fill>
    </dxf>
    <dxf>
      <fill>
        <patternFill>
          <bgColor rgb="FFFF0000"/>
        </patternFill>
      </fill>
    </dxf>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rgb="FFC00000"/>
        </patternFill>
      </fill>
    </dxf>
    <dxf>
      <fill>
        <patternFill>
          <bgColor theme="9" tint="0.79998168889431442"/>
        </patternFill>
      </fill>
    </dxf>
    <dxf>
      <fill>
        <patternFill>
          <bgColor rgb="FFC00000"/>
        </patternFill>
      </fill>
    </dxf>
    <dxf>
      <fill>
        <patternFill>
          <bgColor theme="9" tint="0.79998168889431442"/>
        </patternFill>
      </fill>
    </dxf>
    <dxf>
      <fill>
        <patternFill>
          <bgColor rgb="FFC00000"/>
        </patternFill>
      </fill>
    </dxf>
    <dxf>
      <fill>
        <patternFill>
          <bgColor theme="9" tint="0.79998168889431442"/>
        </patternFill>
      </fill>
    </dxf>
    <dxf>
      <fill>
        <patternFill>
          <bgColor rgb="FFC00000"/>
        </patternFill>
      </fill>
    </dxf>
    <dxf>
      <fill>
        <patternFill>
          <bgColor theme="9" tint="0.79998168889431442"/>
        </patternFill>
      </fill>
    </dxf>
    <dxf>
      <fill>
        <patternFill>
          <bgColor theme="9" tint="0.79998168889431442"/>
        </patternFill>
      </fill>
    </dxf>
    <dxf>
      <fill>
        <patternFill>
          <bgColor rgb="FFC00000"/>
        </patternFill>
      </fill>
    </dxf>
    <dxf>
      <fill>
        <patternFill>
          <bgColor theme="9" tint="0.79998168889431442"/>
        </patternFill>
      </fill>
    </dxf>
    <dxf>
      <fill>
        <patternFill>
          <bgColor rgb="FFC00000"/>
        </patternFill>
      </fill>
    </dxf>
    <dxf>
      <fill>
        <patternFill>
          <bgColor theme="9" tint="0.79998168889431442"/>
        </patternFill>
      </fill>
    </dxf>
    <dxf>
      <fill>
        <patternFill>
          <bgColor rgb="FFC00000"/>
        </patternFill>
      </fill>
    </dxf>
    <dxf>
      <fill>
        <patternFill>
          <bgColor rgb="FFC00000"/>
        </patternFill>
      </fill>
    </dxf>
    <dxf>
      <fill>
        <patternFill>
          <bgColor theme="9" tint="0.79998168889431442"/>
        </patternFill>
      </fill>
    </dxf>
    <dxf>
      <fill>
        <patternFill>
          <bgColor rgb="FFC00000"/>
        </patternFill>
      </fill>
    </dxf>
    <dxf>
      <fill>
        <patternFill>
          <bgColor theme="9" tint="0.79998168889431442"/>
        </patternFill>
      </fill>
    </dxf>
    <dxf>
      <fill>
        <patternFill>
          <bgColor theme="9" tint="0.79998168889431442"/>
        </patternFill>
      </fill>
    </dxf>
    <dxf>
      <fill>
        <patternFill>
          <bgColor theme="5"/>
        </patternFill>
      </fill>
    </dxf>
    <dxf>
      <fill>
        <patternFill>
          <bgColor rgb="FFC00000"/>
        </patternFill>
      </fill>
    </dxf>
    <dxf>
      <fill>
        <patternFill>
          <bgColor theme="9" tint="0.79998168889431442"/>
        </patternFill>
      </fill>
    </dxf>
    <dxf>
      <fill>
        <patternFill>
          <bgColor rgb="FFC00000"/>
        </patternFill>
      </fill>
    </dxf>
    <dxf>
      <fill>
        <patternFill>
          <bgColor theme="9" tint="0.79998168889431442"/>
        </patternFill>
      </fill>
    </dxf>
    <dxf>
      <fill>
        <patternFill>
          <bgColor rgb="FFC00000"/>
        </patternFill>
      </fill>
    </dxf>
    <dxf>
      <fill>
        <patternFill>
          <bgColor theme="9" tint="0.79998168889431442"/>
        </patternFill>
      </fill>
    </dxf>
    <dxf>
      <fill>
        <patternFill>
          <bgColor rgb="FFC00000"/>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rgb="FFC00000"/>
        </patternFill>
      </fill>
    </dxf>
    <dxf>
      <fill>
        <patternFill>
          <bgColor theme="9" tint="0.79998168889431442"/>
        </patternFill>
      </fill>
    </dxf>
    <dxf>
      <fill>
        <patternFill>
          <bgColor theme="9" tint="0.79998168889431442"/>
        </patternFill>
      </fill>
    </dxf>
    <dxf>
      <fill>
        <patternFill>
          <bgColor rgb="FFC00000"/>
        </patternFill>
      </fill>
    </dxf>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rgb="FFFF0000"/>
        </patternFill>
      </fill>
    </dxf>
    <dxf>
      <fill>
        <patternFill>
          <bgColor rgb="FFC00000"/>
        </patternFill>
      </fill>
    </dxf>
    <dxf>
      <fill>
        <patternFill>
          <bgColor theme="9" tint="0.79998168889431442"/>
        </patternFill>
      </fill>
    </dxf>
    <dxf>
      <fill>
        <patternFill>
          <bgColor rgb="FFC00000"/>
        </patternFill>
      </fill>
    </dxf>
    <dxf>
      <fill>
        <patternFill>
          <bgColor theme="9" tint="0.79998168889431442"/>
        </patternFill>
      </fill>
    </dxf>
    <dxf>
      <fill>
        <patternFill>
          <bgColor rgb="FFC00000"/>
        </patternFill>
      </fill>
    </dxf>
    <dxf>
      <fill>
        <patternFill>
          <bgColor theme="9" tint="0.79998168889431442"/>
        </patternFill>
      </fill>
    </dxf>
    <dxf>
      <fill>
        <patternFill>
          <bgColor rgb="FFC00000"/>
        </patternFill>
      </fill>
    </dxf>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rgb="FFC00000"/>
        </patternFill>
      </fill>
    </dxf>
    <dxf>
      <fill>
        <patternFill>
          <bgColor theme="9" tint="0.79998168889431442"/>
        </patternFill>
      </fill>
    </dxf>
    <dxf>
      <fill>
        <patternFill>
          <bgColor theme="9" tint="0.79998168889431442"/>
        </patternFill>
      </fill>
    </dxf>
    <dxf>
      <fill>
        <patternFill>
          <bgColor rgb="FFC00000"/>
        </patternFill>
      </fill>
    </dxf>
    <dxf>
      <fill>
        <patternFill>
          <bgColor theme="9" tint="0.79998168889431442"/>
        </patternFill>
      </fill>
    </dxf>
    <dxf>
      <fill>
        <patternFill>
          <bgColor rgb="FFC00000"/>
        </patternFill>
      </fill>
    </dxf>
    <dxf>
      <fill>
        <patternFill>
          <bgColor theme="5"/>
        </patternFill>
      </fill>
    </dxf>
    <dxf>
      <fill>
        <patternFill>
          <bgColor theme="9" tint="0.79998168889431442"/>
        </patternFill>
      </fill>
    </dxf>
    <dxf>
      <fill>
        <patternFill>
          <bgColor theme="9" tint="0.79998168889431442"/>
        </patternFill>
      </fill>
    </dxf>
    <dxf>
      <fill>
        <patternFill>
          <bgColor rgb="FFC00000"/>
        </patternFill>
      </fill>
    </dxf>
    <dxf>
      <fill>
        <patternFill>
          <bgColor rgb="FFC00000"/>
        </patternFill>
      </fill>
    </dxf>
    <dxf>
      <fill>
        <patternFill>
          <bgColor theme="9" tint="0.79998168889431442"/>
        </patternFill>
      </fill>
    </dxf>
    <dxf>
      <fill>
        <patternFill>
          <bgColor rgb="FFC00000"/>
        </patternFill>
      </fill>
    </dxf>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rgb="FFFF0000"/>
        </patternFill>
      </fill>
    </dxf>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rgb="FFC00000"/>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rgb="FFFF0000"/>
        </patternFill>
      </fill>
    </dxf>
    <dxf>
      <fill>
        <patternFill>
          <bgColor theme="9" tint="0.79998168889431442"/>
        </patternFill>
      </fill>
    </dxf>
    <dxf>
      <fill>
        <patternFill>
          <bgColor rgb="FFFF0000"/>
        </patternFill>
      </fill>
    </dxf>
    <dxf>
      <fill>
        <patternFill>
          <bgColor rgb="FFFF0000"/>
        </patternFill>
      </fill>
    </dxf>
    <dxf>
      <fill>
        <patternFill>
          <bgColor theme="9" tint="0.79998168889431442"/>
        </patternFill>
      </fill>
    </dxf>
    <dxf>
      <fill>
        <patternFill>
          <bgColor theme="9" tint="0.79998168889431442"/>
        </patternFill>
      </fill>
    </dxf>
    <dxf>
      <fill>
        <patternFill>
          <bgColor rgb="FFFF0000"/>
        </patternFill>
      </fill>
    </dxf>
    <dxf>
      <fill>
        <patternFill>
          <bgColor theme="9" tint="0.79998168889431442"/>
        </patternFill>
      </fill>
    </dxf>
    <dxf>
      <fill>
        <patternFill>
          <bgColor rgb="FFFF0000"/>
        </patternFill>
      </fill>
    </dxf>
    <dxf>
      <fill>
        <patternFill>
          <bgColor theme="9" tint="0.79998168889431442"/>
        </patternFill>
      </fill>
    </dxf>
    <dxf>
      <fill>
        <patternFill>
          <bgColor theme="5"/>
        </patternFill>
      </fill>
    </dxf>
    <dxf>
      <fill>
        <patternFill>
          <bgColor rgb="FFFF0000"/>
        </patternFill>
      </fill>
    </dxf>
    <dxf>
      <fill>
        <patternFill>
          <bgColor theme="9" tint="0.79998168889431442"/>
        </patternFill>
      </fill>
    </dxf>
    <dxf>
      <fill>
        <patternFill>
          <bgColor rgb="FFFF0000"/>
        </patternFill>
      </fill>
    </dxf>
    <dxf>
      <fill>
        <patternFill>
          <bgColor theme="9" tint="0.79998168889431442"/>
        </patternFill>
      </fill>
    </dxf>
    <dxf>
      <fill>
        <patternFill>
          <bgColor rgb="FFFF0000"/>
        </patternFill>
      </fill>
    </dxf>
    <dxf>
      <fill>
        <patternFill>
          <bgColor rgb="FFC00000"/>
        </patternFill>
      </fill>
    </dxf>
    <dxf>
      <fill>
        <patternFill>
          <bgColor theme="9" tint="0.79998168889431442"/>
        </patternFill>
      </fill>
    </dxf>
    <dxf>
      <font>
        <i val="0"/>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b/>
        <i val="0"/>
        <condense val="0"/>
        <extend val="0"/>
        <color indexed="12"/>
      </font>
    </dxf>
    <dxf>
      <font>
        <color rgb="FF9C0006"/>
      </font>
      <fill>
        <patternFill>
          <bgColor rgb="FFFFC7CE"/>
        </patternFill>
      </fill>
    </dxf>
    <dxf>
      <font>
        <color rgb="FF9C0006"/>
      </font>
      <fill>
        <patternFill>
          <bgColor rgb="FFFFC7CE"/>
        </patternFill>
      </fill>
    </dxf>
    <dxf>
      <font>
        <b/>
        <i val="0"/>
        <condense val="0"/>
        <extend val="0"/>
        <color indexed="12"/>
      </font>
    </dxf>
    <dxf>
      <fill>
        <patternFill>
          <bgColor indexed="10"/>
        </patternFill>
      </fill>
    </dxf>
    <dxf>
      <font>
        <b/>
        <i val="0"/>
      </font>
      <fill>
        <patternFill>
          <bgColor rgb="FFFF0000"/>
        </patternFill>
      </fill>
    </dxf>
    <dxf>
      <fill>
        <patternFill>
          <bgColor rgb="FFFF0000"/>
        </patternFill>
      </fill>
    </dxf>
    <dxf>
      <font>
        <b/>
        <i val="0"/>
      </font>
      <fill>
        <patternFill>
          <bgColor rgb="FFFF0000"/>
        </patternFill>
      </fill>
    </dxf>
    <dxf>
      <fill>
        <patternFill>
          <bgColor rgb="FFFF0000"/>
        </patternFill>
      </fill>
    </dxf>
    <dxf>
      <fill>
        <patternFill>
          <bgColor rgb="FFFF0000"/>
        </patternFill>
      </fill>
    </dxf>
    <dxf>
      <fill>
        <patternFill>
          <bgColor theme="9" tint="0.79998168889431442"/>
        </patternFill>
      </fill>
    </dxf>
    <dxf>
      <fill>
        <patternFill>
          <bgColor rgb="FFFF0000"/>
        </patternFill>
      </fill>
    </dxf>
    <dxf>
      <fill>
        <patternFill>
          <bgColor rgb="FFFF0000"/>
        </patternFill>
      </fill>
    </dxf>
    <dxf>
      <font>
        <color rgb="FF9C0006"/>
      </font>
      <fill>
        <patternFill>
          <bgColor rgb="FFFFC7CE"/>
        </patternFill>
      </fill>
    </dxf>
    <dxf>
      <fill>
        <patternFill>
          <bgColor rgb="FFFF0000"/>
        </patternFill>
      </fill>
    </dxf>
    <dxf>
      <fill>
        <patternFill>
          <bgColor rgb="FFC00000"/>
        </patternFill>
      </fill>
    </dxf>
    <dxf>
      <fill>
        <patternFill>
          <bgColor theme="9" tint="0.79998168889431442"/>
        </patternFill>
      </fill>
    </dxf>
    <dxf>
      <fill>
        <patternFill>
          <bgColor rgb="FFC00000"/>
        </patternFill>
      </fill>
    </dxf>
    <dxf>
      <fill>
        <patternFill>
          <bgColor theme="9" tint="0.79998168889431442"/>
        </patternFill>
      </fill>
    </dxf>
    <dxf>
      <fill>
        <patternFill>
          <bgColor rgb="FFC00000"/>
        </patternFill>
      </fill>
    </dxf>
    <dxf>
      <fill>
        <patternFill>
          <bgColor theme="9"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FF99"/>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sheetMetadata" Target="metadata.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61" Type="http://schemas.openxmlformats.org/officeDocument/2006/relationships/worksheet" Target="worksheets/sheet61.xml"/><Relationship Id="rId82" Type="http://schemas.openxmlformats.org/officeDocument/2006/relationships/styles" Target="styles.xml"/><Relationship Id="rId86" Type="http://schemas.openxmlformats.org/officeDocument/2006/relationships/worksheet" Target="worksheets/sheet81.xml"/><Relationship Id="rId87" Type="http://schemas.openxmlformats.org/officeDocument/2006/relationships/worksheet" Target="worksheets/sheet82.xml"/><Relationship Id="rId88" Type="http://schemas.openxmlformats.org/officeDocument/2006/relationships/worksheet" Target="worksheets/sheet83.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7.emf"/></Relationships>
</file>

<file path=xl/drawings/_rels/drawing6.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_rels/drawing11.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9.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8.emf"/></Relationships>
</file>

<file path=xl/drawings/drawing1.xml><?xml version="1.0" encoding="utf-8"?>
<xdr:wsDr xmlns:xdr="http://schemas.openxmlformats.org/drawingml/2006/spreadsheetDrawing" xmlns:a="http://schemas.openxmlformats.org/drawingml/2006/main">
  <xdr:twoCellAnchor>
    <xdr:from>
      <xdr:col>2</xdr:col>
      <xdr:colOff>9525</xdr:colOff>
      <xdr:row>0</xdr:row>
      <xdr:rowOff>123825</xdr:rowOff>
    </xdr:from>
    <xdr:to>
      <xdr:col>5</xdr:col>
      <xdr:colOff>542925</xdr:colOff>
      <xdr:row>2</xdr:row>
      <xdr:rowOff>200025</xdr:rowOff>
    </xdr:to>
    <xdr:sp macro="" textlink="">
      <xdr:nvSpPr>
        <xdr:cNvPr id="2" name="AutoShape 2">
          <a:extLst>
            <a:ext uri="{FF2B5EF4-FFF2-40B4-BE49-F238E27FC236}">
              <a16:creationId xmlns:a16="http://schemas.microsoft.com/office/drawing/2014/main" id="{D4F0C1A5-A388-49D9-967D-36B467E3F124}"/>
            </a:ext>
          </a:extLst>
        </xdr:cNvPr>
        <xdr:cNvSpPr>
          <a:spLocks noChangeArrowheads="1"/>
        </xdr:cNvSpPr>
      </xdr:nvSpPr>
      <xdr:spPr bwMode="auto">
        <a:xfrm>
          <a:off x="1095375" y="123825"/>
          <a:ext cx="4610100" cy="733425"/>
        </a:xfrm>
        <a:prstGeom prst="ribbon2">
          <a:avLst>
            <a:gd name="adj1" fmla="val 12500"/>
            <a:gd name="adj2" fmla="val 50000"/>
          </a:avLst>
        </a:prstGeom>
        <a:solidFill>
          <a:srgbClr val="CC9CCC">
            <a:alpha val="50195"/>
          </a:srgbClr>
        </a:solidFill>
        <a:ln w="9525">
          <a:solidFill>
            <a:srgbClr val="000000"/>
          </a:solidFill>
          <a:round/>
          <a:headEnd/>
          <a:tailEnd/>
        </a:ln>
      </xdr:spPr>
    </xdr:sp>
    <xdr:clientData/>
  </xdr:twoCellAnchor>
  <xdr:twoCellAnchor>
    <xdr:from>
      <xdr:col>2</xdr:col>
      <xdr:colOff>0</xdr:colOff>
      <xdr:row>3</xdr:row>
      <xdr:rowOff>0</xdr:rowOff>
    </xdr:from>
    <xdr:to>
      <xdr:col>6</xdr:col>
      <xdr:colOff>0</xdr:colOff>
      <xdr:row>13</xdr:row>
      <xdr:rowOff>0</xdr:rowOff>
    </xdr:to>
    <xdr:sp macro="" textlink="">
      <xdr:nvSpPr>
        <xdr:cNvPr id="3" name="Rectangle 3">
          <a:extLst>
            <a:ext uri="{FF2B5EF4-FFF2-40B4-BE49-F238E27FC236}">
              <a16:creationId xmlns:a16="http://schemas.microsoft.com/office/drawing/2014/main" id="{28C818DD-A336-47F1-8271-0E8866935204}"/>
            </a:ext>
          </a:extLst>
        </xdr:cNvPr>
        <xdr:cNvSpPr>
          <a:spLocks noChangeArrowheads="1"/>
        </xdr:cNvSpPr>
      </xdr:nvSpPr>
      <xdr:spPr bwMode="auto">
        <a:xfrm>
          <a:off x="1085850" y="1028700"/>
          <a:ext cx="5029200" cy="1952625"/>
        </a:xfrm>
        <a:prstGeom prst="rect">
          <a:avLst/>
        </a:prstGeom>
        <a:noFill/>
        <a:ln w="9525">
          <a:solidFill>
            <a:srgbClr val="000000"/>
          </a:solidFill>
          <a:miter lim="800000"/>
          <a:headEnd/>
          <a:tailEnd/>
        </a:ln>
        <a:effectLst>
          <a:outerShdw dist="107763" dir="2700000" algn="ctr" rotWithShape="0">
            <a:srgbClr val="808080"/>
          </a:outerShdw>
        </a:effectLst>
      </xdr:spPr>
      <xdr:txBody>
        <a:bodyPr/>
        <a:lstStyle/>
        <a:p>
          <a:endParaRPr lang="ko-KR" altLang="en-US"/>
        </a:p>
      </xdr:txBody>
    </xdr:sp>
    <xdr:clientData/>
  </xdr:twoCellAnchor>
  <xdr:twoCellAnchor>
    <xdr:from>
      <xdr:col>3</xdr:col>
      <xdr:colOff>1457325</xdr:colOff>
      <xdr:row>1</xdr:row>
      <xdr:rowOff>19050</xdr:rowOff>
    </xdr:from>
    <xdr:to>
      <xdr:col>4</xdr:col>
      <xdr:colOff>1438275</xdr:colOff>
      <xdr:row>2</xdr:row>
      <xdr:rowOff>0</xdr:rowOff>
    </xdr:to>
    <xdr:sp macro="" textlink="">
      <xdr:nvSpPr>
        <xdr:cNvPr id="4" name="Rectangle 4">
          <a:extLst>
            <a:ext uri="{FF2B5EF4-FFF2-40B4-BE49-F238E27FC236}">
              <a16:creationId xmlns:a16="http://schemas.microsoft.com/office/drawing/2014/main" id="{9E32F40A-A878-47B1-B8D7-A5E695870D34}"/>
            </a:ext>
          </a:extLst>
        </xdr:cNvPr>
        <xdr:cNvSpPr>
          <a:spLocks noChangeArrowheads="1"/>
        </xdr:cNvSpPr>
      </xdr:nvSpPr>
      <xdr:spPr bwMode="auto">
        <a:xfrm>
          <a:off x="2628900" y="190500"/>
          <a:ext cx="1933575" cy="466725"/>
        </a:xfrm>
        <a:prstGeom prst="rect">
          <a:avLst/>
        </a:prstGeom>
        <a:solidFill>
          <a:srgbClr val="00CCFF">
            <a:alpha val="50000"/>
          </a:srgbClr>
        </a:solidFill>
        <a:ln w="9525">
          <a:noFill/>
          <a:miter lim="800000"/>
          <a:headEnd/>
          <a:tailEnd/>
        </a:ln>
      </xdr:spPr>
      <xdr:txBody>
        <a:bodyPr vertOverflow="clip" wrap="square" lIns="45720" tIns="32004" rIns="0" bIns="0" anchor="t" upright="1"/>
        <a:lstStyle/>
        <a:p>
          <a:pPr algn="l" rtl="0">
            <a:defRPr sz="1000"/>
          </a:pPr>
          <a:r>
            <a:rPr lang="ko-KR" altLang="en-US" sz="1800" b="1" i="1" u="none" strike="noStrike" baseline="0">
              <a:solidFill>
                <a:srgbClr val="3333CC"/>
              </a:solidFill>
              <a:latin typeface="굴림체"/>
              <a:ea typeface="굴림체"/>
            </a:rPr>
            <a:t>  기본입력자료</a:t>
          </a:r>
        </a:p>
      </xdr:txBody>
    </xdr:sp>
    <xdr:clientData/>
  </xdr:twoCellAnchor>
  <xdr:twoCellAnchor>
    <xdr:from>
      <xdr:col>3</xdr:col>
      <xdr:colOff>1114425</xdr:colOff>
      <xdr:row>2</xdr:row>
      <xdr:rowOff>57150</xdr:rowOff>
    </xdr:from>
    <xdr:to>
      <xdr:col>4</xdr:col>
      <xdr:colOff>1038225</xdr:colOff>
      <xdr:row>2</xdr:row>
      <xdr:rowOff>57150</xdr:rowOff>
    </xdr:to>
    <xdr:sp macro="" textlink="">
      <xdr:nvSpPr>
        <xdr:cNvPr id="5" name="Line 5">
          <a:extLst>
            <a:ext uri="{FF2B5EF4-FFF2-40B4-BE49-F238E27FC236}">
              <a16:creationId xmlns:a16="http://schemas.microsoft.com/office/drawing/2014/main" id="{2EB5FC34-3796-4F41-8626-50582E18FEDA}"/>
            </a:ext>
          </a:extLst>
        </xdr:cNvPr>
        <xdr:cNvSpPr>
          <a:spLocks noChangeShapeType="1"/>
        </xdr:cNvSpPr>
      </xdr:nvSpPr>
      <xdr:spPr bwMode="auto">
        <a:xfrm>
          <a:off x="2286000" y="714375"/>
          <a:ext cx="1876425" cy="0"/>
        </a:xfrm>
        <a:prstGeom prst="line">
          <a:avLst/>
        </a:prstGeom>
        <a:noFill/>
        <a:ln w="38100" cmpd="dbl">
          <a:solidFill>
            <a:srgbClr val="000000"/>
          </a:solidFill>
          <a:round/>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238125</xdr:colOff>
      <xdr:row>12</xdr:row>
      <xdr:rowOff>152400</xdr:rowOff>
    </xdr:from>
    <xdr:to>
      <xdr:col>13</xdr:col>
      <xdr:colOff>324819</xdr:colOff>
      <xdr:row>17</xdr:row>
      <xdr:rowOff>190652</xdr:rowOff>
    </xdr:to>
    <xdr:pic>
      <xdr:nvPicPr>
        <xdr:cNvPr id="7" name="그림 6">
          <a:extLst>
            <a:ext uri="{FF2B5EF4-FFF2-40B4-BE49-F238E27FC236}">
              <a16:creationId xmlns:a16="http://schemas.microsoft.com/office/drawing/2014/main" id="{9EFA1E11-43EA-D96A-FA6E-3CCF8FBB4980}"/>
            </a:ext>
          </a:extLst>
        </xdr:cNvPr>
        <xdr:cNvPicPr>
          <a:picLocks noChangeAspect="1"/>
        </xdr:cNvPicPr>
      </xdr:nvPicPr>
      <xdr:blipFill>
        <a:blip xmlns:r="http://schemas.openxmlformats.org/officeDocument/2006/relationships" r:embed="rId1"/>
        <a:stretch>
          <a:fillRect/>
        </a:stretch>
      </xdr:blipFill>
      <xdr:spPr>
        <a:xfrm>
          <a:off x="2457450" y="2667000"/>
          <a:ext cx="6944694" cy="1086002"/>
        </a:xfrm>
        <a:prstGeom prst="rect">
          <a:avLst/>
        </a:prstGeom>
      </xdr:spPr>
    </xdr:pic>
    <xdr:clientData/>
  </xdr:twoCellAnchor>
  <xdr:twoCellAnchor editAs="oneCell">
    <xdr:from>
      <xdr:col>3</xdr:col>
      <xdr:colOff>295275</xdr:colOff>
      <xdr:row>17</xdr:row>
      <xdr:rowOff>161925</xdr:rowOff>
    </xdr:from>
    <xdr:to>
      <xdr:col>13</xdr:col>
      <xdr:colOff>439127</xdr:colOff>
      <xdr:row>20</xdr:row>
      <xdr:rowOff>190592</xdr:rowOff>
    </xdr:to>
    <xdr:pic>
      <xdr:nvPicPr>
        <xdr:cNvPr id="9" name="그림 8">
          <a:extLst>
            <a:ext uri="{FF2B5EF4-FFF2-40B4-BE49-F238E27FC236}">
              <a16:creationId xmlns:a16="http://schemas.microsoft.com/office/drawing/2014/main" id="{15E0262B-AA3E-46F8-B4A1-D41EAC7CBABA}"/>
            </a:ext>
          </a:extLst>
        </xdr:cNvPr>
        <xdr:cNvPicPr>
          <a:picLocks noChangeAspect="1"/>
        </xdr:cNvPicPr>
      </xdr:nvPicPr>
      <xdr:blipFill>
        <a:blip xmlns:r="http://schemas.openxmlformats.org/officeDocument/2006/relationships" r:embed="rId2"/>
        <a:stretch>
          <a:fillRect/>
        </a:stretch>
      </xdr:blipFill>
      <xdr:spPr>
        <a:xfrm>
          <a:off x="2514600" y="3724275"/>
          <a:ext cx="7001852" cy="657317"/>
        </a:xfrm>
        <a:prstGeom prst="rect">
          <a:avLst/>
        </a:prstGeom>
      </xdr:spPr>
    </xdr:pic>
    <xdr:clientData/>
  </xdr:twoCellAnchor>
  <xdr:twoCellAnchor editAs="oneCell">
    <xdr:from>
      <xdr:col>3</xdr:col>
      <xdr:colOff>438150</xdr:colOff>
      <xdr:row>2</xdr:row>
      <xdr:rowOff>9525</xdr:rowOff>
    </xdr:from>
    <xdr:to>
      <xdr:col>14</xdr:col>
      <xdr:colOff>58150</xdr:colOff>
      <xdr:row>7</xdr:row>
      <xdr:rowOff>123987</xdr:rowOff>
    </xdr:to>
    <xdr:pic>
      <xdr:nvPicPr>
        <xdr:cNvPr id="10" name="그림 9">
          <a:extLst>
            <a:ext uri="{FF2B5EF4-FFF2-40B4-BE49-F238E27FC236}">
              <a16:creationId xmlns:a16="http://schemas.microsoft.com/office/drawing/2014/main" id="{3EC9B12A-2928-149D-8CCF-B0B1D8B9928F}"/>
            </a:ext>
          </a:extLst>
        </xdr:cNvPr>
        <xdr:cNvPicPr>
          <a:picLocks noChangeAspect="1"/>
        </xdr:cNvPicPr>
      </xdr:nvPicPr>
      <xdr:blipFill>
        <a:blip xmlns:r="http://schemas.openxmlformats.org/officeDocument/2006/relationships" r:embed="rId3"/>
        <a:stretch>
          <a:fillRect/>
        </a:stretch>
      </xdr:blipFill>
      <xdr:spPr>
        <a:xfrm>
          <a:off x="2657475" y="428625"/>
          <a:ext cx="7163800" cy="1162212"/>
        </a:xfrm>
        <a:prstGeom prst="rect">
          <a:avLst/>
        </a:prstGeom>
      </xdr:spPr>
    </xdr:pic>
    <xdr:clientData/>
  </xdr:twoCellAnchor>
  <xdr:twoCellAnchor editAs="oneCell">
    <xdr:from>
      <xdr:col>3</xdr:col>
      <xdr:colOff>590550</xdr:colOff>
      <xdr:row>7</xdr:row>
      <xdr:rowOff>104775</xdr:rowOff>
    </xdr:from>
    <xdr:to>
      <xdr:col>14</xdr:col>
      <xdr:colOff>48602</xdr:colOff>
      <xdr:row>10</xdr:row>
      <xdr:rowOff>95336</xdr:rowOff>
    </xdr:to>
    <xdr:pic>
      <xdr:nvPicPr>
        <xdr:cNvPr id="11" name="그림 10">
          <a:extLst>
            <a:ext uri="{FF2B5EF4-FFF2-40B4-BE49-F238E27FC236}">
              <a16:creationId xmlns:a16="http://schemas.microsoft.com/office/drawing/2014/main" id="{AE5137DF-A78F-3264-9C2F-46CB72F087B2}"/>
            </a:ext>
          </a:extLst>
        </xdr:cNvPr>
        <xdr:cNvPicPr>
          <a:picLocks noChangeAspect="1"/>
        </xdr:cNvPicPr>
      </xdr:nvPicPr>
      <xdr:blipFill>
        <a:blip xmlns:r="http://schemas.openxmlformats.org/officeDocument/2006/relationships" r:embed="rId4"/>
        <a:stretch>
          <a:fillRect/>
        </a:stretch>
      </xdr:blipFill>
      <xdr:spPr>
        <a:xfrm>
          <a:off x="2809875" y="1571625"/>
          <a:ext cx="7001852" cy="619211"/>
        </a:xfrm>
        <a:prstGeom prst="rect">
          <a:avLst/>
        </a:prstGeom>
      </xdr:spPr>
    </xdr:pic>
    <xdr:clientData/>
  </xdr:twoCellAnchor>
  <xdr:twoCellAnchor editAs="oneCell">
    <xdr:from>
      <xdr:col>3</xdr:col>
      <xdr:colOff>342900</xdr:colOff>
      <xdr:row>22</xdr:row>
      <xdr:rowOff>9525</xdr:rowOff>
    </xdr:from>
    <xdr:to>
      <xdr:col>13</xdr:col>
      <xdr:colOff>439120</xdr:colOff>
      <xdr:row>27</xdr:row>
      <xdr:rowOff>76356</xdr:rowOff>
    </xdr:to>
    <xdr:pic>
      <xdr:nvPicPr>
        <xdr:cNvPr id="12" name="그림 11">
          <a:extLst>
            <a:ext uri="{FF2B5EF4-FFF2-40B4-BE49-F238E27FC236}">
              <a16:creationId xmlns:a16="http://schemas.microsoft.com/office/drawing/2014/main" id="{7CCECD36-3527-A92B-25D3-8D61D2019DF7}"/>
            </a:ext>
          </a:extLst>
        </xdr:cNvPr>
        <xdr:cNvPicPr>
          <a:picLocks noChangeAspect="1"/>
        </xdr:cNvPicPr>
      </xdr:nvPicPr>
      <xdr:blipFill>
        <a:blip xmlns:r="http://schemas.openxmlformats.org/officeDocument/2006/relationships" r:embed="rId5"/>
        <a:stretch>
          <a:fillRect/>
        </a:stretch>
      </xdr:blipFill>
      <xdr:spPr>
        <a:xfrm>
          <a:off x="2562225" y="4619625"/>
          <a:ext cx="6954220" cy="1114581"/>
        </a:xfrm>
        <a:prstGeom prst="rect">
          <a:avLst/>
        </a:prstGeom>
      </xdr:spPr>
    </xdr:pic>
    <xdr:clientData/>
  </xdr:twoCellAnchor>
  <xdr:twoCellAnchor editAs="oneCell">
    <xdr:from>
      <xdr:col>3</xdr:col>
      <xdr:colOff>495300</xdr:colOff>
      <xdr:row>27</xdr:row>
      <xdr:rowOff>47625</xdr:rowOff>
    </xdr:from>
    <xdr:to>
      <xdr:col>13</xdr:col>
      <xdr:colOff>496257</xdr:colOff>
      <xdr:row>30</xdr:row>
      <xdr:rowOff>181081</xdr:rowOff>
    </xdr:to>
    <xdr:pic>
      <xdr:nvPicPr>
        <xdr:cNvPr id="13" name="그림 12">
          <a:extLst>
            <a:ext uri="{FF2B5EF4-FFF2-40B4-BE49-F238E27FC236}">
              <a16:creationId xmlns:a16="http://schemas.microsoft.com/office/drawing/2014/main" id="{ED31BFF5-A508-64A2-B77F-7ACED9EB9232}"/>
            </a:ext>
          </a:extLst>
        </xdr:cNvPr>
        <xdr:cNvPicPr>
          <a:picLocks noChangeAspect="1"/>
        </xdr:cNvPicPr>
      </xdr:nvPicPr>
      <xdr:blipFill>
        <a:blip xmlns:r="http://schemas.openxmlformats.org/officeDocument/2006/relationships" r:embed="rId6"/>
        <a:stretch>
          <a:fillRect/>
        </a:stretch>
      </xdr:blipFill>
      <xdr:spPr>
        <a:xfrm>
          <a:off x="2714625" y="5705475"/>
          <a:ext cx="6858957" cy="76210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30</xdr:col>
          <xdr:colOff>1181100</xdr:colOff>
          <xdr:row>1</xdr:row>
          <xdr:rowOff>66675</xdr:rowOff>
        </xdr:from>
        <xdr:to>
          <xdr:col>31</xdr:col>
          <xdr:colOff>342900</xdr:colOff>
          <xdr:row>2</xdr:row>
          <xdr:rowOff>66675</xdr:rowOff>
        </xdr:to>
        <xdr:pic>
          <xdr:nvPicPr>
            <xdr:cNvPr id="2" name="Picture 1">
              <a:extLst>
                <a:ext uri="{FF2B5EF4-FFF2-40B4-BE49-F238E27FC236}">
                  <a16:creationId xmlns:a16="http://schemas.microsoft.com/office/drawing/2014/main" id="{6E49924D-E04C-4BCF-A1AC-FA0EDDEDEF96}"/>
                </a:ext>
              </a:extLst>
            </xdr:cNvPr>
            <xdr:cNvPicPr>
              <a:picLocks noChangeAspect="1" noChangeArrowheads="1"/>
              <a:extLst>
                <a:ext uri="{84589F7E-364E-4C9E-8A38-B11213B215E9}">
                  <a14:cameraTool cellRange="$AF$173" spid="_x0000_s736096"/>
                </a:ext>
              </a:extLst>
            </xdr:cNvPicPr>
          </xdr:nvPicPr>
          <xdr:blipFill>
            <a:blip xmlns:r="http://schemas.openxmlformats.org/officeDocument/2006/relationships" r:embed="rId1"/>
            <a:srcRect/>
            <a:stretch>
              <a:fillRect/>
            </a:stretch>
          </xdr:blipFill>
          <xdr:spPr bwMode="auto">
            <a:xfrm>
              <a:off x="30022800" y="238125"/>
              <a:ext cx="1181100" cy="171450"/>
            </a:xfrm>
            <a:prstGeom prst="rect">
              <a:avLst/>
            </a:prstGeom>
            <a:solidFill>
              <a:srgbClr val="FFFFFF" mc:Ignorable="a14" a14:legacySpreadsheetColorIndex="9"/>
            </a:solidFill>
            <a:ln w="9525">
              <a:solidFill>
                <a:srgbClr val="000000" mc:Ignorable="a14" a14:legacySpreadsheetColorIndex="64"/>
              </a:solidFill>
              <a:miter lim="800000"/>
              <a:headEnd/>
              <a:tailEnd/>
            </a:ln>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xdr:twoCellAnchor>
    <xdr:from>
      <xdr:col>2</xdr:col>
      <xdr:colOff>349250</xdr:colOff>
      <xdr:row>9</xdr:row>
      <xdr:rowOff>158750</xdr:rowOff>
    </xdr:from>
    <xdr:to>
      <xdr:col>11</xdr:col>
      <xdr:colOff>317500</xdr:colOff>
      <xdr:row>27</xdr:row>
      <xdr:rowOff>190500</xdr:rowOff>
    </xdr:to>
    <xdr:sp macro="" textlink="">
      <xdr:nvSpPr>
        <xdr:cNvPr id="2" name="직사각형 1">
          <a:extLst>
            <a:ext uri="{FF2B5EF4-FFF2-40B4-BE49-F238E27FC236}">
              <a16:creationId xmlns:a16="http://schemas.microsoft.com/office/drawing/2014/main" id="{A1A44BEE-C90F-1A8C-34C8-FEEAF3D4B307}"/>
            </a:ext>
          </a:extLst>
        </xdr:cNvPr>
        <xdr:cNvSpPr/>
      </xdr:nvSpPr>
      <xdr:spPr>
        <a:xfrm>
          <a:off x="3608917" y="2074333"/>
          <a:ext cx="9630833" cy="383116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4000"/>
            <a:t>2024</a:t>
          </a:r>
          <a:r>
            <a:rPr lang="ko-KR" altLang="en-US" sz="4000"/>
            <a:t>년 중 합병으로 인해 소멸됨</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1493520</xdr:colOff>
      <xdr:row>11</xdr:row>
      <xdr:rowOff>106680</xdr:rowOff>
    </xdr:from>
    <xdr:to>
      <xdr:col>7</xdr:col>
      <xdr:colOff>441960</xdr:colOff>
      <xdr:row>22</xdr:row>
      <xdr:rowOff>190500</xdr:rowOff>
    </xdr:to>
    <xdr:sp macro="" textlink="">
      <xdr:nvSpPr>
        <xdr:cNvPr id="2" name="직사각형 1">
          <a:extLst>
            <a:ext uri="{FF2B5EF4-FFF2-40B4-BE49-F238E27FC236}">
              <a16:creationId xmlns:a16="http://schemas.microsoft.com/office/drawing/2014/main" id="{18F598B5-F97A-65A7-E030-D3C4300B1E4F}"/>
            </a:ext>
          </a:extLst>
        </xdr:cNvPr>
        <xdr:cNvSpPr/>
      </xdr:nvSpPr>
      <xdr:spPr>
        <a:xfrm>
          <a:off x="1493520" y="2567940"/>
          <a:ext cx="6652260" cy="24307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1100"/>
            <a:t>간주취득일 </a:t>
          </a:r>
          <a:r>
            <a:rPr lang="en-US" altLang="ko-KR" sz="1100"/>
            <a:t>6/30</a:t>
          </a:r>
          <a:r>
            <a:rPr lang="ko-KR" altLang="en-US" sz="1100"/>
            <a:t>이므로 반기연결에는 </a:t>
          </a:r>
          <a:r>
            <a:rPr lang="en-US" altLang="ko-KR" sz="1100"/>
            <a:t>PL </a:t>
          </a:r>
          <a:r>
            <a:rPr lang="ko-KR" altLang="en-US" sz="1100"/>
            <a:t>포함안함</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10</xdr:col>
      <xdr:colOff>504264</xdr:colOff>
      <xdr:row>41</xdr:row>
      <xdr:rowOff>123266</xdr:rowOff>
    </xdr:from>
    <xdr:to>
      <xdr:col>13</xdr:col>
      <xdr:colOff>416216</xdr:colOff>
      <xdr:row>49</xdr:row>
      <xdr:rowOff>924</xdr:rowOff>
    </xdr:to>
    <xdr:pic>
      <xdr:nvPicPr>
        <xdr:cNvPr id="2" name="그림 1">
          <a:extLst>
            <a:ext uri="{FF2B5EF4-FFF2-40B4-BE49-F238E27FC236}">
              <a16:creationId xmlns:a16="http://schemas.microsoft.com/office/drawing/2014/main" id="{1F70A4F9-4D79-44B4-ACBF-8F4783D73E82}"/>
            </a:ext>
          </a:extLst>
        </xdr:cNvPr>
        <xdr:cNvPicPr>
          <a:picLocks noChangeAspect="1"/>
        </xdr:cNvPicPr>
      </xdr:nvPicPr>
      <xdr:blipFill>
        <a:blip xmlns:r="http://schemas.openxmlformats.org/officeDocument/2006/relationships" r:embed="rId1"/>
        <a:stretch>
          <a:fillRect/>
        </a:stretch>
      </xdr:blipFill>
      <xdr:spPr>
        <a:xfrm>
          <a:off x="12191999" y="12707472"/>
          <a:ext cx="3340952" cy="1580952"/>
        </a:xfrm>
        <a:prstGeom prst="rect">
          <a:avLst/>
        </a:prstGeom>
      </xdr:spPr>
    </xdr:pic>
    <xdr:clientData/>
  </xdr:twoCellAnchor>
  <xdr:twoCellAnchor editAs="oneCell">
    <xdr:from>
      <xdr:col>5</xdr:col>
      <xdr:colOff>0</xdr:colOff>
      <xdr:row>41</xdr:row>
      <xdr:rowOff>190500</xdr:rowOff>
    </xdr:from>
    <xdr:to>
      <xdr:col>10</xdr:col>
      <xdr:colOff>100853</xdr:colOff>
      <xdr:row>51</xdr:row>
      <xdr:rowOff>26582</xdr:rowOff>
    </xdr:to>
    <xdr:pic>
      <xdr:nvPicPr>
        <xdr:cNvPr id="4" name="그림 3">
          <a:extLst>
            <a:ext uri="{FF2B5EF4-FFF2-40B4-BE49-F238E27FC236}">
              <a16:creationId xmlns:a16="http://schemas.microsoft.com/office/drawing/2014/main" id="{5B870EDC-F1F6-A0EB-0866-015D9F21BD9F}"/>
            </a:ext>
          </a:extLst>
        </xdr:cNvPr>
        <xdr:cNvPicPr>
          <a:picLocks noChangeAspect="1"/>
        </xdr:cNvPicPr>
      </xdr:nvPicPr>
      <xdr:blipFill>
        <a:blip xmlns:r="http://schemas.openxmlformats.org/officeDocument/2006/relationships" r:embed="rId2"/>
        <a:stretch>
          <a:fillRect/>
        </a:stretch>
      </xdr:blipFill>
      <xdr:spPr>
        <a:xfrm>
          <a:off x="5972735" y="12774706"/>
          <a:ext cx="5815853" cy="19652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246529</xdr:colOff>
      <xdr:row>132</xdr:row>
      <xdr:rowOff>67235</xdr:rowOff>
    </xdr:from>
    <xdr:to>
      <xdr:col>4</xdr:col>
      <xdr:colOff>1154206</xdr:colOff>
      <xdr:row>132</xdr:row>
      <xdr:rowOff>67235</xdr:rowOff>
    </xdr:to>
    <xdr:cxnSp macro="">
      <xdr:nvCxnSpPr>
        <xdr:cNvPr id="3" name="직선 화살표 연결선 2">
          <a:extLst>
            <a:ext uri="{FF2B5EF4-FFF2-40B4-BE49-F238E27FC236}">
              <a16:creationId xmlns:a16="http://schemas.microsoft.com/office/drawing/2014/main" id="{68BAF497-1EE4-48CB-A460-C7166AE14C1C}"/>
            </a:ext>
          </a:extLst>
        </xdr:cNvPr>
        <xdr:cNvCxnSpPr/>
      </xdr:nvCxnSpPr>
      <xdr:spPr>
        <a:xfrm>
          <a:off x="3048000" y="12965206"/>
          <a:ext cx="2129118" cy="0"/>
        </a:xfrm>
        <a:prstGeom prst="straightConnector1">
          <a:avLst/>
        </a:prstGeom>
        <a:ln w="12700">
          <a:solidFill>
            <a:srgbClr val="00206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246529</xdr:colOff>
      <xdr:row>174</xdr:row>
      <xdr:rowOff>67235</xdr:rowOff>
    </xdr:from>
    <xdr:to>
      <xdr:col>4</xdr:col>
      <xdr:colOff>1154206</xdr:colOff>
      <xdr:row>174</xdr:row>
      <xdr:rowOff>67235</xdr:rowOff>
    </xdr:to>
    <xdr:cxnSp macro="">
      <xdr:nvCxnSpPr>
        <xdr:cNvPr id="5" name="직선 화살표 연결선 4">
          <a:extLst>
            <a:ext uri="{FF2B5EF4-FFF2-40B4-BE49-F238E27FC236}">
              <a16:creationId xmlns:a16="http://schemas.microsoft.com/office/drawing/2014/main" id="{28F66F47-C9A4-49A9-BE18-C31C85FE8199}"/>
            </a:ext>
          </a:extLst>
        </xdr:cNvPr>
        <xdr:cNvCxnSpPr/>
      </xdr:nvCxnSpPr>
      <xdr:spPr>
        <a:xfrm>
          <a:off x="3048000" y="12965206"/>
          <a:ext cx="2129118" cy="0"/>
        </a:xfrm>
        <a:prstGeom prst="straightConnector1">
          <a:avLst/>
        </a:prstGeom>
        <a:ln w="12700">
          <a:solidFill>
            <a:srgbClr val="00206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246529</xdr:colOff>
      <xdr:row>219</xdr:row>
      <xdr:rowOff>67235</xdr:rowOff>
    </xdr:from>
    <xdr:to>
      <xdr:col>4</xdr:col>
      <xdr:colOff>1154206</xdr:colOff>
      <xdr:row>219</xdr:row>
      <xdr:rowOff>67235</xdr:rowOff>
    </xdr:to>
    <xdr:cxnSp macro="">
      <xdr:nvCxnSpPr>
        <xdr:cNvPr id="2" name="직선 화살표 연결선 1">
          <a:extLst>
            <a:ext uri="{FF2B5EF4-FFF2-40B4-BE49-F238E27FC236}">
              <a16:creationId xmlns:a16="http://schemas.microsoft.com/office/drawing/2014/main" id="{3B62F548-E59B-4BD2-BC95-B467CF5AB1EE}"/>
            </a:ext>
          </a:extLst>
        </xdr:cNvPr>
        <xdr:cNvCxnSpPr/>
      </xdr:nvCxnSpPr>
      <xdr:spPr>
        <a:xfrm>
          <a:off x="3104029" y="19526810"/>
          <a:ext cx="2126877" cy="0"/>
        </a:xfrm>
        <a:prstGeom prst="straightConnector1">
          <a:avLst/>
        </a:prstGeom>
        <a:ln w="12700">
          <a:solidFill>
            <a:srgbClr val="00206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246529</xdr:colOff>
      <xdr:row>265</xdr:row>
      <xdr:rowOff>67235</xdr:rowOff>
    </xdr:from>
    <xdr:to>
      <xdr:col>4</xdr:col>
      <xdr:colOff>1154206</xdr:colOff>
      <xdr:row>265</xdr:row>
      <xdr:rowOff>67235</xdr:rowOff>
    </xdr:to>
    <xdr:cxnSp macro="">
      <xdr:nvCxnSpPr>
        <xdr:cNvPr id="4" name="직선 화살표 연결선 3">
          <a:extLst>
            <a:ext uri="{FF2B5EF4-FFF2-40B4-BE49-F238E27FC236}">
              <a16:creationId xmlns:a16="http://schemas.microsoft.com/office/drawing/2014/main" id="{5618F467-5414-4E41-9861-87F4280807E0}"/>
            </a:ext>
          </a:extLst>
        </xdr:cNvPr>
        <xdr:cNvCxnSpPr/>
      </xdr:nvCxnSpPr>
      <xdr:spPr>
        <a:xfrm>
          <a:off x="3104029" y="22098560"/>
          <a:ext cx="2126877" cy="0"/>
        </a:xfrm>
        <a:prstGeom prst="straightConnector1">
          <a:avLst/>
        </a:prstGeom>
        <a:ln w="12700">
          <a:solidFill>
            <a:srgbClr val="00206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246529</xdr:colOff>
      <xdr:row>315</xdr:row>
      <xdr:rowOff>67235</xdr:rowOff>
    </xdr:from>
    <xdr:to>
      <xdr:col>4</xdr:col>
      <xdr:colOff>1154206</xdr:colOff>
      <xdr:row>315</xdr:row>
      <xdr:rowOff>67235</xdr:rowOff>
    </xdr:to>
    <xdr:cxnSp macro="">
      <xdr:nvCxnSpPr>
        <xdr:cNvPr id="6" name="직선 화살표 연결선 5">
          <a:extLst>
            <a:ext uri="{FF2B5EF4-FFF2-40B4-BE49-F238E27FC236}">
              <a16:creationId xmlns:a16="http://schemas.microsoft.com/office/drawing/2014/main" id="{B0623B22-9896-4ED1-A44A-2445A93F5A4C}"/>
            </a:ext>
          </a:extLst>
        </xdr:cNvPr>
        <xdr:cNvCxnSpPr/>
      </xdr:nvCxnSpPr>
      <xdr:spPr>
        <a:xfrm>
          <a:off x="3094504" y="23946410"/>
          <a:ext cx="2126877" cy="0"/>
        </a:xfrm>
        <a:prstGeom prst="straightConnector1">
          <a:avLst/>
        </a:prstGeom>
        <a:ln w="12700">
          <a:solidFill>
            <a:srgbClr val="00206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xdr:from>
      <xdr:col>2</xdr:col>
      <xdr:colOff>347382</xdr:colOff>
      <xdr:row>29</xdr:row>
      <xdr:rowOff>11206</xdr:rowOff>
    </xdr:from>
    <xdr:to>
      <xdr:col>8</xdr:col>
      <xdr:colOff>1316068</xdr:colOff>
      <xdr:row>49</xdr:row>
      <xdr:rowOff>32373</xdr:rowOff>
    </xdr:to>
    <xdr:sp macro="" textlink="">
      <xdr:nvSpPr>
        <xdr:cNvPr id="2" name="직사각형 1">
          <a:extLst>
            <a:ext uri="{FF2B5EF4-FFF2-40B4-BE49-F238E27FC236}">
              <a16:creationId xmlns:a16="http://schemas.microsoft.com/office/drawing/2014/main" id="{3D42E257-79E2-4773-92DD-3DFB8559387E}"/>
            </a:ext>
          </a:extLst>
        </xdr:cNvPr>
        <xdr:cNvSpPr/>
      </xdr:nvSpPr>
      <xdr:spPr>
        <a:xfrm>
          <a:off x="1815353" y="5715000"/>
          <a:ext cx="9630833" cy="383116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4000"/>
            <a:t>2024</a:t>
          </a:r>
          <a:r>
            <a:rPr lang="ko-KR" altLang="en-US" sz="4000"/>
            <a:t>년 중 합병으로 인해 소멸됨</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13</xdr:col>
      <xdr:colOff>226021</xdr:colOff>
      <xdr:row>3</xdr:row>
      <xdr:rowOff>170890</xdr:rowOff>
    </xdr:from>
    <xdr:to>
      <xdr:col>15</xdr:col>
      <xdr:colOff>202588</xdr:colOff>
      <xdr:row>5</xdr:row>
      <xdr:rowOff>148617</xdr:rowOff>
    </xdr:to>
    <xdr:sp macro="" textlink="">
      <xdr:nvSpPr>
        <xdr:cNvPr id="7" name="사각형: 둥근 모서리 6">
          <a:extLst>
            <a:ext uri="{FF2B5EF4-FFF2-40B4-BE49-F238E27FC236}">
              <a16:creationId xmlns:a16="http://schemas.microsoft.com/office/drawing/2014/main" id="{80B3062C-3575-4F7E-96F1-BCA88C93D363}"/>
            </a:ext>
          </a:extLst>
        </xdr:cNvPr>
        <xdr:cNvSpPr/>
      </xdr:nvSpPr>
      <xdr:spPr>
        <a:xfrm>
          <a:off x="11375874" y="820831"/>
          <a:ext cx="2038449" cy="425962"/>
        </a:xfrm>
        <a:prstGeom prst="roundRect">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1200" b="1"/>
            <a:t>울트라브이</a:t>
          </a:r>
        </a:p>
      </xdr:txBody>
    </xdr:sp>
    <xdr:clientData/>
  </xdr:twoCellAnchor>
  <xdr:twoCellAnchor>
    <xdr:from>
      <xdr:col>12</xdr:col>
      <xdr:colOff>661427</xdr:colOff>
      <xdr:row>10</xdr:row>
      <xdr:rowOff>174679</xdr:rowOff>
    </xdr:from>
    <xdr:to>
      <xdr:col>14</xdr:col>
      <xdr:colOff>183711</xdr:colOff>
      <xdr:row>12</xdr:row>
      <xdr:rowOff>152406</xdr:rowOff>
    </xdr:to>
    <xdr:sp macro="" textlink="">
      <xdr:nvSpPr>
        <xdr:cNvPr id="8" name="사각형: 둥근 모서리 7">
          <a:extLst>
            <a:ext uri="{FF2B5EF4-FFF2-40B4-BE49-F238E27FC236}">
              <a16:creationId xmlns:a16="http://schemas.microsoft.com/office/drawing/2014/main" id="{42C0F569-8697-412E-BC03-F8C47CADB4F3}"/>
            </a:ext>
          </a:extLst>
        </xdr:cNvPr>
        <xdr:cNvSpPr/>
      </xdr:nvSpPr>
      <xdr:spPr>
        <a:xfrm>
          <a:off x="10780339" y="2348620"/>
          <a:ext cx="1584166" cy="425962"/>
        </a:xfrm>
        <a:prstGeom prst="roundRect">
          <a:avLst/>
        </a:prstGeom>
        <a:solidFill>
          <a:schemeClr val="accent5">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200" b="1">
              <a:solidFill>
                <a:sysClr val="windowText" lastClr="000000"/>
              </a:solidFill>
            </a:rPr>
            <a:t>HK</a:t>
          </a:r>
          <a:endParaRPr lang="ko-KR" altLang="en-US" sz="1200" b="1">
            <a:solidFill>
              <a:sysClr val="windowText" lastClr="000000"/>
            </a:solidFill>
          </a:endParaRPr>
        </a:p>
      </xdr:txBody>
    </xdr:sp>
    <xdr:clientData/>
  </xdr:twoCellAnchor>
  <xdr:twoCellAnchor>
    <xdr:from>
      <xdr:col>14</xdr:col>
      <xdr:colOff>563833</xdr:colOff>
      <xdr:row>10</xdr:row>
      <xdr:rowOff>174986</xdr:rowOff>
    </xdr:from>
    <xdr:to>
      <xdr:col>15</xdr:col>
      <xdr:colOff>965630</xdr:colOff>
      <xdr:row>12</xdr:row>
      <xdr:rowOff>152713</xdr:rowOff>
    </xdr:to>
    <xdr:sp macro="" textlink="">
      <xdr:nvSpPr>
        <xdr:cNvPr id="9" name="사각형: 둥근 모서리 8">
          <a:extLst>
            <a:ext uri="{FF2B5EF4-FFF2-40B4-BE49-F238E27FC236}">
              <a16:creationId xmlns:a16="http://schemas.microsoft.com/office/drawing/2014/main" id="{22350D07-D789-40AF-BB7C-80533D0CBAE3}"/>
            </a:ext>
          </a:extLst>
        </xdr:cNvPr>
        <xdr:cNvSpPr/>
      </xdr:nvSpPr>
      <xdr:spPr>
        <a:xfrm>
          <a:off x="12744627" y="2348927"/>
          <a:ext cx="1432738" cy="425962"/>
        </a:xfrm>
        <a:prstGeom prst="roundRect">
          <a:avLst/>
        </a:prstGeom>
        <a:solidFill>
          <a:schemeClr val="accent5">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1200" b="1">
              <a:solidFill>
                <a:sysClr val="windowText" lastClr="000000"/>
              </a:solidFill>
            </a:rPr>
            <a:t>상해</a:t>
          </a:r>
        </a:p>
      </xdr:txBody>
    </xdr:sp>
    <xdr:clientData/>
  </xdr:twoCellAnchor>
  <xdr:twoCellAnchor>
    <xdr:from>
      <xdr:col>13</xdr:col>
      <xdr:colOff>422291</xdr:colOff>
      <xdr:row>12</xdr:row>
      <xdr:rowOff>152406</xdr:rowOff>
    </xdr:from>
    <xdr:to>
      <xdr:col>13</xdr:col>
      <xdr:colOff>422569</xdr:colOff>
      <xdr:row>18</xdr:row>
      <xdr:rowOff>156883</xdr:rowOff>
    </xdr:to>
    <xdr:cxnSp macro="">
      <xdr:nvCxnSpPr>
        <xdr:cNvPr id="13" name="직선 화살표 연결선 12">
          <a:extLst>
            <a:ext uri="{FF2B5EF4-FFF2-40B4-BE49-F238E27FC236}">
              <a16:creationId xmlns:a16="http://schemas.microsoft.com/office/drawing/2014/main" id="{AA20146A-B141-47FE-B06F-A88EFA6FEC9D}"/>
            </a:ext>
          </a:extLst>
        </xdr:cNvPr>
        <xdr:cNvCxnSpPr>
          <a:stCxn id="8" idx="2"/>
          <a:endCxn id="3" idx="0"/>
        </xdr:cNvCxnSpPr>
      </xdr:nvCxnSpPr>
      <xdr:spPr>
        <a:xfrm flipH="1">
          <a:off x="11572144" y="2774582"/>
          <a:ext cx="278" cy="1315566"/>
        </a:xfrm>
        <a:prstGeom prst="straightConnector1">
          <a:avLst/>
        </a:prstGeom>
        <a:ln>
          <a:solidFill>
            <a:srgbClr val="00206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166902</xdr:colOff>
      <xdr:row>10</xdr:row>
      <xdr:rowOff>163779</xdr:rowOff>
    </xdr:from>
    <xdr:to>
      <xdr:col>18</xdr:col>
      <xdr:colOff>19610</xdr:colOff>
      <xdr:row>12</xdr:row>
      <xdr:rowOff>141506</xdr:rowOff>
    </xdr:to>
    <xdr:sp macro="" textlink="">
      <xdr:nvSpPr>
        <xdr:cNvPr id="15" name="사각형: 둥근 모서리 14">
          <a:extLst>
            <a:ext uri="{FF2B5EF4-FFF2-40B4-BE49-F238E27FC236}">
              <a16:creationId xmlns:a16="http://schemas.microsoft.com/office/drawing/2014/main" id="{CDB726A5-B030-47F2-BE4B-67B3E2005378}"/>
            </a:ext>
          </a:extLst>
        </xdr:cNvPr>
        <xdr:cNvSpPr/>
      </xdr:nvSpPr>
      <xdr:spPr>
        <a:xfrm>
          <a:off x="14409578" y="2337720"/>
          <a:ext cx="1432738" cy="425962"/>
        </a:xfrm>
        <a:prstGeom prst="roundRect">
          <a:avLst/>
        </a:prstGeom>
        <a:solidFill>
          <a:schemeClr val="accent5">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200" b="1">
              <a:solidFill>
                <a:sysClr val="windowText" lastClr="000000"/>
              </a:solidFill>
            </a:rPr>
            <a:t>SG</a:t>
          </a:r>
          <a:endParaRPr lang="ko-KR" altLang="en-US" sz="1200" b="1">
            <a:solidFill>
              <a:sysClr val="windowText" lastClr="000000"/>
            </a:solidFill>
          </a:endParaRPr>
        </a:p>
      </xdr:txBody>
    </xdr:sp>
    <xdr:clientData/>
  </xdr:twoCellAnchor>
  <xdr:twoCellAnchor>
    <xdr:from>
      <xdr:col>10</xdr:col>
      <xdr:colOff>358588</xdr:colOff>
      <xdr:row>10</xdr:row>
      <xdr:rowOff>168089</xdr:rowOff>
    </xdr:from>
    <xdr:to>
      <xdr:col>12</xdr:col>
      <xdr:colOff>76826</xdr:colOff>
      <xdr:row>12</xdr:row>
      <xdr:rowOff>145816</xdr:rowOff>
    </xdr:to>
    <xdr:sp macro="" textlink="">
      <xdr:nvSpPr>
        <xdr:cNvPr id="2" name="사각형: 둥근 모서리 1">
          <a:extLst>
            <a:ext uri="{FF2B5EF4-FFF2-40B4-BE49-F238E27FC236}">
              <a16:creationId xmlns:a16="http://schemas.microsoft.com/office/drawing/2014/main" id="{3C520C8A-B7D9-4E39-B9DB-ED10DCAFC39D}"/>
            </a:ext>
          </a:extLst>
        </xdr:cNvPr>
        <xdr:cNvSpPr/>
      </xdr:nvSpPr>
      <xdr:spPr>
        <a:xfrm>
          <a:off x="8763000" y="2342030"/>
          <a:ext cx="1432738" cy="425962"/>
        </a:xfrm>
        <a:prstGeom prst="roundRect">
          <a:avLst/>
        </a:prstGeom>
        <a:solidFill>
          <a:schemeClr val="accent5">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1200" b="1">
              <a:solidFill>
                <a:sysClr val="windowText" lastClr="000000"/>
              </a:solidFill>
            </a:rPr>
            <a:t>울트라팜</a:t>
          </a:r>
        </a:p>
      </xdr:txBody>
    </xdr:sp>
    <xdr:clientData/>
  </xdr:twoCellAnchor>
  <xdr:twoCellAnchor>
    <xdr:from>
      <xdr:col>12</xdr:col>
      <xdr:colOff>661149</xdr:colOff>
      <xdr:row>18</xdr:row>
      <xdr:rowOff>156883</xdr:rowOff>
    </xdr:from>
    <xdr:to>
      <xdr:col>14</xdr:col>
      <xdr:colOff>183433</xdr:colOff>
      <xdr:row>20</xdr:row>
      <xdr:rowOff>145816</xdr:rowOff>
    </xdr:to>
    <xdr:sp macro="" textlink="">
      <xdr:nvSpPr>
        <xdr:cNvPr id="3" name="사각형: 둥근 모서리 2">
          <a:extLst>
            <a:ext uri="{FF2B5EF4-FFF2-40B4-BE49-F238E27FC236}">
              <a16:creationId xmlns:a16="http://schemas.microsoft.com/office/drawing/2014/main" id="{E9721D9A-FAC1-43B3-BE6C-A3D69A4BD95B}"/>
            </a:ext>
          </a:extLst>
        </xdr:cNvPr>
        <xdr:cNvSpPr/>
      </xdr:nvSpPr>
      <xdr:spPr>
        <a:xfrm>
          <a:off x="10780061" y="4090148"/>
          <a:ext cx="1584166" cy="425962"/>
        </a:xfrm>
        <a:prstGeom prst="roundRect">
          <a:avLst/>
        </a:prstGeom>
        <a:solidFill>
          <a:schemeClr val="accent5">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200" b="1">
              <a:solidFill>
                <a:sysClr val="windowText" lastClr="000000"/>
              </a:solidFill>
            </a:rPr>
            <a:t>DHK</a:t>
          </a:r>
          <a:endParaRPr lang="ko-KR" altLang="en-US" sz="1200" b="1">
            <a:solidFill>
              <a:sysClr val="windowText" lastClr="000000"/>
            </a:solidFill>
          </a:endParaRPr>
        </a:p>
      </xdr:txBody>
    </xdr:sp>
    <xdr:clientData/>
  </xdr:twoCellAnchor>
  <xdr:twoCellAnchor>
    <xdr:from>
      <xdr:col>11</xdr:col>
      <xdr:colOff>391399</xdr:colOff>
      <xdr:row>5</xdr:row>
      <xdr:rowOff>148616</xdr:rowOff>
    </xdr:from>
    <xdr:to>
      <xdr:col>14</xdr:col>
      <xdr:colOff>214306</xdr:colOff>
      <xdr:row>10</xdr:row>
      <xdr:rowOff>168088</xdr:rowOff>
    </xdr:to>
    <xdr:cxnSp macro="">
      <xdr:nvCxnSpPr>
        <xdr:cNvPr id="19" name="연결선: 꺾임 18">
          <a:extLst>
            <a:ext uri="{FF2B5EF4-FFF2-40B4-BE49-F238E27FC236}">
              <a16:creationId xmlns:a16="http://schemas.microsoft.com/office/drawing/2014/main" id="{3E910377-3FDE-F7F6-B37D-E3BAF293EE9F}"/>
            </a:ext>
          </a:extLst>
        </xdr:cNvPr>
        <xdr:cNvCxnSpPr>
          <a:stCxn id="7" idx="2"/>
          <a:endCxn id="2" idx="0"/>
        </xdr:cNvCxnSpPr>
      </xdr:nvCxnSpPr>
      <xdr:spPr>
        <a:xfrm rot="5400000">
          <a:off x="10389616" y="336546"/>
          <a:ext cx="1095237" cy="2915730"/>
        </a:xfrm>
        <a:prstGeom prst="bent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422570</xdr:colOff>
      <xdr:row>5</xdr:row>
      <xdr:rowOff>148617</xdr:rowOff>
    </xdr:from>
    <xdr:to>
      <xdr:col>14</xdr:col>
      <xdr:colOff>214306</xdr:colOff>
      <xdr:row>10</xdr:row>
      <xdr:rowOff>174679</xdr:rowOff>
    </xdr:to>
    <xdr:cxnSp macro="">
      <xdr:nvCxnSpPr>
        <xdr:cNvPr id="20" name="연결선: 꺾임 19">
          <a:extLst>
            <a:ext uri="{FF2B5EF4-FFF2-40B4-BE49-F238E27FC236}">
              <a16:creationId xmlns:a16="http://schemas.microsoft.com/office/drawing/2014/main" id="{FD8A4D24-0BEE-4767-A5D4-6760017CFD39}"/>
            </a:ext>
          </a:extLst>
        </xdr:cNvPr>
        <xdr:cNvCxnSpPr>
          <a:stCxn id="7" idx="2"/>
          <a:endCxn id="8" idx="0"/>
        </xdr:cNvCxnSpPr>
      </xdr:nvCxnSpPr>
      <xdr:spPr>
        <a:xfrm rot="5400000">
          <a:off x="11432848" y="1386368"/>
          <a:ext cx="1101827" cy="822677"/>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214304</xdr:colOff>
      <xdr:row>5</xdr:row>
      <xdr:rowOff>148617</xdr:rowOff>
    </xdr:from>
    <xdr:to>
      <xdr:col>15</xdr:col>
      <xdr:colOff>249260</xdr:colOff>
      <xdr:row>10</xdr:row>
      <xdr:rowOff>174986</xdr:rowOff>
    </xdr:to>
    <xdr:cxnSp macro="">
      <xdr:nvCxnSpPr>
        <xdr:cNvPr id="24" name="연결선: 꺾임 23">
          <a:extLst>
            <a:ext uri="{FF2B5EF4-FFF2-40B4-BE49-F238E27FC236}">
              <a16:creationId xmlns:a16="http://schemas.microsoft.com/office/drawing/2014/main" id="{382CE2A3-0899-48B4-8E1B-1B784AD3D630}"/>
            </a:ext>
          </a:extLst>
        </xdr:cNvPr>
        <xdr:cNvCxnSpPr>
          <a:stCxn id="7" idx="2"/>
          <a:endCxn id="9" idx="0"/>
        </xdr:cNvCxnSpPr>
      </xdr:nvCxnSpPr>
      <xdr:spPr>
        <a:xfrm rot="16200000" flipH="1">
          <a:off x="12376980" y="1264911"/>
          <a:ext cx="1102134" cy="1065897"/>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214306</xdr:colOff>
      <xdr:row>5</xdr:row>
      <xdr:rowOff>148616</xdr:rowOff>
    </xdr:from>
    <xdr:to>
      <xdr:col>16</xdr:col>
      <xdr:colOff>883272</xdr:colOff>
      <xdr:row>10</xdr:row>
      <xdr:rowOff>163778</xdr:rowOff>
    </xdr:to>
    <xdr:cxnSp macro="">
      <xdr:nvCxnSpPr>
        <xdr:cNvPr id="28" name="연결선: 꺾임 27">
          <a:extLst>
            <a:ext uri="{FF2B5EF4-FFF2-40B4-BE49-F238E27FC236}">
              <a16:creationId xmlns:a16="http://schemas.microsoft.com/office/drawing/2014/main" id="{D0CEF386-E6C3-4FB5-ABD1-C25F535E9023}"/>
            </a:ext>
          </a:extLst>
        </xdr:cNvPr>
        <xdr:cNvCxnSpPr>
          <a:stCxn id="7" idx="2"/>
          <a:endCxn id="15" idx="0"/>
        </xdr:cNvCxnSpPr>
      </xdr:nvCxnSpPr>
      <xdr:spPr>
        <a:xfrm rot="16200000" flipH="1">
          <a:off x="13215060" y="426832"/>
          <a:ext cx="1090927" cy="2730848"/>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311186</xdr:colOff>
      <xdr:row>10</xdr:row>
      <xdr:rowOff>194458</xdr:rowOff>
    </xdr:from>
    <xdr:to>
      <xdr:col>21</xdr:col>
      <xdr:colOff>410422</xdr:colOff>
      <xdr:row>12</xdr:row>
      <xdr:rowOff>172185</xdr:rowOff>
    </xdr:to>
    <xdr:sp macro="" textlink="">
      <xdr:nvSpPr>
        <xdr:cNvPr id="4" name="사각형: 둥근 모서리 3">
          <a:extLst>
            <a:ext uri="{FF2B5EF4-FFF2-40B4-BE49-F238E27FC236}">
              <a16:creationId xmlns:a16="http://schemas.microsoft.com/office/drawing/2014/main" id="{F07F0465-1B48-4B2A-91D4-5543197BE52F}"/>
            </a:ext>
          </a:extLst>
        </xdr:cNvPr>
        <xdr:cNvSpPr/>
      </xdr:nvSpPr>
      <xdr:spPr>
        <a:xfrm>
          <a:off x="16268362" y="2368399"/>
          <a:ext cx="1421531" cy="425962"/>
        </a:xfrm>
        <a:prstGeom prst="roundRect">
          <a:avLst/>
        </a:prstGeom>
        <a:solidFill>
          <a:schemeClr val="accent5">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200" b="1">
              <a:solidFill>
                <a:sysClr val="windowText" lastClr="000000"/>
              </a:solidFill>
            </a:rPr>
            <a:t>ATGC</a:t>
          </a:r>
          <a:endParaRPr lang="ko-KR" altLang="en-US" sz="1200" b="1">
            <a:solidFill>
              <a:sysClr val="windowText" lastClr="000000"/>
            </a:solidFill>
          </a:endParaRPr>
        </a:p>
      </xdr:txBody>
    </xdr:sp>
    <xdr:clientData/>
  </xdr:twoCellAnchor>
  <xdr:twoCellAnchor>
    <xdr:from>
      <xdr:col>14</xdr:col>
      <xdr:colOff>214304</xdr:colOff>
      <xdr:row>5</xdr:row>
      <xdr:rowOff>148617</xdr:rowOff>
    </xdr:from>
    <xdr:to>
      <xdr:col>20</xdr:col>
      <xdr:colOff>360803</xdr:colOff>
      <xdr:row>10</xdr:row>
      <xdr:rowOff>194458</xdr:rowOff>
    </xdr:to>
    <xdr:cxnSp macro="">
      <xdr:nvCxnSpPr>
        <xdr:cNvPr id="5" name="연결선: 꺾임 4">
          <a:extLst>
            <a:ext uri="{FF2B5EF4-FFF2-40B4-BE49-F238E27FC236}">
              <a16:creationId xmlns:a16="http://schemas.microsoft.com/office/drawing/2014/main" id="{6D6C60A7-B96F-433B-8919-2F8E3CB60CBF}"/>
            </a:ext>
          </a:extLst>
        </xdr:cNvPr>
        <xdr:cNvCxnSpPr>
          <a:stCxn id="7" idx="2"/>
          <a:endCxn id="4" idx="0"/>
        </xdr:cNvCxnSpPr>
      </xdr:nvCxnSpPr>
      <xdr:spPr>
        <a:xfrm rot="16200000" flipH="1">
          <a:off x="14109501" y="-501228"/>
          <a:ext cx="1121606" cy="4617647"/>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0.xml><?xml version="1.0" encoding="utf-8"?>
<xdr:wsDr xmlns:xdr="http://schemas.openxmlformats.org/drawingml/2006/spreadsheetDrawing" xmlns:a="http://schemas.openxmlformats.org/drawingml/2006/main">
  <xdr:twoCellAnchor>
    <xdr:from>
      <xdr:col>2</xdr:col>
      <xdr:colOff>256054</xdr:colOff>
      <xdr:row>9</xdr:row>
      <xdr:rowOff>38660</xdr:rowOff>
    </xdr:from>
    <xdr:to>
      <xdr:col>4</xdr:col>
      <xdr:colOff>1133475</xdr:colOff>
      <xdr:row>9</xdr:row>
      <xdr:rowOff>38660</xdr:rowOff>
    </xdr:to>
    <xdr:cxnSp macro="">
      <xdr:nvCxnSpPr>
        <xdr:cNvPr id="2" name="직선 화살표 연결선 1">
          <a:extLst>
            <a:ext uri="{FF2B5EF4-FFF2-40B4-BE49-F238E27FC236}">
              <a16:creationId xmlns:a16="http://schemas.microsoft.com/office/drawing/2014/main" id="{CCA3818D-636B-471F-811A-0F662F1562F5}"/>
            </a:ext>
          </a:extLst>
        </xdr:cNvPr>
        <xdr:cNvCxnSpPr/>
      </xdr:nvCxnSpPr>
      <xdr:spPr>
        <a:xfrm>
          <a:off x="1713379" y="1676960"/>
          <a:ext cx="2010896" cy="0"/>
        </a:xfrm>
        <a:prstGeom prst="straightConnector1">
          <a:avLst/>
        </a:prstGeom>
        <a:ln w="12700">
          <a:solidFill>
            <a:srgbClr val="00206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256054</xdr:colOff>
      <xdr:row>22</xdr:row>
      <xdr:rowOff>38660</xdr:rowOff>
    </xdr:from>
    <xdr:to>
      <xdr:col>4</xdr:col>
      <xdr:colOff>1114425</xdr:colOff>
      <xdr:row>22</xdr:row>
      <xdr:rowOff>38660</xdr:rowOff>
    </xdr:to>
    <xdr:cxnSp macro="">
      <xdr:nvCxnSpPr>
        <xdr:cNvPr id="4" name="직선 화살표 연결선 3">
          <a:extLst>
            <a:ext uri="{FF2B5EF4-FFF2-40B4-BE49-F238E27FC236}">
              <a16:creationId xmlns:a16="http://schemas.microsoft.com/office/drawing/2014/main" id="{A074578F-844C-473B-A417-39A96E43B79D}"/>
            </a:ext>
          </a:extLst>
        </xdr:cNvPr>
        <xdr:cNvCxnSpPr/>
      </xdr:nvCxnSpPr>
      <xdr:spPr>
        <a:xfrm>
          <a:off x="1713379" y="3734360"/>
          <a:ext cx="1991846" cy="0"/>
        </a:xfrm>
        <a:prstGeom prst="straightConnector1">
          <a:avLst/>
        </a:prstGeom>
        <a:ln w="12700">
          <a:solidFill>
            <a:srgbClr val="00206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256054</xdr:colOff>
      <xdr:row>42</xdr:row>
      <xdr:rowOff>38660</xdr:rowOff>
    </xdr:from>
    <xdr:to>
      <xdr:col>4</xdr:col>
      <xdr:colOff>1133475</xdr:colOff>
      <xdr:row>42</xdr:row>
      <xdr:rowOff>38660</xdr:rowOff>
    </xdr:to>
    <xdr:cxnSp macro="">
      <xdr:nvCxnSpPr>
        <xdr:cNvPr id="9" name="직선 화살표 연결선 8">
          <a:extLst>
            <a:ext uri="{FF2B5EF4-FFF2-40B4-BE49-F238E27FC236}">
              <a16:creationId xmlns:a16="http://schemas.microsoft.com/office/drawing/2014/main" id="{68642D65-6E4E-4F85-937B-56EC4344CDD8}"/>
            </a:ext>
          </a:extLst>
        </xdr:cNvPr>
        <xdr:cNvCxnSpPr/>
      </xdr:nvCxnSpPr>
      <xdr:spPr>
        <a:xfrm>
          <a:off x="1713379" y="8963585"/>
          <a:ext cx="2010896" cy="0"/>
        </a:xfrm>
        <a:prstGeom prst="straightConnector1">
          <a:avLst/>
        </a:prstGeom>
        <a:ln w="12700">
          <a:solidFill>
            <a:srgbClr val="00206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256054</xdr:colOff>
      <xdr:row>80</xdr:row>
      <xdr:rowOff>95810</xdr:rowOff>
    </xdr:from>
    <xdr:to>
      <xdr:col>4</xdr:col>
      <xdr:colOff>1133475</xdr:colOff>
      <xdr:row>80</xdr:row>
      <xdr:rowOff>95810</xdr:rowOff>
    </xdr:to>
    <xdr:cxnSp macro="">
      <xdr:nvCxnSpPr>
        <xdr:cNvPr id="28" name="직선 화살표 연결선 27">
          <a:extLst>
            <a:ext uri="{FF2B5EF4-FFF2-40B4-BE49-F238E27FC236}">
              <a16:creationId xmlns:a16="http://schemas.microsoft.com/office/drawing/2014/main" id="{EB32B3B3-817C-4DF5-9B1D-03A66B4E379F}"/>
            </a:ext>
          </a:extLst>
        </xdr:cNvPr>
        <xdr:cNvCxnSpPr/>
      </xdr:nvCxnSpPr>
      <xdr:spPr>
        <a:xfrm>
          <a:off x="1551454" y="14783360"/>
          <a:ext cx="3353921" cy="0"/>
        </a:xfrm>
        <a:prstGeom prst="straightConnector1">
          <a:avLst/>
        </a:prstGeom>
        <a:ln w="12700">
          <a:solidFill>
            <a:srgbClr val="00206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256054</xdr:colOff>
      <xdr:row>56</xdr:row>
      <xdr:rowOff>38660</xdr:rowOff>
    </xdr:from>
    <xdr:to>
      <xdr:col>4</xdr:col>
      <xdr:colOff>1133475</xdr:colOff>
      <xdr:row>56</xdr:row>
      <xdr:rowOff>38660</xdr:rowOff>
    </xdr:to>
    <xdr:cxnSp macro="">
      <xdr:nvCxnSpPr>
        <xdr:cNvPr id="13" name="직선 화살표 연결선 12">
          <a:extLst>
            <a:ext uri="{FF2B5EF4-FFF2-40B4-BE49-F238E27FC236}">
              <a16:creationId xmlns:a16="http://schemas.microsoft.com/office/drawing/2014/main" id="{9199D32F-3365-4EAA-A3E6-DC24FD377250}"/>
            </a:ext>
          </a:extLst>
        </xdr:cNvPr>
        <xdr:cNvCxnSpPr/>
      </xdr:nvCxnSpPr>
      <xdr:spPr>
        <a:xfrm>
          <a:off x="1551454" y="17602760"/>
          <a:ext cx="3353921" cy="0"/>
        </a:xfrm>
        <a:prstGeom prst="straightConnector1">
          <a:avLst/>
        </a:prstGeom>
        <a:ln w="12700">
          <a:solidFill>
            <a:srgbClr val="00206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340894</xdr:colOff>
      <xdr:row>49</xdr:row>
      <xdr:rowOff>0</xdr:rowOff>
    </xdr:from>
    <xdr:to>
      <xdr:col>4</xdr:col>
      <xdr:colOff>1131470</xdr:colOff>
      <xdr:row>49</xdr:row>
      <xdr:rowOff>0</xdr:rowOff>
    </xdr:to>
    <xdr:cxnSp macro="">
      <xdr:nvCxnSpPr>
        <xdr:cNvPr id="3" name="직선 화살표 연결선 2">
          <a:extLst>
            <a:ext uri="{FF2B5EF4-FFF2-40B4-BE49-F238E27FC236}">
              <a16:creationId xmlns:a16="http://schemas.microsoft.com/office/drawing/2014/main" id="{5FBADB32-2566-4B0F-A623-B0F0F654BAF2}"/>
            </a:ext>
          </a:extLst>
        </xdr:cNvPr>
        <xdr:cNvCxnSpPr/>
      </xdr:nvCxnSpPr>
      <xdr:spPr>
        <a:xfrm flipH="1">
          <a:off x="3258552" y="7178842"/>
          <a:ext cx="3267076" cy="0"/>
        </a:xfrm>
        <a:prstGeom prst="straightConnector1">
          <a:avLst/>
        </a:prstGeom>
        <a:ln w="12700">
          <a:solidFill>
            <a:srgbClr val="00206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256054</xdr:colOff>
      <xdr:row>29</xdr:row>
      <xdr:rowOff>38660</xdr:rowOff>
    </xdr:from>
    <xdr:to>
      <xdr:col>4</xdr:col>
      <xdr:colOff>1114425</xdr:colOff>
      <xdr:row>29</xdr:row>
      <xdr:rowOff>38660</xdr:rowOff>
    </xdr:to>
    <xdr:cxnSp macro="">
      <xdr:nvCxnSpPr>
        <xdr:cNvPr id="5" name="직선 화살표 연결선 4">
          <a:extLst>
            <a:ext uri="{FF2B5EF4-FFF2-40B4-BE49-F238E27FC236}">
              <a16:creationId xmlns:a16="http://schemas.microsoft.com/office/drawing/2014/main" id="{86A0A69D-0314-4127-8639-C3DD6BF06B90}"/>
            </a:ext>
          </a:extLst>
        </xdr:cNvPr>
        <xdr:cNvCxnSpPr/>
      </xdr:nvCxnSpPr>
      <xdr:spPr>
        <a:xfrm>
          <a:off x="3173712" y="3888765"/>
          <a:ext cx="3334871" cy="0"/>
        </a:xfrm>
        <a:prstGeom prst="straightConnector1">
          <a:avLst/>
        </a:prstGeom>
        <a:ln w="12700">
          <a:solidFill>
            <a:srgbClr val="00206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256054</xdr:colOff>
      <xdr:row>61</xdr:row>
      <xdr:rowOff>38660</xdr:rowOff>
    </xdr:from>
    <xdr:to>
      <xdr:col>4</xdr:col>
      <xdr:colOff>1133475</xdr:colOff>
      <xdr:row>61</xdr:row>
      <xdr:rowOff>38660</xdr:rowOff>
    </xdr:to>
    <xdr:cxnSp macro="">
      <xdr:nvCxnSpPr>
        <xdr:cNvPr id="7" name="직선 화살표 연결선 6">
          <a:extLst>
            <a:ext uri="{FF2B5EF4-FFF2-40B4-BE49-F238E27FC236}">
              <a16:creationId xmlns:a16="http://schemas.microsoft.com/office/drawing/2014/main" id="{AE4D61FF-876D-4EC9-9AF9-7BDEAECCBE2E}"/>
            </a:ext>
          </a:extLst>
        </xdr:cNvPr>
        <xdr:cNvCxnSpPr/>
      </xdr:nvCxnSpPr>
      <xdr:spPr>
        <a:xfrm>
          <a:off x="3173712" y="9433318"/>
          <a:ext cx="3353921" cy="0"/>
        </a:xfrm>
        <a:prstGeom prst="straightConnector1">
          <a:avLst/>
        </a:prstGeom>
        <a:ln w="12700">
          <a:solidFill>
            <a:srgbClr val="00206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280737</xdr:colOff>
      <xdr:row>15</xdr:row>
      <xdr:rowOff>40106</xdr:rowOff>
    </xdr:from>
    <xdr:to>
      <xdr:col>4</xdr:col>
      <xdr:colOff>1071313</xdr:colOff>
      <xdr:row>15</xdr:row>
      <xdr:rowOff>40106</xdr:rowOff>
    </xdr:to>
    <xdr:cxnSp macro="">
      <xdr:nvCxnSpPr>
        <xdr:cNvPr id="10" name="직선 화살표 연결선 9">
          <a:extLst>
            <a:ext uri="{FF2B5EF4-FFF2-40B4-BE49-F238E27FC236}">
              <a16:creationId xmlns:a16="http://schemas.microsoft.com/office/drawing/2014/main" id="{46F4756D-4AF8-4550-BA63-DAB072D40E62}"/>
            </a:ext>
          </a:extLst>
        </xdr:cNvPr>
        <xdr:cNvCxnSpPr/>
      </xdr:nvCxnSpPr>
      <xdr:spPr>
        <a:xfrm flipH="1">
          <a:off x="1534026" y="2697080"/>
          <a:ext cx="2615366" cy="0"/>
        </a:xfrm>
        <a:prstGeom prst="straightConnector1">
          <a:avLst/>
        </a:prstGeom>
        <a:ln w="12700">
          <a:solidFill>
            <a:srgbClr val="00206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1.xml><?xml version="1.0" encoding="utf-8"?>
<xdr:wsDr xmlns:xdr="http://schemas.openxmlformats.org/drawingml/2006/spreadsheetDrawing" xmlns:a="http://schemas.openxmlformats.org/drawingml/2006/main">
  <xdr:twoCellAnchor editAs="oneCell">
    <xdr:from>
      <xdr:col>4</xdr:col>
      <xdr:colOff>358589</xdr:colOff>
      <xdr:row>80</xdr:row>
      <xdr:rowOff>201706</xdr:rowOff>
    </xdr:from>
    <xdr:to>
      <xdr:col>7</xdr:col>
      <xdr:colOff>270541</xdr:colOff>
      <xdr:row>88</xdr:row>
      <xdr:rowOff>79364</xdr:rowOff>
    </xdr:to>
    <xdr:pic>
      <xdr:nvPicPr>
        <xdr:cNvPr id="4" name="그림 3">
          <a:extLst>
            <a:ext uri="{FF2B5EF4-FFF2-40B4-BE49-F238E27FC236}">
              <a16:creationId xmlns:a16="http://schemas.microsoft.com/office/drawing/2014/main" id="{7DEABB99-9956-4B10-9B0D-055301943200}"/>
            </a:ext>
          </a:extLst>
        </xdr:cNvPr>
        <xdr:cNvPicPr>
          <a:picLocks noChangeAspect="1"/>
        </xdr:cNvPicPr>
      </xdr:nvPicPr>
      <xdr:blipFill>
        <a:blip xmlns:r="http://schemas.openxmlformats.org/officeDocument/2006/relationships" r:embed="rId1"/>
        <a:stretch>
          <a:fillRect/>
        </a:stretch>
      </xdr:blipFill>
      <xdr:spPr>
        <a:xfrm>
          <a:off x="5188324" y="11934265"/>
          <a:ext cx="3342857" cy="1580952"/>
        </a:xfrm>
        <a:prstGeom prst="rect">
          <a:avLst/>
        </a:prstGeom>
      </xdr:spPr>
    </xdr:pic>
    <xdr:clientData/>
  </xdr:twoCellAnchor>
  <xdr:twoCellAnchor editAs="oneCell">
    <xdr:from>
      <xdr:col>0</xdr:col>
      <xdr:colOff>78441</xdr:colOff>
      <xdr:row>23</xdr:row>
      <xdr:rowOff>190501</xdr:rowOff>
    </xdr:from>
    <xdr:to>
      <xdr:col>5</xdr:col>
      <xdr:colOff>34892</xdr:colOff>
      <xdr:row>42</xdr:row>
      <xdr:rowOff>71929</xdr:rowOff>
    </xdr:to>
    <xdr:pic>
      <xdr:nvPicPr>
        <xdr:cNvPr id="2" name="그림 1">
          <a:extLst>
            <a:ext uri="{FF2B5EF4-FFF2-40B4-BE49-F238E27FC236}">
              <a16:creationId xmlns:a16="http://schemas.microsoft.com/office/drawing/2014/main" id="{17AEC55D-3A95-CE3F-7A4A-3FD4CEC52836}"/>
            </a:ext>
          </a:extLst>
        </xdr:cNvPr>
        <xdr:cNvPicPr>
          <a:picLocks noChangeAspect="1"/>
        </xdr:cNvPicPr>
      </xdr:nvPicPr>
      <xdr:blipFill>
        <a:blip xmlns:r="http://schemas.openxmlformats.org/officeDocument/2006/relationships" r:embed="rId2"/>
        <a:stretch>
          <a:fillRect/>
        </a:stretch>
      </xdr:blipFill>
      <xdr:spPr>
        <a:xfrm>
          <a:off x="78441" y="4448736"/>
          <a:ext cx="5915851" cy="3915321"/>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4</xdr:col>
      <xdr:colOff>1154206</xdr:colOff>
      <xdr:row>22</xdr:row>
      <xdr:rowOff>67236</xdr:rowOff>
    </xdr:from>
    <xdr:to>
      <xdr:col>10</xdr:col>
      <xdr:colOff>739588</xdr:colOff>
      <xdr:row>35</xdr:row>
      <xdr:rowOff>67236</xdr:rowOff>
    </xdr:to>
    <xdr:sp macro="" textlink="">
      <xdr:nvSpPr>
        <xdr:cNvPr id="2" name="직사각형 1">
          <a:extLst>
            <a:ext uri="{FF2B5EF4-FFF2-40B4-BE49-F238E27FC236}">
              <a16:creationId xmlns:a16="http://schemas.microsoft.com/office/drawing/2014/main" id="{44EDE128-9185-C137-4E3C-1502580595CD}"/>
            </a:ext>
          </a:extLst>
        </xdr:cNvPr>
        <xdr:cNvSpPr/>
      </xdr:nvSpPr>
      <xdr:spPr>
        <a:xfrm>
          <a:off x="5524500" y="3854824"/>
          <a:ext cx="7384676" cy="218514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1100"/>
            <a:t>분반기 생략</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5</xdr:col>
      <xdr:colOff>89646</xdr:colOff>
      <xdr:row>17</xdr:row>
      <xdr:rowOff>17929</xdr:rowOff>
    </xdr:from>
    <xdr:to>
      <xdr:col>11</xdr:col>
      <xdr:colOff>321040</xdr:colOff>
      <xdr:row>33</xdr:row>
      <xdr:rowOff>10220</xdr:rowOff>
    </xdr:to>
    <xdr:sp macro="" textlink="">
      <xdr:nvSpPr>
        <xdr:cNvPr id="2" name="직사각형 1">
          <a:extLst>
            <a:ext uri="{FF2B5EF4-FFF2-40B4-BE49-F238E27FC236}">
              <a16:creationId xmlns:a16="http://schemas.microsoft.com/office/drawing/2014/main" id="{4F559885-68B7-41C5-95F8-E29E9C0FBF4E}"/>
            </a:ext>
          </a:extLst>
        </xdr:cNvPr>
        <xdr:cNvSpPr/>
      </xdr:nvSpPr>
      <xdr:spPr>
        <a:xfrm>
          <a:off x="5701552" y="3245223"/>
          <a:ext cx="6596335" cy="26817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4000"/>
            <a:t>별도와 동일</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4</xdr:col>
      <xdr:colOff>1557619</xdr:colOff>
      <xdr:row>7</xdr:row>
      <xdr:rowOff>168089</xdr:rowOff>
    </xdr:from>
    <xdr:to>
      <xdr:col>9</xdr:col>
      <xdr:colOff>201251</xdr:colOff>
      <xdr:row>20</xdr:row>
      <xdr:rowOff>49331</xdr:rowOff>
    </xdr:to>
    <xdr:sp macro="" textlink="">
      <xdr:nvSpPr>
        <xdr:cNvPr id="2" name="직사각형 1">
          <a:extLst>
            <a:ext uri="{FF2B5EF4-FFF2-40B4-BE49-F238E27FC236}">
              <a16:creationId xmlns:a16="http://schemas.microsoft.com/office/drawing/2014/main" id="{23A868B6-7178-4B45-89FE-A4986E65ACEA}"/>
            </a:ext>
          </a:extLst>
        </xdr:cNvPr>
        <xdr:cNvSpPr/>
      </xdr:nvSpPr>
      <xdr:spPr>
        <a:xfrm>
          <a:off x="7227795" y="1658471"/>
          <a:ext cx="6588603" cy="264909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4000"/>
            <a:t>별도와 동일</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6</xdr:col>
      <xdr:colOff>0</xdr:colOff>
      <xdr:row>18</xdr:row>
      <xdr:rowOff>0</xdr:rowOff>
    </xdr:from>
    <xdr:to>
      <xdr:col>11</xdr:col>
      <xdr:colOff>1088755</xdr:colOff>
      <xdr:row>30</xdr:row>
      <xdr:rowOff>94153</xdr:rowOff>
    </xdr:to>
    <xdr:sp macro="" textlink="">
      <xdr:nvSpPr>
        <xdr:cNvPr id="2" name="직사각형 1">
          <a:extLst>
            <a:ext uri="{FF2B5EF4-FFF2-40B4-BE49-F238E27FC236}">
              <a16:creationId xmlns:a16="http://schemas.microsoft.com/office/drawing/2014/main" id="{973F982D-1B84-4486-B2F3-EF4AE6C4C802}"/>
            </a:ext>
          </a:extLst>
        </xdr:cNvPr>
        <xdr:cNvSpPr/>
      </xdr:nvSpPr>
      <xdr:spPr>
        <a:xfrm>
          <a:off x="8946776" y="3872753"/>
          <a:ext cx="6602050" cy="267598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4000"/>
            <a:t>분반기 세율만표시</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1</xdr:col>
      <xdr:colOff>1983441</xdr:colOff>
      <xdr:row>7</xdr:row>
      <xdr:rowOff>89647</xdr:rowOff>
    </xdr:from>
    <xdr:to>
      <xdr:col>5</xdr:col>
      <xdr:colOff>1120589</xdr:colOff>
      <xdr:row>28</xdr:row>
      <xdr:rowOff>67235</xdr:rowOff>
    </xdr:to>
    <xdr:sp macro="" textlink="">
      <xdr:nvSpPr>
        <xdr:cNvPr id="2" name="직사각형 1">
          <a:extLst>
            <a:ext uri="{FF2B5EF4-FFF2-40B4-BE49-F238E27FC236}">
              <a16:creationId xmlns:a16="http://schemas.microsoft.com/office/drawing/2014/main" id="{19324AEA-0964-4ABE-BC59-CE657C43D8D5}"/>
            </a:ext>
          </a:extLst>
        </xdr:cNvPr>
        <xdr:cNvSpPr/>
      </xdr:nvSpPr>
      <xdr:spPr>
        <a:xfrm>
          <a:off x="2207559" y="1580029"/>
          <a:ext cx="7115736" cy="444873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2800"/>
            <a:t>별도와 동일 </a:t>
          </a:r>
          <a:r>
            <a:rPr lang="en-US" altLang="ko-KR" sz="2800"/>
            <a:t>/ </a:t>
          </a:r>
          <a:r>
            <a:rPr lang="ko-KR" altLang="en-US" sz="2800"/>
            <a:t>에이티지씨는 </a:t>
          </a:r>
          <a:r>
            <a:rPr lang="en-US" altLang="ko-KR" sz="2800"/>
            <a:t>6</a:t>
          </a:r>
          <a:r>
            <a:rPr lang="ko-KR" altLang="en-US" sz="2800"/>
            <a:t>월말 기준 주식선택권 모두 소멸완료됨</a:t>
          </a:r>
        </a:p>
      </xdr:txBody>
    </xdr:sp>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2.v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7.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3.vml"/></Relationships>
</file>

<file path=xl/worksheets/_rels/sheet18.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4.vml"/></Relationships>
</file>

<file path=xl/worksheets/_rels/sheet19.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5.vml"/></Relationships>
</file>

<file path=xl/worksheets/_rels/sheet20.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6.vml"/></Relationships>
</file>

<file path=xl/worksheets/_rels/sheet21.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7.vml"/></Relationships>
</file>

<file path=xl/worksheets/_rels/sheet22.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8.vml"/></Relationships>
</file>

<file path=xl/worksheets/_rels/sheet23.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9.vml"/></Relationships>
</file>

<file path=xl/worksheets/_rels/sheet24.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10.v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36.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10.xml"/><Relationship Id="rId1" Type="http://schemas.openxmlformats.org/officeDocument/2006/relationships/printerSettings" Target="../printerSettings/printerSettings14.bin"/><Relationship Id="rId4" Type="http://schemas.openxmlformats.org/officeDocument/2006/relationships/comments" Target="../comments10.xml"/></Relationships>
</file>

<file path=xl/worksheets/_rels/sheet38.xml.rels><?xml version="1.0" encoding="UTF-8" standalone="yes"?>
<Relationships xmlns="http://schemas.openxmlformats.org/package/2006/relationships"><Relationship Id="rId117" Type="http://schemas.openxmlformats.org/officeDocument/2006/relationships/hyperlink" Target="javascript:void(0);" TargetMode="External"/><Relationship Id="rId21" Type="http://schemas.openxmlformats.org/officeDocument/2006/relationships/hyperlink" Target="javascript:void(0)" TargetMode="External"/><Relationship Id="rId63" Type="http://schemas.openxmlformats.org/officeDocument/2006/relationships/hyperlink" Target="javascript:void(0)" TargetMode="External"/><Relationship Id="rId159" Type="http://schemas.openxmlformats.org/officeDocument/2006/relationships/hyperlink" Target="javascript:void(0)" TargetMode="External"/><Relationship Id="rId170" Type="http://schemas.openxmlformats.org/officeDocument/2006/relationships/hyperlink" Target="javascript:void(0)" TargetMode="External"/><Relationship Id="rId226" Type="http://schemas.openxmlformats.org/officeDocument/2006/relationships/hyperlink" Target="javascript:void(0);" TargetMode="External"/><Relationship Id="rId268" Type="http://schemas.openxmlformats.org/officeDocument/2006/relationships/hyperlink" Target="javascript:void(0);" TargetMode="External"/><Relationship Id="rId32" Type="http://schemas.openxmlformats.org/officeDocument/2006/relationships/hyperlink" Target="javascript:void(0)" TargetMode="External"/><Relationship Id="rId74" Type="http://schemas.openxmlformats.org/officeDocument/2006/relationships/hyperlink" Target="javascript:void(0);" TargetMode="External"/><Relationship Id="rId128" Type="http://schemas.openxmlformats.org/officeDocument/2006/relationships/hyperlink" Target="javascript:void(0)" TargetMode="External"/><Relationship Id="rId5" Type="http://schemas.openxmlformats.org/officeDocument/2006/relationships/hyperlink" Target="javascript:void(0);" TargetMode="External"/><Relationship Id="rId181" Type="http://schemas.openxmlformats.org/officeDocument/2006/relationships/hyperlink" Target="javascript:void(0);" TargetMode="External"/><Relationship Id="rId237" Type="http://schemas.openxmlformats.org/officeDocument/2006/relationships/hyperlink" Target="javascript:void(0)" TargetMode="External"/><Relationship Id="rId258" Type="http://schemas.openxmlformats.org/officeDocument/2006/relationships/hyperlink" Target="javascript:void(0);" TargetMode="External"/><Relationship Id="rId279" Type="http://schemas.openxmlformats.org/officeDocument/2006/relationships/hyperlink" Target="javascript:void(0);" TargetMode="External"/><Relationship Id="rId22" Type="http://schemas.openxmlformats.org/officeDocument/2006/relationships/hyperlink" Target="javascript:void(0);" TargetMode="External"/><Relationship Id="rId43" Type="http://schemas.openxmlformats.org/officeDocument/2006/relationships/hyperlink" Target="javascript:void(0);" TargetMode="External"/><Relationship Id="rId64" Type="http://schemas.openxmlformats.org/officeDocument/2006/relationships/hyperlink" Target="javascript:void(0);" TargetMode="External"/><Relationship Id="rId118" Type="http://schemas.openxmlformats.org/officeDocument/2006/relationships/hyperlink" Target="javascript:void(0)" TargetMode="External"/><Relationship Id="rId139" Type="http://schemas.openxmlformats.org/officeDocument/2006/relationships/hyperlink" Target="javascript:void(0)" TargetMode="External"/><Relationship Id="rId85" Type="http://schemas.openxmlformats.org/officeDocument/2006/relationships/hyperlink" Target="javascript:void(0);" TargetMode="External"/><Relationship Id="rId150" Type="http://schemas.openxmlformats.org/officeDocument/2006/relationships/hyperlink" Target="javascript:void(0);" TargetMode="External"/><Relationship Id="rId171" Type="http://schemas.openxmlformats.org/officeDocument/2006/relationships/hyperlink" Target="javascript:void(0)" TargetMode="External"/><Relationship Id="rId192" Type="http://schemas.openxmlformats.org/officeDocument/2006/relationships/hyperlink" Target="javascript:void(0)" TargetMode="External"/><Relationship Id="rId206" Type="http://schemas.openxmlformats.org/officeDocument/2006/relationships/hyperlink" Target="javascript:void(0);" TargetMode="External"/><Relationship Id="rId227" Type="http://schemas.openxmlformats.org/officeDocument/2006/relationships/hyperlink" Target="javascript:void(0)" TargetMode="External"/><Relationship Id="rId248" Type="http://schemas.openxmlformats.org/officeDocument/2006/relationships/hyperlink" Target="javascript:void(0);" TargetMode="External"/><Relationship Id="rId269" Type="http://schemas.openxmlformats.org/officeDocument/2006/relationships/hyperlink" Target="javascript:void(0)" TargetMode="External"/><Relationship Id="rId12" Type="http://schemas.openxmlformats.org/officeDocument/2006/relationships/hyperlink" Target="javascript:void(0);" TargetMode="External"/><Relationship Id="rId33" Type="http://schemas.openxmlformats.org/officeDocument/2006/relationships/hyperlink" Target="javascript:void(0);" TargetMode="External"/><Relationship Id="rId108" Type="http://schemas.openxmlformats.org/officeDocument/2006/relationships/hyperlink" Target="javascript:void(0)" TargetMode="External"/><Relationship Id="rId129" Type="http://schemas.openxmlformats.org/officeDocument/2006/relationships/hyperlink" Target="javascript:void(0)" TargetMode="External"/><Relationship Id="rId280" Type="http://schemas.openxmlformats.org/officeDocument/2006/relationships/hyperlink" Target="javascript:void(0)" TargetMode="External"/><Relationship Id="rId54" Type="http://schemas.openxmlformats.org/officeDocument/2006/relationships/hyperlink" Target="javascript:void(0)" TargetMode="External"/><Relationship Id="rId75" Type="http://schemas.openxmlformats.org/officeDocument/2006/relationships/hyperlink" Target="javascript:void(0)" TargetMode="External"/><Relationship Id="rId96" Type="http://schemas.openxmlformats.org/officeDocument/2006/relationships/hyperlink" Target="javascript:void(0)" TargetMode="External"/><Relationship Id="rId140" Type="http://schemas.openxmlformats.org/officeDocument/2006/relationships/hyperlink" Target="javascript:void(0)" TargetMode="External"/><Relationship Id="rId161" Type="http://schemas.openxmlformats.org/officeDocument/2006/relationships/hyperlink" Target="javascript:void(0)" TargetMode="External"/><Relationship Id="rId182" Type="http://schemas.openxmlformats.org/officeDocument/2006/relationships/hyperlink" Target="javascript:void(0)" TargetMode="External"/><Relationship Id="rId217" Type="http://schemas.openxmlformats.org/officeDocument/2006/relationships/hyperlink" Target="javascript:void(0)" TargetMode="External"/><Relationship Id="rId6" Type="http://schemas.openxmlformats.org/officeDocument/2006/relationships/hyperlink" Target="javascript:void(0)" TargetMode="External"/><Relationship Id="rId238" Type="http://schemas.openxmlformats.org/officeDocument/2006/relationships/hyperlink" Target="javascript:void(0)" TargetMode="External"/><Relationship Id="rId259" Type="http://schemas.openxmlformats.org/officeDocument/2006/relationships/hyperlink" Target="javascript:void(0)" TargetMode="External"/><Relationship Id="rId23" Type="http://schemas.openxmlformats.org/officeDocument/2006/relationships/hyperlink" Target="javascript:void(0)" TargetMode="External"/><Relationship Id="rId119" Type="http://schemas.openxmlformats.org/officeDocument/2006/relationships/hyperlink" Target="javascript:void(0);" TargetMode="External"/><Relationship Id="rId270" Type="http://schemas.openxmlformats.org/officeDocument/2006/relationships/hyperlink" Target="javascript:void(0);" TargetMode="External"/><Relationship Id="rId44" Type="http://schemas.openxmlformats.org/officeDocument/2006/relationships/hyperlink" Target="javascript:void(0)" TargetMode="External"/><Relationship Id="rId65" Type="http://schemas.openxmlformats.org/officeDocument/2006/relationships/hyperlink" Target="javascript:void(0)" TargetMode="External"/><Relationship Id="rId86" Type="http://schemas.openxmlformats.org/officeDocument/2006/relationships/hyperlink" Target="javascript:void(0)" TargetMode="External"/><Relationship Id="rId130" Type="http://schemas.openxmlformats.org/officeDocument/2006/relationships/hyperlink" Target="javascript:void(0);" TargetMode="External"/><Relationship Id="rId151" Type="http://schemas.openxmlformats.org/officeDocument/2006/relationships/hyperlink" Target="javascript:void(0)" TargetMode="External"/><Relationship Id="rId172" Type="http://schemas.openxmlformats.org/officeDocument/2006/relationships/hyperlink" Target="javascript:void(0);" TargetMode="External"/><Relationship Id="rId193" Type="http://schemas.openxmlformats.org/officeDocument/2006/relationships/hyperlink" Target="javascript:void(0);" TargetMode="External"/><Relationship Id="rId207" Type="http://schemas.openxmlformats.org/officeDocument/2006/relationships/hyperlink" Target="javascript:void(0)" TargetMode="External"/><Relationship Id="rId228" Type="http://schemas.openxmlformats.org/officeDocument/2006/relationships/hyperlink" Target="javascript:void(0);" TargetMode="External"/><Relationship Id="rId249" Type="http://schemas.openxmlformats.org/officeDocument/2006/relationships/hyperlink" Target="javascript:void(0)" TargetMode="External"/><Relationship Id="rId13" Type="http://schemas.openxmlformats.org/officeDocument/2006/relationships/hyperlink" Target="javascript:void(0)" TargetMode="External"/><Relationship Id="rId109" Type="http://schemas.openxmlformats.org/officeDocument/2006/relationships/hyperlink" Target="javascript:void(0);" TargetMode="External"/><Relationship Id="rId260" Type="http://schemas.openxmlformats.org/officeDocument/2006/relationships/hyperlink" Target="javascript:void(0);" TargetMode="External"/><Relationship Id="rId34" Type="http://schemas.openxmlformats.org/officeDocument/2006/relationships/hyperlink" Target="javascript:void(0)" TargetMode="External"/><Relationship Id="rId55" Type="http://schemas.openxmlformats.org/officeDocument/2006/relationships/hyperlink" Target="javascript:void(0);" TargetMode="External"/><Relationship Id="rId76" Type="http://schemas.openxmlformats.org/officeDocument/2006/relationships/hyperlink" Target="javascript:void(0);" TargetMode="External"/><Relationship Id="rId97" Type="http://schemas.openxmlformats.org/officeDocument/2006/relationships/hyperlink" Target="javascript:void(0);" TargetMode="External"/><Relationship Id="rId120" Type="http://schemas.openxmlformats.org/officeDocument/2006/relationships/hyperlink" Target="javascript:void(0)" TargetMode="External"/><Relationship Id="rId141" Type="http://schemas.openxmlformats.org/officeDocument/2006/relationships/hyperlink" Target="javascript:void(0);" TargetMode="External"/><Relationship Id="rId7" Type="http://schemas.openxmlformats.org/officeDocument/2006/relationships/hyperlink" Target="javascript:void(0);" TargetMode="External"/><Relationship Id="rId162" Type="http://schemas.openxmlformats.org/officeDocument/2006/relationships/hyperlink" Target="javascript:void(0)" TargetMode="External"/><Relationship Id="rId183" Type="http://schemas.openxmlformats.org/officeDocument/2006/relationships/hyperlink" Target="javascript:void(0)" TargetMode="External"/><Relationship Id="rId218" Type="http://schemas.openxmlformats.org/officeDocument/2006/relationships/hyperlink" Target="javascript:void(0);" TargetMode="External"/><Relationship Id="rId239" Type="http://schemas.openxmlformats.org/officeDocument/2006/relationships/hyperlink" Target="javascript:void(0);" TargetMode="External"/><Relationship Id="rId250" Type="http://schemas.openxmlformats.org/officeDocument/2006/relationships/hyperlink" Target="javascript:void(0);" TargetMode="External"/><Relationship Id="rId271" Type="http://schemas.openxmlformats.org/officeDocument/2006/relationships/hyperlink" Target="javascript:void(0)" TargetMode="External"/><Relationship Id="rId24" Type="http://schemas.openxmlformats.org/officeDocument/2006/relationships/hyperlink" Target="javascript:void(0);" TargetMode="External"/><Relationship Id="rId45" Type="http://schemas.openxmlformats.org/officeDocument/2006/relationships/hyperlink" Target="javascript:void(0)" TargetMode="External"/><Relationship Id="rId66" Type="http://schemas.openxmlformats.org/officeDocument/2006/relationships/hyperlink" Target="javascript:void(0);" TargetMode="External"/><Relationship Id="rId87" Type="http://schemas.openxmlformats.org/officeDocument/2006/relationships/hyperlink" Target="javascript:void(0)" TargetMode="External"/><Relationship Id="rId110" Type="http://schemas.openxmlformats.org/officeDocument/2006/relationships/hyperlink" Target="javascript:void(0)" TargetMode="External"/><Relationship Id="rId131" Type="http://schemas.openxmlformats.org/officeDocument/2006/relationships/hyperlink" Target="javascript:void(0)" TargetMode="External"/><Relationship Id="rId152" Type="http://schemas.openxmlformats.org/officeDocument/2006/relationships/hyperlink" Target="javascript:void(0);" TargetMode="External"/><Relationship Id="rId173" Type="http://schemas.openxmlformats.org/officeDocument/2006/relationships/hyperlink" Target="javascript:void(0)" TargetMode="External"/><Relationship Id="rId194" Type="http://schemas.openxmlformats.org/officeDocument/2006/relationships/hyperlink" Target="javascript:void(0)" TargetMode="External"/><Relationship Id="rId208" Type="http://schemas.openxmlformats.org/officeDocument/2006/relationships/hyperlink" Target="javascript:void(0)" TargetMode="External"/><Relationship Id="rId229" Type="http://schemas.openxmlformats.org/officeDocument/2006/relationships/hyperlink" Target="javascript:void(0)" TargetMode="External"/><Relationship Id="rId240" Type="http://schemas.openxmlformats.org/officeDocument/2006/relationships/hyperlink" Target="javascript:void(0)" TargetMode="External"/><Relationship Id="rId261" Type="http://schemas.openxmlformats.org/officeDocument/2006/relationships/hyperlink" Target="javascript:void(0)" TargetMode="External"/><Relationship Id="rId14" Type="http://schemas.openxmlformats.org/officeDocument/2006/relationships/hyperlink" Target="javascript:void(0);" TargetMode="External"/><Relationship Id="rId35" Type="http://schemas.openxmlformats.org/officeDocument/2006/relationships/hyperlink" Target="javascript:void(0)" TargetMode="External"/><Relationship Id="rId56" Type="http://schemas.openxmlformats.org/officeDocument/2006/relationships/hyperlink" Target="javascript:void(0)" TargetMode="External"/><Relationship Id="rId77" Type="http://schemas.openxmlformats.org/officeDocument/2006/relationships/hyperlink" Target="javascript:void(0)" TargetMode="External"/><Relationship Id="rId100" Type="http://schemas.openxmlformats.org/officeDocument/2006/relationships/hyperlink" Target="javascript:void(0);" TargetMode="External"/><Relationship Id="rId8" Type="http://schemas.openxmlformats.org/officeDocument/2006/relationships/hyperlink" Target="javascript:void(0)" TargetMode="External"/><Relationship Id="rId98" Type="http://schemas.openxmlformats.org/officeDocument/2006/relationships/hyperlink" Target="javascript:void(0)" TargetMode="External"/><Relationship Id="rId121" Type="http://schemas.openxmlformats.org/officeDocument/2006/relationships/hyperlink" Target="javascript:void(0);" TargetMode="External"/><Relationship Id="rId142" Type="http://schemas.openxmlformats.org/officeDocument/2006/relationships/hyperlink" Target="javascript:void(0)" TargetMode="External"/><Relationship Id="rId163" Type="http://schemas.openxmlformats.org/officeDocument/2006/relationships/hyperlink" Target="javascript:void(0);" TargetMode="External"/><Relationship Id="rId184" Type="http://schemas.openxmlformats.org/officeDocument/2006/relationships/hyperlink" Target="javascript:void(0);" TargetMode="External"/><Relationship Id="rId219" Type="http://schemas.openxmlformats.org/officeDocument/2006/relationships/hyperlink" Target="javascript:void(0)" TargetMode="External"/><Relationship Id="rId230" Type="http://schemas.openxmlformats.org/officeDocument/2006/relationships/hyperlink" Target="javascript:void(0)" TargetMode="External"/><Relationship Id="rId251" Type="http://schemas.openxmlformats.org/officeDocument/2006/relationships/hyperlink" Target="javascript:void(0)" TargetMode="External"/><Relationship Id="rId25" Type="http://schemas.openxmlformats.org/officeDocument/2006/relationships/hyperlink" Target="javascript:void(0);" TargetMode="External"/><Relationship Id="rId46" Type="http://schemas.openxmlformats.org/officeDocument/2006/relationships/hyperlink" Target="javascript:void(0);" TargetMode="External"/><Relationship Id="rId67" Type="http://schemas.openxmlformats.org/officeDocument/2006/relationships/hyperlink" Target="javascript:void(0)" TargetMode="External"/><Relationship Id="rId272" Type="http://schemas.openxmlformats.org/officeDocument/2006/relationships/hyperlink" Target="javascript:void(0);" TargetMode="External"/><Relationship Id="rId88" Type="http://schemas.openxmlformats.org/officeDocument/2006/relationships/hyperlink" Target="javascript:void(0);" TargetMode="External"/><Relationship Id="rId111" Type="http://schemas.openxmlformats.org/officeDocument/2006/relationships/hyperlink" Target="javascript:void(0)" TargetMode="External"/><Relationship Id="rId132" Type="http://schemas.openxmlformats.org/officeDocument/2006/relationships/hyperlink" Target="javascript:void(0);" TargetMode="External"/><Relationship Id="rId153" Type="http://schemas.openxmlformats.org/officeDocument/2006/relationships/hyperlink" Target="javascript:void(0)" TargetMode="External"/><Relationship Id="rId174" Type="http://schemas.openxmlformats.org/officeDocument/2006/relationships/hyperlink" Target="javascript:void(0);" TargetMode="External"/><Relationship Id="rId195" Type="http://schemas.openxmlformats.org/officeDocument/2006/relationships/hyperlink" Target="javascript:void(0);" TargetMode="External"/><Relationship Id="rId209" Type="http://schemas.openxmlformats.org/officeDocument/2006/relationships/hyperlink" Target="javascript:void(0);" TargetMode="External"/><Relationship Id="rId220" Type="http://schemas.openxmlformats.org/officeDocument/2006/relationships/hyperlink" Target="javascript:void(0)" TargetMode="External"/><Relationship Id="rId241" Type="http://schemas.openxmlformats.org/officeDocument/2006/relationships/hyperlink" Target="javascript:void(0)" TargetMode="External"/><Relationship Id="rId15" Type="http://schemas.openxmlformats.org/officeDocument/2006/relationships/hyperlink" Target="javascript:void(0)" TargetMode="External"/><Relationship Id="rId36" Type="http://schemas.openxmlformats.org/officeDocument/2006/relationships/hyperlink" Target="javascript:void(0);" TargetMode="External"/><Relationship Id="rId57" Type="http://schemas.openxmlformats.org/officeDocument/2006/relationships/hyperlink" Target="javascript:void(0);" TargetMode="External"/><Relationship Id="rId262" Type="http://schemas.openxmlformats.org/officeDocument/2006/relationships/hyperlink" Target="javascript:void(0);" TargetMode="External"/><Relationship Id="rId78" Type="http://schemas.openxmlformats.org/officeDocument/2006/relationships/hyperlink" Target="javascript:void(0);" TargetMode="External"/><Relationship Id="rId99" Type="http://schemas.openxmlformats.org/officeDocument/2006/relationships/hyperlink" Target="javascript:void(0)" TargetMode="External"/><Relationship Id="rId101" Type="http://schemas.openxmlformats.org/officeDocument/2006/relationships/hyperlink" Target="javascript:void(0)" TargetMode="External"/><Relationship Id="rId122" Type="http://schemas.openxmlformats.org/officeDocument/2006/relationships/hyperlink" Target="javascript:void(0)" TargetMode="External"/><Relationship Id="rId143" Type="http://schemas.openxmlformats.org/officeDocument/2006/relationships/hyperlink" Target="javascript:void(0);" TargetMode="External"/><Relationship Id="rId164" Type="http://schemas.openxmlformats.org/officeDocument/2006/relationships/hyperlink" Target="javascript:void(0)" TargetMode="External"/><Relationship Id="rId185" Type="http://schemas.openxmlformats.org/officeDocument/2006/relationships/hyperlink" Target="javascript:void(0)" TargetMode="External"/><Relationship Id="rId9" Type="http://schemas.openxmlformats.org/officeDocument/2006/relationships/hyperlink" Target="javascript:void(0);" TargetMode="External"/><Relationship Id="rId210" Type="http://schemas.openxmlformats.org/officeDocument/2006/relationships/hyperlink" Target="javascript:void(0)" TargetMode="External"/><Relationship Id="rId26" Type="http://schemas.openxmlformats.org/officeDocument/2006/relationships/hyperlink" Target="javascript:void(0)" TargetMode="External"/><Relationship Id="rId231" Type="http://schemas.openxmlformats.org/officeDocument/2006/relationships/hyperlink" Target="javascript:void(0);" TargetMode="External"/><Relationship Id="rId252" Type="http://schemas.openxmlformats.org/officeDocument/2006/relationships/hyperlink" Target="javascript:void(0);" TargetMode="External"/><Relationship Id="rId273" Type="http://schemas.openxmlformats.org/officeDocument/2006/relationships/hyperlink" Target="javascript:void(0)" TargetMode="External"/><Relationship Id="rId47" Type="http://schemas.openxmlformats.org/officeDocument/2006/relationships/hyperlink" Target="javascript:void(0)" TargetMode="External"/><Relationship Id="rId68" Type="http://schemas.openxmlformats.org/officeDocument/2006/relationships/hyperlink" Target="javascript:void(0);" TargetMode="External"/><Relationship Id="rId89" Type="http://schemas.openxmlformats.org/officeDocument/2006/relationships/hyperlink" Target="javascript:void(0)" TargetMode="External"/><Relationship Id="rId112" Type="http://schemas.openxmlformats.org/officeDocument/2006/relationships/hyperlink" Target="javascript:void(0);" TargetMode="External"/><Relationship Id="rId133" Type="http://schemas.openxmlformats.org/officeDocument/2006/relationships/hyperlink" Target="javascript:void(0)" TargetMode="External"/><Relationship Id="rId154" Type="http://schemas.openxmlformats.org/officeDocument/2006/relationships/hyperlink" Target="javascript:void(0);" TargetMode="External"/><Relationship Id="rId175" Type="http://schemas.openxmlformats.org/officeDocument/2006/relationships/hyperlink" Target="javascript:void(0)" TargetMode="External"/><Relationship Id="rId196" Type="http://schemas.openxmlformats.org/officeDocument/2006/relationships/hyperlink" Target="javascript:void(0)" TargetMode="External"/><Relationship Id="rId200" Type="http://schemas.openxmlformats.org/officeDocument/2006/relationships/hyperlink" Target="javascript:void(0);" TargetMode="External"/><Relationship Id="rId16" Type="http://schemas.openxmlformats.org/officeDocument/2006/relationships/hyperlink" Target="javascript:void(0);" TargetMode="External"/><Relationship Id="rId221" Type="http://schemas.openxmlformats.org/officeDocument/2006/relationships/hyperlink" Target="javascript:void(0);" TargetMode="External"/><Relationship Id="rId242" Type="http://schemas.openxmlformats.org/officeDocument/2006/relationships/hyperlink" Target="javascript:void(0);" TargetMode="External"/><Relationship Id="rId263" Type="http://schemas.openxmlformats.org/officeDocument/2006/relationships/hyperlink" Target="javascript:void(0)" TargetMode="External"/><Relationship Id="rId37" Type="http://schemas.openxmlformats.org/officeDocument/2006/relationships/hyperlink" Target="javascript:void(0)" TargetMode="External"/><Relationship Id="rId58" Type="http://schemas.openxmlformats.org/officeDocument/2006/relationships/hyperlink" Target="javascript:void(0)" TargetMode="External"/><Relationship Id="rId79" Type="http://schemas.openxmlformats.org/officeDocument/2006/relationships/hyperlink" Target="javascript:void(0)" TargetMode="External"/><Relationship Id="rId102" Type="http://schemas.openxmlformats.org/officeDocument/2006/relationships/hyperlink" Target="javascript:void(0);" TargetMode="External"/><Relationship Id="rId123" Type="http://schemas.openxmlformats.org/officeDocument/2006/relationships/hyperlink" Target="javascript:void(0);" TargetMode="External"/><Relationship Id="rId144" Type="http://schemas.openxmlformats.org/officeDocument/2006/relationships/hyperlink" Target="javascript:void(0)" TargetMode="External"/><Relationship Id="rId90" Type="http://schemas.openxmlformats.org/officeDocument/2006/relationships/hyperlink" Target="javascript:void(0);" TargetMode="External"/><Relationship Id="rId165" Type="http://schemas.openxmlformats.org/officeDocument/2006/relationships/hyperlink" Target="javascript:void(0);" TargetMode="External"/><Relationship Id="rId186" Type="http://schemas.openxmlformats.org/officeDocument/2006/relationships/hyperlink" Target="javascript:void(0);" TargetMode="External"/><Relationship Id="rId211" Type="http://schemas.openxmlformats.org/officeDocument/2006/relationships/hyperlink" Target="javascript:void(0)" TargetMode="External"/><Relationship Id="rId232" Type="http://schemas.openxmlformats.org/officeDocument/2006/relationships/hyperlink" Target="javascript:void(0)" TargetMode="External"/><Relationship Id="rId253" Type="http://schemas.openxmlformats.org/officeDocument/2006/relationships/hyperlink" Target="javascript:void(0)" TargetMode="External"/><Relationship Id="rId274" Type="http://schemas.openxmlformats.org/officeDocument/2006/relationships/hyperlink" Target="javascript:void(0);" TargetMode="External"/><Relationship Id="rId27" Type="http://schemas.openxmlformats.org/officeDocument/2006/relationships/hyperlink" Target="javascript:void(0);" TargetMode="External"/><Relationship Id="rId48" Type="http://schemas.openxmlformats.org/officeDocument/2006/relationships/hyperlink" Target="javascript:void(0);" TargetMode="External"/><Relationship Id="rId69" Type="http://schemas.openxmlformats.org/officeDocument/2006/relationships/hyperlink" Target="javascript:void(0)" TargetMode="External"/><Relationship Id="rId113" Type="http://schemas.openxmlformats.org/officeDocument/2006/relationships/hyperlink" Target="javascript:void(0)" TargetMode="External"/><Relationship Id="rId134" Type="http://schemas.openxmlformats.org/officeDocument/2006/relationships/hyperlink" Target="javascript:void(0)" TargetMode="External"/><Relationship Id="rId80" Type="http://schemas.openxmlformats.org/officeDocument/2006/relationships/hyperlink" Target="javascript:void(0);" TargetMode="External"/><Relationship Id="rId155" Type="http://schemas.openxmlformats.org/officeDocument/2006/relationships/hyperlink" Target="javascript:void(0)" TargetMode="External"/><Relationship Id="rId176" Type="http://schemas.openxmlformats.org/officeDocument/2006/relationships/hyperlink" Target="javascript:void(0);" TargetMode="External"/><Relationship Id="rId197" Type="http://schemas.openxmlformats.org/officeDocument/2006/relationships/hyperlink" Target="javascript:void(0);" TargetMode="External"/><Relationship Id="rId201" Type="http://schemas.openxmlformats.org/officeDocument/2006/relationships/hyperlink" Target="javascript:void(0)" TargetMode="External"/><Relationship Id="rId222" Type="http://schemas.openxmlformats.org/officeDocument/2006/relationships/hyperlink" Target="javascript:void(0)" TargetMode="External"/><Relationship Id="rId243" Type="http://schemas.openxmlformats.org/officeDocument/2006/relationships/hyperlink" Target="javascript:void(0)" TargetMode="External"/><Relationship Id="rId264" Type="http://schemas.openxmlformats.org/officeDocument/2006/relationships/hyperlink" Target="javascript:void(0);" TargetMode="External"/><Relationship Id="rId17" Type="http://schemas.openxmlformats.org/officeDocument/2006/relationships/hyperlink" Target="javascript:void(0)" TargetMode="External"/><Relationship Id="rId38" Type="http://schemas.openxmlformats.org/officeDocument/2006/relationships/hyperlink" Target="javascript:void(0);" TargetMode="External"/><Relationship Id="rId59" Type="http://schemas.openxmlformats.org/officeDocument/2006/relationships/hyperlink" Target="javascript:void(0)" TargetMode="External"/><Relationship Id="rId103" Type="http://schemas.openxmlformats.org/officeDocument/2006/relationships/hyperlink" Target="javascript:void(0)" TargetMode="External"/><Relationship Id="rId124" Type="http://schemas.openxmlformats.org/officeDocument/2006/relationships/hyperlink" Target="javascript:void(0)" TargetMode="External"/><Relationship Id="rId70" Type="http://schemas.openxmlformats.org/officeDocument/2006/relationships/hyperlink" Target="javascript:void(0)" TargetMode="External"/><Relationship Id="rId91" Type="http://schemas.openxmlformats.org/officeDocument/2006/relationships/hyperlink" Target="javascript:void(0)" TargetMode="External"/><Relationship Id="rId145" Type="http://schemas.openxmlformats.org/officeDocument/2006/relationships/hyperlink" Target="javascript:void(0)" TargetMode="External"/><Relationship Id="rId166" Type="http://schemas.openxmlformats.org/officeDocument/2006/relationships/hyperlink" Target="javascript:void(0)" TargetMode="External"/><Relationship Id="rId187" Type="http://schemas.openxmlformats.org/officeDocument/2006/relationships/hyperlink" Target="javascript:void(0)" TargetMode="External"/><Relationship Id="rId1" Type="http://schemas.openxmlformats.org/officeDocument/2006/relationships/hyperlink" Target="https://www.dits.deloitte.com/" TargetMode="External"/><Relationship Id="rId212" Type="http://schemas.openxmlformats.org/officeDocument/2006/relationships/hyperlink" Target="javascript:void(0);" TargetMode="External"/><Relationship Id="rId233" Type="http://schemas.openxmlformats.org/officeDocument/2006/relationships/hyperlink" Target="javascript:void(0);" TargetMode="External"/><Relationship Id="rId254" Type="http://schemas.openxmlformats.org/officeDocument/2006/relationships/hyperlink" Target="javascript:void(0);" TargetMode="External"/><Relationship Id="rId28" Type="http://schemas.openxmlformats.org/officeDocument/2006/relationships/hyperlink" Target="javascript:void(0)" TargetMode="External"/><Relationship Id="rId49" Type="http://schemas.openxmlformats.org/officeDocument/2006/relationships/hyperlink" Target="javascript:void(0)" TargetMode="External"/><Relationship Id="rId114" Type="http://schemas.openxmlformats.org/officeDocument/2006/relationships/hyperlink" Target="javascript:void(0);" TargetMode="External"/><Relationship Id="rId275" Type="http://schemas.openxmlformats.org/officeDocument/2006/relationships/hyperlink" Target="javascript:void(0)" TargetMode="External"/><Relationship Id="rId60" Type="http://schemas.openxmlformats.org/officeDocument/2006/relationships/hyperlink" Target="javascript:void(0);" TargetMode="External"/><Relationship Id="rId81" Type="http://schemas.openxmlformats.org/officeDocument/2006/relationships/hyperlink" Target="javascript:void(0)" TargetMode="External"/><Relationship Id="rId135" Type="http://schemas.openxmlformats.org/officeDocument/2006/relationships/hyperlink" Target="javascript:void(0);" TargetMode="External"/><Relationship Id="rId156" Type="http://schemas.openxmlformats.org/officeDocument/2006/relationships/hyperlink" Target="javascript:void(0);" TargetMode="External"/><Relationship Id="rId177" Type="http://schemas.openxmlformats.org/officeDocument/2006/relationships/hyperlink" Target="javascript:void(0)" TargetMode="External"/><Relationship Id="rId198" Type="http://schemas.openxmlformats.org/officeDocument/2006/relationships/hyperlink" Target="javascript:void(0)" TargetMode="External"/><Relationship Id="rId202" Type="http://schemas.openxmlformats.org/officeDocument/2006/relationships/hyperlink" Target="javascript:void(0);" TargetMode="External"/><Relationship Id="rId223" Type="http://schemas.openxmlformats.org/officeDocument/2006/relationships/hyperlink" Target="javascript:void(0);" TargetMode="External"/><Relationship Id="rId244" Type="http://schemas.openxmlformats.org/officeDocument/2006/relationships/hyperlink" Target="javascript:void(0);" TargetMode="External"/><Relationship Id="rId18" Type="http://schemas.openxmlformats.org/officeDocument/2006/relationships/hyperlink" Target="javascript:void(0);" TargetMode="External"/><Relationship Id="rId39" Type="http://schemas.openxmlformats.org/officeDocument/2006/relationships/hyperlink" Target="javascript:void(0)" TargetMode="External"/><Relationship Id="rId265" Type="http://schemas.openxmlformats.org/officeDocument/2006/relationships/hyperlink" Target="javascript:void(0)" TargetMode="External"/><Relationship Id="rId50" Type="http://schemas.openxmlformats.org/officeDocument/2006/relationships/hyperlink" Target="javascript:void(0)" TargetMode="External"/><Relationship Id="rId104" Type="http://schemas.openxmlformats.org/officeDocument/2006/relationships/hyperlink" Target="javascript:void(0);" TargetMode="External"/><Relationship Id="rId125" Type="http://schemas.openxmlformats.org/officeDocument/2006/relationships/hyperlink" Target="javascript:void(0);" TargetMode="External"/><Relationship Id="rId146" Type="http://schemas.openxmlformats.org/officeDocument/2006/relationships/hyperlink" Target="javascript:void(0);" TargetMode="External"/><Relationship Id="rId167" Type="http://schemas.openxmlformats.org/officeDocument/2006/relationships/hyperlink" Target="javascript:void(0);" TargetMode="External"/><Relationship Id="rId188" Type="http://schemas.openxmlformats.org/officeDocument/2006/relationships/hyperlink" Target="javascript:void(0)" TargetMode="External"/><Relationship Id="rId71" Type="http://schemas.openxmlformats.org/officeDocument/2006/relationships/hyperlink" Target="javascript:void(0);" TargetMode="External"/><Relationship Id="rId92" Type="http://schemas.openxmlformats.org/officeDocument/2006/relationships/hyperlink" Target="javascript:void(0)" TargetMode="External"/><Relationship Id="rId213" Type="http://schemas.openxmlformats.org/officeDocument/2006/relationships/hyperlink" Target="javascript:void(0)" TargetMode="External"/><Relationship Id="rId234" Type="http://schemas.openxmlformats.org/officeDocument/2006/relationships/hyperlink" Target="javascript:void(0)" TargetMode="External"/><Relationship Id="rId2" Type="http://schemas.openxmlformats.org/officeDocument/2006/relationships/hyperlink" Target="https://www.dits.deloitte.com/" TargetMode="External"/><Relationship Id="rId29" Type="http://schemas.openxmlformats.org/officeDocument/2006/relationships/hyperlink" Target="javascript:void(0);" TargetMode="External"/><Relationship Id="rId255" Type="http://schemas.openxmlformats.org/officeDocument/2006/relationships/hyperlink" Target="javascript:void(0)" TargetMode="External"/><Relationship Id="rId276" Type="http://schemas.openxmlformats.org/officeDocument/2006/relationships/hyperlink" Target="javascript:void(0);" TargetMode="External"/><Relationship Id="rId40" Type="http://schemas.openxmlformats.org/officeDocument/2006/relationships/hyperlink" Target="javascript:void(0)" TargetMode="External"/><Relationship Id="rId115" Type="http://schemas.openxmlformats.org/officeDocument/2006/relationships/hyperlink" Target="javascript:void(0)" TargetMode="External"/><Relationship Id="rId136" Type="http://schemas.openxmlformats.org/officeDocument/2006/relationships/hyperlink" Target="javascript:void(0)" TargetMode="External"/><Relationship Id="rId157" Type="http://schemas.openxmlformats.org/officeDocument/2006/relationships/hyperlink" Target="javascript:void(0)" TargetMode="External"/><Relationship Id="rId178" Type="http://schemas.openxmlformats.org/officeDocument/2006/relationships/hyperlink" Target="javascript:void(0)" TargetMode="External"/><Relationship Id="rId61" Type="http://schemas.openxmlformats.org/officeDocument/2006/relationships/hyperlink" Target="javascript:void(0)" TargetMode="External"/><Relationship Id="rId82" Type="http://schemas.openxmlformats.org/officeDocument/2006/relationships/hyperlink" Target="javascript:void(0);" TargetMode="External"/><Relationship Id="rId199" Type="http://schemas.openxmlformats.org/officeDocument/2006/relationships/hyperlink" Target="javascript:void(0)" TargetMode="External"/><Relationship Id="rId203" Type="http://schemas.openxmlformats.org/officeDocument/2006/relationships/hyperlink" Target="javascript:void(0)" TargetMode="External"/><Relationship Id="rId19" Type="http://schemas.openxmlformats.org/officeDocument/2006/relationships/hyperlink" Target="javascript:void(0)" TargetMode="External"/><Relationship Id="rId224" Type="http://schemas.openxmlformats.org/officeDocument/2006/relationships/hyperlink" Target="javascript:void(0)" TargetMode="External"/><Relationship Id="rId245" Type="http://schemas.openxmlformats.org/officeDocument/2006/relationships/hyperlink" Target="javascript:void(0)" TargetMode="External"/><Relationship Id="rId266" Type="http://schemas.openxmlformats.org/officeDocument/2006/relationships/hyperlink" Target="javascript:void(0)" TargetMode="External"/><Relationship Id="rId30" Type="http://schemas.openxmlformats.org/officeDocument/2006/relationships/hyperlink" Target="javascript:void(0)" TargetMode="External"/><Relationship Id="rId105" Type="http://schemas.openxmlformats.org/officeDocument/2006/relationships/hyperlink" Target="javascript:void(0)" TargetMode="External"/><Relationship Id="rId126" Type="http://schemas.openxmlformats.org/officeDocument/2006/relationships/hyperlink" Target="javascript:void(0)" TargetMode="External"/><Relationship Id="rId147" Type="http://schemas.openxmlformats.org/officeDocument/2006/relationships/hyperlink" Target="javascript:void(0)" TargetMode="External"/><Relationship Id="rId168" Type="http://schemas.openxmlformats.org/officeDocument/2006/relationships/hyperlink" Target="javascript:void(0)" TargetMode="External"/><Relationship Id="rId51" Type="http://schemas.openxmlformats.org/officeDocument/2006/relationships/hyperlink" Target="javascript:void(0);" TargetMode="External"/><Relationship Id="rId72" Type="http://schemas.openxmlformats.org/officeDocument/2006/relationships/hyperlink" Target="javascript:void(0)" TargetMode="External"/><Relationship Id="rId93" Type="http://schemas.openxmlformats.org/officeDocument/2006/relationships/hyperlink" Target="javascript:void(0);" TargetMode="External"/><Relationship Id="rId189" Type="http://schemas.openxmlformats.org/officeDocument/2006/relationships/hyperlink" Target="javascript:void(0);" TargetMode="External"/><Relationship Id="rId3" Type="http://schemas.openxmlformats.org/officeDocument/2006/relationships/hyperlink" Target="javascript:void(0);" TargetMode="External"/><Relationship Id="rId214" Type="http://schemas.openxmlformats.org/officeDocument/2006/relationships/hyperlink" Target="javascript:void(0);" TargetMode="External"/><Relationship Id="rId235" Type="http://schemas.openxmlformats.org/officeDocument/2006/relationships/hyperlink" Target="javascript:void(0)" TargetMode="External"/><Relationship Id="rId256" Type="http://schemas.openxmlformats.org/officeDocument/2006/relationships/hyperlink" Target="javascript:void(0);" TargetMode="External"/><Relationship Id="rId277" Type="http://schemas.openxmlformats.org/officeDocument/2006/relationships/hyperlink" Target="javascript:void(0)" TargetMode="External"/><Relationship Id="rId116" Type="http://schemas.openxmlformats.org/officeDocument/2006/relationships/hyperlink" Target="javascript:void(0)" TargetMode="External"/><Relationship Id="rId137" Type="http://schemas.openxmlformats.org/officeDocument/2006/relationships/hyperlink" Target="javascript:void(0);" TargetMode="External"/><Relationship Id="rId158" Type="http://schemas.openxmlformats.org/officeDocument/2006/relationships/hyperlink" Target="javascript:void(0);" TargetMode="External"/><Relationship Id="rId20" Type="http://schemas.openxmlformats.org/officeDocument/2006/relationships/hyperlink" Target="javascript:void(0);" TargetMode="External"/><Relationship Id="rId41" Type="http://schemas.openxmlformats.org/officeDocument/2006/relationships/hyperlink" Target="javascript:void(0);" TargetMode="External"/><Relationship Id="rId62" Type="http://schemas.openxmlformats.org/officeDocument/2006/relationships/hyperlink" Target="javascript:void(0);" TargetMode="External"/><Relationship Id="rId83" Type="http://schemas.openxmlformats.org/officeDocument/2006/relationships/hyperlink" Target="javascript:void(0)" TargetMode="External"/><Relationship Id="rId179" Type="http://schemas.openxmlformats.org/officeDocument/2006/relationships/hyperlink" Target="javascript:void(0);" TargetMode="External"/><Relationship Id="rId190" Type="http://schemas.openxmlformats.org/officeDocument/2006/relationships/hyperlink" Target="javascript:void(0)" TargetMode="External"/><Relationship Id="rId204" Type="http://schemas.openxmlformats.org/officeDocument/2006/relationships/hyperlink" Target="javascript:void(0);" TargetMode="External"/><Relationship Id="rId225" Type="http://schemas.openxmlformats.org/officeDocument/2006/relationships/hyperlink" Target="javascript:void(0)" TargetMode="External"/><Relationship Id="rId246" Type="http://schemas.openxmlformats.org/officeDocument/2006/relationships/hyperlink" Target="javascript:void(0);" TargetMode="External"/><Relationship Id="rId267" Type="http://schemas.openxmlformats.org/officeDocument/2006/relationships/hyperlink" Target="javascript:void(0)" TargetMode="External"/><Relationship Id="rId106" Type="http://schemas.openxmlformats.org/officeDocument/2006/relationships/hyperlink" Target="javascript:void(0)" TargetMode="External"/><Relationship Id="rId127" Type="http://schemas.openxmlformats.org/officeDocument/2006/relationships/hyperlink" Target="javascript:void(0);" TargetMode="External"/><Relationship Id="rId10" Type="http://schemas.openxmlformats.org/officeDocument/2006/relationships/hyperlink" Target="javascript:void(0);" TargetMode="External"/><Relationship Id="rId31" Type="http://schemas.openxmlformats.org/officeDocument/2006/relationships/hyperlink" Target="javascript:void(0);" TargetMode="External"/><Relationship Id="rId52" Type="http://schemas.openxmlformats.org/officeDocument/2006/relationships/hyperlink" Target="javascript:void(0)" TargetMode="External"/><Relationship Id="rId73" Type="http://schemas.openxmlformats.org/officeDocument/2006/relationships/hyperlink" Target="javascript:void(0)" TargetMode="External"/><Relationship Id="rId94" Type="http://schemas.openxmlformats.org/officeDocument/2006/relationships/hyperlink" Target="javascript:void(0)" TargetMode="External"/><Relationship Id="rId148" Type="http://schemas.openxmlformats.org/officeDocument/2006/relationships/hyperlink" Target="javascript:void(0);" TargetMode="External"/><Relationship Id="rId169" Type="http://schemas.openxmlformats.org/officeDocument/2006/relationships/hyperlink" Target="javascript:void(0);" TargetMode="External"/><Relationship Id="rId4" Type="http://schemas.openxmlformats.org/officeDocument/2006/relationships/hyperlink" Target="javascript:void(0)" TargetMode="External"/><Relationship Id="rId180" Type="http://schemas.openxmlformats.org/officeDocument/2006/relationships/hyperlink" Target="javascript:void(0)" TargetMode="External"/><Relationship Id="rId215" Type="http://schemas.openxmlformats.org/officeDocument/2006/relationships/hyperlink" Target="javascript:void(0)" TargetMode="External"/><Relationship Id="rId236" Type="http://schemas.openxmlformats.org/officeDocument/2006/relationships/hyperlink" Target="javascript:void(0)" TargetMode="External"/><Relationship Id="rId257" Type="http://schemas.openxmlformats.org/officeDocument/2006/relationships/hyperlink" Target="javascript:void(0)" TargetMode="External"/><Relationship Id="rId278" Type="http://schemas.openxmlformats.org/officeDocument/2006/relationships/hyperlink" Target="javascript:void(0)" TargetMode="External"/><Relationship Id="rId42" Type="http://schemas.openxmlformats.org/officeDocument/2006/relationships/hyperlink" Target="javascript:void(0)" TargetMode="External"/><Relationship Id="rId84" Type="http://schemas.openxmlformats.org/officeDocument/2006/relationships/hyperlink" Target="javascript:void(0)" TargetMode="External"/><Relationship Id="rId138" Type="http://schemas.openxmlformats.org/officeDocument/2006/relationships/hyperlink" Target="javascript:void(0)" TargetMode="External"/><Relationship Id="rId191" Type="http://schemas.openxmlformats.org/officeDocument/2006/relationships/hyperlink" Target="javascript:void(0);" TargetMode="External"/><Relationship Id="rId205" Type="http://schemas.openxmlformats.org/officeDocument/2006/relationships/hyperlink" Target="javascript:void(0)" TargetMode="External"/><Relationship Id="rId247" Type="http://schemas.openxmlformats.org/officeDocument/2006/relationships/hyperlink" Target="javascript:void(0)" TargetMode="External"/><Relationship Id="rId107" Type="http://schemas.openxmlformats.org/officeDocument/2006/relationships/hyperlink" Target="javascript:void(0);" TargetMode="External"/><Relationship Id="rId11" Type="http://schemas.openxmlformats.org/officeDocument/2006/relationships/hyperlink" Target="javascript:void(0)" TargetMode="External"/><Relationship Id="rId53" Type="http://schemas.openxmlformats.org/officeDocument/2006/relationships/hyperlink" Target="javascript:void(0);" TargetMode="External"/><Relationship Id="rId149" Type="http://schemas.openxmlformats.org/officeDocument/2006/relationships/hyperlink" Target="javascript:void(0)" TargetMode="External"/><Relationship Id="rId95" Type="http://schemas.openxmlformats.org/officeDocument/2006/relationships/hyperlink" Target="javascript:void(0);" TargetMode="External"/><Relationship Id="rId160" Type="http://schemas.openxmlformats.org/officeDocument/2006/relationships/hyperlink" Target="javascript:void(0);" TargetMode="External"/><Relationship Id="rId216" Type="http://schemas.openxmlformats.org/officeDocument/2006/relationships/hyperlink" Target="javascript:void(0);" TargetMode="Externa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55.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2.vml"/><Relationship Id="rId1" Type="http://schemas.openxmlformats.org/officeDocument/2006/relationships/printerSettings" Target="../printerSettings/printerSettings15.bin"/></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80.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002060"/>
  </sheetPr>
  <dimension ref="C2:M15"/>
  <sheetViews>
    <sheetView showGridLines="0" topLeftCell="B1" zoomScaleNormal="100" workbookViewId="0">
      <selection activeCell="E10" sqref="E10"/>
    </sheetView>
  </sheetViews>
  <sheetFormatPr defaultColWidth="8" defaultRowHeight="13.5"/>
  <cols>
    <col min="1" max="1" width="0" style="109" hidden="1" customWidth="1"/>
    <col min="2" max="2" width="6.125" style="109" customWidth="1"/>
    <col min="3" max="3" width="1.125" style="109" customWidth="1"/>
    <col min="4" max="4" width="25.625" style="109" bestFit="1" customWidth="1"/>
    <col min="5" max="5" width="31.125" style="109" customWidth="1"/>
    <col min="6" max="7" width="8" style="109"/>
    <col min="8" max="8" width="9.875" style="109" bestFit="1" customWidth="1"/>
    <col min="9" max="16384" width="8" style="109"/>
  </cols>
  <sheetData>
    <row r="2" spans="3:13" ht="38.25">
      <c r="D2" s="1877"/>
      <c r="E2" s="1877"/>
      <c r="F2" s="270"/>
      <c r="G2" s="270"/>
      <c r="H2" s="271"/>
      <c r="I2" s="271"/>
      <c r="J2" s="271"/>
      <c r="K2" s="271"/>
      <c r="L2" s="271"/>
      <c r="M2" s="271"/>
    </row>
    <row r="3" spans="3:13" ht="29.25" customHeight="1" thickBot="1">
      <c r="D3" s="272"/>
      <c r="E3" s="270"/>
      <c r="F3" s="270"/>
      <c r="G3" s="270"/>
      <c r="H3" s="271"/>
      <c r="I3" s="271"/>
      <c r="J3" s="271"/>
      <c r="K3" s="271"/>
      <c r="L3" s="271"/>
      <c r="M3" s="271"/>
    </row>
    <row r="4" spans="3:13" ht="4.5" customHeight="1">
      <c r="C4" s="273"/>
      <c r="D4" s="274"/>
      <c r="E4" s="274"/>
      <c r="F4" s="275"/>
      <c r="G4" s="271"/>
      <c r="H4" s="271"/>
      <c r="I4" s="271"/>
      <c r="J4" s="271"/>
      <c r="K4" s="271"/>
      <c r="L4" s="271"/>
      <c r="M4" s="271"/>
    </row>
    <row r="5" spans="3:13" ht="17.25">
      <c r="C5" s="276"/>
      <c r="D5" s="277" t="s">
        <v>493</v>
      </c>
      <c r="E5" s="278" t="s">
        <v>616</v>
      </c>
      <c r="F5" s="279"/>
    </row>
    <row r="6" spans="3:13" ht="17.25">
      <c r="C6" s="276"/>
      <c r="D6" s="277" t="s">
        <v>494</v>
      </c>
      <c r="E6" s="280">
        <v>46023</v>
      </c>
      <c r="F6" s="279"/>
    </row>
    <row r="7" spans="3:13" ht="17.25">
      <c r="C7" s="276"/>
      <c r="D7" s="277" t="s">
        <v>495</v>
      </c>
      <c r="E7" s="280">
        <v>46203</v>
      </c>
      <c r="F7" s="279"/>
    </row>
    <row r="8" spans="3:13" ht="17.25">
      <c r="C8" s="276"/>
      <c r="D8" s="277" t="s">
        <v>496</v>
      </c>
      <c r="E8" s="280">
        <v>45658</v>
      </c>
      <c r="F8" s="279"/>
    </row>
    <row r="9" spans="3:13" ht="17.25">
      <c r="C9" s="276"/>
      <c r="D9" s="277" t="s">
        <v>497</v>
      </c>
      <c r="E9" s="280">
        <v>46022</v>
      </c>
      <c r="F9" s="279"/>
    </row>
    <row r="10" spans="3:13" ht="17.25">
      <c r="C10" s="276"/>
      <c r="D10" s="277" t="s">
        <v>498</v>
      </c>
      <c r="E10" s="280">
        <v>45838</v>
      </c>
      <c r="F10" s="279"/>
      <c r="H10" s="281"/>
    </row>
    <row r="11" spans="3:13" ht="17.25">
      <c r="C11" s="276"/>
      <c r="D11" s="277" t="s">
        <v>499</v>
      </c>
      <c r="E11" s="282">
        <v>15</v>
      </c>
      <c r="F11" s="279"/>
    </row>
    <row r="12" spans="3:13" ht="17.25">
      <c r="C12" s="276"/>
      <c r="D12" s="277" t="s">
        <v>500</v>
      </c>
      <c r="E12" s="282">
        <v>14</v>
      </c>
      <c r="F12" s="279"/>
    </row>
    <row r="13" spans="3:13" ht="11.25" customHeight="1" thickBot="1">
      <c r="C13" s="283"/>
      <c r="D13" s="284"/>
      <c r="E13" s="284"/>
      <c r="F13" s="285"/>
    </row>
    <row r="14" spans="3:13" ht="17.25">
      <c r="D14" s="286"/>
    </row>
    <row r="15" spans="3:13">
      <c r="E15" s="281"/>
    </row>
  </sheetData>
  <mergeCells count="1">
    <mergeCell ref="D2:E2"/>
  </mergeCells>
  <phoneticPr fontId="3" type="noConversion"/>
  <pageMargins left="0.75" right="0.75" top="1" bottom="1" header="0.5" footer="0.5"/>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B2:D209"/>
  <sheetViews>
    <sheetView topLeftCell="A21" zoomScale="85" zoomScaleNormal="85" workbookViewId="0">
      <selection activeCell="C59" sqref="C59"/>
    </sheetView>
  </sheetViews>
  <sheetFormatPr defaultRowHeight="16.5"/>
  <sheetData>
    <row r="2" spans="2:4">
      <c r="B2" s="543" t="s">
        <v>820</v>
      </c>
      <c r="C2" s="543" t="s">
        <v>623</v>
      </c>
      <c r="D2" s="543" t="s">
        <v>6</v>
      </c>
    </row>
    <row r="3" spans="2:4">
      <c r="B3" s="543"/>
      <c r="C3" s="543" t="s">
        <v>624</v>
      </c>
      <c r="D3" s="543" t="s">
        <v>7</v>
      </c>
    </row>
    <row r="4" spans="2:4">
      <c r="B4" s="543"/>
      <c r="C4" s="543" t="s">
        <v>625</v>
      </c>
      <c r="D4" s="543" t="s">
        <v>626</v>
      </c>
    </row>
    <row r="5" spans="2:4">
      <c r="B5" s="543"/>
      <c r="C5" s="543" t="s">
        <v>627</v>
      </c>
      <c r="D5" s="543" t="s">
        <v>9</v>
      </c>
    </row>
    <row r="6" spans="2:4">
      <c r="B6" s="543"/>
      <c r="C6" s="543" t="s">
        <v>628</v>
      </c>
      <c r="D6" s="543" t="s">
        <v>11</v>
      </c>
    </row>
    <row r="7" spans="2:4">
      <c r="B7" s="543"/>
      <c r="C7" s="543" t="s">
        <v>629</v>
      </c>
      <c r="D7" s="543" t="s">
        <v>819</v>
      </c>
    </row>
    <row r="8" spans="2:4">
      <c r="B8" s="543"/>
      <c r="C8" s="543" t="s">
        <v>630</v>
      </c>
      <c r="D8" s="543" t="s">
        <v>15</v>
      </c>
    </row>
    <row r="9" spans="2:4">
      <c r="B9" s="543"/>
      <c r="C9" s="543" t="s">
        <v>631</v>
      </c>
      <c r="D9" s="543" t="s">
        <v>817</v>
      </c>
    </row>
    <row r="10" spans="2:4">
      <c r="B10" s="543"/>
      <c r="C10" s="543" t="s">
        <v>632</v>
      </c>
      <c r="D10" s="543" t="s">
        <v>13</v>
      </c>
    </row>
    <row r="11" spans="2:4">
      <c r="B11" s="543"/>
      <c r="C11" s="543" t="s">
        <v>633</v>
      </c>
      <c r="D11" s="543" t="s">
        <v>815</v>
      </c>
    </row>
    <row r="12" spans="2:4">
      <c r="B12" s="543"/>
      <c r="C12" s="643" t="s">
        <v>2510</v>
      </c>
      <c r="D12" s="543" t="s">
        <v>2508</v>
      </c>
    </row>
    <row r="13" spans="2:4">
      <c r="B13" s="543"/>
      <c r="C13" t="s">
        <v>2650</v>
      </c>
      <c r="D13" t="s">
        <v>2651</v>
      </c>
    </row>
    <row r="14" spans="2:4">
      <c r="B14" s="543"/>
      <c r="C14" s="543" t="s">
        <v>634</v>
      </c>
      <c r="D14" s="543" t="s">
        <v>16</v>
      </c>
    </row>
    <row r="15" spans="2:4">
      <c r="B15" s="543"/>
      <c r="C15" s="543" t="s">
        <v>635</v>
      </c>
      <c r="D15" s="543" t="s">
        <v>813</v>
      </c>
    </row>
    <row r="16" spans="2:4">
      <c r="B16" s="543"/>
      <c r="C16" s="543" t="s">
        <v>636</v>
      </c>
      <c r="D16" s="543" t="s">
        <v>17</v>
      </c>
    </row>
    <row r="17" spans="2:4">
      <c r="B17" s="543"/>
      <c r="C17" s="543" t="s">
        <v>637</v>
      </c>
      <c r="D17" s="543" t="s">
        <v>638</v>
      </c>
    </row>
    <row r="18" spans="2:4">
      <c r="B18" s="543"/>
      <c r="C18" s="543" t="s">
        <v>639</v>
      </c>
      <c r="D18" s="543" t="s">
        <v>640</v>
      </c>
    </row>
    <row r="19" spans="2:4">
      <c r="B19" s="543"/>
      <c r="C19" s="543" t="s">
        <v>641</v>
      </c>
      <c r="D19" s="543" t="s">
        <v>642</v>
      </c>
    </row>
    <row r="20" spans="2:4">
      <c r="B20" s="543"/>
      <c r="C20" s="1287" t="s">
        <v>2856</v>
      </c>
      <c r="D20" s="543" t="s">
        <v>2760</v>
      </c>
    </row>
    <row r="21" spans="2:4">
      <c r="B21" s="543"/>
      <c r="C21" s="543" t="s">
        <v>643</v>
      </c>
      <c r="D21" s="543" t="s">
        <v>644</v>
      </c>
    </row>
    <row r="22" spans="2:4">
      <c r="B22" s="543"/>
      <c r="C22" s="543" t="s">
        <v>645</v>
      </c>
      <c r="D22" s="543" t="s">
        <v>23</v>
      </c>
    </row>
    <row r="23" spans="2:4">
      <c r="B23" s="543"/>
      <c r="C23" s="543" t="s">
        <v>646</v>
      </c>
      <c r="D23" s="543" t="s">
        <v>21</v>
      </c>
    </row>
    <row r="24" spans="2:4">
      <c r="B24" s="543"/>
      <c r="C24" s="543" t="s">
        <v>647</v>
      </c>
      <c r="D24" s="543" t="s">
        <v>648</v>
      </c>
    </row>
    <row r="25" spans="2:4">
      <c r="B25" s="543"/>
      <c r="C25" s="543" t="s">
        <v>649</v>
      </c>
      <c r="D25" s="543" t="s">
        <v>24</v>
      </c>
    </row>
    <row r="26" spans="2:4">
      <c r="B26" s="543"/>
      <c r="C26" s="543" t="s">
        <v>650</v>
      </c>
      <c r="D26" s="543" t="s">
        <v>651</v>
      </c>
    </row>
    <row r="27" spans="2:4">
      <c r="B27" s="543"/>
      <c r="C27" s="643" t="s">
        <v>1369</v>
      </c>
      <c r="D27" s="543" t="s">
        <v>1373</v>
      </c>
    </row>
    <row r="28" spans="2:4">
      <c r="B28" s="543"/>
      <c r="C28" s="643" t="s">
        <v>1371</v>
      </c>
      <c r="D28" s="543" t="s">
        <v>1375</v>
      </c>
    </row>
    <row r="29" spans="2:4">
      <c r="B29" s="543"/>
      <c r="C29" s="543" t="s">
        <v>652</v>
      </c>
      <c r="D29" s="543" t="s">
        <v>22</v>
      </c>
    </row>
    <row r="30" spans="2:4">
      <c r="B30" s="543"/>
      <c r="C30" s="643" t="s">
        <v>2541</v>
      </c>
      <c r="D30" s="543" t="s">
        <v>3755</v>
      </c>
    </row>
    <row r="31" spans="2:4">
      <c r="B31" s="543" t="s">
        <v>404</v>
      </c>
      <c r="C31" s="1287" t="s">
        <v>2858</v>
      </c>
      <c r="D31" s="543" t="s">
        <v>1511</v>
      </c>
    </row>
    <row r="32" spans="2:4">
      <c r="B32" s="543"/>
      <c r="C32" s="543" t="s">
        <v>2652</v>
      </c>
      <c r="D32" s="543" t="s">
        <v>904</v>
      </c>
    </row>
    <row r="33" spans="2:4">
      <c r="B33" s="543"/>
      <c r="C33" s="543" t="s">
        <v>907</v>
      </c>
      <c r="D33" s="543" t="s">
        <v>905</v>
      </c>
    </row>
    <row r="34" spans="2:4">
      <c r="B34" s="543"/>
      <c r="C34" s="1287" t="s">
        <v>2513</v>
      </c>
      <c r="D34" s="543" t="s">
        <v>2511</v>
      </c>
    </row>
    <row r="35" spans="2:4">
      <c r="B35" s="543"/>
      <c r="C35" s="1287" t="s">
        <v>2859</v>
      </c>
      <c r="D35" s="543" t="s">
        <v>29</v>
      </c>
    </row>
    <row r="36" spans="2:4">
      <c r="B36" s="543"/>
      <c r="C36" s="643" t="s">
        <v>2860</v>
      </c>
      <c r="D36" s="543" t="s">
        <v>2861</v>
      </c>
    </row>
    <row r="37" spans="2:4">
      <c r="B37" s="543"/>
      <c r="C37" s="543" t="s">
        <v>655</v>
      </c>
      <c r="D37" s="543" t="s">
        <v>31</v>
      </c>
    </row>
    <row r="38" spans="2:4">
      <c r="B38" s="543"/>
      <c r="C38" s="543" t="s">
        <v>656</v>
      </c>
      <c r="D38" s="543" t="s">
        <v>657</v>
      </c>
    </row>
    <row r="39" spans="2:4">
      <c r="B39" s="543"/>
      <c r="C39" s="543" t="s">
        <v>658</v>
      </c>
      <c r="D39" s="543" t="s">
        <v>33</v>
      </c>
    </row>
    <row r="40" spans="2:4">
      <c r="B40" s="543"/>
      <c r="C40" s="543" t="s">
        <v>659</v>
      </c>
      <c r="D40" s="543" t="s">
        <v>660</v>
      </c>
    </row>
    <row r="41" spans="2:4">
      <c r="B41" s="543"/>
      <c r="C41" s="543" t="s">
        <v>661</v>
      </c>
      <c r="D41" s="543" t="s">
        <v>662</v>
      </c>
    </row>
    <row r="42" spans="2:4">
      <c r="B42" s="543"/>
      <c r="C42" s="543" t="s">
        <v>663</v>
      </c>
      <c r="D42" s="543" t="s">
        <v>664</v>
      </c>
    </row>
    <row r="43" spans="2:4">
      <c r="B43" s="543"/>
      <c r="C43" s="543" t="s">
        <v>665</v>
      </c>
      <c r="D43" s="543" t="s">
        <v>32</v>
      </c>
    </row>
    <row r="44" spans="2:4">
      <c r="B44" s="543"/>
      <c r="C44" s="543" t="s">
        <v>666</v>
      </c>
      <c r="D44" s="543" t="s">
        <v>667</v>
      </c>
    </row>
    <row r="45" spans="2:4">
      <c r="B45" s="543"/>
      <c r="C45" s="543" t="s">
        <v>668</v>
      </c>
      <c r="D45" s="543" t="s">
        <v>669</v>
      </c>
    </row>
    <row r="46" spans="2:4">
      <c r="B46" s="543"/>
      <c r="C46" s="543" t="s">
        <v>670</v>
      </c>
      <c r="D46" s="543" t="s">
        <v>671</v>
      </c>
    </row>
    <row r="47" spans="2:4">
      <c r="B47" s="543"/>
      <c r="C47" s="643" t="s">
        <v>2516</v>
      </c>
      <c r="D47" s="543" t="s">
        <v>2514</v>
      </c>
    </row>
    <row r="48" spans="2:4">
      <c r="B48" s="543"/>
      <c r="C48" s="643" t="s">
        <v>2518</v>
      </c>
      <c r="D48" s="543" t="s">
        <v>1366</v>
      </c>
    </row>
    <row r="49" spans="2:4">
      <c r="B49" s="543"/>
      <c r="C49" s="643" t="s">
        <v>2520</v>
      </c>
      <c r="D49" s="543" t="s">
        <v>2521</v>
      </c>
    </row>
    <row r="50" spans="2:4">
      <c r="B50" s="543"/>
      <c r="C50" s="543" t="s">
        <v>672</v>
      </c>
      <c r="D50" s="543" t="s">
        <v>346</v>
      </c>
    </row>
    <row r="51" spans="2:4">
      <c r="B51" s="543"/>
      <c r="C51" s="543" t="s">
        <v>673</v>
      </c>
      <c r="D51" s="543" t="s">
        <v>674</v>
      </c>
    </row>
    <row r="52" spans="2:4">
      <c r="B52" s="543"/>
      <c r="C52" s="543" t="s">
        <v>675</v>
      </c>
      <c r="D52" s="543" t="s">
        <v>37</v>
      </c>
    </row>
    <row r="53" spans="2:4">
      <c r="B53" s="543"/>
      <c r="C53" s="543" t="s">
        <v>676</v>
      </c>
      <c r="D53" s="543" t="s">
        <v>38</v>
      </c>
    </row>
    <row r="54" spans="2:4">
      <c r="B54" s="543"/>
      <c r="C54" s="543" t="s">
        <v>677</v>
      </c>
      <c r="D54" s="543" t="s">
        <v>40</v>
      </c>
    </row>
    <row r="55" spans="2:4">
      <c r="B55" s="543"/>
      <c r="C55" s="643" t="s">
        <v>1523</v>
      </c>
      <c r="D55" s="543" t="s">
        <v>39</v>
      </c>
    </row>
    <row r="56" spans="2:4">
      <c r="B56" s="543"/>
      <c r="C56" s="543" t="s">
        <v>678</v>
      </c>
      <c r="D56" s="543" t="s">
        <v>41</v>
      </c>
    </row>
    <row r="57" spans="2:4">
      <c r="B57" s="543"/>
      <c r="C57" s="543" t="s">
        <v>3763</v>
      </c>
      <c r="D57" s="543" t="s">
        <v>3759</v>
      </c>
    </row>
    <row r="58" spans="2:4">
      <c r="B58" s="543"/>
      <c r="C58" s="543" t="s">
        <v>3765</v>
      </c>
      <c r="D58" s="543" t="s">
        <v>3761</v>
      </c>
    </row>
    <row r="59" spans="2:4">
      <c r="B59" s="543"/>
      <c r="C59" s="643" t="s">
        <v>3838</v>
      </c>
      <c r="D59" s="543" t="s">
        <v>3836</v>
      </c>
    </row>
    <row r="60" spans="2:4">
      <c r="B60" s="543"/>
      <c r="C60" s="543" t="s">
        <v>679</v>
      </c>
      <c r="D60" s="543" t="s">
        <v>43</v>
      </c>
    </row>
    <row r="61" spans="2:4">
      <c r="B61" s="543"/>
      <c r="C61" t="s">
        <v>2653</v>
      </c>
      <c r="D61" t="s">
        <v>2654</v>
      </c>
    </row>
    <row r="62" spans="2:4">
      <c r="B62" s="543"/>
      <c r="C62" s="543" t="s">
        <v>680</v>
      </c>
      <c r="D62" s="543" t="s">
        <v>44</v>
      </c>
    </row>
    <row r="63" spans="2:4">
      <c r="B63" s="543"/>
      <c r="C63" s="643" t="s">
        <v>1527</v>
      </c>
      <c r="D63" t="s">
        <v>3768</v>
      </c>
    </row>
    <row r="64" spans="2:4">
      <c r="B64" s="543"/>
      <c r="C64" s="643" t="s">
        <v>3773</v>
      </c>
      <c r="D64" s="543" t="s">
        <v>3774</v>
      </c>
    </row>
    <row r="65" spans="2:4">
      <c r="B65" s="543"/>
      <c r="C65" s="1287" t="s">
        <v>2868</v>
      </c>
      <c r="D65" s="543" t="s">
        <v>19</v>
      </c>
    </row>
    <row r="66" spans="2:4">
      <c r="B66" s="543" t="s">
        <v>821</v>
      </c>
      <c r="C66" s="543" t="s">
        <v>681</v>
      </c>
      <c r="D66" s="543" t="s">
        <v>49</v>
      </c>
    </row>
    <row r="67" spans="2:4">
      <c r="B67" s="543"/>
      <c r="C67" s="543" t="s">
        <v>682</v>
      </c>
      <c r="D67" s="543" t="s">
        <v>51</v>
      </c>
    </row>
    <row r="68" spans="2:4">
      <c r="B68" s="543"/>
      <c r="C68" s="543" t="s">
        <v>683</v>
      </c>
      <c r="D68" s="543" t="s">
        <v>53</v>
      </c>
    </row>
    <row r="69" spans="2:4">
      <c r="B69" s="543"/>
      <c r="C69" s="543" t="s">
        <v>684</v>
      </c>
      <c r="D69" s="543" t="s">
        <v>369</v>
      </c>
    </row>
    <row r="70" spans="2:4">
      <c r="B70" s="543"/>
      <c r="C70" s="543" t="s">
        <v>685</v>
      </c>
      <c r="D70" s="543" t="s">
        <v>52</v>
      </c>
    </row>
    <row r="71" spans="2:4">
      <c r="B71" s="543"/>
      <c r="C71" s="543" t="s">
        <v>686</v>
      </c>
      <c r="D71" s="543" t="s">
        <v>50</v>
      </c>
    </row>
    <row r="72" spans="2:4">
      <c r="B72" s="543"/>
      <c r="C72" s="543" t="s">
        <v>687</v>
      </c>
      <c r="D72" s="543" t="s">
        <v>54</v>
      </c>
    </row>
    <row r="73" spans="2:4">
      <c r="B73" s="543"/>
      <c r="C73" s="543" t="s">
        <v>688</v>
      </c>
      <c r="D73" s="543" t="s">
        <v>689</v>
      </c>
    </row>
    <row r="74" spans="2:4">
      <c r="B74" s="543"/>
      <c r="C74" s="543" t="s">
        <v>690</v>
      </c>
      <c r="D74" s="543" t="s">
        <v>691</v>
      </c>
    </row>
    <row r="75" spans="2:4">
      <c r="B75" s="543"/>
      <c r="C75" s="543" t="s">
        <v>692</v>
      </c>
      <c r="D75" s="543" t="s">
        <v>55</v>
      </c>
    </row>
    <row r="76" spans="2:4">
      <c r="B76" s="543"/>
      <c r="C76" s="543" t="s">
        <v>693</v>
      </c>
      <c r="D76" s="543" t="s">
        <v>694</v>
      </c>
    </row>
    <row r="77" spans="2:4">
      <c r="B77" s="543" t="s">
        <v>822</v>
      </c>
      <c r="C77" s="543" t="s">
        <v>695</v>
      </c>
      <c r="D77" s="543" t="s">
        <v>57</v>
      </c>
    </row>
    <row r="78" spans="2:4">
      <c r="B78" s="543"/>
      <c r="C78" s="543" t="s">
        <v>696</v>
      </c>
      <c r="D78" s="543" t="s">
        <v>59</v>
      </c>
    </row>
    <row r="79" spans="2:4">
      <c r="B79" s="543"/>
      <c r="C79" s="543" t="s">
        <v>697</v>
      </c>
      <c r="D79" s="543" t="s">
        <v>698</v>
      </c>
    </row>
    <row r="80" spans="2:4">
      <c r="B80" s="543"/>
      <c r="C80" s="543" t="s">
        <v>699</v>
      </c>
      <c r="D80" s="543" t="s">
        <v>700</v>
      </c>
    </row>
    <row r="81" spans="2:4">
      <c r="B81" s="543"/>
      <c r="C81" s="543" t="s">
        <v>701</v>
      </c>
      <c r="D81" s="543" t="s">
        <v>702</v>
      </c>
    </row>
    <row r="82" spans="2:4">
      <c r="B82" s="543"/>
      <c r="C82" s="543" t="s">
        <v>703</v>
      </c>
      <c r="D82" s="543" t="s">
        <v>590</v>
      </c>
    </row>
    <row r="83" spans="2:4">
      <c r="B83" s="543"/>
      <c r="C83" t="s">
        <v>2440</v>
      </c>
      <c r="D83" t="s">
        <v>2655</v>
      </c>
    </row>
    <row r="84" spans="2:4">
      <c r="B84" s="543"/>
      <c r="C84" t="s">
        <v>2656</v>
      </c>
      <c r="D84" t="s">
        <v>506</v>
      </c>
    </row>
    <row r="85" spans="2:4">
      <c r="B85" s="543"/>
      <c r="C85" s="1769" t="s">
        <v>3783</v>
      </c>
      <c r="D85" s="543" t="s">
        <v>3777</v>
      </c>
    </row>
    <row r="86" spans="2:4">
      <c r="B86" s="543"/>
      <c r="C86" s="1769" t="s">
        <v>3785</v>
      </c>
      <c r="D86" s="543" t="s">
        <v>3779</v>
      </c>
    </row>
    <row r="87" spans="2:4">
      <c r="B87" s="543"/>
      <c r="C87" s="1769" t="s">
        <v>3787</v>
      </c>
      <c r="D87" s="543" t="s">
        <v>3781</v>
      </c>
    </row>
    <row r="88" spans="2:4">
      <c r="B88" s="543" t="s">
        <v>597</v>
      </c>
      <c r="C88" s="543" t="s">
        <v>704</v>
      </c>
      <c r="D88" s="543" t="s">
        <v>62</v>
      </c>
    </row>
    <row r="89" spans="2:4">
      <c r="B89" s="543"/>
      <c r="C89" s="543" t="s">
        <v>705</v>
      </c>
      <c r="D89" s="543" t="s">
        <v>64</v>
      </c>
    </row>
    <row r="90" spans="2:4">
      <c r="B90" s="543"/>
      <c r="C90" s="543" t="s">
        <v>706</v>
      </c>
      <c r="D90" s="543" t="s">
        <v>66</v>
      </c>
    </row>
    <row r="91" spans="2:4">
      <c r="B91" s="543"/>
      <c r="C91" s="543" t="s">
        <v>707</v>
      </c>
      <c r="D91" s="543" t="s">
        <v>708</v>
      </c>
    </row>
    <row r="92" spans="2:4">
      <c r="B92" s="543"/>
      <c r="C92" s="543" t="s">
        <v>709</v>
      </c>
      <c r="D92" s="543" t="s">
        <v>69</v>
      </c>
    </row>
    <row r="93" spans="2:4">
      <c r="B93" s="543"/>
      <c r="C93" s="643" t="s">
        <v>3753</v>
      </c>
      <c r="D93" s="543" t="s">
        <v>3754</v>
      </c>
    </row>
    <row r="94" spans="2:4">
      <c r="B94" s="543"/>
      <c r="C94" s="543" t="s">
        <v>1377</v>
      </c>
      <c r="D94" s="543" t="s">
        <v>1376</v>
      </c>
    </row>
    <row r="95" spans="2:4">
      <c r="B95" s="543"/>
      <c r="C95" s="543" t="s">
        <v>710</v>
      </c>
      <c r="D95" s="543" t="s">
        <v>711</v>
      </c>
    </row>
    <row r="96" spans="2:4">
      <c r="B96" s="543"/>
      <c r="C96" s="543" t="s">
        <v>827</v>
      </c>
      <c r="D96" s="543" t="s">
        <v>375</v>
      </c>
    </row>
    <row r="97" spans="2:4">
      <c r="B97" s="543"/>
      <c r="C97" s="543" t="s">
        <v>712</v>
      </c>
      <c r="D97" s="543" t="s">
        <v>713</v>
      </c>
    </row>
    <row r="98" spans="2:4">
      <c r="B98" s="543"/>
      <c r="C98" s="543" t="s">
        <v>714</v>
      </c>
      <c r="D98" s="543" t="s">
        <v>715</v>
      </c>
    </row>
    <row r="99" spans="2:4">
      <c r="B99" s="543"/>
      <c r="C99" s="543"/>
      <c r="D99" s="543"/>
    </row>
    <row r="100" spans="2:4">
      <c r="B100" s="543"/>
      <c r="C100" s="543"/>
      <c r="D100" s="543"/>
    </row>
    <row r="101" spans="2:4">
      <c r="B101" s="543"/>
      <c r="C101" s="543" t="s">
        <v>716</v>
      </c>
      <c r="D101" s="543" t="s">
        <v>447</v>
      </c>
    </row>
    <row r="102" spans="2:4">
      <c r="B102" s="543"/>
      <c r="C102" s="543" t="s">
        <v>717</v>
      </c>
      <c r="D102" s="543" t="s">
        <v>446</v>
      </c>
    </row>
    <row r="103" spans="2:4">
      <c r="B103" s="543"/>
      <c r="C103" s="643" t="s">
        <v>1380</v>
      </c>
      <c r="D103" s="543" t="s">
        <v>1384</v>
      </c>
    </row>
    <row r="104" spans="2:4">
      <c r="B104" s="543"/>
      <c r="C104" s="643" t="s">
        <v>1382</v>
      </c>
      <c r="D104" s="543" t="s">
        <v>1386</v>
      </c>
    </row>
    <row r="105" spans="2:4">
      <c r="B105" s="543"/>
      <c r="C105" s="643" t="s">
        <v>1740</v>
      </c>
      <c r="D105" s="543" t="s">
        <v>892</v>
      </c>
    </row>
    <row r="106" spans="2:4">
      <c r="B106" s="543"/>
      <c r="C106" s="643" t="s">
        <v>1742</v>
      </c>
      <c r="D106" s="543" t="s">
        <v>893</v>
      </c>
    </row>
    <row r="107" spans="2:4">
      <c r="B107" s="543"/>
      <c r="C107" s="643" t="s">
        <v>1744</v>
      </c>
      <c r="D107" s="543" t="s">
        <v>1766</v>
      </c>
    </row>
    <row r="108" spans="2:4">
      <c r="B108" s="543"/>
      <c r="C108" s="643" t="s">
        <v>1768</v>
      </c>
      <c r="D108" s="543" t="s">
        <v>1767</v>
      </c>
    </row>
    <row r="109" spans="2:4">
      <c r="B109" s="543"/>
      <c r="C109" s="643" t="s">
        <v>2524</v>
      </c>
      <c r="D109" s="543" t="s">
        <v>2525</v>
      </c>
    </row>
    <row r="110" spans="2:4">
      <c r="B110" s="543"/>
      <c r="C110" s="643" t="s">
        <v>1746</v>
      </c>
      <c r="D110" s="543" t="s">
        <v>895</v>
      </c>
    </row>
    <row r="111" spans="2:4">
      <c r="B111" s="543"/>
      <c r="C111" s="643" t="s">
        <v>1748</v>
      </c>
      <c r="D111" s="543" t="s">
        <v>1694</v>
      </c>
    </row>
    <row r="112" spans="2:4">
      <c r="B112" s="543"/>
      <c r="C112" s="643" t="s">
        <v>1750</v>
      </c>
      <c r="D112" s="543" t="s">
        <v>1695</v>
      </c>
    </row>
    <row r="113" spans="2:4">
      <c r="B113" s="543"/>
      <c r="C113" s="643" t="s">
        <v>1751</v>
      </c>
      <c r="D113" s="543" t="s">
        <v>1685</v>
      </c>
    </row>
    <row r="114" spans="2:4">
      <c r="B114" s="543"/>
      <c r="C114" s="643" t="s">
        <v>1753</v>
      </c>
      <c r="D114" s="543" t="s">
        <v>1696</v>
      </c>
    </row>
    <row r="115" spans="2:4">
      <c r="B115" s="543"/>
      <c r="C115" s="643" t="s">
        <v>2527</v>
      </c>
      <c r="D115" s="543" t="s">
        <v>2528</v>
      </c>
    </row>
    <row r="116" spans="2:4">
      <c r="B116" s="543"/>
      <c r="C116" s="643" t="s">
        <v>1754</v>
      </c>
      <c r="D116" s="543" t="s">
        <v>1688</v>
      </c>
    </row>
    <row r="117" spans="2:4">
      <c r="B117" s="543"/>
      <c r="C117" s="643" t="s">
        <v>1756</v>
      </c>
      <c r="D117" s="543" t="s">
        <v>1687</v>
      </c>
    </row>
    <row r="118" spans="2:4">
      <c r="B118" s="543"/>
      <c r="C118" s="643" t="s">
        <v>1757</v>
      </c>
      <c r="D118" s="543" t="s">
        <v>1686</v>
      </c>
    </row>
    <row r="119" spans="2:4">
      <c r="B119" s="543"/>
      <c r="C119" s="643" t="s">
        <v>1758</v>
      </c>
      <c r="D119" s="543" t="s">
        <v>1689</v>
      </c>
    </row>
    <row r="120" spans="2:4">
      <c r="B120" s="543"/>
      <c r="C120" s="643" t="s">
        <v>1760</v>
      </c>
      <c r="D120" s="543" t="s">
        <v>1690</v>
      </c>
    </row>
    <row r="121" spans="2:4">
      <c r="B121" s="543"/>
      <c r="C121" s="643" t="s">
        <v>1762</v>
      </c>
      <c r="D121" s="543" t="s">
        <v>1691</v>
      </c>
    </row>
    <row r="122" spans="2:4">
      <c r="B122" s="543"/>
      <c r="C122" s="643" t="s">
        <v>1763</v>
      </c>
      <c r="D122" s="543" t="s">
        <v>1692</v>
      </c>
    </row>
    <row r="123" spans="2:4">
      <c r="B123" s="543"/>
      <c r="C123" s="643" t="s">
        <v>1765</v>
      </c>
      <c r="D123" s="543" t="s">
        <v>1693</v>
      </c>
    </row>
    <row r="124" spans="2:4">
      <c r="B124" s="543" t="s">
        <v>720</v>
      </c>
      <c r="C124" s="543" t="s">
        <v>721</v>
      </c>
      <c r="D124" s="543" t="s">
        <v>722</v>
      </c>
    </row>
    <row r="125" spans="2:4">
      <c r="B125" s="543"/>
      <c r="C125" s="543" t="s">
        <v>723</v>
      </c>
      <c r="D125" s="543" t="s">
        <v>392</v>
      </c>
    </row>
    <row r="126" spans="2:4">
      <c r="B126" s="543"/>
      <c r="C126" s="543" t="s">
        <v>724</v>
      </c>
      <c r="D126" s="543" t="s">
        <v>725</v>
      </c>
    </row>
    <row r="127" spans="2:4">
      <c r="B127" s="543"/>
      <c r="C127" s="543" t="s">
        <v>726</v>
      </c>
      <c r="D127" s="543" t="s">
        <v>178</v>
      </c>
    </row>
    <row r="128" spans="2:4">
      <c r="B128" s="543"/>
      <c r="C128" s="543" t="s">
        <v>727</v>
      </c>
      <c r="D128" s="543" t="s">
        <v>393</v>
      </c>
    </row>
    <row r="129" spans="2:4">
      <c r="B129" s="543"/>
      <c r="C129" s="543" t="s">
        <v>728</v>
      </c>
      <c r="D129" s="543" t="s">
        <v>508</v>
      </c>
    </row>
    <row r="130" spans="2:4">
      <c r="B130" s="543"/>
      <c r="C130" s="543" t="s">
        <v>729</v>
      </c>
      <c r="D130" s="543" t="s">
        <v>509</v>
      </c>
    </row>
    <row r="131" spans="2:4">
      <c r="B131" s="543"/>
      <c r="C131" t="s">
        <v>2658</v>
      </c>
      <c r="D131" t="s">
        <v>2659</v>
      </c>
    </row>
    <row r="132" spans="2:4">
      <c r="B132" s="543"/>
      <c r="C132" s="543" t="s">
        <v>730</v>
      </c>
      <c r="D132" s="543" t="s">
        <v>731</v>
      </c>
    </row>
    <row r="133" spans="2:4">
      <c r="B133" s="543"/>
      <c r="C133" s="543" t="s">
        <v>732</v>
      </c>
      <c r="D133" s="543" t="s">
        <v>733</v>
      </c>
    </row>
    <row r="134" spans="2:4">
      <c r="B134" s="543"/>
      <c r="C134" s="543" t="s">
        <v>734</v>
      </c>
      <c r="D134" s="543" t="s">
        <v>176</v>
      </c>
    </row>
    <row r="135" spans="2:4">
      <c r="B135" s="543"/>
      <c r="C135" s="543" t="s">
        <v>735</v>
      </c>
      <c r="D135" s="543" t="s">
        <v>394</v>
      </c>
    </row>
    <row r="136" spans="2:4">
      <c r="B136" s="543"/>
      <c r="C136" s="543" t="s">
        <v>736</v>
      </c>
      <c r="D136" s="543" t="s">
        <v>390</v>
      </c>
    </row>
    <row r="137" spans="2:4">
      <c r="B137" s="543"/>
      <c r="C137" s="543" t="s">
        <v>737</v>
      </c>
      <c r="D137" s="543" t="s">
        <v>510</v>
      </c>
    </row>
    <row r="138" spans="2:4">
      <c r="B138" s="543"/>
      <c r="C138" s="543" t="s">
        <v>738</v>
      </c>
      <c r="D138" s="543" t="s">
        <v>388</v>
      </c>
    </row>
    <row r="139" spans="2:4">
      <c r="B139" s="543"/>
      <c r="C139" s="543" t="s">
        <v>739</v>
      </c>
      <c r="D139" s="543" t="s">
        <v>514</v>
      </c>
    </row>
    <row r="140" spans="2:4">
      <c r="B140" s="543"/>
      <c r="C140" s="543" t="s">
        <v>740</v>
      </c>
      <c r="D140" s="543" t="s">
        <v>513</v>
      </c>
    </row>
    <row r="141" spans="2:4">
      <c r="B141" s="543"/>
      <c r="C141" s="543" t="s">
        <v>741</v>
      </c>
      <c r="D141" s="543" t="s">
        <v>742</v>
      </c>
    </row>
    <row r="142" spans="2:4">
      <c r="B142" s="543"/>
      <c r="C142" s="543" t="s">
        <v>743</v>
      </c>
      <c r="D142" s="543" t="s">
        <v>387</v>
      </c>
    </row>
    <row r="143" spans="2:4">
      <c r="B143" s="543"/>
      <c r="C143" s="543" t="s">
        <v>744</v>
      </c>
      <c r="D143" s="543" t="s">
        <v>385</v>
      </c>
    </row>
    <row r="144" spans="2:4">
      <c r="B144" s="543"/>
      <c r="C144" s="543" t="s">
        <v>745</v>
      </c>
      <c r="D144" s="543" t="s">
        <v>389</v>
      </c>
    </row>
    <row r="145" spans="2:4">
      <c r="B145" s="543"/>
      <c r="C145" s="543" t="s">
        <v>746</v>
      </c>
      <c r="D145" s="543" t="s">
        <v>747</v>
      </c>
    </row>
    <row r="146" spans="2:4">
      <c r="B146" s="543"/>
      <c r="C146" s="543" t="s">
        <v>748</v>
      </c>
      <c r="D146" s="543" t="s">
        <v>749</v>
      </c>
    </row>
    <row r="147" spans="2:4">
      <c r="B147" s="543" t="s">
        <v>750</v>
      </c>
      <c r="C147" s="543" t="s">
        <v>751</v>
      </c>
      <c r="D147" s="543" t="s">
        <v>752</v>
      </c>
    </row>
    <row r="148" spans="2:4">
      <c r="B148" s="543"/>
      <c r="C148" s="543" t="s">
        <v>753</v>
      </c>
      <c r="D148" s="543" t="s">
        <v>725</v>
      </c>
    </row>
    <row r="149" spans="2:4">
      <c r="B149" s="543"/>
      <c r="C149" s="543" t="s">
        <v>754</v>
      </c>
      <c r="D149" s="543" t="s">
        <v>178</v>
      </c>
    </row>
    <row r="150" spans="2:4">
      <c r="B150" s="543"/>
      <c r="C150" s="643" t="s">
        <v>1392</v>
      </c>
      <c r="D150" s="543"/>
    </row>
    <row r="151" spans="2:4">
      <c r="B151" s="543"/>
      <c r="C151" s="543" t="s">
        <v>755</v>
      </c>
      <c r="D151" s="543" t="s">
        <v>756</v>
      </c>
    </row>
    <row r="152" spans="2:4">
      <c r="B152" s="543"/>
      <c r="C152" s="543" t="s">
        <v>757</v>
      </c>
      <c r="D152" s="543" t="s">
        <v>393</v>
      </c>
    </row>
    <row r="153" spans="2:4">
      <c r="B153" s="543"/>
      <c r="C153" s="543" t="s">
        <v>758</v>
      </c>
      <c r="D153" s="543" t="s">
        <v>508</v>
      </c>
    </row>
    <row r="154" spans="2:4">
      <c r="B154" s="543"/>
      <c r="C154" s="543" t="s">
        <v>759</v>
      </c>
      <c r="D154" s="543" t="s">
        <v>511</v>
      </c>
    </row>
    <row r="155" spans="2:4">
      <c r="B155" s="543"/>
      <c r="C155" s="543" t="s">
        <v>760</v>
      </c>
      <c r="D155" s="543" t="s">
        <v>509</v>
      </c>
    </row>
    <row r="156" spans="2:4">
      <c r="B156" s="543"/>
      <c r="C156" s="543" t="s">
        <v>761</v>
      </c>
      <c r="D156" s="543" t="s">
        <v>515</v>
      </c>
    </row>
    <row r="157" spans="2:4">
      <c r="B157" s="543"/>
      <c r="C157" s="643" t="s">
        <v>2530</v>
      </c>
      <c r="D157" s="543" t="s">
        <v>2531</v>
      </c>
    </row>
    <row r="158" spans="2:4">
      <c r="B158" s="543"/>
      <c r="C158" s="543" t="s">
        <v>762</v>
      </c>
      <c r="D158" s="543" t="s">
        <v>733</v>
      </c>
    </row>
    <row r="159" spans="2:4">
      <c r="B159" s="543"/>
      <c r="C159" s="543" t="s">
        <v>763</v>
      </c>
      <c r="D159" s="543" t="s">
        <v>176</v>
      </c>
    </row>
    <row r="160" spans="2:4">
      <c r="B160" s="543"/>
      <c r="C160" s="543" t="s">
        <v>764</v>
      </c>
      <c r="D160" s="543" t="s">
        <v>394</v>
      </c>
    </row>
    <row r="161" spans="2:4">
      <c r="B161" s="543"/>
      <c r="C161" s="543" t="s">
        <v>765</v>
      </c>
      <c r="D161" s="543" t="s">
        <v>390</v>
      </c>
    </row>
    <row r="162" spans="2:4">
      <c r="B162" s="543"/>
      <c r="C162" s="543" t="s">
        <v>766</v>
      </c>
      <c r="D162" s="543" t="s">
        <v>510</v>
      </c>
    </row>
    <row r="163" spans="2:4">
      <c r="B163" s="543"/>
      <c r="C163" s="543" t="s">
        <v>767</v>
      </c>
      <c r="D163" s="543" t="s">
        <v>512</v>
      </c>
    </row>
    <row r="164" spans="2:4">
      <c r="B164" s="543"/>
      <c r="C164" s="543" t="s">
        <v>768</v>
      </c>
      <c r="D164" s="543" t="s">
        <v>396</v>
      </c>
    </row>
    <row r="165" spans="2:4">
      <c r="B165" s="543"/>
      <c r="C165" s="543" t="s">
        <v>769</v>
      </c>
      <c r="D165" s="543" t="s">
        <v>388</v>
      </c>
    </row>
    <row r="166" spans="2:4">
      <c r="B166" s="543"/>
      <c r="C166" s="543" t="s">
        <v>770</v>
      </c>
      <c r="D166" s="543" t="s">
        <v>514</v>
      </c>
    </row>
    <row r="167" spans="2:4">
      <c r="B167" s="543"/>
      <c r="C167" s="543" t="s">
        <v>771</v>
      </c>
      <c r="D167" s="543" t="s">
        <v>513</v>
      </c>
    </row>
    <row r="168" spans="2:4">
      <c r="B168" s="543"/>
      <c r="C168" s="543" t="s">
        <v>772</v>
      </c>
      <c r="D168" s="543" t="s">
        <v>773</v>
      </c>
    </row>
    <row r="169" spans="2:4">
      <c r="B169" s="543"/>
      <c r="C169" s="543" t="s">
        <v>774</v>
      </c>
      <c r="D169" s="543" t="s">
        <v>742</v>
      </c>
    </row>
    <row r="170" spans="2:4">
      <c r="B170" s="543"/>
      <c r="C170" s="543" t="s">
        <v>775</v>
      </c>
      <c r="D170" s="543" t="s">
        <v>387</v>
      </c>
    </row>
    <row r="171" spans="2:4">
      <c r="B171" s="543"/>
      <c r="C171" s="543" t="s">
        <v>776</v>
      </c>
      <c r="D171" s="543" t="s">
        <v>385</v>
      </c>
    </row>
    <row r="172" spans="2:4">
      <c r="B172" s="543"/>
      <c r="C172" s="543" t="s">
        <v>777</v>
      </c>
      <c r="D172" s="543" t="s">
        <v>386</v>
      </c>
    </row>
    <row r="173" spans="2:4">
      <c r="B173" s="543"/>
      <c r="C173" s="543" t="s">
        <v>778</v>
      </c>
      <c r="D173" s="543" t="s">
        <v>174</v>
      </c>
    </row>
    <row r="174" spans="2:4">
      <c r="B174" s="543"/>
      <c r="C174" s="543" t="s">
        <v>779</v>
      </c>
      <c r="D174" s="543" t="s">
        <v>747</v>
      </c>
    </row>
    <row r="175" spans="2:4">
      <c r="B175" s="543"/>
      <c r="C175" s="543" t="s">
        <v>780</v>
      </c>
      <c r="D175" s="543" t="s">
        <v>781</v>
      </c>
    </row>
    <row r="176" spans="2:4">
      <c r="B176" s="543"/>
      <c r="C176" s="543" t="s">
        <v>782</v>
      </c>
      <c r="D176" s="543" t="s">
        <v>397</v>
      </c>
    </row>
    <row r="177" spans="2:4">
      <c r="B177" s="543"/>
      <c r="C177" s="543" t="s">
        <v>783</v>
      </c>
      <c r="D177" s="543" t="s">
        <v>749</v>
      </c>
    </row>
    <row r="178" spans="2:4">
      <c r="B178" s="543"/>
      <c r="C178" s="543" t="s">
        <v>784</v>
      </c>
      <c r="D178" s="543" t="s">
        <v>785</v>
      </c>
    </row>
    <row r="179" spans="2:4">
      <c r="B179" s="543"/>
      <c r="C179" s="543" t="s">
        <v>786</v>
      </c>
      <c r="D179" s="543" t="s">
        <v>787</v>
      </c>
    </row>
    <row r="180" spans="2:4">
      <c r="B180" s="543"/>
      <c r="C180" s="643" t="s">
        <v>1394</v>
      </c>
      <c r="D180" s="543" t="s">
        <v>609</v>
      </c>
    </row>
    <row r="181" spans="2:4">
      <c r="B181" s="543" t="s">
        <v>788</v>
      </c>
      <c r="C181" s="543" t="s">
        <v>789</v>
      </c>
      <c r="D181" s="543" t="s">
        <v>790</v>
      </c>
    </row>
    <row r="182" spans="2:4">
      <c r="B182" s="543"/>
      <c r="C182" s="543" t="s">
        <v>791</v>
      </c>
      <c r="D182" s="543" t="s">
        <v>792</v>
      </c>
    </row>
    <row r="183" spans="2:4">
      <c r="B183" s="543"/>
      <c r="C183" s="543" t="s">
        <v>793</v>
      </c>
      <c r="D183" s="543" t="s">
        <v>133</v>
      </c>
    </row>
    <row r="184" spans="2:4">
      <c r="B184" s="543"/>
      <c r="C184" s="543" t="s">
        <v>794</v>
      </c>
      <c r="D184" s="543" t="s">
        <v>120</v>
      </c>
    </row>
    <row r="185" spans="2:4">
      <c r="B185" s="543"/>
      <c r="C185" s="543" t="s">
        <v>795</v>
      </c>
      <c r="D185" s="543" t="s">
        <v>121</v>
      </c>
    </row>
    <row r="186" spans="2:4">
      <c r="B186" s="543"/>
      <c r="C186" s="543" t="s">
        <v>796</v>
      </c>
      <c r="D186" s="543" t="s">
        <v>797</v>
      </c>
    </row>
    <row r="187" spans="2:4">
      <c r="B187" s="543"/>
      <c r="C187" s="1289" t="s">
        <v>2869</v>
      </c>
      <c r="D187" s="543" t="s">
        <v>2763</v>
      </c>
    </row>
    <row r="188" spans="2:4">
      <c r="B188" s="543"/>
      <c r="C188" s="1288">
        <v>92100</v>
      </c>
      <c r="D188" s="543" t="s">
        <v>1653</v>
      </c>
    </row>
    <row r="189" spans="2:4">
      <c r="B189" s="543"/>
      <c r="C189" s="1288">
        <v>92200</v>
      </c>
      <c r="D189" s="543" t="s">
        <v>2680</v>
      </c>
    </row>
    <row r="190" spans="2:4">
      <c r="B190" s="543"/>
      <c r="C190" s="543" t="s">
        <v>798</v>
      </c>
      <c r="D190" s="543" t="s">
        <v>123</v>
      </c>
    </row>
    <row r="191" spans="2:4">
      <c r="B191" s="543" t="s">
        <v>799</v>
      </c>
      <c r="C191" s="643" t="s">
        <v>2990</v>
      </c>
      <c r="D191" s="543" t="s">
        <v>801</v>
      </c>
    </row>
    <row r="192" spans="2:4">
      <c r="B192" s="543"/>
      <c r="C192" s="543" t="s">
        <v>802</v>
      </c>
      <c r="D192" s="543" t="s">
        <v>179</v>
      </c>
    </row>
    <row r="193" spans="2:4">
      <c r="B193" s="543"/>
      <c r="C193" s="543" t="s">
        <v>803</v>
      </c>
      <c r="D193" s="543" t="s">
        <v>125</v>
      </c>
    </row>
    <row r="194" spans="2:4">
      <c r="B194" s="543"/>
      <c r="C194" s="543" t="s">
        <v>804</v>
      </c>
      <c r="D194" s="543" t="s">
        <v>128</v>
      </c>
    </row>
    <row r="195" spans="2:4">
      <c r="B195" s="543"/>
      <c r="C195" s="543" t="s">
        <v>805</v>
      </c>
      <c r="D195" s="543" t="s">
        <v>127</v>
      </c>
    </row>
    <row r="196" spans="2:4">
      <c r="B196" s="543"/>
      <c r="C196" s="643" t="s">
        <v>1395</v>
      </c>
      <c r="D196" s="543" t="s">
        <v>1396</v>
      </c>
    </row>
    <row r="197" spans="2:4">
      <c r="B197" s="543"/>
      <c r="C197" s="643" t="s">
        <v>2667</v>
      </c>
      <c r="D197" s="543" t="s">
        <v>2668</v>
      </c>
    </row>
    <row r="198" spans="2:4">
      <c r="B198" s="543"/>
      <c r="C198" s="543" t="s">
        <v>806</v>
      </c>
      <c r="D198" s="543" t="s">
        <v>807</v>
      </c>
    </row>
    <row r="199" spans="2:4">
      <c r="B199" s="543"/>
      <c r="C199" s="543" t="s">
        <v>808</v>
      </c>
      <c r="D199" s="543" t="s">
        <v>809</v>
      </c>
    </row>
    <row r="200" spans="2:4">
      <c r="B200" s="543"/>
      <c r="C200" s="543" t="s">
        <v>2660</v>
      </c>
      <c r="D200" s="543" t="s">
        <v>2661</v>
      </c>
    </row>
    <row r="201" spans="2:4">
      <c r="B201" s="543"/>
      <c r="C201" s="643" t="s">
        <v>2989</v>
      </c>
      <c r="D201" s="543" t="s">
        <v>2842</v>
      </c>
    </row>
    <row r="202" spans="2:4">
      <c r="B202" s="543"/>
      <c r="C202" s="643" t="s">
        <v>2992</v>
      </c>
      <c r="D202" s="543" t="s">
        <v>2988</v>
      </c>
    </row>
    <row r="203" spans="2:4">
      <c r="B203" s="543"/>
      <c r="C203" s="543" t="s">
        <v>810</v>
      </c>
      <c r="D203" s="543" t="s">
        <v>130</v>
      </c>
    </row>
    <row r="204" spans="2:4">
      <c r="B204" s="543" t="s">
        <v>1658</v>
      </c>
      <c r="C204" s="643" t="s">
        <v>1661</v>
      </c>
      <c r="D204" s="543" t="s">
        <v>1666</v>
      </c>
    </row>
    <row r="205" spans="2:4">
      <c r="B205" s="543"/>
      <c r="C205" s="643" t="s">
        <v>1673</v>
      </c>
      <c r="D205" s="543" t="s">
        <v>1667</v>
      </c>
    </row>
    <row r="206" spans="2:4">
      <c r="B206" s="543" t="s">
        <v>1789</v>
      </c>
      <c r="C206" s="543" t="s">
        <v>811</v>
      </c>
      <c r="D206" s="543" t="s">
        <v>92</v>
      </c>
    </row>
    <row r="207" spans="2:4">
      <c r="B207" t="s">
        <v>354</v>
      </c>
      <c r="C207" s="643" t="s">
        <v>1791</v>
      </c>
      <c r="D207" t="s">
        <v>246</v>
      </c>
    </row>
    <row r="208" spans="2:4">
      <c r="C208" s="643" t="s">
        <v>1793</v>
      </c>
      <c r="D208" t="s">
        <v>160</v>
      </c>
    </row>
    <row r="209" spans="3:4">
      <c r="C209" s="643" t="s">
        <v>1795</v>
      </c>
      <c r="D209" t="s">
        <v>517</v>
      </c>
    </row>
  </sheetData>
  <phoneticPr fontId="3" type="noConversion"/>
  <conditionalFormatting sqref="C61">
    <cfRule type="duplicateValues" dxfId="173" priority="3"/>
  </conditionalFormatting>
  <conditionalFormatting sqref="C83:C87">
    <cfRule type="duplicateValues" dxfId="172" priority="2495"/>
  </conditionalFormatting>
  <conditionalFormatting sqref="C131">
    <cfRule type="duplicateValues" dxfId="171" priority="1"/>
  </conditionalFormatting>
  <conditionalFormatting sqref="C132:C1048576 C88:C130 C62:C82 C1:C60">
    <cfRule type="duplicateValues" dxfId="170" priority="4"/>
  </conditionalFormatting>
  <conditionalFormatting sqref="G1:G1048576">
    <cfRule type="duplicateValues" dxfId="169" priority="5"/>
  </conditionalFormatting>
  <conditionalFormatting sqref="I1:I1048576">
    <cfRule type="containsText" dxfId="168" priority="6" operator="containsText" text="false">
      <formula>NOT(ISERROR(SEARCH("false",I1)))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B3:Q25"/>
  <sheetViews>
    <sheetView workbookViewId="0">
      <selection activeCell="C4" sqref="C4"/>
    </sheetView>
  </sheetViews>
  <sheetFormatPr defaultRowHeight="16.5"/>
  <cols>
    <col min="3" max="3" width="11.125" bestFit="1" customWidth="1"/>
  </cols>
  <sheetData>
    <row r="3" spans="2:3">
      <c r="B3" t="s">
        <v>2537</v>
      </c>
      <c r="C3" s="974">
        <v>46203</v>
      </c>
    </row>
    <row r="5" spans="2:3">
      <c r="B5" t="s">
        <v>2240</v>
      </c>
      <c r="C5" t="s">
        <v>1415</v>
      </c>
    </row>
    <row r="6" spans="2:3">
      <c r="B6" t="s">
        <v>414</v>
      </c>
      <c r="C6">
        <v>189.66</v>
      </c>
    </row>
    <row r="7" spans="2:3">
      <c r="B7" t="s">
        <v>413</v>
      </c>
      <c r="C7">
        <v>196.6</v>
      </c>
    </row>
    <row r="16" spans="2:3">
      <c r="B16" t="s">
        <v>2240</v>
      </c>
      <c r="C16" t="s">
        <v>2551</v>
      </c>
    </row>
    <row r="17" spans="2:17">
      <c r="B17" t="s">
        <v>414</v>
      </c>
      <c r="C17">
        <v>216.23</v>
      </c>
    </row>
    <row r="18" spans="2:17">
      <c r="B18" t="s">
        <v>413</v>
      </c>
      <c r="C18">
        <v>226.97</v>
      </c>
    </row>
    <row r="20" spans="2:17">
      <c r="Q20">
        <f>ROUND(SUM(E116:E118,E130:E132)*환율!C7,)</f>
        <v>0</v>
      </c>
    </row>
    <row r="23" spans="2:17">
      <c r="B23" t="s">
        <v>2240</v>
      </c>
      <c r="C23" t="s">
        <v>599</v>
      </c>
    </row>
    <row r="24" spans="2:17">
      <c r="B24" t="s">
        <v>414</v>
      </c>
      <c r="C24">
        <v>1160.6600000000001</v>
      </c>
    </row>
    <row r="25" spans="2:17">
      <c r="B25" t="s">
        <v>413</v>
      </c>
      <c r="C25">
        <v>1192.74</v>
      </c>
    </row>
  </sheetData>
  <phoneticPr fontId="3"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
  <sheetViews>
    <sheetView workbookViewId="0"/>
  </sheetViews>
  <sheetFormatPr defaultRowHeight="16.5"/>
  <sheetData/>
  <phoneticPr fontId="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3">
    <tabColor theme="1"/>
    <outlinePr summaryBelow="0"/>
  </sheetPr>
  <dimension ref="B1:J133"/>
  <sheetViews>
    <sheetView showGridLines="0" zoomScaleNormal="100" workbookViewId="0">
      <pane xSplit="3" ySplit="1" topLeftCell="D34" activePane="bottomRight" state="frozen"/>
      <selection activeCell="I71" sqref="I71"/>
      <selection pane="topRight" activeCell="I71" sqref="I71"/>
      <selection pane="bottomLeft" activeCell="I71" sqref="I71"/>
      <selection pane="bottomRight" activeCell="D74" sqref="D74"/>
    </sheetView>
  </sheetViews>
  <sheetFormatPr defaultRowHeight="13.5" outlineLevelRow="2"/>
  <cols>
    <col min="1" max="1" width="2.625" style="589" customWidth="1"/>
    <col min="2" max="2" width="35" style="589" customWidth="1"/>
    <col min="3" max="3" width="12.625" style="589" customWidth="1"/>
    <col min="4" max="5" width="15.625" style="589" customWidth="1"/>
    <col min="6" max="6" width="3" style="589" customWidth="1"/>
    <col min="7" max="7" width="12.375" style="589" bestFit="1" customWidth="1"/>
    <col min="8" max="8" width="9.125" style="589" bestFit="1" customWidth="1"/>
    <col min="9" max="9" width="13.125" style="589" bestFit="1" customWidth="1"/>
    <col min="10" max="10" width="14.125" style="589" bestFit="1" customWidth="1"/>
    <col min="11" max="251" width="9" style="589"/>
    <col min="252" max="252" width="2.625" style="589" customWidth="1"/>
    <col min="253" max="253" width="25.125" style="589" customWidth="1"/>
    <col min="254" max="254" width="12.625" style="589" customWidth="1"/>
    <col min="255" max="256" width="15.625" style="589" customWidth="1"/>
    <col min="257" max="257" width="3" style="589" customWidth="1"/>
    <col min="258" max="258" width="12.375" style="589" bestFit="1" customWidth="1"/>
    <col min="259" max="259" width="13.375" style="589" bestFit="1" customWidth="1"/>
    <col min="260" max="260" width="11.625" style="589" customWidth="1"/>
    <col min="261" max="507" width="9" style="589"/>
    <col min="508" max="508" width="2.625" style="589" customWidth="1"/>
    <col min="509" max="509" width="25.125" style="589" customWidth="1"/>
    <col min="510" max="510" width="12.625" style="589" customWidth="1"/>
    <col min="511" max="512" width="15.625" style="589" customWidth="1"/>
    <col min="513" max="513" width="3" style="589" customWidth="1"/>
    <col min="514" max="514" width="12.375" style="589" bestFit="1" customWidth="1"/>
    <col min="515" max="515" width="13.375" style="589" bestFit="1" customWidth="1"/>
    <col min="516" max="516" width="11.625" style="589" customWidth="1"/>
    <col min="517" max="763" width="9" style="589"/>
    <col min="764" max="764" width="2.625" style="589" customWidth="1"/>
    <col min="765" max="765" width="25.125" style="589" customWidth="1"/>
    <col min="766" max="766" width="12.625" style="589" customWidth="1"/>
    <col min="767" max="768" width="15.625" style="589" customWidth="1"/>
    <col min="769" max="769" width="3" style="589" customWidth="1"/>
    <col min="770" max="770" width="12.375" style="589" bestFit="1" customWidth="1"/>
    <col min="771" max="771" width="13.375" style="589" bestFit="1" customWidth="1"/>
    <col min="772" max="772" width="11.625" style="589" customWidth="1"/>
    <col min="773" max="1019" width="9" style="589"/>
    <col min="1020" max="1020" width="2.625" style="589" customWidth="1"/>
    <col min="1021" max="1021" width="25.125" style="589" customWidth="1"/>
    <col min="1022" max="1022" width="12.625" style="589" customWidth="1"/>
    <col min="1023" max="1024" width="15.625" style="589" customWidth="1"/>
    <col min="1025" max="1025" width="3" style="589" customWidth="1"/>
    <col min="1026" max="1026" width="12.375" style="589" bestFit="1" customWidth="1"/>
    <col min="1027" max="1027" width="13.375" style="589" bestFit="1" customWidth="1"/>
    <col min="1028" max="1028" width="11.625" style="589" customWidth="1"/>
    <col min="1029" max="1275" width="9" style="589"/>
    <col min="1276" max="1276" width="2.625" style="589" customWidth="1"/>
    <col min="1277" max="1277" width="25.125" style="589" customWidth="1"/>
    <col min="1278" max="1278" width="12.625" style="589" customWidth="1"/>
    <col min="1279" max="1280" width="15.625" style="589" customWidth="1"/>
    <col min="1281" max="1281" width="3" style="589" customWidth="1"/>
    <col min="1282" max="1282" width="12.375" style="589" bestFit="1" customWidth="1"/>
    <col min="1283" max="1283" width="13.375" style="589" bestFit="1" customWidth="1"/>
    <col min="1284" max="1284" width="11.625" style="589" customWidth="1"/>
    <col min="1285" max="1531" width="9" style="589"/>
    <col min="1532" max="1532" width="2.625" style="589" customWidth="1"/>
    <col min="1533" max="1533" width="25.125" style="589" customWidth="1"/>
    <col min="1534" max="1534" width="12.625" style="589" customWidth="1"/>
    <col min="1535" max="1536" width="15.625" style="589" customWidth="1"/>
    <col min="1537" max="1537" width="3" style="589" customWidth="1"/>
    <col min="1538" max="1538" width="12.375" style="589" bestFit="1" customWidth="1"/>
    <col min="1539" max="1539" width="13.375" style="589" bestFit="1" customWidth="1"/>
    <col min="1540" max="1540" width="11.625" style="589" customWidth="1"/>
    <col min="1541" max="1787" width="9" style="589"/>
    <col min="1788" max="1788" width="2.625" style="589" customWidth="1"/>
    <col min="1789" max="1789" width="25.125" style="589" customWidth="1"/>
    <col min="1790" max="1790" width="12.625" style="589" customWidth="1"/>
    <col min="1791" max="1792" width="15.625" style="589" customWidth="1"/>
    <col min="1793" max="1793" width="3" style="589" customWidth="1"/>
    <col min="1794" max="1794" width="12.375" style="589" bestFit="1" customWidth="1"/>
    <col min="1795" max="1795" width="13.375" style="589" bestFit="1" customWidth="1"/>
    <col min="1796" max="1796" width="11.625" style="589" customWidth="1"/>
    <col min="1797" max="2043" width="9" style="589"/>
    <col min="2044" max="2044" width="2.625" style="589" customWidth="1"/>
    <col min="2045" max="2045" width="25.125" style="589" customWidth="1"/>
    <col min="2046" max="2046" width="12.625" style="589" customWidth="1"/>
    <col min="2047" max="2048" width="15.625" style="589" customWidth="1"/>
    <col min="2049" max="2049" width="3" style="589" customWidth="1"/>
    <col min="2050" max="2050" width="12.375" style="589" bestFit="1" customWidth="1"/>
    <col min="2051" max="2051" width="13.375" style="589" bestFit="1" customWidth="1"/>
    <col min="2052" max="2052" width="11.625" style="589" customWidth="1"/>
    <col min="2053" max="2299" width="9" style="589"/>
    <col min="2300" max="2300" width="2.625" style="589" customWidth="1"/>
    <col min="2301" max="2301" width="25.125" style="589" customWidth="1"/>
    <col min="2302" max="2302" width="12.625" style="589" customWidth="1"/>
    <col min="2303" max="2304" width="15.625" style="589" customWidth="1"/>
    <col min="2305" max="2305" width="3" style="589" customWidth="1"/>
    <col min="2306" max="2306" width="12.375" style="589" bestFit="1" customWidth="1"/>
    <col min="2307" max="2307" width="13.375" style="589" bestFit="1" customWidth="1"/>
    <col min="2308" max="2308" width="11.625" style="589" customWidth="1"/>
    <col min="2309" max="2555" width="9" style="589"/>
    <col min="2556" max="2556" width="2.625" style="589" customWidth="1"/>
    <col min="2557" max="2557" width="25.125" style="589" customWidth="1"/>
    <col min="2558" max="2558" width="12.625" style="589" customWidth="1"/>
    <col min="2559" max="2560" width="15.625" style="589" customWidth="1"/>
    <col min="2561" max="2561" width="3" style="589" customWidth="1"/>
    <col min="2562" max="2562" width="12.375" style="589" bestFit="1" customWidth="1"/>
    <col min="2563" max="2563" width="13.375" style="589" bestFit="1" customWidth="1"/>
    <col min="2564" max="2564" width="11.625" style="589" customWidth="1"/>
    <col min="2565" max="2811" width="9" style="589"/>
    <col min="2812" max="2812" width="2.625" style="589" customWidth="1"/>
    <col min="2813" max="2813" width="25.125" style="589" customWidth="1"/>
    <col min="2814" max="2814" width="12.625" style="589" customWidth="1"/>
    <col min="2815" max="2816" width="15.625" style="589" customWidth="1"/>
    <col min="2817" max="2817" width="3" style="589" customWidth="1"/>
    <col min="2818" max="2818" width="12.375" style="589" bestFit="1" customWidth="1"/>
    <col min="2819" max="2819" width="13.375" style="589" bestFit="1" customWidth="1"/>
    <col min="2820" max="2820" width="11.625" style="589" customWidth="1"/>
    <col min="2821" max="3067" width="9" style="589"/>
    <col min="3068" max="3068" width="2.625" style="589" customWidth="1"/>
    <col min="3069" max="3069" width="25.125" style="589" customWidth="1"/>
    <col min="3070" max="3070" width="12.625" style="589" customWidth="1"/>
    <col min="3071" max="3072" width="15.625" style="589" customWidth="1"/>
    <col min="3073" max="3073" width="3" style="589" customWidth="1"/>
    <col min="3074" max="3074" width="12.375" style="589" bestFit="1" customWidth="1"/>
    <col min="3075" max="3075" width="13.375" style="589" bestFit="1" customWidth="1"/>
    <col min="3076" max="3076" width="11.625" style="589" customWidth="1"/>
    <col min="3077" max="3323" width="9" style="589"/>
    <col min="3324" max="3324" width="2.625" style="589" customWidth="1"/>
    <col min="3325" max="3325" width="25.125" style="589" customWidth="1"/>
    <col min="3326" max="3326" width="12.625" style="589" customWidth="1"/>
    <col min="3327" max="3328" width="15.625" style="589" customWidth="1"/>
    <col min="3329" max="3329" width="3" style="589" customWidth="1"/>
    <col min="3330" max="3330" width="12.375" style="589" bestFit="1" customWidth="1"/>
    <col min="3331" max="3331" width="13.375" style="589" bestFit="1" customWidth="1"/>
    <col min="3332" max="3332" width="11.625" style="589" customWidth="1"/>
    <col min="3333" max="3579" width="9" style="589"/>
    <col min="3580" max="3580" width="2.625" style="589" customWidth="1"/>
    <col min="3581" max="3581" width="25.125" style="589" customWidth="1"/>
    <col min="3582" max="3582" width="12.625" style="589" customWidth="1"/>
    <col min="3583" max="3584" width="15.625" style="589" customWidth="1"/>
    <col min="3585" max="3585" width="3" style="589" customWidth="1"/>
    <col min="3586" max="3586" width="12.375" style="589" bestFit="1" customWidth="1"/>
    <col min="3587" max="3587" width="13.375" style="589" bestFit="1" customWidth="1"/>
    <col min="3588" max="3588" width="11.625" style="589" customWidth="1"/>
    <col min="3589" max="3835" width="9" style="589"/>
    <col min="3836" max="3836" width="2.625" style="589" customWidth="1"/>
    <col min="3837" max="3837" width="25.125" style="589" customWidth="1"/>
    <col min="3838" max="3838" width="12.625" style="589" customWidth="1"/>
    <col min="3839" max="3840" width="15.625" style="589" customWidth="1"/>
    <col min="3841" max="3841" width="3" style="589" customWidth="1"/>
    <col min="3842" max="3842" width="12.375" style="589" bestFit="1" customWidth="1"/>
    <col min="3843" max="3843" width="13.375" style="589" bestFit="1" customWidth="1"/>
    <col min="3844" max="3844" width="11.625" style="589" customWidth="1"/>
    <col min="3845" max="4091" width="9" style="589"/>
    <col min="4092" max="4092" width="2.625" style="589" customWidth="1"/>
    <col min="4093" max="4093" width="25.125" style="589" customWidth="1"/>
    <col min="4094" max="4094" width="12.625" style="589" customWidth="1"/>
    <col min="4095" max="4096" width="15.625" style="589" customWidth="1"/>
    <col min="4097" max="4097" width="3" style="589" customWidth="1"/>
    <col min="4098" max="4098" width="12.375" style="589" bestFit="1" customWidth="1"/>
    <col min="4099" max="4099" width="13.375" style="589" bestFit="1" customWidth="1"/>
    <col min="4100" max="4100" width="11.625" style="589" customWidth="1"/>
    <col min="4101" max="4347" width="9" style="589"/>
    <col min="4348" max="4348" width="2.625" style="589" customWidth="1"/>
    <col min="4349" max="4349" width="25.125" style="589" customWidth="1"/>
    <col min="4350" max="4350" width="12.625" style="589" customWidth="1"/>
    <col min="4351" max="4352" width="15.625" style="589" customWidth="1"/>
    <col min="4353" max="4353" width="3" style="589" customWidth="1"/>
    <col min="4354" max="4354" width="12.375" style="589" bestFit="1" customWidth="1"/>
    <col min="4355" max="4355" width="13.375" style="589" bestFit="1" customWidth="1"/>
    <col min="4356" max="4356" width="11.625" style="589" customWidth="1"/>
    <col min="4357" max="4603" width="9" style="589"/>
    <col min="4604" max="4604" width="2.625" style="589" customWidth="1"/>
    <col min="4605" max="4605" width="25.125" style="589" customWidth="1"/>
    <col min="4606" max="4606" width="12.625" style="589" customWidth="1"/>
    <col min="4607" max="4608" width="15.625" style="589" customWidth="1"/>
    <col min="4609" max="4609" width="3" style="589" customWidth="1"/>
    <col min="4610" max="4610" width="12.375" style="589" bestFit="1" customWidth="1"/>
    <col min="4611" max="4611" width="13.375" style="589" bestFit="1" customWidth="1"/>
    <col min="4612" max="4612" width="11.625" style="589" customWidth="1"/>
    <col min="4613" max="4859" width="9" style="589"/>
    <col min="4860" max="4860" width="2.625" style="589" customWidth="1"/>
    <col min="4861" max="4861" width="25.125" style="589" customWidth="1"/>
    <col min="4862" max="4862" width="12.625" style="589" customWidth="1"/>
    <col min="4863" max="4864" width="15.625" style="589" customWidth="1"/>
    <col min="4865" max="4865" width="3" style="589" customWidth="1"/>
    <col min="4866" max="4866" width="12.375" style="589" bestFit="1" customWidth="1"/>
    <col min="4867" max="4867" width="13.375" style="589" bestFit="1" customWidth="1"/>
    <col min="4868" max="4868" width="11.625" style="589" customWidth="1"/>
    <col min="4869" max="5115" width="9" style="589"/>
    <col min="5116" max="5116" width="2.625" style="589" customWidth="1"/>
    <col min="5117" max="5117" width="25.125" style="589" customWidth="1"/>
    <col min="5118" max="5118" width="12.625" style="589" customWidth="1"/>
    <col min="5119" max="5120" width="15.625" style="589" customWidth="1"/>
    <col min="5121" max="5121" width="3" style="589" customWidth="1"/>
    <col min="5122" max="5122" width="12.375" style="589" bestFit="1" customWidth="1"/>
    <col min="5123" max="5123" width="13.375" style="589" bestFit="1" customWidth="1"/>
    <col min="5124" max="5124" width="11.625" style="589" customWidth="1"/>
    <col min="5125" max="5371" width="9" style="589"/>
    <col min="5372" max="5372" width="2.625" style="589" customWidth="1"/>
    <col min="5373" max="5373" width="25.125" style="589" customWidth="1"/>
    <col min="5374" max="5374" width="12.625" style="589" customWidth="1"/>
    <col min="5375" max="5376" width="15.625" style="589" customWidth="1"/>
    <col min="5377" max="5377" width="3" style="589" customWidth="1"/>
    <col min="5378" max="5378" width="12.375" style="589" bestFit="1" customWidth="1"/>
    <col min="5379" max="5379" width="13.375" style="589" bestFit="1" customWidth="1"/>
    <col min="5380" max="5380" width="11.625" style="589" customWidth="1"/>
    <col min="5381" max="5627" width="9" style="589"/>
    <col min="5628" max="5628" width="2.625" style="589" customWidth="1"/>
    <col min="5629" max="5629" width="25.125" style="589" customWidth="1"/>
    <col min="5630" max="5630" width="12.625" style="589" customWidth="1"/>
    <col min="5631" max="5632" width="15.625" style="589" customWidth="1"/>
    <col min="5633" max="5633" width="3" style="589" customWidth="1"/>
    <col min="5634" max="5634" width="12.375" style="589" bestFit="1" customWidth="1"/>
    <col min="5635" max="5635" width="13.375" style="589" bestFit="1" customWidth="1"/>
    <col min="5636" max="5636" width="11.625" style="589" customWidth="1"/>
    <col min="5637" max="5883" width="9" style="589"/>
    <col min="5884" max="5884" width="2.625" style="589" customWidth="1"/>
    <col min="5885" max="5885" width="25.125" style="589" customWidth="1"/>
    <col min="5886" max="5886" width="12.625" style="589" customWidth="1"/>
    <col min="5887" max="5888" width="15.625" style="589" customWidth="1"/>
    <col min="5889" max="5889" width="3" style="589" customWidth="1"/>
    <col min="5890" max="5890" width="12.375" style="589" bestFit="1" customWidth="1"/>
    <col min="5891" max="5891" width="13.375" style="589" bestFit="1" customWidth="1"/>
    <col min="5892" max="5892" width="11.625" style="589" customWidth="1"/>
    <col min="5893" max="6139" width="9" style="589"/>
    <col min="6140" max="6140" width="2.625" style="589" customWidth="1"/>
    <col min="6141" max="6141" width="25.125" style="589" customWidth="1"/>
    <col min="6142" max="6142" width="12.625" style="589" customWidth="1"/>
    <col min="6143" max="6144" width="15.625" style="589" customWidth="1"/>
    <col min="6145" max="6145" width="3" style="589" customWidth="1"/>
    <col min="6146" max="6146" width="12.375" style="589" bestFit="1" customWidth="1"/>
    <col min="6147" max="6147" width="13.375" style="589" bestFit="1" customWidth="1"/>
    <col min="6148" max="6148" width="11.625" style="589" customWidth="1"/>
    <col min="6149" max="6395" width="9" style="589"/>
    <col min="6396" max="6396" width="2.625" style="589" customWidth="1"/>
    <col min="6397" max="6397" width="25.125" style="589" customWidth="1"/>
    <col min="6398" max="6398" width="12.625" style="589" customWidth="1"/>
    <col min="6399" max="6400" width="15.625" style="589" customWidth="1"/>
    <col min="6401" max="6401" width="3" style="589" customWidth="1"/>
    <col min="6402" max="6402" width="12.375" style="589" bestFit="1" customWidth="1"/>
    <col min="6403" max="6403" width="13.375" style="589" bestFit="1" customWidth="1"/>
    <col min="6404" max="6404" width="11.625" style="589" customWidth="1"/>
    <col min="6405" max="6651" width="9" style="589"/>
    <col min="6652" max="6652" width="2.625" style="589" customWidth="1"/>
    <col min="6653" max="6653" width="25.125" style="589" customWidth="1"/>
    <col min="6654" max="6654" width="12.625" style="589" customWidth="1"/>
    <col min="6655" max="6656" width="15.625" style="589" customWidth="1"/>
    <col min="6657" max="6657" width="3" style="589" customWidth="1"/>
    <col min="6658" max="6658" width="12.375" style="589" bestFit="1" customWidth="1"/>
    <col min="6659" max="6659" width="13.375" style="589" bestFit="1" customWidth="1"/>
    <col min="6660" max="6660" width="11.625" style="589" customWidth="1"/>
    <col min="6661" max="6907" width="9" style="589"/>
    <col min="6908" max="6908" width="2.625" style="589" customWidth="1"/>
    <col min="6909" max="6909" width="25.125" style="589" customWidth="1"/>
    <col min="6910" max="6910" width="12.625" style="589" customWidth="1"/>
    <col min="6911" max="6912" width="15.625" style="589" customWidth="1"/>
    <col min="6913" max="6913" width="3" style="589" customWidth="1"/>
    <col min="6914" max="6914" width="12.375" style="589" bestFit="1" customWidth="1"/>
    <col min="6915" max="6915" width="13.375" style="589" bestFit="1" customWidth="1"/>
    <col min="6916" max="6916" width="11.625" style="589" customWidth="1"/>
    <col min="6917" max="7163" width="9" style="589"/>
    <col min="7164" max="7164" width="2.625" style="589" customWidth="1"/>
    <col min="7165" max="7165" width="25.125" style="589" customWidth="1"/>
    <col min="7166" max="7166" width="12.625" style="589" customWidth="1"/>
    <col min="7167" max="7168" width="15.625" style="589" customWidth="1"/>
    <col min="7169" max="7169" width="3" style="589" customWidth="1"/>
    <col min="7170" max="7170" width="12.375" style="589" bestFit="1" customWidth="1"/>
    <col min="7171" max="7171" width="13.375" style="589" bestFit="1" customWidth="1"/>
    <col min="7172" max="7172" width="11.625" style="589" customWidth="1"/>
    <col min="7173" max="7419" width="9" style="589"/>
    <col min="7420" max="7420" width="2.625" style="589" customWidth="1"/>
    <col min="7421" max="7421" width="25.125" style="589" customWidth="1"/>
    <col min="7422" max="7422" width="12.625" style="589" customWidth="1"/>
    <col min="7423" max="7424" width="15.625" style="589" customWidth="1"/>
    <col min="7425" max="7425" width="3" style="589" customWidth="1"/>
    <col min="7426" max="7426" width="12.375" style="589" bestFit="1" customWidth="1"/>
    <col min="7427" max="7427" width="13.375" style="589" bestFit="1" customWidth="1"/>
    <col min="7428" max="7428" width="11.625" style="589" customWidth="1"/>
    <col min="7429" max="7675" width="9" style="589"/>
    <col min="7676" max="7676" width="2.625" style="589" customWidth="1"/>
    <col min="7677" max="7677" width="25.125" style="589" customWidth="1"/>
    <col min="7678" max="7678" width="12.625" style="589" customWidth="1"/>
    <col min="7679" max="7680" width="15.625" style="589" customWidth="1"/>
    <col min="7681" max="7681" width="3" style="589" customWidth="1"/>
    <col min="7682" max="7682" width="12.375" style="589" bestFit="1" customWidth="1"/>
    <col min="7683" max="7683" width="13.375" style="589" bestFit="1" customWidth="1"/>
    <col min="7684" max="7684" width="11.625" style="589" customWidth="1"/>
    <col min="7685" max="7931" width="9" style="589"/>
    <col min="7932" max="7932" width="2.625" style="589" customWidth="1"/>
    <col min="7933" max="7933" width="25.125" style="589" customWidth="1"/>
    <col min="7934" max="7934" width="12.625" style="589" customWidth="1"/>
    <col min="7935" max="7936" width="15.625" style="589" customWidth="1"/>
    <col min="7937" max="7937" width="3" style="589" customWidth="1"/>
    <col min="7938" max="7938" width="12.375" style="589" bestFit="1" customWidth="1"/>
    <col min="7939" max="7939" width="13.375" style="589" bestFit="1" customWidth="1"/>
    <col min="7940" max="7940" width="11.625" style="589" customWidth="1"/>
    <col min="7941" max="8187" width="9" style="589"/>
    <col min="8188" max="8188" width="2.625" style="589" customWidth="1"/>
    <col min="8189" max="8189" width="25.125" style="589" customWidth="1"/>
    <col min="8190" max="8190" width="12.625" style="589" customWidth="1"/>
    <col min="8191" max="8192" width="15.625" style="589" customWidth="1"/>
    <col min="8193" max="8193" width="3" style="589" customWidth="1"/>
    <col min="8194" max="8194" width="12.375" style="589" bestFit="1" customWidth="1"/>
    <col min="8195" max="8195" width="13.375" style="589" bestFit="1" customWidth="1"/>
    <col min="8196" max="8196" width="11.625" style="589" customWidth="1"/>
    <col min="8197" max="8443" width="9" style="589"/>
    <col min="8444" max="8444" width="2.625" style="589" customWidth="1"/>
    <col min="8445" max="8445" width="25.125" style="589" customWidth="1"/>
    <col min="8446" max="8446" width="12.625" style="589" customWidth="1"/>
    <col min="8447" max="8448" width="15.625" style="589" customWidth="1"/>
    <col min="8449" max="8449" width="3" style="589" customWidth="1"/>
    <col min="8450" max="8450" width="12.375" style="589" bestFit="1" customWidth="1"/>
    <col min="8451" max="8451" width="13.375" style="589" bestFit="1" customWidth="1"/>
    <col min="8452" max="8452" width="11.625" style="589" customWidth="1"/>
    <col min="8453" max="8699" width="9" style="589"/>
    <col min="8700" max="8700" width="2.625" style="589" customWidth="1"/>
    <col min="8701" max="8701" width="25.125" style="589" customWidth="1"/>
    <col min="8702" max="8702" width="12.625" style="589" customWidth="1"/>
    <col min="8703" max="8704" width="15.625" style="589" customWidth="1"/>
    <col min="8705" max="8705" width="3" style="589" customWidth="1"/>
    <col min="8706" max="8706" width="12.375" style="589" bestFit="1" customWidth="1"/>
    <col min="8707" max="8707" width="13.375" style="589" bestFit="1" customWidth="1"/>
    <col min="8708" max="8708" width="11.625" style="589" customWidth="1"/>
    <col min="8709" max="8955" width="9" style="589"/>
    <col min="8956" max="8956" width="2.625" style="589" customWidth="1"/>
    <col min="8957" max="8957" width="25.125" style="589" customWidth="1"/>
    <col min="8958" max="8958" width="12.625" style="589" customWidth="1"/>
    <col min="8959" max="8960" width="15.625" style="589" customWidth="1"/>
    <col min="8961" max="8961" width="3" style="589" customWidth="1"/>
    <col min="8962" max="8962" width="12.375" style="589" bestFit="1" customWidth="1"/>
    <col min="8963" max="8963" width="13.375" style="589" bestFit="1" customWidth="1"/>
    <col min="8964" max="8964" width="11.625" style="589" customWidth="1"/>
    <col min="8965" max="9211" width="9" style="589"/>
    <col min="9212" max="9212" width="2.625" style="589" customWidth="1"/>
    <col min="9213" max="9213" width="25.125" style="589" customWidth="1"/>
    <col min="9214" max="9214" width="12.625" style="589" customWidth="1"/>
    <col min="9215" max="9216" width="15.625" style="589" customWidth="1"/>
    <col min="9217" max="9217" width="3" style="589" customWidth="1"/>
    <col min="9218" max="9218" width="12.375" style="589" bestFit="1" customWidth="1"/>
    <col min="9219" max="9219" width="13.375" style="589" bestFit="1" customWidth="1"/>
    <col min="9220" max="9220" width="11.625" style="589" customWidth="1"/>
    <col min="9221" max="9467" width="9" style="589"/>
    <col min="9468" max="9468" width="2.625" style="589" customWidth="1"/>
    <col min="9469" max="9469" width="25.125" style="589" customWidth="1"/>
    <col min="9470" max="9470" width="12.625" style="589" customWidth="1"/>
    <col min="9471" max="9472" width="15.625" style="589" customWidth="1"/>
    <col min="9473" max="9473" width="3" style="589" customWidth="1"/>
    <col min="9474" max="9474" width="12.375" style="589" bestFit="1" customWidth="1"/>
    <col min="9475" max="9475" width="13.375" style="589" bestFit="1" customWidth="1"/>
    <col min="9476" max="9476" width="11.625" style="589" customWidth="1"/>
    <col min="9477" max="9723" width="9" style="589"/>
    <col min="9724" max="9724" width="2.625" style="589" customWidth="1"/>
    <col min="9725" max="9725" width="25.125" style="589" customWidth="1"/>
    <col min="9726" max="9726" width="12.625" style="589" customWidth="1"/>
    <col min="9727" max="9728" width="15.625" style="589" customWidth="1"/>
    <col min="9729" max="9729" width="3" style="589" customWidth="1"/>
    <col min="9730" max="9730" width="12.375" style="589" bestFit="1" customWidth="1"/>
    <col min="9731" max="9731" width="13.375" style="589" bestFit="1" customWidth="1"/>
    <col min="9732" max="9732" width="11.625" style="589" customWidth="1"/>
    <col min="9733" max="9979" width="9" style="589"/>
    <col min="9980" max="9980" width="2.625" style="589" customWidth="1"/>
    <col min="9981" max="9981" width="25.125" style="589" customWidth="1"/>
    <col min="9982" max="9982" width="12.625" style="589" customWidth="1"/>
    <col min="9983" max="9984" width="15.625" style="589" customWidth="1"/>
    <col min="9985" max="9985" width="3" style="589" customWidth="1"/>
    <col min="9986" max="9986" width="12.375" style="589" bestFit="1" customWidth="1"/>
    <col min="9987" max="9987" width="13.375" style="589" bestFit="1" customWidth="1"/>
    <col min="9988" max="9988" width="11.625" style="589" customWidth="1"/>
    <col min="9989" max="10235" width="9" style="589"/>
    <col min="10236" max="10236" width="2.625" style="589" customWidth="1"/>
    <col min="10237" max="10237" width="25.125" style="589" customWidth="1"/>
    <col min="10238" max="10238" width="12.625" style="589" customWidth="1"/>
    <col min="10239" max="10240" width="15.625" style="589" customWidth="1"/>
    <col min="10241" max="10241" width="3" style="589" customWidth="1"/>
    <col min="10242" max="10242" width="12.375" style="589" bestFit="1" customWidth="1"/>
    <col min="10243" max="10243" width="13.375" style="589" bestFit="1" customWidth="1"/>
    <col min="10244" max="10244" width="11.625" style="589" customWidth="1"/>
    <col min="10245" max="10491" width="9" style="589"/>
    <col min="10492" max="10492" width="2.625" style="589" customWidth="1"/>
    <col min="10493" max="10493" width="25.125" style="589" customWidth="1"/>
    <col min="10494" max="10494" width="12.625" style="589" customWidth="1"/>
    <col min="10495" max="10496" width="15.625" style="589" customWidth="1"/>
    <col min="10497" max="10497" width="3" style="589" customWidth="1"/>
    <col min="10498" max="10498" width="12.375" style="589" bestFit="1" customWidth="1"/>
    <col min="10499" max="10499" width="13.375" style="589" bestFit="1" customWidth="1"/>
    <col min="10500" max="10500" width="11.625" style="589" customWidth="1"/>
    <col min="10501" max="10747" width="9" style="589"/>
    <col min="10748" max="10748" width="2.625" style="589" customWidth="1"/>
    <col min="10749" max="10749" width="25.125" style="589" customWidth="1"/>
    <col min="10750" max="10750" width="12.625" style="589" customWidth="1"/>
    <col min="10751" max="10752" width="15.625" style="589" customWidth="1"/>
    <col min="10753" max="10753" width="3" style="589" customWidth="1"/>
    <col min="10754" max="10754" width="12.375" style="589" bestFit="1" customWidth="1"/>
    <col min="10755" max="10755" width="13.375" style="589" bestFit="1" customWidth="1"/>
    <col min="10756" max="10756" width="11.625" style="589" customWidth="1"/>
    <col min="10757" max="11003" width="9" style="589"/>
    <col min="11004" max="11004" width="2.625" style="589" customWidth="1"/>
    <col min="11005" max="11005" width="25.125" style="589" customWidth="1"/>
    <col min="11006" max="11006" width="12.625" style="589" customWidth="1"/>
    <col min="11007" max="11008" width="15.625" style="589" customWidth="1"/>
    <col min="11009" max="11009" width="3" style="589" customWidth="1"/>
    <col min="11010" max="11010" width="12.375" style="589" bestFit="1" customWidth="1"/>
    <col min="11011" max="11011" width="13.375" style="589" bestFit="1" customWidth="1"/>
    <col min="11012" max="11012" width="11.625" style="589" customWidth="1"/>
    <col min="11013" max="11259" width="9" style="589"/>
    <col min="11260" max="11260" width="2.625" style="589" customWidth="1"/>
    <col min="11261" max="11261" width="25.125" style="589" customWidth="1"/>
    <col min="11262" max="11262" width="12.625" style="589" customWidth="1"/>
    <col min="11263" max="11264" width="15.625" style="589" customWidth="1"/>
    <col min="11265" max="11265" width="3" style="589" customWidth="1"/>
    <col min="11266" max="11266" width="12.375" style="589" bestFit="1" customWidth="1"/>
    <col min="11267" max="11267" width="13.375" style="589" bestFit="1" customWidth="1"/>
    <col min="11268" max="11268" width="11.625" style="589" customWidth="1"/>
    <col min="11269" max="11515" width="9" style="589"/>
    <col min="11516" max="11516" width="2.625" style="589" customWidth="1"/>
    <col min="11517" max="11517" width="25.125" style="589" customWidth="1"/>
    <col min="11518" max="11518" width="12.625" style="589" customWidth="1"/>
    <col min="11519" max="11520" width="15.625" style="589" customWidth="1"/>
    <col min="11521" max="11521" width="3" style="589" customWidth="1"/>
    <col min="11522" max="11522" width="12.375" style="589" bestFit="1" customWidth="1"/>
    <col min="11523" max="11523" width="13.375" style="589" bestFit="1" customWidth="1"/>
    <col min="11524" max="11524" width="11.625" style="589" customWidth="1"/>
    <col min="11525" max="11771" width="9" style="589"/>
    <col min="11772" max="11772" width="2.625" style="589" customWidth="1"/>
    <col min="11773" max="11773" width="25.125" style="589" customWidth="1"/>
    <col min="11774" max="11774" width="12.625" style="589" customWidth="1"/>
    <col min="11775" max="11776" width="15.625" style="589" customWidth="1"/>
    <col min="11777" max="11777" width="3" style="589" customWidth="1"/>
    <col min="11778" max="11778" width="12.375" style="589" bestFit="1" customWidth="1"/>
    <col min="11779" max="11779" width="13.375" style="589" bestFit="1" customWidth="1"/>
    <col min="11780" max="11780" width="11.625" style="589" customWidth="1"/>
    <col min="11781" max="12027" width="9" style="589"/>
    <col min="12028" max="12028" width="2.625" style="589" customWidth="1"/>
    <col min="12029" max="12029" width="25.125" style="589" customWidth="1"/>
    <col min="12030" max="12030" width="12.625" style="589" customWidth="1"/>
    <col min="12031" max="12032" width="15.625" style="589" customWidth="1"/>
    <col min="12033" max="12033" width="3" style="589" customWidth="1"/>
    <col min="12034" max="12034" width="12.375" style="589" bestFit="1" customWidth="1"/>
    <col min="12035" max="12035" width="13.375" style="589" bestFit="1" customWidth="1"/>
    <col min="12036" max="12036" width="11.625" style="589" customWidth="1"/>
    <col min="12037" max="12283" width="9" style="589"/>
    <col min="12284" max="12284" width="2.625" style="589" customWidth="1"/>
    <col min="12285" max="12285" width="25.125" style="589" customWidth="1"/>
    <col min="12286" max="12286" width="12.625" style="589" customWidth="1"/>
    <col min="12287" max="12288" width="15.625" style="589" customWidth="1"/>
    <col min="12289" max="12289" width="3" style="589" customWidth="1"/>
    <col min="12290" max="12290" width="12.375" style="589" bestFit="1" customWidth="1"/>
    <col min="12291" max="12291" width="13.375" style="589" bestFit="1" customWidth="1"/>
    <col min="12292" max="12292" width="11.625" style="589" customWidth="1"/>
    <col min="12293" max="12539" width="9" style="589"/>
    <col min="12540" max="12540" width="2.625" style="589" customWidth="1"/>
    <col min="12541" max="12541" width="25.125" style="589" customWidth="1"/>
    <col min="12542" max="12542" width="12.625" style="589" customWidth="1"/>
    <col min="12543" max="12544" width="15.625" style="589" customWidth="1"/>
    <col min="12545" max="12545" width="3" style="589" customWidth="1"/>
    <col min="12546" max="12546" width="12.375" style="589" bestFit="1" customWidth="1"/>
    <col min="12547" max="12547" width="13.375" style="589" bestFit="1" customWidth="1"/>
    <col min="12548" max="12548" width="11.625" style="589" customWidth="1"/>
    <col min="12549" max="12795" width="9" style="589"/>
    <col min="12796" max="12796" width="2.625" style="589" customWidth="1"/>
    <col min="12797" max="12797" width="25.125" style="589" customWidth="1"/>
    <col min="12798" max="12798" width="12.625" style="589" customWidth="1"/>
    <col min="12799" max="12800" width="15.625" style="589" customWidth="1"/>
    <col min="12801" max="12801" width="3" style="589" customWidth="1"/>
    <col min="12802" max="12802" width="12.375" style="589" bestFit="1" customWidth="1"/>
    <col min="12803" max="12803" width="13.375" style="589" bestFit="1" customWidth="1"/>
    <col min="12804" max="12804" width="11.625" style="589" customWidth="1"/>
    <col min="12805" max="13051" width="9" style="589"/>
    <col min="13052" max="13052" width="2.625" style="589" customWidth="1"/>
    <col min="13053" max="13053" width="25.125" style="589" customWidth="1"/>
    <col min="13054" max="13054" width="12.625" style="589" customWidth="1"/>
    <col min="13055" max="13056" width="15.625" style="589" customWidth="1"/>
    <col min="13057" max="13057" width="3" style="589" customWidth="1"/>
    <col min="13058" max="13058" width="12.375" style="589" bestFit="1" customWidth="1"/>
    <col min="13059" max="13059" width="13.375" style="589" bestFit="1" customWidth="1"/>
    <col min="13060" max="13060" width="11.625" style="589" customWidth="1"/>
    <col min="13061" max="13307" width="9" style="589"/>
    <col min="13308" max="13308" width="2.625" style="589" customWidth="1"/>
    <col min="13309" max="13309" width="25.125" style="589" customWidth="1"/>
    <col min="13310" max="13310" width="12.625" style="589" customWidth="1"/>
    <col min="13311" max="13312" width="15.625" style="589" customWidth="1"/>
    <col min="13313" max="13313" width="3" style="589" customWidth="1"/>
    <col min="13314" max="13314" width="12.375" style="589" bestFit="1" customWidth="1"/>
    <col min="13315" max="13315" width="13.375" style="589" bestFit="1" customWidth="1"/>
    <col min="13316" max="13316" width="11.625" style="589" customWidth="1"/>
    <col min="13317" max="13563" width="9" style="589"/>
    <col min="13564" max="13564" width="2.625" style="589" customWidth="1"/>
    <col min="13565" max="13565" width="25.125" style="589" customWidth="1"/>
    <col min="13566" max="13566" width="12.625" style="589" customWidth="1"/>
    <col min="13567" max="13568" width="15.625" style="589" customWidth="1"/>
    <col min="13569" max="13569" width="3" style="589" customWidth="1"/>
    <col min="13570" max="13570" width="12.375" style="589" bestFit="1" customWidth="1"/>
    <col min="13571" max="13571" width="13.375" style="589" bestFit="1" customWidth="1"/>
    <col min="13572" max="13572" width="11.625" style="589" customWidth="1"/>
    <col min="13573" max="13819" width="9" style="589"/>
    <col min="13820" max="13820" width="2.625" style="589" customWidth="1"/>
    <col min="13821" max="13821" width="25.125" style="589" customWidth="1"/>
    <col min="13822" max="13822" width="12.625" style="589" customWidth="1"/>
    <col min="13823" max="13824" width="15.625" style="589" customWidth="1"/>
    <col min="13825" max="13825" width="3" style="589" customWidth="1"/>
    <col min="13826" max="13826" width="12.375" style="589" bestFit="1" customWidth="1"/>
    <col min="13827" max="13827" width="13.375" style="589" bestFit="1" customWidth="1"/>
    <col min="13828" max="13828" width="11.625" style="589" customWidth="1"/>
    <col min="13829" max="14075" width="9" style="589"/>
    <col min="14076" max="14076" width="2.625" style="589" customWidth="1"/>
    <col min="14077" max="14077" width="25.125" style="589" customWidth="1"/>
    <col min="14078" max="14078" width="12.625" style="589" customWidth="1"/>
    <col min="14079" max="14080" width="15.625" style="589" customWidth="1"/>
    <col min="14081" max="14081" width="3" style="589" customWidth="1"/>
    <col min="14082" max="14082" width="12.375" style="589" bestFit="1" customWidth="1"/>
    <col min="14083" max="14083" width="13.375" style="589" bestFit="1" customWidth="1"/>
    <col min="14084" max="14084" width="11.625" style="589" customWidth="1"/>
    <col min="14085" max="14331" width="9" style="589"/>
    <col min="14332" max="14332" width="2.625" style="589" customWidth="1"/>
    <col min="14333" max="14333" width="25.125" style="589" customWidth="1"/>
    <col min="14334" max="14334" width="12.625" style="589" customWidth="1"/>
    <col min="14335" max="14336" width="15.625" style="589" customWidth="1"/>
    <col min="14337" max="14337" width="3" style="589" customWidth="1"/>
    <col min="14338" max="14338" width="12.375" style="589" bestFit="1" customWidth="1"/>
    <col min="14339" max="14339" width="13.375" style="589" bestFit="1" customWidth="1"/>
    <col min="14340" max="14340" width="11.625" style="589" customWidth="1"/>
    <col min="14341" max="14587" width="9" style="589"/>
    <col min="14588" max="14588" width="2.625" style="589" customWidth="1"/>
    <col min="14589" max="14589" width="25.125" style="589" customWidth="1"/>
    <col min="14590" max="14590" width="12.625" style="589" customWidth="1"/>
    <col min="14591" max="14592" width="15.625" style="589" customWidth="1"/>
    <col min="14593" max="14593" width="3" style="589" customWidth="1"/>
    <col min="14594" max="14594" width="12.375" style="589" bestFit="1" customWidth="1"/>
    <col min="14595" max="14595" width="13.375" style="589" bestFit="1" customWidth="1"/>
    <col min="14596" max="14596" width="11.625" style="589" customWidth="1"/>
    <col min="14597" max="14843" width="9" style="589"/>
    <col min="14844" max="14844" width="2.625" style="589" customWidth="1"/>
    <col min="14845" max="14845" width="25.125" style="589" customWidth="1"/>
    <col min="14846" max="14846" width="12.625" style="589" customWidth="1"/>
    <col min="14847" max="14848" width="15.625" style="589" customWidth="1"/>
    <col min="14849" max="14849" width="3" style="589" customWidth="1"/>
    <col min="14850" max="14850" width="12.375" style="589" bestFit="1" customWidth="1"/>
    <col min="14851" max="14851" width="13.375" style="589" bestFit="1" customWidth="1"/>
    <col min="14852" max="14852" width="11.625" style="589" customWidth="1"/>
    <col min="14853" max="15099" width="9" style="589"/>
    <col min="15100" max="15100" width="2.625" style="589" customWidth="1"/>
    <col min="15101" max="15101" width="25.125" style="589" customWidth="1"/>
    <col min="15102" max="15102" width="12.625" style="589" customWidth="1"/>
    <col min="15103" max="15104" width="15.625" style="589" customWidth="1"/>
    <col min="15105" max="15105" width="3" style="589" customWidth="1"/>
    <col min="15106" max="15106" width="12.375" style="589" bestFit="1" customWidth="1"/>
    <col min="15107" max="15107" width="13.375" style="589" bestFit="1" customWidth="1"/>
    <col min="15108" max="15108" width="11.625" style="589" customWidth="1"/>
    <col min="15109" max="15355" width="9" style="589"/>
    <col min="15356" max="15356" width="2.625" style="589" customWidth="1"/>
    <col min="15357" max="15357" width="25.125" style="589" customWidth="1"/>
    <col min="15358" max="15358" width="12.625" style="589" customWidth="1"/>
    <col min="15359" max="15360" width="15.625" style="589" customWidth="1"/>
    <col min="15361" max="15361" width="3" style="589" customWidth="1"/>
    <col min="15362" max="15362" width="12.375" style="589" bestFit="1" customWidth="1"/>
    <col min="15363" max="15363" width="13.375" style="589" bestFit="1" customWidth="1"/>
    <col min="15364" max="15364" width="11.625" style="589" customWidth="1"/>
    <col min="15365" max="15611" width="9" style="589"/>
    <col min="15612" max="15612" width="2.625" style="589" customWidth="1"/>
    <col min="15613" max="15613" width="25.125" style="589" customWidth="1"/>
    <col min="15614" max="15614" width="12.625" style="589" customWidth="1"/>
    <col min="15615" max="15616" width="15.625" style="589" customWidth="1"/>
    <col min="15617" max="15617" width="3" style="589" customWidth="1"/>
    <col min="15618" max="15618" width="12.375" style="589" bestFit="1" customWidth="1"/>
    <col min="15619" max="15619" width="13.375" style="589" bestFit="1" customWidth="1"/>
    <col min="15620" max="15620" width="11.625" style="589" customWidth="1"/>
    <col min="15621" max="15867" width="9" style="589"/>
    <col min="15868" max="15868" width="2.625" style="589" customWidth="1"/>
    <col min="15869" max="15869" width="25.125" style="589" customWidth="1"/>
    <col min="15870" max="15870" width="12.625" style="589" customWidth="1"/>
    <col min="15871" max="15872" width="15.625" style="589" customWidth="1"/>
    <col min="15873" max="15873" width="3" style="589" customWidth="1"/>
    <col min="15874" max="15874" width="12.375" style="589" bestFit="1" customWidth="1"/>
    <col min="15875" max="15875" width="13.375" style="589" bestFit="1" customWidth="1"/>
    <col min="15876" max="15876" width="11.625" style="589" customWidth="1"/>
    <col min="15877" max="16123" width="9" style="589"/>
    <col min="16124" max="16124" width="2.625" style="589" customWidth="1"/>
    <col min="16125" max="16125" width="25.125" style="589" customWidth="1"/>
    <col min="16126" max="16126" width="12.625" style="589" customWidth="1"/>
    <col min="16127" max="16128" width="15.625" style="589" customWidth="1"/>
    <col min="16129" max="16129" width="3" style="589" customWidth="1"/>
    <col min="16130" max="16130" width="12.375" style="589" bestFit="1" customWidth="1"/>
    <col min="16131" max="16131" width="13.375" style="589" bestFit="1" customWidth="1"/>
    <col min="16132" max="16132" width="11.625" style="589" customWidth="1"/>
    <col min="16133" max="16384" width="9" style="589"/>
  </cols>
  <sheetData>
    <row r="1" spans="2:8" s="592" customFormat="1" ht="16.5" customHeight="1" thickBot="1">
      <c r="B1" s="723" t="s">
        <v>1247</v>
      </c>
      <c r="C1" s="724" t="s">
        <v>1451</v>
      </c>
      <c r="D1" s="725">
        <f>연결BS!D1</f>
        <v>46203</v>
      </c>
      <c r="E1" s="726">
        <f>A0!E10</f>
        <v>45838</v>
      </c>
    </row>
    <row r="2" spans="2:8" ht="14.25" collapsed="1" thickBot="1">
      <c r="B2" s="727" t="s">
        <v>81</v>
      </c>
      <c r="C2" s="698"/>
      <c r="D2" s="559">
        <f>SUM(D3:D6)</f>
        <v>8812244469</v>
      </c>
      <c r="E2" s="682">
        <v>9441165967</v>
      </c>
      <c r="G2" s="599"/>
    </row>
    <row r="3" spans="2:8" hidden="1" outlineLevel="1">
      <c r="B3" s="728" t="s">
        <v>447</v>
      </c>
      <c r="C3" s="699"/>
      <c r="D3" s="556">
        <f>SUMIF(PL!$AC:$AC,연결PL!B3,PL!$Y:$Y)</f>
        <v>1181126900</v>
      </c>
      <c r="E3" s="689">
        <v>1049196780</v>
      </c>
      <c r="G3" s="599"/>
    </row>
    <row r="4" spans="2:8" hidden="1" outlineLevel="1">
      <c r="B4" s="728" t="s">
        <v>446</v>
      </c>
      <c r="C4" s="699"/>
      <c r="D4" s="556">
        <f>SUMIF(PL!$AC:$AC,연결PL!B4,PL!$Y:$Y)</f>
        <v>7595910549</v>
      </c>
      <c r="E4" s="689">
        <v>8347940342</v>
      </c>
      <c r="G4" s="599"/>
    </row>
    <row r="5" spans="2:8" hidden="1" outlineLevel="1">
      <c r="B5" s="728" t="s">
        <v>1457</v>
      </c>
      <c r="C5" s="700"/>
      <c r="D5" s="556">
        <f>SUMIF(PL!$AC:$AC,연결PL!B5,PL!$Y:$Y)</f>
        <v>0</v>
      </c>
      <c r="E5" s="689">
        <v>0</v>
      </c>
      <c r="G5" s="599"/>
    </row>
    <row r="6" spans="2:8" ht="14.25" hidden="1" outlineLevel="1" thickBot="1">
      <c r="B6" s="728" t="s">
        <v>1385</v>
      </c>
      <c r="C6" s="700"/>
      <c r="D6" s="556">
        <f>SUMIF(PL!$AC:$AC,연결PL!B6,PL!$Y:$Y)</f>
        <v>35207020</v>
      </c>
      <c r="E6" s="689">
        <v>44028845</v>
      </c>
      <c r="G6" s="599"/>
    </row>
    <row r="7" spans="2:8" ht="14.25" collapsed="1" thickBot="1">
      <c r="B7" s="729" t="s">
        <v>82</v>
      </c>
      <c r="C7" s="702"/>
      <c r="D7" s="701">
        <f>SUM(D8,D15,D22,D28)</f>
        <v>3634217621</v>
      </c>
      <c r="E7" s="703">
        <v>3581100990</v>
      </c>
      <c r="G7" s="599"/>
    </row>
    <row r="8" spans="2:8" hidden="1" outlineLevel="1">
      <c r="B8" s="728" t="s">
        <v>891</v>
      </c>
      <c r="C8" s="700"/>
      <c r="D8" s="556">
        <f>SUM(D11:D13)-D14</f>
        <v>3389356072</v>
      </c>
      <c r="E8" s="689">
        <v>3467738461</v>
      </c>
      <c r="G8" s="599"/>
    </row>
    <row r="9" spans="2:8" hidden="1" outlineLevel="2">
      <c r="B9" s="728" t="s">
        <v>1697</v>
      </c>
      <c r="C9" s="700"/>
      <c r="D9" s="556">
        <f>SUMIF(PL!$AC:$AC,연결PL!B9,PL!$Y:$Y)</f>
        <v>2349819825</v>
      </c>
      <c r="E9" s="689">
        <v>2459042471</v>
      </c>
      <c r="G9" s="599"/>
    </row>
    <row r="10" spans="2:8" hidden="1" outlineLevel="2">
      <c r="B10" s="728" t="s">
        <v>1699</v>
      </c>
      <c r="C10" s="700"/>
      <c r="D10" s="556">
        <f>SUMIF(PL!$AC:$AC,연결PL!B10,PL!$Y:$Y)</f>
        <v>3476800819</v>
      </c>
      <c r="E10" s="689">
        <v>3344382182</v>
      </c>
      <c r="G10" s="599"/>
    </row>
    <row r="11" spans="2:8" hidden="1" outlineLevel="2">
      <c r="B11" s="728" t="s">
        <v>1701</v>
      </c>
      <c r="C11" s="700"/>
      <c r="D11" s="556">
        <f>SUM(D9:D10)</f>
        <v>5826620644</v>
      </c>
      <c r="E11" s="689">
        <v>5803424653</v>
      </c>
      <c r="G11" s="599"/>
    </row>
    <row r="12" spans="2:8" hidden="1" outlineLevel="2">
      <c r="B12" s="728" t="s">
        <v>1703</v>
      </c>
      <c r="C12" s="700"/>
      <c r="D12" s="556">
        <f>SUMIF(PL!$AC:$AC,연결PL!B12,PL!$Y:$Y)</f>
        <v>-5296679</v>
      </c>
      <c r="E12" s="689">
        <v>-6471662</v>
      </c>
      <c r="G12" s="599"/>
    </row>
    <row r="13" spans="2:8" hidden="1" outlineLevel="2">
      <c r="B13" s="1122" t="s">
        <v>2578</v>
      </c>
      <c r="C13" s="700"/>
      <c r="D13" s="556">
        <f>SUMIF(PL!$AC:$AC,연결PL!B13,PL!$Y:$Y)</f>
        <v>102749779</v>
      </c>
      <c r="E13" s="972">
        <v>8624839</v>
      </c>
      <c r="G13" s="599"/>
    </row>
    <row r="14" spans="2:8" hidden="1" outlineLevel="2">
      <c r="B14" s="728" t="s">
        <v>1705</v>
      </c>
      <c r="C14" s="700"/>
      <c r="D14" s="556">
        <f>SUMIF(PL!$AC:$AC,연결PL!B14,PL!$Y:$Y)</f>
        <v>2534717672</v>
      </c>
      <c r="E14" s="689">
        <v>2337839369</v>
      </c>
      <c r="G14" s="599"/>
      <c r="H14" s="599"/>
    </row>
    <row r="15" spans="2:8" hidden="1" outlineLevel="1">
      <c r="B15" s="728" t="s">
        <v>896</v>
      </c>
      <c r="C15" s="700"/>
      <c r="D15" s="556">
        <f>SUM(D18:D20)-D21</f>
        <v>234624705</v>
      </c>
      <c r="E15" s="689">
        <v>99559984</v>
      </c>
      <c r="G15" s="599"/>
    </row>
    <row r="16" spans="2:8" hidden="1" outlineLevel="2">
      <c r="B16" s="728" t="s">
        <v>1708</v>
      </c>
      <c r="C16" s="700"/>
      <c r="D16" s="556">
        <f>SUMIF(PL!$AC:$AC,연결PL!B16,PL!$Y:$Y)</f>
        <v>137397633</v>
      </c>
      <c r="E16" s="689">
        <v>132365368</v>
      </c>
      <c r="G16" s="599"/>
    </row>
    <row r="17" spans="2:7" hidden="1" outlineLevel="2">
      <c r="B17" s="728" t="s">
        <v>1710</v>
      </c>
      <c r="C17" s="700"/>
      <c r="D17" s="556">
        <f>SUMIF(PL!$AC:$AC,연결PL!B17,PL!$Y:$Y)</f>
        <v>287806604</v>
      </c>
      <c r="E17" s="689">
        <v>182932057</v>
      </c>
      <c r="G17" s="599"/>
    </row>
    <row r="18" spans="2:7" hidden="1" outlineLevel="2">
      <c r="B18" s="728" t="s">
        <v>1712</v>
      </c>
      <c r="C18" s="700"/>
      <c r="D18" s="556">
        <f>SUM(D16:D17)</f>
        <v>425204237</v>
      </c>
      <c r="E18" s="689">
        <v>315297425</v>
      </c>
      <c r="G18" s="599"/>
    </row>
    <row r="19" spans="2:7" hidden="1" outlineLevel="2">
      <c r="B19" s="728" t="s">
        <v>1714</v>
      </c>
      <c r="C19" s="700"/>
      <c r="D19" s="556">
        <f>SUMIF(PL!$AC:$AC,연결PL!B19,PL!$Y:$Y)</f>
        <v>-894006</v>
      </c>
      <c r="E19" s="689">
        <v>0</v>
      </c>
      <c r="G19" s="599"/>
    </row>
    <row r="20" spans="2:7" hidden="1" outlineLevel="2">
      <c r="B20" s="1122" t="s">
        <v>2580</v>
      </c>
      <c r="C20" s="700"/>
      <c r="D20" s="556">
        <f>SUMIF(PL!$AC:$AC,연결PL!B20,PL!$Y:$Y)</f>
        <v>-14089</v>
      </c>
      <c r="E20" s="972">
        <v>0</v>
      </c>
      <c r="G20" s="599"/>
    </row>
    <row r="21" spans="2:7" hidden="1" outlineLevel="2">
      <c r="B21" s="728" t="s">
        <v>1716</v>
      </c>
      <c r="C21" s="700"/>
      <c r="D21" s="556">
        <f>SUMIF(PL!$AC:$AC,연결PL!B21,PL!$Y:$Y)</f>
        <v>189671437</v>
      </c>
      <c r="E21" s="689">
        <v>215737441</v>
      </c>
      <c r="G21" s="599"/>
    </row>
    <row r="22" spans="2:7" hidden="1" outlineLevel="1">
      <c r="B22" s="728" t="s">
        <v>1769</v>
      </c>
      <c r="C22" s="700"/>
      <c r="D22" s="556">
        <f>D25-D26-D27</f>
        <v>0</v>
      </c>
      <c r="E22" s="689">
        <v>0</v>
      </c>
      <c r="G22" s="599"/>
    </row>
    <row r="23" spans="2:7" hidden="1" outlineLevel="2">
      <c r="B23" s="728" t="s">
        <v>1719</v>
      </c>
      <c r="C23" s="700"/>
      <c r="D23" s="556">
        <f>SUMIF(PL!$AC:$AC,연결PL!B23,PL!$Y:$Y)</f>
        <v>0</v>
      </c>
      <c r="E23" s="689">
        <v>0</v>
      </c>
      <c r="G23" s="599"/>
    </row>
    <row r="24" spans="2:7" hidden="1" outlineLevel="2">
      <c r="B24" s="728" t="s">
        <v>1721</v>
      </c>
      <c r="C24" s="700"/>
      <c r="D24" s="556">
        <f>SUMIF(PL!$AC:$AC,연결PL!B24,PL!$Y:$Y)</f>
        <v>0</v>
      </c>
      <c r="E24" s="689">
        <v>0</v>
      </c>
      <c r="G24" s="599"/>
    </row>
    <row r="25" spans="2:7" hidden="1" outlineLevel="2">
      <c r="B25" s="728" t="s">
        <v>1723</v>
      </c>
      <c r="C25" s="700"/>
      <c r="D25" s="556">
        <f>SUM(D23:D24)</f>
        <v>0</v>
      </c>
      <c r="E25" s="689">
        <v>0</v>
      </c>
      <c r="G25" s="599"/>
    </row>
    <row r="26" spans="2:7" hidden="1" outlineLevel="2">
      <c r="B26" s="728" t="s">
        <v>1725</v>
      </c>
      <c r="C26" s="700"/>
      <c r="D26" s="556">
        <f>SUMIF(PL!$AC:$AC,연결PL!B26,PL!$Y:$Y)</f>
        <v>0</v>
      </c>
      <c r="E26" s="689">
        <v>0</v>
      </c>
      <c r="G26" s="599"/>
    </row>
    <row r="27" spans="2:7" hidden="1" outlineLevel="2">
      <c r="B27" s="728" t="s">
        <v>1727</v>
      </c>
      <c r="C27" s="700"/>
      <c r="D27" s="556">
        <f>SUMIF(PL!$AC:$AC,연결PL!B27,PL!$Y:$Y)</f>
        <v>0</v>
      </c>
      <c r="E27" s="689">
        <v>0</v>
      </c>
      <c r="G27" s="599"/>
    </row>
    <row r="28" spans="2:7" hidden="1" outlineLevel="1">
      <c r="B28" s="728" t="s">
        <v>1770</v>
      </c>
      <c r="C28" s="700"/>
      <c r="D28" s="556">
        <f>D31-D32-D33</f>
        <v>10236844</v>
      </c>
      <c r="E28" s="689">
        <v>13802545</v>
      </c>
      <c r="G28" s="599"/>
    </row>
    <row r="29" spans="2:7" hidden="1" outlineLevel="2">
      <c r="B29" s="728" t="s">
        <v>1730</v>
      </c>
      <c r="C29" s="700"/>
      <c r="D29" s="556">
        <f>SUMIF(PL!$AC:$AC,연결PL!B29,PL!$Y:$Y)</f>
        <v>0</v>
      </c>
      <c r="E29" s="689">
        <v>0</v>
      </c>
      <c r="G29" s="599"/>
    </row>
    <row r="30" spans="2:7" hidden="1" outlineLevel="2">
      <c r="B30" s="728" t="s">
        <v>1732</v>
      </c>
      <c r="C30" s="700"/>
      <c r="D30" s="556">
        <f>SUMIF(PL!$AC:$AC,연결PL!B30,PL!$Y:$Y)</f>
        <v>10236844</v>
      </c>
      <c r="E30" s="689">
        <v>13802545</v>
      </c>
      <c r="G30" s="599"/>
    </row>
    <row r="31" spans="2:7" hidden="1" outlineLevel="2">
      <c r="B31" s="728" t="s">
        <v>1734</v>
      </c>
      <c r="C31" s="700"/>
      <c r="D31" s="556">
        <f>SUM(D29:D30)</f>
        <v>10236844</v>
      </c>
      <c r="E31" s="689">
        <v>13802545</v>
      </c>
      <c r="G31" s="599"/>
    </row>
    <row r="32" spans="2:7" hidden="1" outlineLevel="2">
      <c r="B32" s="728" t="s">
        <v>1736</v>
      </c>
      <c r="C32" s="700"/>
      <c r="D32" s="556">
        <f>SUMIF(PL!$AC:$AC,연결PL!B32,PL!$Y:$Y)</f>
        <v>0</v>
      </c>
      <c r="E32" s="689">
        <v>0</v>
      </c>
      <c r="G32" s="599"/>
    </row>
    <row r="33" spans="2:7" ht="14.25" hidden="1" outlineLevel="2" thickBot="1">
      <c r="B33" s="728" t="s">
        <v>1738</v>
      </c>
      <c r="C33" s="700"/>
      <c r="D33" s="556">
        <f>SUMIF(PL!$AC:$AC,연결PL!B33,PL!$Y:$Y)</f>
        <v>0</v>
      </c>
      <c r="E33" s="689">
        <v>0</v>
      </c>
      <c r="G33" s="599"/>
    </row>
    <row r="34" spans="2:7" ht="14.25" thickBot="1">
      <c r="B34" s="727" t="s">
        <v>270</v>
      </c>
      <c r="C34" s="698"/>
      <c r="D34" s="559">
        <f>D2-D7</f>
        <v>5178026848</v>
      </c>
      <c r="E34" s="682">
        <v>5860064977</v>
      </c>
      <c r="G34" s="599"/>
    </row>
    <row r="35" spans="2:7" ht="14.25" collapsed="1" thickBot="1">
      <c r="B35" s="727" t="s">
        <v>85</v>
      </c>
      <c r="C35" s="698"/>
      <c r="D35" s="559">
        <f>SUM(D36:D67)</f>
        <v>5969068326</v>
      </c>
      <c r="E35" s="682">
        <v>4763859751</v>
      </c>
      <c r="G35" s="599"/>
    </row>
    <row r="36" spans="2:7" hidden="1" outlineLevel="1">
      <c r="B36" s="728" t="s">
        <v>392</v>
      </c>
      <c r="C36" s="699"/>
      <c r="D36" s="556">
        <f>SUMIF(PL!$AC:$AC,연결PL!B36,PL!$Y:$Y)</f>
        <v>1503402249</v>
      </c>
      <c r="E36" s="689">
        <v>1770176545</v>
      </c>
    </row>
    <row r="37" spans="2:7" hidden="1" outlineLevel="1">
      <c r="B37" s="728" t="s">
        <v>178</v>
      </c>
      <c r="C37" s="699"/>
      <c r="D37" s="556">
        <f>SUMIF(PL!$AC:$AC,연결PL!B37,PL!$Y:$Y)</f>
        <v>110359296</v>
      </c>
      <c r="E37" s="689">
        <v>104651910</v>
      </c>
    </row>
    <row r="38" spans="2:7" hidden="1" outlineLevel="1">
      <c r="B38" s="1122" t="s">
        <v>3459</v>
      </c>
      <c r="C38" s="1705"/>
      <c r="D38" s="556">
        <f>SUMIF(PL!$AC:$AC,연결PL!B38,PL!$Y:$Y)</f>
        <v>45930430</v>
      </c>
      <c r="E38" s="972"/>
    </row>
    <row r="39" spans="2:7" hidden="1" outlineLevel="1">
      <c r="B39" s="728" t="s">
        <v>756</v>
      </c>
      <c r="C39" s="699"/>
      <c r="D39" s="556">
        <f>SUMIF(PL!$AC:$AC,연결PL!B39,PL!$Y:$Y)</f>
        <v>0</v>
      </c>
      <c r="E39" s="689">
        <v>0</v>
      </c>
    </row>
    <row r="40" spans="2:7" hidden="1" outlineLevel="1">
      <c r="B40" s="728" t="s">
        <v>393</v>
      </c>
      <c r="C40" s="699"/>
      <c r="D40" s="556">
        <f>SUMIF(PL!$AC:$AC,연결PL!B40,PL!$Y:$Y)</f>
        <v>197164634</v>
      </c>
      <c r="E40" s="689">
        <v>203301261</v>
      </c>
    </row>
    <row r="41" spans="2:7" hidden="1" outlineLevel="1">
      <c r="B41" s="728" t="s">
        <v>508</v>
      </c>
      <c r="C41" s="699"/>
      <c r="D41" s="556">
        <f>SUMIF(PL!$AC:$AC,연결PL!B41,PL!$Y:$Y)</f>
        <v>231770961</v>
      </c>
      <c r="E41" s="689">
        <v>289230504</v>
      </c>
    </row>
    <row r="42" spans="2:7" hidden="1" outlineLevel="1">
      <c r="B42" s="728" t="s">
        <v>511</v>
      </c>
      <c r="C42" s="699"/>
      <c r="D42" s="556">
        <f>SUMIF(PL!$AC:$AC,연결PL!B42,PL!$Y:$Y)</f>
        <v>35747090</v>
      </c>
      <c r="E42" s="689">
        <v>90031148</v>
      </c>
    </row>
    <row r="43" spans="2:7" hidden="1" outlineLevel="1">
      <c r="B43" s="728" t="s">
        <v>509</v>
      </c>
      <c r="C43" s="699"/>
      <c r="D43" s="556">
        <f>SUMIF(PL!$AC:$AC,연결PL!B43,PL!$Y:$Y)</f>
        <v>13834390</v>
      </c>
      <c r="E43" s="689">
        <v>14000818</v>
      </c>
    </row>
    <row r="44" spans="2:7" hidden="1" outlineLevel="1">
      <c r="B44" s="728" t="s">
        <v>515</v>
      </c>
      <c r="C44" s="699"/>
      <c r="D44" s="556">
        <f>SUMIF(PL!$AC:$AC,연결PL!B44,PL!$Y:$Y)</f>
        <v>4711948</v>
      </c>
      <c r="E44" s="689">
        <v>4497562</v>
      </c>
    </row>
    <row r="45" spans="2:7" hidden="1" outlineLevel="1">
      <c r="B45" s="728" t="s">
        <v>731</v>
      </c>
      <c r="C45" s="699"/>
      <c r="D45" s="556">
        <f>SUMIF(PL!$AC:$AC,연결PL!B45,PL!$Y:$Y)</f>
        <v>3879022</v>
      </c>
      <c r="E45" s="689">
        <v>3182290</v>
      </c>
    </row>
    <row r="46" spans="2:7" hidden="1" outlineLevel="1">
      <c r="B46" s="728" t="s">
        <v>733</v>
      </c>
      <c r="C46" s="699"/>
      <c r="D46" s="556">
        <f>SUMIF(PL!$AC:$AC,연결PL!B46,PL!$Y:$Y)</f>
        <v>8510049</v>
      </c>
      <c r="E46" s="689">
        <v>9690415</v>
      </c>
    </row>
    <row r="47" spans="2:7" hidden="1" outlineLevel="1">
      <c r="B47" s="728" t="s">
        <v>176</v>
      </c>
      <c r="C47" s="699"/>
      <c r="D47" s="556">
        <f>SUMIF(PL!$AC:$AC,연결PL!B47,PL!$Y:$Y)</f>
        <v>181372149</v>
      </c>
      <c r="E47" s="689">
        <v>222390521</v>
      </c>
    </row>
    <row r="48" spans="2:7" hidden="1" outlineLevel="1">
      <c r="B48" s="728" t="s">
        <v>394</v>
      </c>
      <c r="C48" s="699"/>
      <c r="D48" s="556">
        <f>SUMIF(PL!$AC:$AC,연결PL!B48,PL!$Y:$Y)</f>
        <v>89571233</v>
      </c>
      <c r="E48" s="689">
        <v>32002073</v>
      </c>
    </row>
    <row r="49" spans="2:7" hidden="1" outlineLevel="1">
      <c r="B49" s="728" t="s">
        <v>390</v>
      </c>
      <c r="C49" s="699"/>
      <c r="D49" s="556">
        <f>SUMIF(PL!$AC:$AC,연결PL!B49,PL!$Y:$Y)</f>
        <v>2127578</v>
      </c>
      <c r="E49" s="689">
        <v>2184493</v>
      </c>
    </row>
    <row r="50" spans="2:7" hidden="1" outlineLevel="1">
      <c r="B50" s="728" t="s">
        <v>510</v>
      </c>
      <c r="C50" s="699"/>
      <c r="D50" s="556">
        <f>SUMIF(PL!$AC:$AC,연결PL!B50,PL!$Y:$Y)</f>
        <v>4498285</v>
      </c>
      <c r="E50" s="689">
        <v>10243379</v>
      </c>
    </row>
    <row r="51" spans="2:7" hidden="1" outlineLevel="1">
      <c r="B51" s="728" t="s">
        <v>512</v>
      </c>
      <c r="C51" s="699"/>
      <c r="D51" s="556">
        <f>SUMIF(PL!$AC:$AC,연결PL!B51,PL!$Y:$Y)</f>
        <v>720800</v>
      </c>
      <c r="E51" s="689">
        <v>3415144</v>
      </c>
    </row>
    <row r="52" spans="2:7" hidden="1" outlineLevel="1">
      <c r="B52" s="728" t="s">
        <v>396</v>
      </c>
      <c r="C52" s="699"/>
      <c r="D52" s="556">
        <f>SUMIF(PL!$AC:$AC,연결PL!B52,PL!$Y:$Y)</f>
        <v>364625079</v>
      </c>
      <c r="E52" s="689">
        <v>337688016</v>
      </c>
    </row>
    <row r="53" spans="2:7" hidden="1" outlineLevel="1">
      <c r="B53" s="728" t="s">
        <v>388</v>
      </c>
      <c r="C53" s="699"/>
      <c r="D53" s="556">
        <f>SUMIF(PL!$AC:$AC,연결PL!B53,PL!$Y:$Y)</f>
        <v>9018081</v>
      </c>
      <c r="E53" s="689">
        <v>10980849</v>
      </c>
    </row>
    <row r="54" spans="2:7" hidden="1" outlineLevel="1">
      <c r="B54" s="728" t="s">
        <v>514</v>
      </c>
      <c r="C54" s="699"/>
      <c r="D54" s="556">
        <f>SUMIF(PL!$AC:$AC,연결PL!B54,PL!$Y:$Y)</f>
        <v>1066181</v>
      </c>
      <c r="E54" s="689">
        <v>6814000</v>
      </c>
    </row>
    <row r="55" spans="2:7" hidden="1" outlineLevel="1">
      <c r="B55" s="728" t="s">
        <v>513</v>
      </c>
      <c r="C55" s="699"/>
      <c r="D55" s="556">
        <f>SUMIF(PL!$AC:$AC,연결PL!B55,PL!$Y:$Y)</f>
        <v>4820923</v>
      </c>
      <c r="E55" s="689">
        <v>1418240</v>
      </c>
    </row>
    <row r="56" spans="2:7" hidden="1" outlineLevel="1">
      <c r="B56" s="728" t="s">
        <v>773</v>
      </c>
      <c r="C56" s="699"/>
      <c r="D56" s="556">
        <f>SUMIF(PL!$AC:$AC,연결PL!B56,PL!$Y:$Y)</f>
        <v>0</v>
      </c>
      <c r="E56" s="689">
        <v>0</v>
      </c>
    </row>
    <row r="57" spans="2:7" hidden="1" outlineLevel="1">
      <c r="B57" s="728" t="s">
        <v>742</v>
      </c>
      <c r="C57" s="699"/>
      <c r="D57" s="556">
        <f>SUMIF(PL!$AC:$AC,연결PL!B57,PL!$Y:$Y)</f>
        <v>236327</v>
      </c>
      <c r="E57" s="689">
        <v>2317493</v>
      </c>
      <c r="G57" s="615"/>
    </row>
    <row r="58" spans="2:7" hidden="1" outlineLevel="1">
      <c r="B58" s="728" t="s">
        <v>387</v>
      </c>
      <c r="C58" s="699"/>
      <c r="D58" s="556">
        <f>SUMIF(PL!$AC:$AC,연결PL!B58,PL!$Y:$Y)</f>
        <v>22041537</v>
      </c>
      <c r="E58" s="689">
        <v>23839419</v>
      </c>
    </row>
    <row r="59" spans="2:7" hidden="1" outlineLevel="1">
      <c r="B59" s="728" t="s">
        <v>385</v>
      </c>
      <c r="C59" s="699"/>
      <c r="D59" s="556">
        <f>SUMIF(PL!$AC:$AC,연결PL!B59,PL!$Y:$Y)</f>
        <v>1130490612</v>
      </c>
      <c r="E59" s="689">
        <v>498229293</v>
      </c>
    </row>
    <row r="60" spans="2:7" hidden="1" outlineLevel="1">
      <c r="B60" s="728" t="s">
        <v>520</v>
      </c>
      <c r="C60" s="699"/>
      <c r="D60" s="556">
        <f>SUMIF(PL!$AC:$AC,연결PL!B60,PL!$Y:$Y)</f>
        <v>0</v>
      </c>
      <c r="E60" s="689">
        <v>0</v>
      </c>
    </row>
    <row r="61" spans="2:7" hidden="1" outlineLevel="1">
      <c r="B61" s="728" t="s">
        <v>386</v>
      </c>
      <c r="C61" s="699"/>
      <c r="D61" s="556">
        <f>SUMIF(PL!$AC:$AC,연결PL!B61,PL!$Y:$Y)</f>
        <v>1895901871</v>
      </c>
      <c r="E61" s="689">
        <v>869276111</v>
      </c>
      <c r="G61" s="615"/>
    </row>
    <row r="62" spans="2:7" hidden="1" outlineLevel="1">
      <c r="B62" s="728" t="s">
        <v>174</v>
      </c>
      <c r="C62" s="699"/>
      <c r="D62" s="556">
        <f>SUMIF(PL!$AC:$AC,연결PL!B62,PL!$Y:$Y)</f>
        <v>-83305712</v>
      </c>
      <c r="E62" s="689">
        <v>56559960</v>
      </c>
    </row>
    <row r="63" spans="2:7" hidden="1" outlineLevel="1">
      <c r="B63" s="728" t="s">
        <v>747</v>
      </c>
      <c r="C63" s="699"/>
      <c r="D63" s="556">
        <f>SUMIF(PL!$AC:$AC,연결PL!B63,PL!$Y:$Y)</f>
        <v>38432994</v>
      </c>
      <c r="E63" s="689">
        <v>34468859</v>
      </c>
    </row>
    <row r="64" spans="2:7" hidden="1" outlineLevel="1">
      <c r="B64" s="728" t="s">
        <v>781</v>
      </c>
      <c r="C64" s="699"/>
      <c r="D64" s="556">
        <f>SUMIF(PL!$AC:$AC,연결PL!B64,PL!$Y:$Y)</f>
        <v>33162410</v>
      </c>
      <c r="E64" s="689">
        <v>33196857</v>
      </c>
    </row>
    <row r="65" spans="2:7" hidden="1" outlineLevel="1">
      <c r="B65" s="728" t="s">
        <v>397</v>
      </c>
      <c r="C65" s="699"/>
      <c r="D65" s="556">
        <f>SUMIF(PL!$AC:$AC,연결PL!B65,PL!$Y:$Y)</f>
        <v>96068802</v>
      </c>
      <c r="E65" s="689">
        <v>109893893</v>
      </c>
    </row>
    <row r="66" spans="2:7" hidden="1" outlineLevel="1">
      <c r="B66" s="728" t="s">
        <v>749</v>
      </c>
      <c r="C66" s="699"/>
      <c r="D66" s="556">
        <f>SUMIF(PL!$AC:$AC,연결PL!B66,PL!$Y:$Y)</f>
        <v>21529107</v>
      </c>
      <c r="E66" s="689">
        <v>18799999</v>
      </c>
    </row>
    <row r="67" spans="2:7" ht="14.25" hidden="1" outlineLevel="1" thickBot="1">
      <c r="B67" s="728" t="s">
        <v>787</v>
      </c>
      <c r="C67" s="699"/>
      <c r="D67" s="556">
        <f>SUMIF(PL!$AC:$AC,연결PL!B67,PL!$Y:$Y)</f>
        <v>1380000</v>
      </c>
      <c r="E67" s="689">
        <v>1378699</v>
      </c>
    </row>
    <row r="68" spans="2:7" ht="14.25" thickBot="1">
      <c r="B68" s="727" t="s">
        <v>271</v>
      </c>
      <c r="C68" s="698"/>
      <c r="D68" s="559">
        <f>D34-D35</f>
        <v>-791041478</v>
      </c>
      <c r="E68" s="682">
        <v>1096205226</v>
      </c>
      <c r="G68" s="599"/>
    </row>
    <row r="69" spans="2:7" ht="14.25" collapsed="1" thickBot="1">
      <c r="B69" s="727" t="s">
        <v>899</v>
      </c>
      <c r="C69" s="698"/>
      <c r="D69" s="559">
        <f>SUM(D70:D76)</f>
        <v>2109602184</v>
      </c>
      <c r="E69" s="682">
        <v>8256143</v>
      </c>
      <c r="G69" s="599"/>
    </row>
    <row r="70" spans="2:7" hidden="1" outlineLevel="1">
      <c r="B70" s="728" t="s">
        <v>1669</v>
      </c>
      <c r="C70" s="699"/>
      <c r="D70" s="556">
        <f>SUMIF(PL!$AC:$AC,연결PL!B70,PL!$Y:$Y)</f>
        <v>0</v>
      </c>
      <c r="E70" s="689">
        <v>0</v>
      </c>
    </row>
    <row r="71" spans="2:7" hidden="1" outlineLevel="1">
      <c r="B71" s="728" t="s">
        <v>1670</v>
      </c>
      <c r="C71" s="699"/>
      <c r="D71" s="556">
        <f>SUMIF(PL!$AC:$AC,연결PL!B71,PL!$Y:$Y)</f>
        <v>0</v>
      </c>
      <c r="E71" s="689">
        <v>0</v>
      </c>
    </row>
    <row r="72" spans="2:7" hidden="1" outlineLevel="1">
      <c r="B72" s="728" t="s">
        <v>1458</v>
      </c>
      <c r="C72" s="699"/>
      <c r="D72" s="556">
        <f>SUMIF(PL!$AC:$AC,연결PL!B72,PL!$Y:$Y)</f>
        <v>0</v>
      </c>
      <c r="E72" s="689">
        <v>0</v>
      </c>
    </row>
    <row r="73" spans="2:7" hidden="1" outlineLevel="1">
      <c r="B73" s="728" t="s">
        <v>1459</v>
      </c>
      <c r="C73" s="699"/>
      <c r="D73" s="556">
        <f>SUMIF(PL!$AC:$AC,연결PL!B73,PL!$Y:$Y)</f>
        <v>3000000</v>
      </c>
      <c r="E73" s="689">
        <v>3000000</v>
      </c>
    </row>
    <row r="74" spans="2:7" hidden="1" outlineLevel="1">
      <c r="B74" s="728" t="s">
        <v>1460</v>
      </c>
      <c r="C74" s="699"/>
      <c r="D74" s="556">
        <f>SUMIF(PL!$AC:$AC,연결PL!B74,PL!$Y:$Y)</f>
        <v>1202135</v>
      </c>
      <c r="E74" s="689">
        <v>1054000</v>
      </c>
    </row>
    <row r="75" spans="2:7" hidden="1" outlineLevel="1">
      <c r="B75" s="728" t="s">
        <v>2679</v>
      </c>
      <c r="C75" s="699"/>
      <c r="D75" s="556">
        <f>SUMIF(PL!$AC:$AC,연결PL!B75,PL!$Y:$Y)</f>
        <v>2067945777</v>
      </c>
      <c r="E75" s="689">
        <v>0</v>
      </c>
    </row>
    <row r="76" spans="2:7" ht="14.25" hidden="1" outlineLevel="1" thickBot="1">
      <c r="B76" s="728" t="s">
        <v>1462</v>
      </c>
      <c r="C76" s="699"/>
      <c r="D76" s="556">
        <f>SUMIF(PL!$AC:$AC,연결PL!B76,PL!$Y:$Y)</f>
        <v>37454272</v>
      </c>
      <c r="E76" s="689">
        <v>4202143</v>
      </c>
    </row>
    <row r="77" spans="2:7" ht="14.25" collapsed="1" thickBot="1">
      <c r="B77" s="727" t="s">
        <v>901</v>
      </c>
      <c r="C77" s="698"/>
      <c r="D77" s="559">
        <f>SUM(D78:D84)</f>
        <v>9488772</v>
      </c>
      <c r="E77" s="682">
        <v>7087062</v>
      </c>
      <c r="G77" s="599"/>
    </row>
    <row r="78" spans="2:7" hidden="1" outlineLevel="1">
      <c r="B78" s="728" t="s">
        <v>2842</v>
      </c>
      <c r="C78" s="699"/>
      <c r="D78" s="556">
        <f>SUMIF(PL!$AC:$AC,연결PL!B78,PL!$Y:$Y)</f>
        <v>0</v>
      </c>
      <c r="E78" s="689">
        <v>0</v>
      </c>
    </row>
    <row r="79" spans="2:7" hidden="1" outlineLevel="1">
      <c r="B79" s="728" t="s">
        <v>128</v>
      </c>
      <c r="C79" s="699"/>
      <c r="D79" s="556">
        <f>SUMIF(PL!$AC:$AC,연결PL!B79,PL!$Y:$Y)</f>
        <v>132762</v>
      </c>
      <c r="E79" s="689">
        <v>128604</v>
      </c>
    </row>
    <row r="80" spans="2:7" hidden="1" outlineLevel="1">
      <c r="B80" s="728" t="s">
        <v>1663</v>
      </c>
      <c r="C80" s="699"/>
      <c r="D80" s="556">
        <f>SUMIF(PL!$AC:$AC,연결PL!B80,PL!$Y:$Y)</f>
        <v>0</v>
      </c>
      <c r="E80" s="689">
        <v>0</v>
      </c>
    </row>
    <row r="81" spans="2:7" hidden="1" outlineLevel="1">
      <c r="B81" s="728" t="s">
        <v>1396</v>
      </c>
      <c r="C81" s="699"/>
      <c r="D81" s="556">
        <f>SUMIF(PL!$AC:$AC,연결PL!B81,PL!$Y:$Y)</f>
        <v>4825402</v>
      </c>
      <c r="E81" s="689">
        <v>3098042</v>
      </c>
    </row>
    <row r="82" spans="2:7" hidden="1" outlineLevel="1">
      <c r="B82" s="728" t="s">
        <v>2661</v>
      </c>
      <c r="C82" s="699"/>
      <c r="D82" s="556">
        <f>SUMIF(PL!$AC:$AC,연결PL!B82,PL!$Y:$Y)</f>
        <v>0</v>
      </c>
      <c r="E82" s="689">
        <v>0</v>
      </c>
    </row>
    <row r="83" spans="2:7" hidden="1" outlineLevel="1">
      <c r="B83" s="728" t="s">
        <v>2665</v>
      </c>
      <c r="C83" s="699"/>
      <c r="D83" s="556">
        <f>SUMIF(PL!$AC:$AC,연결PL!B83,PL!$Y:$Y)</f>
        <v>0</v>
      </c>
      <c r="E83" s="689">
        <v>0</v>
      </c>
    </row>
    <row r="84" spans="2:7" ht="14.25" hidden="1" outlineLevel="1" thickBot="1">
      <c r="B84" s="728" t="s">
        <v>130</v>
      </c>
      <c r="C84" s="699"/>
      <c r="D84" s="556">
        <f>SUMIF(PL!$AC:$AC,연결PL!B84,PL!$Y:$Y)</f>
        <v>4530608</v>
      </c>
      <c r="E84" s="689">
        <v>3860416</v>
      </c>
    </row>
    <row r="85" spans="2:7" ht="14.25" collapsed="1" thickBot="1">
      <c r="B85" s="727" t="s">
        <v>90</v>
      </c>
      <c r="C85" s="698"/>
      <c r="D85" s="559">
        <f>SUM(D86:D89)</f>
        <v>169546726</v>
      </c>
      <c r="E85" s="682">
        <v>48738081</v>
      </c>
      <c r="G85" s="599"/>
    </row>
    <row r="86" spans="2:7" hidden="1" outlineLevel="1">
      <c r="B86" s="728" t="s">
        <v>133</v>
      </c>
      <c r="C86" s="699"/>
      <c r="D86" s="556">
        <f>SUMIF(PL!$AC:$AC,연결PL!B86,PL!$Y:$Y)</f>
        <v>22101454</v>
      </c>
      <c r="E86" s="689">
        <v>28253274</v>
      </c>
    </row>
    <row r="87" spans="2:7" hidden="1" outlineLevel="1">
      <c r="B87" s="728" t="s">
        <v>1463</v>
      </c>
      <c r="C87" s="699"/>
      <c r="D87" s="556">
        <f>SUMIF(PL!$AC:$AC,연결PL!B87,PL!$Y:$Y)</f>
        <v>0</v>
      </c>
      <c r="E87" s="689">
        <v>0</v>
      </c>
    </row>
    <row r="88" spans="2:7" hidden="1" outlineLevel="1">
      <c r="B88" s="728" t="s">
        <v>120</v>
      </c>
      <c r="C88" s="699"/>
      <c r="D88" s="556">
        <f>SUMIF(PL!$AC:$AC,연결PL!B88,PL!$Y:$Y)</f>
        <v>109841433</v>
      </c>
      <c r="E88" s="689">
        <v>20481765</v>
      </c>
    </row>
    <row r="89" spans="2:7" ht="14.25" hidden="1" outlineLevel="1" thickBot="1">
      <c r="B89" s="728" t="s">
        <v>121</v>
      </c>
      <c r="C89" s="699"/>
      <c r="D89" s="556">
        <f>SUMIF(PL!$AC:$AC,연결PL!B89,PL!$Y:$Y)</f>
        <v>37603839</v>
      </c>
      <c r="E89" s="689">
        <v>3042</v>
      </c>
    </row>
    <row r="90" spans="2:7" ht="14.25" collapsed="1" thickBot="1">
      <c r="B90" s="727" t="s">
        <v>91</v>
      </c>
      <c r="C90" s="698"/>
      <c r="D90" s="559">
        <f>SUM(D91:D95)</f>
        <v>273243495</v>
      </c>
      <c r="E90" s="682">
        <v>145282026</v>
      </c>
      <c r="G90" s="599"/>
    </row>
    <row r="91" spans="2:7" hidden="1" outlineLevel="1">
      <c r="B91" s="728" t="s">
        <v>179</v>
      </c>
      <c r="C91" s="699"/>
      <c r="D91" s="556">
        <f>SUMIF(PL!$AC:$AC,연결PL!B91,PL!$Y:$Y)</f>
        <v>98954951</v>
      </c>
      <c r="E91" s="689">
        <v>45786340</v>
      </c>
    </row>
    <row r="92" spans="2:7" hidden="1" outlineLevel="1">
      <c r="B92" s="728" t="s">
        <v>2988</v>
      </c>
      <c r="C92" s="699"/>
      <c r="D92" s="556">
        <f>SUMIF(PL!$AC:$AC,연결PL!B92,PL!$Y:$Y)</f>
        <v>0</v>
      </c>
      <c r="E92" s="689">
        <v>0</v>
      </c>
    </row>
    <row r="93" spans="2:7" hidden="1" outlineLevel="1">
      <c r="B93" s="728" t="s">
        <v>1464</v>
      </c>
      <c r="C93" s="699"/>
      <c r="D93" s="556">
        <f>SUMIF(PL!$AC:$AC,연결PL!B93,PL!$Y:$Y)</f>
        <v>0</v>
      </c>
      <c r="E93" s="689">
        <v>0</v>
      </c>
    </row>
    <row r="94" spans="2:7" hidden="1" outlineLevel="1">
      <c r="B94" s="728" t="s">
        <v>125</v>
      </c>
      <c r="C94" s="699"/>
      <c r="D94" s="556">
        <f>SUMIF(PL!$AC:$AC,연결PL!B94,PL!$Y:$Y)</f>
        <v>174288542</v>
      </c>
      <c r="E94" s="689">
        <v>41293761</v>
      </c>
    </row>
    <row r="95" spans="2:7" ht="14.25" hidden="1" outlineLevel="1" thickBot="1">
      <c r="B95" s="728" t="s">
        <v>127</v>
      </c>
      <c r="C95" s="699"/>
      <c r="D95" s="556">
        <f>SUMIF(PL!$AC:$AC,연결PL!B95,PL!$Y:$Y)</f>
        <v>2</v>
      </c>
      <c r="E95" s="689">
        <v>58201925</v>
      </c>
    </row>
    <row r="96" spans="2:7" ht="14.25" collapsed="1" thickBot="1">
      <c r="B96" s="727" t="s">
        <v>1465</v>
      </c>
      <c r="C96" s="698"/>
      <c r="D96" s="559">
        <f>D97-D98</f>
        <v>-2067945777</v>
      </c>
      <c r="E96" s="682">
        <v>0</v>
      </c>
      <c r="G96" s="599"/>
    </row>
    <row r="97" spans="2:10" hidden="1" outlineLevel="1">
      <c r="B97" s="730" t="s">
        <v>1466</v>
      </c>
      <c r="C97" s="699"/>
      <c r="D97" s="556">
        <f>SUMIF(PL!$AC:$AC,연결PL!B97,PL!$Y:$Y)</f>
        <v>0</v>
      </c>
      <c r="E97" s="689">
        <v>0</v>
      </c>
    </row>
    <row r="98" spans="2:10" ht="14.25" hidden="1" outlineLevel="1" thickBot="1">
      <c r="B98" s="730" t="s">
        <v>1467</v>
      </c>
      <c r="C98" s="699"/>
      <c r="D98" s="556">
        <f>SUMIF(PL!$AC:$AC,연결PL!B98,PL!$Y:$Y)</f>
        <v>2067945777</v>
      </c>
      <c r="E98" s="689">
        <v>0</v>
      </c>
    </row>
    <row r="99" spans="2:10" ht="14.25" thickBot="1">
      <c r="B99" s="727" t="s">
        <v>258</v>
      </c>
      <c r="C99" s="698"/>
      <c r="D99" s="559">
        <f>D68+D69-D77+D85-D90+D96</f>
        <v>-862570612</v>
      </c>
      <c r="E99" s="682">
        <v>1000830362</v>
      </c>
      <c r="G99" s="599"/>
    </row>
    <row r="100" spans="2:10" ht="14.25" thickBot="1">
      <c r="B100" s="730" t="s">
        <v>238</v>
      </c>
      <c r="C100" s="700"/>
      <c r="D100" s="556">
        <f>SUMIF(PL!$AC:$AC,연결PL!B100,PL!$Y:$Y)</f>
        <v>4983889</v>
      </c>
      <c r="E100" s="689">
        <v>4894989</v>
      </c>
      <c r="G100" s="599"/>
    </row>
    <row r="101" spans="2:10" ht="14.25" thickBot="1">
      <c r="B101" s="727" t="s">
        <v>902</v>
      </c>
      <c r="C101" s="698"/>
      <c r="D101" s="559">
        <f>D99-D100</f>
        <v>-867554501</v>
      </c>
      <c r="E101" s="682">
        <v>995935373</v>
      </c>
      <c r="G101" s="722"/>
    </row>
    <row r="102" spans="2:10">
      <c r="B102" s="730" t="s">
        <v>1468</v>
      </c>
      <c r="C102" s="700"/>
      <c r="D102" s="556">
        <f>D101</f>
        <v>-867554501</v>
      </c>
      <c r="E102" s="689">
        <v>995935373</v>
      </c>
      <c r="G102" s="615"/>
    </row>
    <row r="103" spans="2:10" ht="14.25" thickBot="1">
      <c r="B103" s="730" t="s">
        <v>1469</v>
      </c>
      <c r="C103" s="700"/>
      <c r="D103" s="556">
        <v>0</v>
      </c>
      <c r="E103" s="689">
        <v>0</v>
      </c>
    </row>
    <row r="104" spans="2:10" ht="14.25" thickBot="1">
      <c r="B104" s="729" t="s">
        <v>250</v>
      </c>
      <c r="C104" s="704"/>
      <c r="D104" s="701">
        <f>D105+D107</f>
        <v>11298394</v>
      </c>
      <c r="E104" s="703">
        <v>-26600734</v>
      </c>
      <c r="G104" s="599"/>
    </row>
    <row r="105" spans="2:10">
      <c r="B105" s="730" t="s">
        <v>1470</v>
      </c>
      <c r="C105" s="700"/>
      <c r="D105" s="556">
        <f>D106</f>
        <v>0</v>
      </c>
      <c r="E105" s="689">
        <v>0</v>
      </c>
      <c r="G105" s="599"/>
    </row>
    <row r="106" spans="2:10">
      <c r="B106" s="730" t="s">
        <v>903</v>
      </c>
      <c r="C106" s="700"/>
      <c r="D106" s="556">
        <f>SUMIF(PL!$AC:$AC,연결PL!B106,PL!$Y:$Y)</f>
        <v>0</v>
      </c>
      <c r="E106" s="689">
        <v>0</v>
      </c>
    </row>
    <row r="107" spans="2:10">
      <c r="B107" s="730" t="s">
        <v>1471</v>
      </c>
      <c r="C107" s="700"/>
      <c r="D107" s="556">
        <f>D108</f>
        <v>11298394</v>
      </c>
      <c r="E107" s="689">
        <v>-26600734</v>
      </c>
    </row>
    <row r="108" spans="2:10" ht="14.25" thickBot="1">
      <c r="B108" s="730" t="s">
        <v>1472</v>
      </c>
      <c r="C108" s="700"/>
      <c r="D108" s="556">
        <f>SUMIF(PL!$AC:$AC,연결PL!B108,PL!$Y:$Y)</f>
        <v>11298394</v>
      </c>
      <c r="E108" s="689">
        <v>-26600734</v>
      </c>
    </row>
    <row r="109" spans="2:10" ht="14.25" thickBot="1">
      <c r="B109" s="727" t="s">
        <v>272</v>
      </c>
      <c r="C109" s="698"/>
      <c r="D109" s="559">
        <f>D101+D104</f>
        <v>-856256107</v>
      </c>
      <c r="E109" s="682">
        <v>969334639</v>
      </c>
      <c r="G109" s="599"/>
    </row>
    <row r="110" spans="2:10">
      <c r="B110" s="730" t="s">
        <v>1468</v>
      </c>
      <c r="C110" s="700"/>
      <c r="D110" s="556">
        <f>D109</f>
        <v>-856256107</v>
      </c>
      <c r="E110" s="689">
        <v>969334639</v>
      </c>
      <c r="G110" s="597"/>
    </row>
    <row r="111" spans="2:10" ht="14.25" thickBot="1">
      <c r="B111" s="730" t="s">
        <v>1469</v>
      </c>
      <c r="C111" s="700"/>
      <c r="D111" s="556">
        <v>0</v>
      </c>
      <c r="E111" s="689">
        <v>0</v>
      </c>
      <c r="J111" s="599"/>
    </row>
    <row r="112" spans="2:10" ht="14.25" thickBot="1">
      <c r="B112" s="729" t="s">
        <v>1473</v>
      </c>
      <c r="C112" s="704"/>
      <c r="D112" s="701"/>
      <c r="E112" s="705"/>
      <c r="J112" s="599"/>
    </row>
    <row r="113" spans="2:5">
      <c r="B113" s="730" t="s">
        <v>1474</v>
      </c>
      <c r="C113" s="700"/>
      <c r="D113" s="556">
        <f>'31'!D12</f>
        <v>-76</v>
      </c>
      <c r="E113" s="706">
        <v>159</v>
      </c>
    </row>
    <row r="114" spans="2:5">
      <c r="B114" s="731" t="s">
        <v>1475</v>
      </c>
      <c r="C114" s="732"/>
      <c r="D114" s="733">
        <f>'31'!D46</f>
        <v>-76</v>
      </c>
      <c r="E114" s="734">
        <v>157</v>
      </c>
    </row>
    <row r="115" spans="2:5">
      <c r="B115" s="556"/>
      <c r="C115" s="556"/>
      <c r="D115" s="556"/>
      <c r="E115" s="556"/>
    </row>
    <row r="116" spans="2:5">
      <c r="B116" s="556"/>
      <c r="C116" s="556"/>
      <c r="D116" s="556"/>
      <c r="E116" s="556"/>
    </row>
    <row r="117" spans="2:5">
      <c r="B117" s="556"/>
      <c r="C117" s="556"/>
      <c r="D117" s="556">
        <f>D101-PL!Y113</f>
        <v>0</v>
      </c>
      <c r="E117" s="556"/>
    </row>
    <row r="118" spans="2:5">
      <c r="B118" s="556"/>
      <c r="C118" s="556"/>
      <c r="D118" s="556"/>
      <c r="E118" s="556"/>
    </row>
    <row r="119" spans="2:5">
      <c r="B119" s="556"/>
      <c r="C119" s="556"/>
      <c r="D119" s="707"/>
      <c r="E119" s="707"/>
    </row>
    <row r="120" spans="2:5">
      <c r="B120" s="556"/>
      <c r="C120" s="556"/>
      <c r="D120" s="707"/>
      <c r="E120" s="707"/>
    </row>
    <row r="121" spans="2:5">
      <c r="B121" s="556"/>
      <c r="C121" s="556"/>
      <c r="D121" s="556"/>
      <c r="E121" s="556"/>
    </row>
    <row r="122" spans="2:5">
      <c r="B122" s="556"/>
      <c r="C122" s="556"/>
      <c r="D122" s="556"/>
      <c r="E122" s="556"/>
    </row>
    <row r="123" spans="2:5">
      <c r="B123" s="556"/>
      <c r="C123" s="556"/>
      <c r="D123" s="556"/>
      <c r="E123" s="556"/>
    </row>
    <row r="124" spans="2:5">
      <c r="B124" s="556"/>
      <c r="C124" s="556"/>
      <c r="D124" s="556"/>
      <c r="E124" s="556"/>
    </row>
    <row r="125" spans="2:5">
      <c r="B125" s="556"/>
      <c r="C125" s="556"/>
      <c r="D125" s="556"/>
      <c r="E125" s="556"/>
    </row>
    <row r="126" spans="2:5">
      <c r="B126" s="556"/>
      <c r="C126" s="556"/>
      <c r="D126" s="556"/>
      <c r="E126" s="556"/>
    </row>
    <row r="127" spans="2:5">
      <c r="B127" s="556"/>
      <c r="C127" s="556"/>
      <c r="D127" s="556"/>
      <c r="E127" s="556"/>
    </row>
    <row r="128" spans="2:5">
      <c r="B128" s="556"/>
      <c r="C128" s="556"/>
      <c r="D128" s="556"/>
      <c r="E128" s="556"/>
    </row>
    <row r="129" spans="2:5">
      <c r="B129" s="707"/>
      <c r="C129" s="556"/>
      <c r="D129" s="556"/>
      <c r="E129" s="556"/>
    </row>
    <row r="130" spans="2:5">
      <c r="B130" s="707"/>
      <c r="C130" s="556"/>
      <c r="D130" s="556"/>
      <c r="E130" s="556"/>
    </row>
    <row r="131" spans="2:5">
      <c r="B131" s="556"/>
      <c r="C131" s="556"/>
      <c r="D131" s="556"/>
      <c r="E131" s="556"/>
    </row>
    <row r="132" spans="2:5">
      <c r="B132" s="556"/>
      <c r="C132" s="556"/>
      <c r="D132" s="556"/>
      <c r="E132" s="556"/>
    </row>
    <row r="133" spans="2:5">
      <c r="B133" s="556"/>
      <c r="C133" s="556"/>
      <c r="D133" s="556"/>
      <c r="E133" s="556"/>
    </row>
  </sheetData>
  <phoneticPr fontId="3" type="noConversion"/>
  <conditionalFormatting sqref="I1:I1048576">
    <cfRule type="containsText" dxfId="167" priority="1" operator="containsText" text="false">
      <formula>NOT(ISERROR(SEARCH("false",I1)))</formula>
    </cfRule>
  </conditionalFormatting>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36">
    <tabColor theme="1"/>
    <outlinePr summaryBelow="0"/>
  </sheetPr>
  <dimension ref="B1:R69"/>
  <sheetViews>
    <sheetView showGridLines="0" zoomScaleNormal="100" workbookViewId="0">
      <selection activeCell="C46" sqref="C46"/>
    </sheetView>
  </sheetViews>
  <sheetFormatPr defaultColWidth="9" defaultRowHeight="15.95" customHeight="1" outlineLevelRow="1"/>
  <cols>
    <col min="1" max="1" width="9" style="589"/>
    <col min="2" max="2" width="35.625" style="589" customWidth="1"/>
    <col min="3" max="4" width="15.625" style="556" customWidth="1"/>
    <col min="5" max="5" width="14.125" style="589" customWidth="1"/>
    <col min="6" max="6" width="11.625" style="589" customWidth="1"/>
    <col min="7" max="11" width="9" style="589" customWidth="1"/>
    <col min="12" max="12" width="34.625" style="589" customWidth="1"/>
    <col min="13" max="13" width="16.375" style="589" customWidth="1"/>
    <col min="14" max="14" width="13.375" style="589" bestFit="1" customWidth="1"/>
    <col min="15" max="16384" width="9" style="589"/>
  </cols>
  <sheetData>
    <row r="1" spans="2:18" ht="15.95" customHeight="1">
      <c r="B1" s="1298" t="s">
        <v>143</v>
      </c>
      <c r="C1" s="1299">
        <f>연결PL!D1</f>
        <v>46203</v>
      </c>
      <c r="D1" s="1299">
        <f>C1-365</f>
        <v>45838</v>
      </c>
      <c r="L1" s="1582" t="s">
        <v>143</v>
      </c>
      <c r="M1" s="1583">
        <v>45838</v>
      </c>
    </row>
    <row r="2" spans="2:18" s="690" customFormat="1" ht="15.95" customHeight="1">
      <c r="B2" s="1300" t="s">
        <v>1796</v>
      </c>
      <c r="C2" s="1301">
        <f>C3+C36+C37+C38</f>
        <v>1202295393</v>
      </c>
      <c r="D2" s="1301">
        <f>D3+D36+D37+D38</f>
        <v>1183882268</v>
      </c>
      <c r="L2" s="1584" t="s">
        <v>1796</v>
      </c>
      <c r="M2" s="1731">
        <f>M3+M36+M37+M38</f>
        <v>1183882268</v>
      </c>
      <c r="N2" s="556">
        <f>M2-D2</f>
        <v>0</v>
      </c>
      <c r="P2" s="589"/>
      <c r="Q2" s="589"/>
      <c r="R2" s="589"/>
    </row>
    <row r="3" spans="2:18" s="690" customFormat="1" ht="15.95" customHeight="1">
      <c r="B3" s="1302" t="s">
        <v>1797</v>
      </c>
      <c r="C3" s="1301">
        <f>C4+C5+C27</f>
        <v>1276280827</v>
      </c>
      <c r="D3" s="1301">
        <f>D4+D5+D27</f>
        <v>1244383314</v>
      </c>
      <c r="L3" s="1585" t="s">
        <v>1797</v>
      </c>
      <c r="M3" s="1731">
        <f>M4+M5+M27</f>
        <v>1244383314</v>
      </c>
      <c r="N3" s="556">
        <f>M3-D3</f>
        <v>0</v>
      </c>
      <c r="P3" s="589"/>
      <c r="Q3" s="589"/>
      <c r="R3" s="589"/>
    </row>
    <row r="4" spans="2:18" ht="15.95" customHeight="1">
      <c r="B4" s="1303" t="s">
        <v>1798</v>
      </c>
      <c r="C4" s="1301">
        <f>연결PL!D101</f>
        <v>-867554501</v>
      </c>
      <c r="D4" s="1301">
        <f>M4</f>
        <v>995935373</v>
      </c>
      <c r="L4" s="1586" t="s">
        <v>1798</v>
      </c>
      <c r="M4" s="1731">
        <v>995935373</v>
      </c>
      <c r="N4" s="556">
        <f>M4-D4</f>
        <v>0</v>
      </c>
    </row>
    <row r="5" spans="2:18" ht="15.95" customHeight="1" collapsed="1">
      <c r="B5" s="1303" t="s">
        <v>1799</v>
      </c>
      <c r="C5" s="1301">
        <f>SUM(C6:C26)</f>
        <v>917008474</v>
      </c>
      <c r="D5" s="1301">
        <f>SUM(D6:D26)</f>
        <v>1002829676</v>
      </c>
      <c r="E5" s="592" t="s">
        <v>2617</v>
      </c>
      <c r="F5" s="565" t="s">
        <v>2618</v>
      </c>
      <c r="L5" s="1586" t="s">
        <v>3468</v>
      </c>
      <c r="M5" s="1731">
        <f>SUM(M6:M26)</f>
        <v>1002829676</v>
      </c>
      <c r="N5" s="556">
        <f>M5-D5</f>
        <v>0</v>
      </c>
    </row>
    <row r="6" spans="2:18" ht="15.95" hidden="1" customHeight="1" outlineLevel="1">
      <c r="B6" s="1304" t="s">
        <v>174</v>
      </c>
      <c r="C6" s="1305">
        <f>SUMIF(CF정산표!$F$179:$F$210,연결CF!B6,CF정산표!$H$179:$H$210)</f>
        <v>-83305712</v>
      </c>
      <c r="D6" s="1305">
        <f t="shared" ref="D6:D26" si="0">IFERROR(VLOOKUP(B6,$L$6:$M$65,2,0),)</f>
        <v>56559960</v>
      </c>
      <c r="E6" s="556">
        <f>연결PL!D62</f>
        <v>-83305712</v>
      </c>
      <c r="F6" s="556" t="b">
        <f>C6=E6</f>
        <v>1</v>
      </c>
      <c r="L6" s="1587" t="s">
        <v>174</v>
      </c>
      <c r="M6" s="1313">
        <v>56559960</v>
      </c>
    </row>
    <row r="7" spans="2:18" ht="15.95" hidden="1" customHeight="1" outlineLevel="1">
      <c r="B7" s="1304" t="s">
        <v>133</v>
      </c>
      <c r="C7" s="1305">
        <f>SUMIF(CF정산표!$F$179:$F$210,연결CF!B7,CF정산표!$H$179:$H$210)</f>
        <v>-22101454</v>
      </c>
      <c r="D7" s="1305">
        <f t="shared" si="0"/>
        <v>-28253274</v>
      </c>
      <c r="E7" s="556">
        <f>연결PL!D86</f>
        <v>22101454</v>
      </c>
      <c r="F7" s="556" t="b">
        <f>C7=-E7</f>
        <v>1</v>
      </c>
      <c r="L7" s="1587" t="s">
        <v>133</v>
      </c>
      <c r="M7" s="1313">
        <v>-28253274</v>
      </c>
    </row>
    <row r="8" spans="2:18" ht="15.95" hidden="1" customHeight="1" outlineLevel="1">
      <c r="B8" s="1304" t="s">
        <v>900</v>
      </c>
      <c r="C8" s="1305">
        <f>SUMIF(CF정산표!$F$179:$F$210,연결CF!B8,CF정산표!$H$179:$H$210)</f>
        <v>-1202135</v>
      </c>
      <c r="D8" s="1305">
        <f t="shared" si="0"/>
        <v>-1054000</v>
      </c>
      <c r="E8" s="556">
        <f>연결PL!D74</f>
        <v>1202135</v>
      </c>
      <c r="F8" s="556" t="b">
        <f>E8=-C8</f>
        <v>1</v>
      </c>
      <c r="L8" s="1587" t="s">
        <v>122</v>
      </c>
      <c r="M8" s="1313">
        <v>-1054000</v>
      </c>
    </row>
    <row r="9" spans="2:18" ht="15.95" hidden="1" customHeight="1" outlineLevel="1">
      <c r="B9" s="1304" t="s">
        <v>121</v>
      </c>
      <c r="C9" s="1305">
        <f>SUMIF(CF정산표!$F$179:$F$210,연결CF!B9,CF정산표!$H$179:$H$210)</f>
        <v>-37603839</v>
      </c>
      <c r="D9" s="1305">
        <f t="shared" si="0"/>
        <v>-3042</v>
      </c>
      <c r="E9" s="556">
        <f>연결PL!D89</f>
        <v>37603839</v>
      </c>
      <c r="F9" s="556">
        <f>C9--E9</f>
        <v>0</v>
      </c>
      <c r="L9" s="1587" t="s">
        <v>121</v>
      </c>
      <c r="M9" s="1313">
        <v>-3042</v>
      </c>
    </row>
    <row r="10" spans="2:18" ht="15.95" hidden="1" customHeight="1" outlineLevel="1">
      <c r="B10" s="1304" t="s">
        <v>2614</v>
      </c>
      <c r="C10" s="1305">
        <f>SUMIF(CF정산표!$F$179:$F$210,연결CF!B10,CF정산표!$H$179:$H$210)</f>
        <v>131193174</v>
      </c>
      <c r="D10" s="1305">
        <f t="shared" si="0"/>
        <v>15216604</v>
      </c>
      <c r="E10" s="556"/>
      <c r="F10" s="556"/>
      <c r="L10" s="1587" t="s">
        <v>363</v>
      </c>
      <c r="M10" s="1313">
        <v>15216604</v>
      </c>
    </row>
    <row r="11" spans="2:18" ht="15.95" hidden="1" customHeight="1" outlineLevel="1">
      <c r="B11" s="1304" t="s">
        <v>178</v>
      </c>
      <c r="C11" s="1305">
        <f>SUMIF(CF정산표!$F$179:$F$210,연결CF!B11,CF정산표!$H$179:$H$210)</f>
        <v>188019390</v>
      </c>
      <c r="D11" s="1305">
        <f t="shared" si="0"/>
        <v>177665682</v>
      </c>
      <c r="E11" s="556">
        <f>'20'!C21</f>
        <v>188019390</v>
      </c>
      <c r="F11" s="556" t="b">
        <f>E11=C11</f>
        <v>1</v>
      </c>
      <c r="G11" s="556"/>
      <c r="H11" s="556"/>
      <c r="I11" s="556"/>
      <c r="L11" s="1587" t="s">
        <v>178</v>
      </c>
      <c r="M11" s="1313">
        <v>177665682</v>
      </c>
    </row>
    <row r="12" spans="2:18" ht="15.95" hidden="1" customHeight="1" outlineLevel="1">
      <c r="B12" s="1304" t="s">
        <v>756</v>
      </c>
      <c r="C12" s="1305">
        <f>SUMIF(CF정산표!$F$179:$F$210,연결CF!B12,CF정산표!$H$179:$H$210)</f>
        <v>0</v>
      </c>
      <c r="D12" s="1305">
        <f t="shared" si="0"/>
        <v>0</v>
      </c>
      <c r="E12" s="556">
        <f>연결PL!D39</f>
        <v>0</v>
      </c>
      <c r="F12" s="556" t="b">
        <f>C12=E12</f>
        <v>1</v>
      </c>
      <c r="L12" s="1587" t="s">
        <v>756</v>
      </c>
      <c r="M12" s="1313">
        <v>0</v>
      </c>
    </row>
    <row r="13" spans="2:18" ht="15.95" hidden="1" customHeight="1" outlineLevel="1">
      <c r="B13" s="1304" t="s">
        <v>179</v>
      </c>
      <c r="C13" s="1305">
        <f>SUMIF(CF정산표!$F$179:$F$210,연결CF!B13,CF정산표!$H$179:$H$210)</f>
        <v>98954951</v>
      </c>
      <c r="D13" s="1305">
        <f t="shared" si="0"/>
        <v>45786340</v>
      </c>
      <c r="E13" s="556">
        <f>연결PL!D91</f>
        <v>98954951</v>
      </c>
      <c r="F13" s="556" t="b">
        <f>C13=E13</f>
        <v>1</v>
      </c>
      <c r="L13" s="1587" t="s">
        <v>179</v>
      </c>
      <c r="M13" s="1313">
        <v>45786340</v>
      </c>
    </row>
    <row r="14" spans="2:18" ht="15.95" hidden="1" customHeight="1" outlineLevel="1">
      <c r="B14" s="1304" t="s">
        <v>176</v>
      </c>
      <c r="C14" s="1305">
        <f>SUMIF(CF정산표!$F$179:$F$210,연결CF!B14,CF정산표!$H$179:$H$210)</f>
        <v>585661920</v>
      </c>
      <c r="D14" s="1305">
        <f t="shared" si="0"/>
        <v>497372122</v>
      </c>
      <c r="E14" s="556">
        <f>'28'!D13</f>
        <v>607191027</v>
      </c>
      <c r="F14" s="556">
        <f>C14+C15-E14</f>
        <v>0</v>
      </c>
      <c r="I14" s="556"/>
      <c r="L14" s="1587" t="s">
        <v>176</v>
      </c>
      <c r="M14" s="1313">
        <v>497372122</v>
      </c>
    </row>
    <row r="15" spans="2:18" ht="15.95" hidden="1" customHeight="1" outlineLevel="1">
      <c r="B15" s="1304" t="s">
        <v>177</v>
      </c>
      <c r="C15" s="1305">
        <f>SUMIF(CF정산표!$F$179:$F$210,연결CF!B15,CF정산표!$H$179:$H$210)</f>
        <v>21529107</v>
      </c>
      <c r="D15" s="1305">
        <f t="shared" si="0"/>
        <v>144426793</v>
      </c>
      <c r="E15" s="556">
        <f>-'13'!F27</f>
        <v>21529107</v>
      </c>
      <c r="F15" s="556">
        <f>C15+C16-E15</f>
        <v>0</v>
      </c>
      <c r="L15" s="1587" t="s">
        <v>177</v>
      </c>
      <c r="M15" s="1313">
        <v>144426793</v>
      </c>
    </row>
    <row r="16" spans="2:18" ht="15.95" hidden="1" customHeight="1" outlineLevel="1">
      <c r="B16" s="1304" t="s">
        <v>1360</v>
      </c>
      <c r="C16" s="1305">
        <f>SUMIF(CF정산표!$F$179:$F$210,연결CF!B16,CF정산표!$H$179:$H$210)</f>
        <v>0</v>
      </c>
      <c r="D16" s="1305">
        <f t="shared" si="0"/>
        <v>0</v>
      </c>
      <c r="E16" s="556"/>
      <c r="F16" s="556"/>
      <c r="L16" s="1587" t="s">
        <v>3469</v>
      </c>
      <c r="M16" s="1313">
        <v>0</v>
      </c>
    </row>
    <row r="17" spans="2:15" ht="15.95" hidden="1" customHeight="1" outlineLevel="1">
      <c r="B17" s="1304" t="s">
        <v>1800</v>
      </c>
      <c r="C17" s="1305">
        <f>SUMIF(CF정산표!$F$179:$F$210,연결CF!B17,CF정산표!$H$179:$H$210)</f>
        <v>4825402</v>
      </c>
      <c r="D17" s="1305">
        <f t="shared" si="0"/>
        <v>3098042</v>
      </c>
      <c r="E17" s="556">
        <f>연결PL!D81</f>
        <v>4825402</v>
      </c>
      <c r="F17" s="556">
        <f t="shared" ref="F17:F19" si="1">C17-E17</f>
        <v>0</v>
      </c>
      <c r="L17" s="1587" t="s">
        <v>129</v>
      </c>
      <c r="M17" s="1313">
        <v>3098042</v>
      </c>
    </row>
    <row r="18" spans="2:15" ht="15.95" hidden="1" customHeight="1" outlineLevel="1">
      <c r="B18" s="1304" t="s">
        <v>127</v>
      </c>
      <c r="C18" s="1305">
        <f>SUMIF(CF정산표!$F$179:$F$210,연결CF!B18,CF정산표!$H$179:$H$210)</f>
        <v>2</v>
      </c>
      <c r="D18" s="1305">
        <f t="shared" si="0"/>
        <v>58201925</v>
      </c>
      <c r="E18" s="556">
        <f>연결PL!D95</f>
        <v>2</v>
      </c>
      <c r="F18" s="556">
        <f t="shared" si="1"/>
        <v>0</v>
      </c>
      <c r="L18" s="1587" t="s">
        <v>127</v>
      </c>
      <c r="M18" s="1313">
        <v>58201925</v>
      </c>
    </row>
    <row r="19" spans="2:15" ht="15.95" hidden="1" customHeight="1" outlineLevel="1">
      <c r="B19" s="1304" t="s">
        <v>238</v>
      </c>
      <c r="C19" s="1305">
        <f>SUMIF(CF정산표!$F$179:$F$210,연결CF!B19,CF정산표!$H$179:$H$210)</f>
        <v>4983889</v>
      </c>
      <c r="D19" s="1305">
        <f t="shared" si="0"/>
        <v>4894989</v>
      </c>
      <c r="E19" s="556">
        <f>연결PL!D100</f>
        <v>4983889</v>
      </c>
      <c r="F19" s="556">
        <f t="shared" si="1"/>
        <v>0</v>
      </c>
      <c r="L19" s="1587" t="s">
        <v>238</v>
      </c>
      <c r="M19" s="1313">
        <v>4894989</v>
      </c>
    </row>
    <row r="20" spans="2:15" ht="15.95" hidden="1" customHeight="1" outlineLevel="1">
      <c r="B20" s="1304" t="s">
        <v>393</v>
      </c>
      <c r="C20" s="1305">
        <f>SUMIF(CF정산표!$F$179:$F$210,연결CF!B20,CF정산표!$H$179:$H$210)</f>
        <v>37001898</v>
      </c>
      <c r="D20" s="1305">
        <f t="shared" si="0"/>
        <v>34571148</v>
      </c>
      <c r="E20" s="556"/>
      <c r="F20" s="556"/>
      <c r="L20" s="1587" t="s">
        <v>393</v>
      </c>
      <c r="M20" s="1313">
        <v>34571148</v>
      </c>
    </row>
    <row r="21" spans="2:15" ht="15.95" hidden="1" customHeight="1" outlineLevel="1">
      <c r="B21" s="1304" t="s">
        <v>1801</v>
      </c>
      <c r="C21" s="1305">
        <f>SUMIF(CF정산표!$F$179:$F$210,연결CF!B21,CF정산표!$H$179:$H$210)</f>
        <v>0</v>
      </c>
      <c r="D21" s="1305">
        <f t="shared" si="0"/>
        <v>0</v>
      </c>
      <c r="E21" s="556"/>
      <c r="F21" s="556"/>
      <c r="L21" s="1587" t="s">
        <v>1801</v>
      </c>
      <c r="M21" s="1313">
        <v>0</v>
      </c>
    </row>
    <row r="22" spans="2:15" ht="15.95" hidden="1" customHeight="1" outlineLevel="1">
      <c r="B22" s="1304" t="s">
        <v>273</v>
      </c>
      <c r="C22" s="1305">
        <f>SUMIF(CF정산표!$F$179:$F$210,연결CF!B22,CF정산표!$H$179:$H$210)</f>
        <v>0</v>
      </c>
      <c r="D22" s="1305">
        <f t="shared" si="0"/>
        <v>0</v>
      </c>
      <c r="E22" s="556">
        <f>연결PL!D92</f>
        <v>0</v>
      </c>
      <c r="F22" s="556" t="b">
        <f>C22=E22</f>
        <v>1</v>
      </c>
      <c r="L22" s="1587" t="s">
        <v>1311</v>
      </c>
      <c r="M22" s="1313">
        <v>0</v>
      </c>
    </row>
    <row r="23" spans="2:15" ht="15.95" hidden="1" customHeight="1" outlineLevel="1">
      <c r="B23" s="1304" t="s">
        <v>2769</v>
      </c>
      <c r="C23" s="1305">
        <f>SUMIF(CF정산표!$F$179:$F$210,연결CF!B23,CF정산표!$H$179:$H$210)</f>
        <v>-3000000</v>
      </c>
      <c r="D23" s="1305">
        <f t="shared" si="0"/>
        <v>-3000000</v>
      </c>
      <c r="E23" s="556">
        <f>-연결PL!D73</f>
        <v>-3000000</v>
      </c>
      <c r="F23" s="556" t="b">
        <f>C23=E23</f>
        <v>1</v>
      </c>
      <c r="L23" s="1587" t="s">
        <v>2768</v>
      </c>
      <c r="M23" s="1313">
        <v>-3000000</v>
      </c>
    </row>
    <row r="24" spans="2:15" ht="15.95" hidden="1" customHeight="1" outlineLevel="1">
      <c r="B24" s="1304" t="s">
        <v>2680</v>
      </c>
      <c r="C24" s="1305">
        <f>SUMIF(CF정산표!$F$179:$F$210,연결CF!B24,CF정산표!$H$179:$H$210)</f>
        <v>-2067945777</v>
      </c>
      <c r="D24" s="1305">
        <f t="shared" si="0"/>
        <v>0</v>
      </c>
      <c r="E24" s="556"/>
      <c r="F24" s="556"/>
      <c r="L24" s="1587" t="s">
        <v>2661</v>
      </c>
      <c r="M24" s="1313">
        <v>0</v>
      </c>
    </row>
    <row r="25" spans="2:15" ht="15.95" hidden="1" customHeight="1" outlineLevel="1">
      <c r="B25" s="1304" t="s">
        <v>3452</v>
      </c>
      <c r="C25" s="1305">
        <f>SUMIF(CF정산표!$F$179:$F$210,연결CF!B25,CF정산표!$H$179:$H$210)</f>
        <v>2067945777</v>
      </c>
      <c r="D25" s="1305">
        <f t="shared" si="0"/>
        <v>0</v>
      </c>
      <c r="E25" s="556">
        <f>연결PL!D98</f>
        <v>2067945777</v>
      </c>
      <c r="F25" s="556">
        <f>C25-E25</f>
        <v>0</v>
      </c>
      <c r="L25" s="1587" t="s">
        <v>1666</v>
      </c>
      <c r="M25" s="1313">
        <v>0</v>
      </c>
    </row>
    <row r="26" spans="2:15" ht="15.95" hidden="1" customHeight="1" outlineLevel="1">
      <c r="B26" s="1304" t="s">
        <v>881</v>
      </c>
      <c r="C26" s="1305">
        <f>SUMIF(CF정산표!$F$179:$F$210,연결CF!B26,CF정산표!$H$179:$H$210)</f>
        <v>-7948119</v>
      </c>
      <c r="D26" s="1305">
        <f t="shared" si="0"/>
        <v>-2653613</v>
      </c>
      <c r="L26" s="1587" t="s">
        <v>183</v>
      </c>
      <c r="M26" s="1313">
        <v>-2653613</v>
      </c>
    </row>
    <row r="27" spans="2:15" ht="15.95" customHeight="1" collapsed="1">
      <c r="B27" s="1303" t="s">
        <v>1802</v>
      </c>
      <c r="C27" s="1301">
        <f>SUM(C28:C35)</f>
        <v>1226826854</v>
      </c>
      <c r="D27" s="1301">
        <f>SUM(D28:D35)</f>
        <v>-754381735</v>
      </c>
      <c r="E27" s="589">
        <f>CF정산표!N170</f>
        <v>1226826854</v>
      </c>
      <c r="F27" s="556" t="b">
        <f>E27=C27</f>
        <v>1</v>
      </c>
      <c r="L27" s="1586" t="s">
        <v>1802</v>
      </c>
      <c r="M27" s="1731">
        <f>SUM(M28:M35)</f>
        <v>-754381735</v>
      </c>
    </row>
    <row r="28" spans="2:15" ht="15.95" hidden="1" customHeight="1" outlineLevel="1">
      <c r="B28" s="1304" t="s">
        <v>1803</v>
      </c>
      <c r="C28" s="1305">
        <f>SUMIF(CF정산표!$K$179:$K$199,연결CF!B28,CF정산표!$N$179:$N$199)</f>
        <v>502587042</v>
      </c>
      <c r="D28" s="1305">
        <f t="shared" ref="D28:D38" si="2">IFERROR(VLOOKUP(B28,$L$6:$M$65,2,0),)</f>
        <v>-146111841</v>
      </c>
      <c r="L28" s="1587" t="s">
        <v>1803</v>
      </c>
      <c r="M28" s="1313">
        <v>-146111841</v>
      </c>
    </row>
    <row r="29" spans="2:15" ht="15.95" hidden="1" customHeight="1" outlineLevel="1">
      <c r="B29" s="1304" t="s">
        <v>1804</v>
      </c>
      <c r="C29" s="1305">
        <f>SUMIF(CF정산표!$K$179:$K$199,연결CF!B29,CF정산표!$N$179:$N$199)</f>
        <v>433657614</v>
      </c>
      <c r="D29" s="1305">
        <f t="shared" si="2"/>
        <v>-140049917</v>
      </c>
      <c r="L29" s="1587" t="s">
        <v>1804</v>
      </c>
      <c r="M29" s="1313">
        <v>-140049917</v>
      </c>
      <c r="O29" s="690"/>
    </row>
    <row r="30" spans="2:15" ht="15.95" hidden="1" customHeight="1" outlineLevel="1">
      <c r="B30" s="1306" t="s">
        <v>1805</v>
      </c>
      <c r="C30" s="1305">
        <f>SUMIF(CF정산표!$K$179:$K$199,연결CF!B30,CF정산표!$N$179:$N$199)</f>
        <v>-326232101</v>
      </c>
      <c r="D30" s="1305">
        <f t="shared" si="2"/>
        <v>77359122</v>
      </c>
      <c r="L30" s="1588" t="s">
        <v>503</v>
      </c>
      <c r="M30" s="1313">
        <v>77359122</v>
      </c>
      <c r="O30" s="690"/>
    </row>
    <row r="31" spans="2:15" ht="15.95" hidden="1" customHeight="1" outlineLevel="1">
      <c r="B31" s="1306" t="s">
        <v>1806</v>
      </c>
      <c r="C31" s="1305">
        <f>SUMIF(CF정산표!$K$179:$K$199,연결CF!B31,CF정산표!$N$179:$N$199)</f>
        <v>1866250998</v>
      </c>
      <c r="D31" s="1305">
        <f t="shared" si="2"/>
        <v>-456512459</v>
      </c>
      <c r="L31" s="1588" t="s">
        <v>2108</v>
      </c>
      <c r="M31" s="1313">
        <v>-456512459</v>
      </c>
      <c r="O31" s="690"/>
    </row>
    <row r="32" spans="2:15" ht="15.95" hidden="1" customHeight="1" outlineLevel="1">
      <c r="B32" s="1307" t="s">
        <v>1807</v>
      </c>
      <c r="C32" s="1305">
        <f>SUMIF(CF정산표!$K$179:$K$199,연결CF!B32,CF정산표!$N$179:$N$199)</f>
        <v>0</v>
      </c>
      <c r="D32" s="1305">
        <f t="shared" si="2"/>
        <v>0</v>
      </c>
      <c r="L32" s="1589" t="s">
        <v>3470</v>
      </c>
      <c r="M32" s="1313">
        <v>0</v>
      </c>
      <c r="O32" s="690"/>
    </row>
    <row r="33" spans="2:18" ht="15.95" hidden="1" customHeight="1" outlineLevel="1">
      <c r="B33" s="1306" t="s">
        <v>1808</v>
      </c>
      <c r="C33" s="1305">
        <f>SUMIF(CF정산표!$K$179:$K$199,연결CF!B33,CF정산표!$N$179:$N$199)</f>
        <v>-180207725</v>
      </c>
      <c r="D33" s="1305">
        <f t="shared" si="2"/>
        <v>-27252178</v>
      </c>
      <c r="L33" s="1588" t="s">
        <v>2109</v>
      </c>
      <c r="M33" s="1313">
        <v>-27252178</v>
      </c>
      <c r="O33" s="690"/>
    </row>
    <row r="34" spans="2:18" ht="15.95" hidden="1" customHeight="1" outlineLevel="1">
      <c r="B34" s="1306" t="s">
        <v>2753</v>
      </c>
      <c r="C34" s="1305">
        <f>SUMIF(CF정산표!$K$179:$K$199,연결CF!B34,CF정산표!$N$179:$N$199)</f>
        <v>-4380000</v>
      </c>
      <c r="D34" s="1305">
        <f t="shared" si="2"/>
        <v>0</v>
      </c>
      <c r="L34" s="1588" t="s">
        <v>2753</v>
      </c>
      <c r="M34" s="1313">
        <v>0</v>
      </c>
      <c r="O34" s="690"/>
    </row>
    <row r="35" spans="2:18" ht="15.95" hidden="1" customHeight="1" outlineLevel="1">
      <c r="B35" s="1304" t="s">
        <v>1809</v>
      </c>
      <c r="C35" s="1305">
        <f>SUMIF(CF정산표!$K$179:$K$199,연결CF!B35,CF정산표!$N$179:$N$199)</f>
        <v>-1064848974</v>
      </c>
      <c r="D35" s="1305">
        <f t="shared" si="2"/>
        <v>-61814462</v>
      </c>
      <c r="L35" s="1587" t="s">
        <v>2110</v>
      </c>
      <c r="M35" s="1313">
        <v>-61814462</v>
      </c>
    </row>
    <row r="36" spans="2:18" ht="15.95" customHeight="1">
      <c r="B36" s="1302" t="s">
        <v>1810</v>
      </c>
      <c r="C36" s="1301">
        <f>SUMIF(CF정산표!$K$179:$K$199,연결CF!B36,CF정산표!$N$179:$N$199)</f>
        <v>14072249</v>
      </c>
      <c r="D36" s="1301">
        <f t="shared" si="2"/>
        <v>21717532</v>
      </c>
      <c r="L36" s="1585" t="s">
        <v>2507</v>
      </c>
      <c r="M36" s="1731">
        <v>21717532</v>
      </c>
      <c r="O36" s="690"/>
    </row>
    <row r="37" spans="2:18" ht="15.95" customHeight="1">
      <c r="B37" s="1302" t="s">
        <v>1811</v>
      </c>
      <c r="C37" s="1301">
        <f>SUMIF(CF정산표!$K$179:$K$199,연결CF!B37,CF정산표!$N$179:$N$199)</f>
        <v>-91837405</v>
      </c>
      <c r="D37" s="1301">
        <f t="shared" si="2"/>
        <v>-84792594</v>
      </c>
      <c r="L37" s="1585" t="s">
        <v>2506</v>
      </c>
      <c r="M37" s="1731">
        <v>-84792594</v>
      </c>
    </row>
    <row r="38" spans="2:18" ht="15.95" customHeight="1">
      <c r="B38" s="1302" t="s">
        <v>1812</v>
      </c>
      <c r="C38" s="1301">
        <f>SUMIF(CF정산표!$K$179:$K$199,연결CF!B38,CF정산표!$N$179:$N$199)</f>
        <v>3779722</v>
      </c>
      <c r="D38" s="1301">
        <f t="shared" si="2"/>
        <v>2574016</v>
      </c>
      <c r="L38" s="1585" t="s">
        <v>2505</v>
      </c>
      <c r="M38" s="1731">
        <v>2574016</v>
      </c>
    </row>
    <row r="39" spans="2:18" s="690" customFormat="1" ht="15.95" customHeight="1">
      <c r="B39" s="1300" t="s">
        <v>1813</v>
      </c>
      <c r="C39" s="1308">
        <f>C40+C46</f>
        <v>-8347846978</v>
      </c>
      <c r="D39" s="1308">
        <f>D40+D46</f>
        <v>-520360666</v>
      </c>
      <c r="L39" s="1584" t="s">
        <v>1813</v>
      </c>
      <c r="M39" s="1732">
        <f>M40+M46</f>
        <v>-520360666</v>
      </c>
      <c r="N39" s="556">
        <f>M39-D39</f>
        <v>0</v>
      </c>
      <c r="O39" s="589"/>
      <c r="P39" s="589"/>
      <c r="Q39" s="589"/>
      <c r="R39" s="589"/>
    </row>
    <row r="40" spans="2:18" s="690" customFormat="1" ht="15.95" customHeight="1">
      <c r="B40" s="1302" t="s">
        <v>1814</v>
      </c>
      <c r="C40" s="1301">
        <f>SUM(C41:C45)</f>
        <v>18208436</v>
      </c>
      <c r="D40" s="1301">
        <f>SUM(D41:D45)</f>
        <v>28087257</v>
      </c>
      <c r="L40" s="1585" t="s">
        <v>3471</v>
      </c>
      <c r="M40" s="1731">
        <f>SUM(M41:M45)</f>
        <v>28087257</v>
      </c>
      <c r="N40" s="556"/>
      <c r="O40" s="589"/>
      <c r="P40" s="589"/>
      <c r="Q40" s="589"/>
      <c r="R40" s="589"/>
    </row>
    <row r="41" spans="2:18" s="690" customFormat="1" ht="15.95" customHeight="1">
      <c r="B41" s="1304" t="s">
        <v>2597</v>
      </c>
      <c r="C41" s="718">
        <f>CF정산표!T180</f>
        <v>1250001</v>
      </c>
      <c r="D41" s="1305">
        <f>IFERROR(VLOOKUP(B41,$L$6:$M$65,2,0),)</f>
        <v>3333335</v>
      </c>
      <c r="L41" s="1587" t="s">
        <v>3472</v>
      </c>
      <c r="M41" s="988">
        <v>3333335</v>
      </c>
      <c r="O41" s="589"/>
      <c r="P41" s="589"/>
      <c r="Q41" s="589"/>
      <c r="R41" s="589"/>
    </row>
    <row r="42" spans="2:18" s="690" customFormat="1" ht="15.95" customHeight="1">
      <c r="B42" s="1304" t="s">
        <v>2616</v>
      </c>
      <c r="C42" s="718">
        <f>CF정산표!T179</f>
        <v>0</v>
      </c>
      <c r="D42" s="1305">
        <f>IFERROR(VLOOKUP(B42,$L$6:$M$65,2,0),)</f>
        <v>0</v>
      </c>
      <c r="L42" s="1587" t="s">
        <v>2616</v>
      </c>
      <c r="M42" s="988">
        <v>0</v>
      </c>
      <c r="N42" s="561"/>
      <c r="O42" s="589"/>
      <c r="P42" s="589"/>
      <c r="Q42" s="589"/>
      <c r="R42" s="589"/>
    </row>
    <row r="43" spans="2:18" s="690" customFormat="1" ht="15.95" customHeight="1">
      <c r="B43" s="1309" t="s">
        <v>1815</v>
      </c>
      <c r="C43" s="1310">
        <f>CF정산표!T69</f>
        <v>452135</v>
      </c>
      <c r="D43" s="1305">
        <f>IFERROR(VLOOKUP(B43,$L$6:$M$65,2,0),)</f>
        <v>5900000</v>
      </c>
      <c r="L43" s="1587" t="s">
        <v>1815</v>
      </c>
      <c r="M43" s="988">
        <v>5900000</v>
      </c>
      <c r="O43" s="589"/>
      <c r="P43" s="589"/>
      <c r="Q43" s="589"/>
      <c r="R43" s="589"/>
    </row>
    <row r="44" spans="2:18" s="690" customFormat="1" ht="15.95" customHeight="1">
      <c r="B44" s="1311" t="s">
        <v>4017</v>
      </c>
      <c r="C44" s="988">
        <f>CF정산표!T185+CF정산표!T184</f>
        <v>16506300</v>
      </c>
      <c r="D44" s="1305">
        <f>IFERROR(VLOOKUP(B44,$L$6:$M$65,2,0),)</f>
        <v>16853922</v>
      </c>
      <c r="L44" s="1587" t="s">
        <v>4016</v>
      </c>
      <c r="M44" s="988">
        <v>16853922</v>
      </c>
      <c r="O44" s="589"/>
      <c r="P44" s="589"/>
      <c r="Q44" s="589"/>
      <c r="R44" s="589"/>
    </row>
    <row r="45" spans="2:18" ht="15.95" customHeight="1">
      <c r="B45" s="1304" t="s">
        <v>4019</v>
      </c>
      <c r="C45" s="718">
        <v>0</v>
      </c>
      <c r="D45" s="1305">
        <f>IFERROR(VLOOKUP(B45,$L$6:$M$65,2,0),)</f>
        <v>2000000</v>
      </c>
      <c r="E45" s="556"/>
      <c r="L45" s="1587" t="s">
        <v>4018</v>
      </c>
      <c r="M45" s="988">
        <v>2000000</v>
      </c>
      <c r="N45" s="690"/>
    </row>
    <row r="46" spans="2:18" s="690" customFormat="1" ht="15.95" customHeight="1">
      <c r="B46" s="1302" t="s">
        <v>1816</v>
      </c>
      <c r="C46" s="1301">
        <f>-SUM(C47:C52)</f>
        <v>-8366055414</v>
      </c>
      <c r="D46" s="1301">
        <f>-SUM(D47:D52)</f>
        <v>-548447923</v>
      </c>
      <c r="L46" s="1585" t="s">
        <v>3473</v>
      </c>
      <c r="M46" s="1731">
        <f>-SUM(M47:M53)</f>
        <v>-548447923</v>
      </c>
      <c r="N46" s="556"/>
      <c r="P46" s="589"/>
      <c r="Q46" s="589"/>
      <c r="R46" s="589"/>
    </row>
    <row r="47" spans="2:18" ht="15.95" customHeight="1">
      <c r="B47" s="1304" t="s">
        <v>1817</v>
      </c>
      <c r="C47" s="718">
        <v>0</v>
      </c>
      <c r="D47" s="1305">
        <f t="shared" ref="D47:D52" si="3">IFERROR(VLOOKUP(B47,$L$6:$M$65,2,0),)</f>
        <v>0</v>
      </c>
      <c r="L47" s="1587" t="s">
        <v>3603</v>
      </c>
      <c r="M47" s="988">
        <v>0</v>
      </c>
    </row>
    <row r="48" spans="2:18" ht="15.95" customHeight="1">
      <c r="B48" s="1628" t="s">
        <v>3493</v>
      </c>
      <c r="C48" s="1629">
        <f>CF정산표!Q185</f>
        <v>640000</v>
      </c>
      <c r="D48" s="1305">
        <f t="shared" si="3"/>
        <v>0</v>
      </c>
      <c r="L48" s="1587" t="s">
        <v>1817</v>
      </c>
      <c r="M48" s="988">
        <v>0</v>
      </c>
    </row>
    <row r="49" spans="2:18" ht="15.95" customHeight="1">
      <c r="B49" s="1304" t="s">
        <v>2615</v>
      </c>
      <c r="C49" s="718">
        <f>CF정산표!Q184</f>
        <v>6000000</v>
      </c>
      <c r="D49" s="1305">
        <f t="shared" si="3"/>
        <v>0</v>
      </c>
      <c r="L49" s="1587" t="s">
        <v>3604</v>
      </c>
      <c r="M49" s="988">
        <v>0</v>
      </c>
    </row>
    <row r="50" spans="2:18" ht="15.95" customHeight="1">
      <c r="B50" s="1304" t="s">
        <v>1818</v>
      </c>
      <c r="C50" s="718">
        <f>CF정산표!Q182</f>
        <v>940715535</v>
      </c>
      <c r="D50" s="1305">
        <f t="shared" si="3"/>
        <v>548447923</v>
      </c>
      <c r="L50" s="1587" t="s">
        <v>2615</v>
      </c>
      <c r="M50" s="988">
        <v>0</v>
      </c>
    </row>
    <row r="51" spans="2:18" ht="15.95" customHeight="1">
      <c r="B51" s="1304" t="s">
        <v>1819</v>
      </c>
      <c r="C51" s="718">
        <f>CF정산표!Q183</f>
        <v>95882479</v>
      </c>
      <c r="D51" s="1305">
        <f t="shared" si="3"/>
        <v>0</v>
      </c>
      <c r="L51" s="1587" t="s">
        <v>2493</v>
      </c>
      <c r="M51" s="988">
        <v>548447923</v>
      </c>
      <c r="N51" s="690"/>
      <c r="O51" s="690"/>
    </row>
    <row r="52" spans="2:18" ht="15.95" customHeight="1">
      <c r="B52" s="1304" t="s">
        <v>3841</v>
      </c>
      <c r="C52" s="718">
        <f>CF정산표!Q180</f>
        <v>7322817400</v>
      </c>
      <c r="D52" s="1305">
        <f t="shared" si="3"/>
        <v>0</v>
      </c>
      <c r="L52" s="1587" t="s">
        <v>1819</v>
      </c>
      <c r="M52" s="988">
        <v>0</v>
      </c>
    </row>
    <row r="53" spans="2:18" s="690" customFormat="1" ht="15.95" customHeight="1">
      <c r="B53" s="1300" t="s">
        <v>1821</v>
      </c>
      <c r="C53" s="1312">
        <f>C54+C59</f>
        <v>-359236850</v>
      </c>
      <c r="D53" s="1312">
        <f>D54+D59</f>
        <v>-261431357</v>
      </c>
      <c r="L53" s="1587" t="s">
        <v>1820</v>
      </c>
      <c r="M53" s="988">
        <v>0</v>
      </c>
      <c r="N53" s="556">
        <f>M54-D53</f>
        <v>0</v>
      </c>
      <c r="O53" s="589"/>
      <c r="P53" s="589"/>
      <c r="Q53" s="589"/>
      <c r="R53" s="589"/>
    </row>
    <row r="54" spans="2:18" s="690" customFormat="1" ht="15.95" customHeight="1">
      <c r="B54" s="1302" t="s">
        <v>1822</v>
      </c>
      <c r="C54" s="1312">
        <f>SUM(C55:C58)</f>
        <v>0</v>
      </c>
      <c r="D54" s="1312">
        <f>SUM(D55:D58)</f>
        <v>92265834</v>
      </c>
      <c r="L54" s="1584" t="s">
        <v>1821</v>
      </c>
      <c r="M54" s="1733">
        <f>M55+M61</f>
        <v>-261431357</v>
      </c>
      <c r="N54" s="589"/>
      <c r="O54" s="589"/>
      <c r="P54" s="589"/>
      <c r="Q54" s="589"/>
      <c r="R54" s="589"/>
    </row>
    <row r="55" spans="2:18" s="690" customFormat="1" ht="15.95" customHeight="1">
      <c r="B55" s="1304" t="s">
        <v>3006</v>
      </c>
      <c r="C55" s="1305">
        <f>CF정산표!Z183</f>
        <v>0</v>
      </c>
      <c r="D55" s="1305">
        <f>IFERROR(VLOOKUP(B55,$L$6:$M$65,2,0),)</f>
        <v>0</v>
      </c>
      <c r="L55" s="1585" t="s">
        <v>1822</v>
      </c>
      <c r="M55" s="1733">
        <f>SUM(M56:M60)</f>
        <v>92265834</v>
      </c>
      <c r="N55" s="589"/>
      <c r="O55" s="589"/>
      <c r="P55" s="589"/>
      <c r="Q55" s="589"/>
      <c r="R55" s="589"/>
    </row>
    <row r="56" spans="2:18" ht="15.95" customHeight="1">
      <c r="B56" s="1304" t="s">
        <v>1823</v>
      </c>
      <c r="C56" s="1305">
        <f>CF정산표!Z179</f>
        <v>0</v>
      </c>
      <c r="D56" s="1305">
        <f>IFERROR(VLOOKUP(B56,$L$6:$M$65,2,0),)</f>
        <v>0</v>
      </c>
      <c r="L56" s="1587" t="s">
        <v>1823</v>
      </c>
      <c r="M56" s="1313">
        <v>0</v>
      </c>
    </row>
    <row r="57" spans="2:18" ht="15.95" customHeight="1">
      <c r="B57" s="1311" t="s">
        <v>1824</v>
      </c>
      <c r="C57" s="1313">
        <f>CF정산표!Z180</f>
        <v>0</v>
      </c>
      <c r="D57" s="1305">
        <f>IFERROR(VLOOKUP(B57,$L$6:$M$65,2,0),)</f>
        <v>0</v>
      </c>
      <c r="L57" s="1587" t="s">
        <v>2504</v>
      </c>
      <c r="M57" s="1313">
        <v>0</v>
      </c>
    </row>
    <row r="58" spans="2:18" ht="15.95" customHeight="1">
      <c r="B58" s="1311" t="s">
        <v>2596</v>
      </c>
      <c r="C58" s="1313">
        <f>CF정산표!Z182</f>
        <v>0</v>
      </c>
      <c r="D58" s="1305">
        <f>IFERROR(VLOOKUP(B58,$L$6:$M$65,2,0),)</f>
        <v>92265834</v>
      </c>
      <c r="L58" s="1587" t="s">
        <v>598</v>
      </c>
      <c r="M58" s="1313">
        <v>0</v>
      </c>
    </row>
    <row r="59" spans="2:18" ht="15.95" customHeight="1">
      <c r="B59" s="1302" t="s">
        <v>1825</v>
      </c>
      <c r="C59" s="1312">
        <f>-SUM(C60:C62)</f>
        <v>-359236850</v>
      </c>
      <c r="D59" s="1312">
        <f>-SUM(D60:D62)</f>
        <v>-353697191</v>
      </c>
      <c r="E59" s="690"/>
      <c r="F59" s="690"/>
      <c r="G59" s="690"/>
      <c r="H59" s="690"/>
      <c r="L59" s="1587" t="s">
        <v>2504</v>
      </c>
      <c r="M59" s="1313">
        <v>0</v>
      </c>
    </row>
    <row r="60" spans="2:18" ht="15.95" customHeight="1">
      <c r="B60" s="1304" t="s">
        <v>1826</v>
      </c>
      <c r="C60" s="1305">
        <f>CF정산표!W180</f>
        <v>0</v>
      </c>
      <c r="D60" s="1305">
        <f>IFERROR(VLOOKUP(B60,$L$6:$M$65,2,0),)</f>
        <v>0</v>
      </c>
      <c r="L60" s="1587" t="s">
        <v>2595</v>
      </c>
      <c r="M60" s="1313">
        <v>92265834</v>
      </c>
    </row>
    <row r="61" spans="2:18" s="690" customFormat="1" ht="15.95" customHeight="1">
      <c r="B61" s="1304" t="s">
        <v>1827</v>
      </c>
      <c r="C61" s="1305">
        <f>CF정산표!W179</f>
        <v>275936850</v>
      </c>
      <c r="D61" s="1305">
        <f>IFERROR(VLOOKUP(B61,$L$6:$M$65,2,0),)</f>
        <v>303717191</v>
      </c>
      <c r="E61" s="589"/>
      <c r="F61" s="589"/>
      <c r="G61" s="589"/>
      <c r="H61" s="589"/>
      <c r="L61" s="1585" t="s">
        <v>1825</v>
      </c>
      <c r="M61" s="1733">
        <f>-SUM(M62:M64)</f>
        <v>-353697191</v>
      </c>
      <c r="N61" s="589"/>
      <c r="O61" s="589"/>
      <c r="P61" s="589"/>
      <c r="Q61" s="589"/>
      <c r="R61" s="589"/>
    </row>
    <row r="62" spans="2:18" ht="15.95" customHeight="1">
      <c r="B62" s="1304" t="s">
        <v>1828</v>
      </c>
      <c r="C62" s="1305">
        <f>CF정산표!W181</f>
        <v>83300000</v>
      </c>
      <c r="D62" s="1305">
        <f>IFERROR(VLOOKUP(B62,$L$6:$M$65,2,0),)</f>
        <v>49980000</v>
      </c>
      <c r="L62" s="1587" t="s">
        <v>3474</v>
      </c>
      <c r="M62" s="1313">
        <v>0</v>
      </c>
    </row>
    <row r="63" spans="2:18" ht="15.95" customHeight="1">
      <c r="B63" s="1300" t="s">
        <v>1829</v>
      </c>
      <c r="C63" s="1301">
        <f>CF정산표!AC11+CF정산표!H11-CF정산표!K11</f>
        <v>-13318794</v>
      </c>
      <c r="D63" s="1301">
        <f>IFERROR(VLOOKUP(B63,$L$6:$M$68,2,0),)</f>
        <v>13508450</v>
      </c>
      <c r="E63" s="690"/>
      <c r="F63" s="690"/>
      <c r="G63" s="690"/>
      <c r="H63" s="690"/>
      <c r="L63" s="1587" t="s">
        <v>2453</v>
      </c>
      <c r="M63" s="1313">
        <v>303717191</v>
      </c>
    </row>
    <row r="64" spans="2:18" ht="15.95" customHeight="1">
      <c r="B64" s="1300" t="s">
        <v>1830</v>
      </c>
      <c r="C64" s="1301">
        <f>C2+C39+C53+C63</f>
        <v>-7518107229</v>
      </c>
      <c r="D64" s="1301">
        <f>D2+D39+D53+D63</f>
        <v>415598695</v>
      </c>
      <c r="E64" s="690"/>
      <c r="F64" s="690"/>
      <c r="G64" s="690"/>
      <c r="H64" s="690"/>
      <c r="L64" s="1587" t="s">
        <v>2500</v>
      </c>
      <c r="M64" s="1313">
        <v>49980000</v>
      </c>
    </row>
    <row r="65" spans="2:18" s="690" customFormat="1" ht="15.95" customHeight="1">
      <c r="B65" s="1300" t="s">
        <v>1831</v>
      </c>
      <c r="C65" s="1301">
        <f>연결BS!E4</f>
        <v>19371699448</v>
      </c>
      <c r="D65" s="1301">
        <v>2245118706</v>
      </c>
      <c r="F65" s="561"/>
      <c r="L65" s="1584" t="s">
        <v>2985</v>
      </c>
      <c r="M65" s="1731">
        <v>13508450</v>
      </c>
      <c r="N65" s="589"/>
      <c r="O65" s="589"/>
      <c r="P65" s="589"/>
      <c r="Q65" s="589"/>
      <c r="R65" s="589"/>
    </row>
    <row r="66" spans="2:18" s="690" customFormat="1" ht="15.95" customHeight="1">
      <c r="B66" s="1300" t="s">
        <v>1832</v>
      </c>
      <c r="C66" s="1301">
        <f>SUM(C64:C65)</f>
        <v>11853592219</v>
      </c>
      <c r="D66" s="1301">
        <f>SUM(D64:D65)</f>
        <v>2660717401</v>
      </c>
      <c r="L66" s="1584" t="s">
        <v>3475</v>
      </c>
      <c r="M66" s="1731">
        <f>M2+M39+M54+M65</f>
        <v>415598695</v>
      </c>
      <c r="N66" s="589"/>
      <c r="O66" s="589"/>
      <c r="P66" s="589"/>
      <c r="Q66" s="589"/>
      <c r="R66" s="589"/>
    </row>
    <row r="67" spans="2:18" s="690" customFormat="1" ht="15.95" customHeight="1">
      <c r="B67" s="589"/>
      <c r="C67" s="1314">
        <f>연결BS!D4</f>
        <v>11853592219</v>
      </c>
      <c r="D67" s="1314">
        <f>M68</f>
        <v>2660717401</v>
      </c>
      <c r="E67" s="589"/>
      <c r="F67" s="589"/>
      <c r="G67" s="589"/>
      <c r="H67" s="589"/>
      <c r="L67" s="1584" t="s">
        <v>3476</v>
      </c>
      <c r="M67" s="1731">
        <v>2245118706</v>
      </c>
      <c r="N67" s="589"/>
      <c r="O67" s="589"/>
      <c r="P67" s="589"/>
      <c r="Q67" s="589"/>
    </row>
    <row r="68" spans="2:18" s="690" customFormat="1" ht="15.95" customHeight="1">
      <c r="B68" s="589"/>
      <c r="C68" s="556">
        <f>C66-C67</f>
        <v>0</v>
      </c>
      <c r="D68" s="556">
        <f>D66-D67</f>
        <v>0</v>
      </c>
      <c r="E68" s="589"/>
      <c r="F68" s="589"/>
      <c r="G68" s="589"/>
      <c r="H68" s="589"/>
      <c r="L68" s="1584" t="s">
        <v>3477</v>
      </c>
      <c r="M68" s="1731">
        <f>SUM(M66:M67)</f>
        <v>2660717401</v>
      </c>
      <c r="N68" s="589"/>
      <c r="O68" s="589"/>
      <c r="P68" s="589"/>
      <c r="Q68" s="589"/>
    </row>
    <row r="69" spans="2:18" ht="15.95" customHeight="1">
      <c r="C69" s="556" t="b">
        <f>C67=C66</f>
        <v>1</v>
      </c>
      <c r="D69" s="556" t="b">
        <f>D67=D66</f>
        <v>1</v>
      </c>
    </row>
  </sheetData>
  <phoneticPr fontId="3" type="noConversion"/>
  <pageMargins left="0.7" right="0.7" top="0.75" bottom="0.75" header="0.3" footer="0.3"/>
  <pageSetup paperSize="9" scale="93" orientation="portrait" r:id="rId1"/>
  <extLst>
    <ext xmlns:x14="http://schemas.microsoft.com/office/spreadsheetml/2009/9/main" uri="{78C0D931-6437-407d-A8EE-F0AAD7539E65}">
      <x14:conditionalFormattings>
        <x14:conditionalFormatting xmlns:xm="http://schemas.microsoft.com/office/excel/2006/main">
          <x14:cfRule type="containsText" priority="5" operator="containsText" id="{C5DB7AD1-3C6E-4DBB-9430-188E3FE0965F}">
            <xm:f>NOT(ISERROR(SEARCH("true",A1)))</xm:f>
            <xm:f>"true"</xm:f>
            <x14:dxf>
              <fill>
                <patternFill>
                  <bgColor theme="9" tint="0.79998168889431442"/>
                </patternFill>
              </fill>
            </x14:dxf>
          </x14:cfRule>
          <x14:cfRule type="containsText" priority="6" operator="containsText" id="{F606660A-553B-4BFE-AC4C-12600395CC9C}">
            <xm:f>NOT(ISERROR(SEARCH("False",A1)))</xm:f>
            <xm:f>"False"</xm:f>
            <x14:dxf>
              <fill>
                <patternFill>
                  <bgColor rgb="FFC00000"/>
                </patternFill>
              </fill>
            </x14:dxf>
          </x14:cfRule>
          <xm:sqref>A1:XFD1 R1:R66 P1:Q68 N2:XFD5 A2:L19 D6:D26 N6:O26 R6:XFD61 A20:K54 O27:O67 N39:N49 N51:O68 A55:D55 E55:K56 A56:C56 D56:D58 B57:C58 E57:H58 A57:A1048576 I57:K1048576 B59:H65 P62:XFD1048576 B66:D66 G66:H66 B67:H1048576 L69:O1048576</xm:sqref>
        </x14:conditionalFormatting>
        <x14:conditionalFormatting xmlns:xm="http://schemas.microsoft.com/office/excel/2006/main">
          <x14:cfRule type="containsText" priority="3" operator="containsText" id="{24323D61-08FC-411C-BE42-A85CB151A64A}">
            <xm:f>NOT(ISERROR(SEARCH("true",L20)))</xm:f>
            <xm:f>"true"</xm:f>
            <x14:dxf>
              <fill>
                <patternFill>
                  <bgColor theme="9" tint="0.79998168889431442"/>
                </patternFill>
              </fill>
            </x14:dxf>
          </x14:cfRule>
          <x14:cfRule type="containsText" priority="4" operator="containsText" id="{5BE85604-3418-4C0D-BFF7-510274ED90F8}">
            <xm:f>NOT(ISERROR(SEARCH("False",L20)))</xm:f>
            <xm:f>"False"</xm:f>
            <x14:dxf>
              <fill>
                <patternFill>
                  <bgColor rgb="FFC00000"/>
                </patternFill>
              </fill>
            </x14:dxf>
          </x14:cfRule>
          <xm:sqref>L20:L68</xm:sqref>
        </x14:conditionalFormatting>
        <x14:conditionalFormatting xmlns:xm="http://schemas.microsoft.com/office/excel/2006/main">
          <x14:cfRule type="containsText" priority="1" operator="containsText" id="{055C2F31-F469-424D-BA25-ED5BDF677BB7}">
            <xm:f>NOT(ISERROR(SEARCH("true",M2)))</xm:f>
            <xm:f>"true"</xm:f>
            <x14:dxf>
              <fill>
                <patternFill>
                  <bgColor theme="9" tint="0.79998168889431442"/>
                </patternFill>
              </fill>
            </x14:dxf>
          </x14:cfRule>
          <x14:cfRule type="containsText" priority="2" operator="containsText" id="{67948BBB-2BBE-4748-B0A6-1F747F36BA5D}">
            <xm:f>NOT(ISERROR(SEARCH("False",M2)))</xm:f>
            <xm:f>"False"</xm:f>
            <x14:dxf>
              <fill>
                <patternFill>
                  <bgColor rgb="FFC00000"/>
                </patternFill>
              </fill>
            </x14:dxf>
          </x14:cfRule>
          <xm:sqref>M2:M68</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32">
    <tabColor theme="1"/>
  </sheetPr>
  <dimension ref="B2:M59"/>
  <sheetViews>
    <sheetView showGridLines="0" zoomScale="115" zoomScaleNormal="115" workbookViewId="0">
      <selection activeCell="C18" sqref="C18:H18"/>
    </sheetView>
  </sheetViews>
  <sheetFormatPr defaultRowHeight="15" customHeight="1"/>
  <cols>
    <col min="1" max="1" width="3.125" style="589" customWidth="1"/>
    <col min="2" max="2" width="29.125" style="589" customWidth="1"/>
    <col min="3" max="8" width="15.625" style="589" customWidth="1"/>
    <col min="9" max="9" width="13.5" style="615" customWidth="1"/>
    <col min="10" max="10" width="14" style="589" customWidth="1"/>
    <col min="11" max="12" width="10.125" style="589" customWidth="1"/>
    <col min="13" max="13" width="10.625" style="589" bestFit="1" customWidth="1"/>
    <col min="14" max="257" width="9" style="589"/>
    <col min="258" max="258" width="3.125" style="589" customWidth="1"/>
    <col min="259" max="259" width="26.125" style="589" customWidth="1"/>
    <col min="260" max="264" width="15.625" style="589" customWidth="1"/>
    <col min="265" max="265" width="12.125" style="589" customWidth="1"/>
    <col min="266" max="268" width="10.125" style="589" customWidth="1"/>
    <col min="269" max="269" width="10.625" style="589" bestFit="1" customWidth="1"/>
    <col min="270" max="513" width="9" style="589"/>
    <col min="514" max="514" width="3.125" style="589" customWidth="1"/>
    <col min="515" max="515" width="26.125" style="589" customWidth="1"/>
    <col min="516" max="520" width="15.625" style="589" customWidth="1"/>
    <col min="521" max="521" width="12.125" style="589" customWidth="1"/>
    <col min="522" max="524" width="10.125" style="589" customWidth="1"/>
    <col min="525" max="525" width="10.625" style="589" bestFit="1" customWidth="1"/>
    <col min="526" max="769" width="9" style="589"/>
    <col min="770" max="770" width="3.125" style="589" customWidth="1"/>
    <col min="771" max="771" width="26.125" style="589" customWidth="1"/>
    <col min="772" max="776" width="15.625" style="589" customWidth="1"/>
    <col min="777" max="777" width="12.125" style="589" customWidth="1"/>
    <col min="778" max="780" width="10.125" style="589" customWidth="1"/>
    <col min="781" max="781" width="10.625" style="589" bestFit="1" customWidth="1"/>
    <col min="782" max="1025" width="9" style="589"/>
    <col min="1026" max="1026" width="3.125" style="589" customWidth="1"/>
    <col min="1027" max="1027" width="26.125" style="589" customWidth="1"/>
    <col min="1028" max="1032" width="15.625" style="589" customWidth="1"/>
    <col min="1033" max="1033" width="12.125" style="589" customWidth="1"/>
    <col min="1034" max="1036" width="10.125" style="589" customWidth="1"/>
    <col min="1037" max="1037" width="10.625" style="589" bestFit="1" customWidth="1"/>
    <col min="1038" max="1281" width="9" style="589"/>
    <col min="1282" max="1282" width="3.125" style="589" customWidth="1"/>
    <col min="1283" max="1283" width="26.125" style="589" customWidth="1"/>
    <col min="1284" max="1288" width="15.625" style="589" customWidth="1"/>
    <col min="1289" max="1289" width="12.125" style="589" customWidth="1"/>
    <col min="1290" max="1292" width="10.125" style="589" customWidth="1"/>
    <col min="1293" max="1293" width="10.625" style="589" bestFit="1" customWidth="1"/>
    <col min="1294" max="1537" width="9" style="589"/>
    <col min="1538" max="1538" width="3.125" style="589" customWidth="1"/>
    <col min="1539" max="1539" width="26.125" style="589" customWidth="1"/>
    <col min="1540" max="1544" width="15.625" style="589" customWidth="1"/>
    <col min="1545" max="1545" width="12.125" style="589" customWidth="1"/>
    <col min="1546" max="1548" width="10.125" style="589" customWidth="1"/>
    <col min="1549" max="1549" width="10.625" style="589" bestFit="1" customWidth="1"/>
    <col min="1550" max="1793" width="9" style="589"/>
    <col min="1794" max="1794" width="3.125" style="589" customWidth="1"/>
    <col min="1795" max="1795" width="26.125" style="589" customWidth="1"/>
    <col min="1796" max="1800" width="15.625" style="589" customWidth="1"/>
    <col min="1801" max="1801" width="12.125" style="589" customWidth="1"/>
    <col min="1802" max="1804" width="10.125" style="589" customWidth="1"/>
    <col min="1805" max="1805" width="10.625" style="589" bestFit="1" customWidth="1"/>
    <col min="1806" max="2049" width="9" style="589"/>
    <col min="2050" max="2050" width="3.125" style="589" customWidth="1"/>
    <col min="2051" max="2051" width="26.125" style="589" customWidth="1"/>
    <col min="2052" max="2056" width="15.625" style="589" customWidth="1"/>
    <col min="2057" max="2057" width="12.125" style="589" customWidth="1"/>
    <col min="2058" max="2060" width="10.125" style="589" customWidth="1"/>
    <col min="2061" max="2061" width="10.625" style="589" bestFit="1" customWidth="1"/>
    <col min="2062" max="2305" width="9" style="589"/>
    <col min="2306" max="2306" width="3.125" style="589" customWidth="1"/>
    <col min="2307" max="2307" width="26.125" style="589" customWidth="1"/>
    <col min="2308" max="2312" width="15.625" style="589" customWidth="1"/>
    <col min="2313" max="2313" width="12.125" style="589" customWidth="1"/>
    <col min="2314" max="2316" width="10.125" style="589" customWidth="1"/>
    <col min="2317" max="2317" width="10.625" style="589" bestFit="1" customWidth="1"/>
    <col min="2318" max="2561" width="9" style="589"/>
    <col min="2562" max="2562" width="3.125" style="589" customWidth="1"/>
    <col min="2563" max="2563" width="26.125" style="589" customWidth="1"/>
    <col min="2564" max="2568" width="15.625" style="589" customWidth="1"/>
    <col min="2569" max="2569" width="12.125" style="589" customWidth="1"/>
    <col min="2570" max="2572" width="10.125" style="589" customWidth="1"/>
    <col min="2573" max="2573" width="10.625" style="589" bestFit="1" customWidth="1"/>
    <col min="2574" max="2817" width="9" style="589"/>
    <col min="2818" max="2818" width="3.125" style="589" customWidth="1"/>
    <col min="2819" max="2819" width="26.125" style="589" customWidth="1"/>
    <col min="2820" max="2824" width="15.625" style="589" customWidth="1"/>
    <col min="2825" max="2825" width="12.125" style="589" customWidth="1"/>
    <col min="2826" max="2828" width="10.125" style="589" customWidth="1"/>
    <col min="2829" max="2829" width="10.625" style="589" bestFit="1" customWidth="1"/>
    <col min="2830" max="3073" width="9" style="589"/>
    <col min="3074" max="3074" width="3.125" style="589" customWidth="1"/>
    <col min="3075" max="3075" width="26.125" style="589" customWidth="1"/>
    <col min="3076" max="3080" width="15.625" style="589" customWidth="1"/>
    <col min="3081" max="3081" width="12.125" style="589" customWidth="1"/>
    <col min="3082" max="3084" width="10.125" style="589" customWidth="1"/>
    <col min="3085" max="3085" width="10.625" style="589" bestFit="1" customWidth="1"/>
    <col min="3086" max="3329" width="9" style="589"/>
    <col min="3330" max="3330" width="3.125" style="589" customWidth="1"/>
    <col min="3331" max="3331" width="26.125" style="589" customWidth="1"/>
    <col min="3332" max="3336" width="15.625" style="589" customWidth="1"/>
    <col min="3337" max="3337" width="12.125" style="589" customWidth="1"/>
    <col min="3338" max="3340" width="10.125" style="589" customWidth="1"/>
    <col min="3341" max="3341" width="10.625" style="589" bestFit="1" customWidth="1"/>
    <col min="3342" max="3585" width="9" style="589"/>
    <col min="3586" max="3586" width="3.125" style="589" customWidth="1"/>
    <col min="3587" max="3587" width="26.125" style="589" customWidth="1"/>
    <col min="3588" max="3592" width="15.625" style="589" customWidth="1"/>
    <col min="3593" max="3593" width="12.125" style="589" customWidth="1"/>
    <col min="3594" max="3596" width="10.125" style="589" customWidth="1"/>
    <col min="3597" max="3597" width="10.625" style="589" bestFit="1" customWidth="1"/>
    <col min="3598" max="3841" width="9" style="589"/>
    <col min="3842" max="3842" width="3.125" style="589" customWidth="1"/>
    <col min="3843" max="3843" width="26.125" style="589" customWidth="1"/>
    <col min="3844" max="3848" width="15.625" style="589" customWidth="1"/>
    <col min="3849" max="3849" width="12.125" style="589" customWidth="1"/>
    <col min="3850" max="3852" width="10.125" style="589" customWidth="1"/>
    <col min="3853" max="3853" width="10.625" style="589" bestFit="1" customWidth="1"/>
    <col min="3854" max="4097" width="9" style="589"/>
    <col min="4098" max="4098" width="3.125" style="589" customWidth="1"/>
    <col min="4099" max="4099" width="26.125" style="589" customWidth="1"/>
    <col min="4100" max="4104" width="15.625" style="589" customWidth="1"/>
    <col min="4105" max="4105" width="12.125" style="589" customWidth="1"/>
    <col min="4106" max="4108" width="10.125" style="589" customWidth="1"/>
    <col min="4109" max="4109" width="10.625" style="589" bestFit="1" customWidth="1"/>
    <col min="4110" max="4353" width="9" style="589"/>
    <col min="4354" max="4354" width="3.125" style="589" customWidth="1"/>
    <col min="4355" max="4355" width="26.125" style="589" customWidth="1"/>
    <col min="4356" max="4360" width="15.625" style="589" customWidth="1"/>
    <col min="4361" max="4361" width="12.125" style="589" customWidth="1"/>
    <col min="4362" max="4364" width="10.125" style="589" customWidth="1"/>
    <col min="4365" max="4365" width="10.625" style="589" bestFit="1" customWidth="1"/>
    <col min="4366" max="4609" width="9" style="589"/>
    <col min="4610" max="4610" width="3.125" style="589" customWidth="1"/>
    <col min="4611" max="4611" width="26.125" style="589" customWidth="1"/>
    <col min="4612" max="4616" width="15.625" style="589" customWidth="1"/>
    <col min="4617" max="4617" width="12.125" style="589" customWidth="1"/>
    <col min="4618" max="4620" width="10.125" style="589" customWidth="1"/>
    <col min="4621" max="4621" width="10.625" style="589" bestFit="1" customWidth="1"/>
    <col min="4622" max="4865" width="9" style="589"/>
    <col min="4866" max="4866" width="3.125" style="589" customWidth="1"/>
    <col min="4867" max="4867" width="26.125" style="589" customWidth="1"/>
    <col min="4868" max="4872" width="15.625" style="589" customWidth="1"/>
    <col min="4873" max="4873" width="12.125" style="589" customWidth="1"/>
    <col min="4874" max="4876" width="10.125" style="589" customWidth="1"/>
    <col min="4877" max="4877" width="10.625" style="589" bestFit="1" customWidth="1"/>
    <col min="4878" max="5121" width="9" style="589"/>
    <col min="5122" max="5122" width="3.125" style="589" customWidth="1"/>
    <col min="5123" max="5123" width="26.125" style="589" customWidth="1"/>
    <col min="5124" max="5128" width="15.625" style="589" customWidth="1"/>
    <col min="5129" max="5129" width="12.125" style="589" customWidth="1"/>
    <col min="5130" max="5132" width="10.125" style="589" customWidth="1"/>
    <col min="5133" max="5133" width="10.625" style="589" bestFit="1" customWidth="1"/>
    <col min="5134" max="5377" width="9" style="589"/>
    <col min="5378" max="5378" width="3.125" style="589" customWidth="1"/>
    <col min="5379" max="5379" width="26.125" style="589" customWidth="1"/>
    <col min="5380" max="5384" width="15.625" style="589" customWidth="1"/>
    <col min="5385" max="5385" width="12.125" style="589" customWidth="1"/>
    <col min="5386" max="5388" width="10.125" style="589" customWidth="1"/>
    <col min="5389" max="5389" width="10.625" style="589" bestFit="1" customWidth="1"/>
    <col min="5390" max="5633" width="9" style="589"/>
    <col min="5634" max="5634" width="3.125" style="589" customWidth="1"/>
    <col min="5635" max="5635" width="26.125" style="589" customWidth="1"/>
    <col min="5636" max="5640" width="15.625" style="589" customWidth="1"/>
    <col min="5641" max="5641" width="12.125" style="589" customWidth="1"/>
    <col min="5642" max="5644" width="10.125" style="589" customWidth="1"/>
    <col min="5645" max="5645" width="10.625" style="589" bestFit="1" customWidth="1"/>
    <col min="5646" max="5889" width="9" style="589"/>
    <col min="5890" max="5890" width="3.125" style="589" customWidth="1"/>
    <col min="5891" max="5891" width="26.125" style="589" customWidth="1"/>
    <col min="5892" max="5896" width="15.625" style="589" customWidth="1"/>
    <col min="5897" max="5897" width="12.125" style="589" customWidth="1"/>
    <col min="5898" max="5900" width="10.125" style="589" customWidth="1"/>
    <col min="5901" max="5901" width="10.625" style="589" bestFit="1" customWidth="1"/>
    <col min="5902" max="6145" width="9" style="589"/>
    <col min="6146" max="6146" width="3.125" style="589" customWidth="1"/>
    <col min="6147" max="6147" width="26.125" style="589" customWidth="1"/>
    <col min="6148" max="6152" width="15.625" style="589" customWidth="1"/>
    <col min="6153" max="6153" width="12.125" style="589" customWidth="1"/>
    <col min="6154" max="6156" width="10.125" style="589" customWidth="1"/>
    <col min="6157" max="6157" width="10.625" style="589" bestFit="1" customWidth="1"/>
    <col min="6158" max="6401" width="9" style="589"/>
    <col min="6402" max="6402" width="3.125" style="589" customWidth="1"/>
    <col min="6403" max="6403" width="26.125" style="589" customWidth="1"/>
    <col min="6404" max="6408" width="15.625" style="589" customWidth="1"/>
    <col min="6409" max="6409" width="12.125" style="589" customWidth="1"/>
    <col min="6410" max="6412" width="10.125" style="589" customWidth="1"/>
    <col min="6413" max="6413" width="10.625" style="589" bestFit="1" customWidth="1"/>
    <col min="6414" max="6657" width="9" style="589"/>
    <col min="6658" max="6658" width="3.125" style="589" customWidth="1"/>
    <col min="6659" max="6659" width="26.125" style="589" customWidth="1"/>
    <col min="6660" max="6664" width="15.625" style="589" customWidth="1"/>
    <col min="6665" max="6665" width="12.125" style="589" customWidth="1"/>
    <col min="6666" max="6668" width="10.125" style="589" customWidth="1"/>
    <col min="6669" max="6669" width="10.625" style="589" bestFit="1" customWidth="1"/>
    <col min="6670" max="6913" width="9" style="589"/>
    <col min="6914" max="6914" width="3.125" style="589" customWidth="1"/>
    <col min="6915" max="6915" width="26.125" style="589" customWidth="1"/>
    <col min="6916" max="6920" width="15.625" style="589" customWidth="1"/>
    <col min="6921" max="6921" width="12.125" style="589" customWidth="1"/>
    <col min="6922" max="6924" width="10.125" style="589" customWidth="1"/>
    <col min="6925" max="6925" width="10.625" style="589" bestFit="1" customWidth="1"/>
    <col min="6926" max="7169" width="9" style="589"/>
    <col min="7170" max="7170" width="3.125" style="589" customWidth="1"/>
    <col min="7171" max="7171" width="26.125" style="589" customWidth="1"/>
    <col min="7172" max="7176" width="15.625" style="589" customWidth="1"/>
    <col min="7177" max="7177" width="12.125" style="589" customWidth="1"/>
    <col min="7178" max="7180" width="10.125" style="589" customWidth="1"/>
    <col min="7181" max="7181" width="10.625" style="589" bestFit="1" customWidth="1"/>
    <col min="7182" max="7425" width="9" style="589"/>
    <col min="7426" max="7426" width="3.125" style="589" customWidth="1"/>
    <col min="7427" max="7427" width="26.125" style="589" customWidth="1"/>
    <col min="7428" max="7432" width="15.625" style="589" customWidth="1"/>
    <col min="7433" max="7433" width="12.125" style="589" customWidth="1"/>
    <col min="7434" max="7436" width="10.125" style="589" customWidth="1"/>
    <col min="7437" max="7437" width="10.625" style="589" bestFit="1" customWidth="1"/>
    <col min="7438" max="7681" width="9" style="589"/>
    <col min="7682" max="7682" width="3.125" style="589" customWidth="1"/>
    <col min="7683" max="7683" width="26.125" style="589" customWidth="1"/>
    <col min="7684" max="7688" width="15.625" style="589" customWidth="1"/>
    <col min="7689" max="7689" width="12.125" style="589" customWidth="1"/>
    <col min="7690" max="7692" width="10.125" style="589" customWidth="1"/>
    <col min="7693" max="7693" width="10.625" style="589" bestFit="1" customWidth="1"/>
    <col min="7694" max="7937" width="9" style="589"/>
    <col min="7938" max="7938" width="3.125" style="589" customWidth="1"/>
    <col min="7939" max="7939" width="26.125" style="589" customWidth="1"/>
    <col min="7940" max="7944" width="15.625" style="589" customWidth="1"/>
    <col min="7945" max="7945" width="12.125" style="589" customWidth="1"/>
    <col min="7946" max="7948" width="10.125" style="589" customWidth="1"/>
    <col min="7949" max="7949" width="10.625" style="589" bestFit="1" customWidth="1"/>
    <col min="7950" max="8193" width="9" style="589"/>
    <col min="8194" max="8194" width="3.125" style="589" customWidth="1"/>
    <col min="8195" max="8195" width="26.125" style="589" customWidth="1"/>
    <col min="8196" max="8200" width="15.625" style="589" customWidth="1"/>
    <col min="8201" max="8201" width="12.125" style="589" customWidth="1"/>
    <col min="8202" max="8204" width="10.125" style="589" customWidth="1"/>
    <col min="8205" max="8205" width="10.625" style="589" bestFit="1" customWidth="1"/>
    <col min="8206" max="8449" width="9" style="589"/>
    <col min="8450" max="8450" width="3.125" style="589" customWidth="1"/>
    <col min="8451" max="8451" width="26.125" style="589" customWidth="1"/>
    <col min="8452" max="8456" width="15.625" style="589" customWidth="1"/>
    <col min="8457" max="8457" width="12.125" style="589" customWidth="1"/>
    <col min="8458" max="8460" width="10.125" style="589" customWidth="1"/>
    <col min="8461" max="8461" width="10.625" style="589" bestFit="1" customWidth="1"/>
    <col min="8462" max="8705" width="9" style="589"/>
    <col min="8706" max="8706" width="3.125" style="589" customWidth="1"/>
    <col min="8707" max="8707" width="26.125" style="589" customWidth="1"/>
    <col min="8708" max="8712" width="15.625" style="589" customWidth="1"/>
    <col min="8713" max="8713" width="12.125" style="589" customWidth="1"/>
    <col min="8714" max="8716" width="10.125" style="589" customWidth="1"/>
    <col min="8717" max="8717" width="10.625" style="589" bestFit="1" customWidth="1"/>
    <col min="8718" max="8961" width="9" style="589"/>
    <col min="8962" max="8962" width="3.125" style="589" customWidth="1"/>
    <col min="8963" max="8963" width="26.125" style="589" customWidth="1"/>
    <col min="8964" max="8968" width="15.625" style="589" customWidth="1"/>
    <col min="8969" max="8969" width="12.125" style="589" customWidth="1"/>
    <col min="8970" max="8972" width="10.125" style="589" customWidth="1"/>
    <col min="8973" max="8973" width="10.625" style="589" bestFit="1" customWidth="1"/>
    <col min="8974" max="9217" width="9" style="589"/>
    <col min="9218" max="9218" width="3.125" style="589" customWidth="1"/>
    <col min="9219" max="9219" width="26.125" style="589" customWidth="1"/>
    <col min="9220" max="9224" width="15.625" style="589" customWidth="1"/>
    <col min="9225" max="9225" width="12.125" style="589" customWidth="1"/>
    <col min="9226" max="9228" width="10.125" style="589" customWidth="1"/>
    <col min="9229" max="9229" width="10.625" style="589" bestFit="1" customWidth="1"/>
    <col min="9230" max="9473" width="9" style="589"/>
    <col min="9474" max="9474" width="3.125" style="589" customWidth="1"/>
    <col min="9475" max="9475" width="26.125" style="589" customWidth="1"/>
    <col min="9476" max="9480" width="15.625" style="589" customWidth="1"/>
    <col min="9481" max="9481" width="12.125" style="589" customWidth="1"/>
    <col min="9482" max="9484" width="10.125" style="589" customWidth="1"/>
    <col min="9485" max="9485" width="10.625" style="589" bestFit="1" customWidth="1"/>
    <col min="9486" max="9729" width="9" style="589"/>
    <col min="9730" max="9730" width="3.125" style="589" customWidth="1"/>
    <col min="9731" max="9731" width="26.125" style="589" customWidth="1"/>
    <col min="9732" max="9736" width="15.625" style="589" customWidth="1"/>
    <col min="9737" max="9737" width="12.125" style="589" customWidth="1"/>
    <col min="9738" max="9740" width="10.125" style="589" customWidth="1"/>
    <col min="9741" max="9741" width="10.625" style="589" bestFit="1" customWidth="1"/>
    <col min="9742" max="9985" width="9" style="589"/>
    <col min="9986" max="9986" width="3.125" style="589" customWidth="1"/>
    <col min="9987" max="9987" width="26.125" style="589" customWidth="1"/>
    <col min="9988" max="9992" width="15.625" style="589" customWidth="1"/>
    <col min="9993" max="9993" width="12.125" style="589" customWidth="1"/>
    <col min="9994" max="9996" width="10.125" style="589" customWidth="1"/>
    <col min="9997" max="9997" width="10.625" style="589" bestFit="1" customWidth="1"/>
    <col min="9998" max="10241" width="9" style="589"/>
    <col min="10242" max="10242" width="3.125" style="589" customWidth="1"/>
    <col min="10243" max="10243" width="26.125" style="589" customWidth="1"/>
    <col min="10244" max="10248" width="15.625" style="589" customWidth="1"/>
    <col min="10249" max="10249" width="12.125" style="589" customWidth="1"/>
    <col min="10250" max="10252" width="10.125" style="589" customWidth="1"/>
    <col min="10253" max="10253" width="10.625" style="589" bestFit="1" customWidth="1"/>
    <col min="10254" max="10497" width="9" style="589"/>
    <col min="10498" max="10498" width="3.125" style="589" customWidth="1"/>
    <col min="10499" max="10499" width="26.125" style="589" customWidth="1"/>
    <col min="10500" max="10504" width="15.625" style="589" customWidth="1"/>
    <col min="10505" max="10505" width="12.125" style="589" customWidth="1"/>
    <col min="10506" max="10508" width="10.125" style="589" customWidth="1"/>
    <col min="10509" max="10509" width="10.625" style="589" bestFit="1" customWidth="1"/>
    <col min="10510" max="10753" width="9" style="589"/>
    <col min="10754" max="10754" width="3.125" style="589" customWidth="1"/>
    <col min="10755" max="10755" width="26.125" style="589" customWidth="1"/>
    <col min="10756" max="10760" width="15.625" style="589" customWidth="1"/>
    <col min="10761" max="10761" width="12.125" style="589" customWidth="1"/>
    <col min="10762" max="10764" width="10.125" style="589" customWidth="1"/>
    <col min="10765" max="10765" width="10.625" style="589" bestFit="1" customWidth="1"/>
    <col min="10766" max="11009" width="9" style="589"/>
    <col min="11010" max="11010" width="3.125" style="589" customWidth="1"/>
    <col min="11011" max="11011" width="26.125" style="589" customWidth="1"/>
    <col min="11012" max="11016" width="15.625" style="589" customWidth="1"/>
    <col min="11017" max="11017" width="12.125" style="589" customWidth="1"/>
    <col min="11018" max="11020" width="10.125" style="589" customWidth="1"/>
    <col min="11021" max="11021" width="10.625" style="589" bestFit="1" customWidth="1"/>
    <col min="11022" max="11265" width="9" style="589"/>
    <col min="11266" max="11266" width="3.125" style="589" customWidth="1"/>
    <col min="11267" max="11267" width="26.125" style="589" customWidth="1"/>
    <col min="11268" max="11272" width="15.625" style="589" customWidth="1"/>
    <col min="11273" max="11273" width="12.125" style="589" customWidth="1"/>
    <col min="11274" max="11276" width="10.125" style="589" customWidth="1"/>
    <col min="11277" max="11277" width="10.625" style="589" bestFit="1" customWidth="1"/>
    <col min="11278" max="11521" width="9" style="589"/>
    <col min="11522" max="11522" width="3.125" style="589" customWidth="1"/>
    <col min="11523" max="11523" width="26.125" style="589" customWidth="1"/>
    <col min="11524" max="11528" width="15.625" style="589" customWidth="1"/>
    <col min="11529" max="11529" width="12.125" style="589" customWidth="1"/>
    <col min="11530" max="11532" width="10.125" style="589" customWidth="1"/>
    <col min="11533" max="11533" width="10.625" style="589" bestFit="1" customWidth="1"/>
    <col min="11534" max="11777" width="9" style="589"/>
    <col min="11778" max="11778" width="3.125" style="589" customWidth="1"/>
    <col min="11779" max="11779" width="26.125" style="589" customWidth="1"/>
    <col min="11780" max="11784" width="15.625" style="589" customWidth="1"/>
    <col min="11785" max="11785" width="12.125" style="589" customWidth="1"/>
    <col min="11786" max="11788" width="10.125" style="589" customWidth="1"/>
    <col min="11789" max="11789" width="10.625" style="589" bestFit="1" customWidth="1"/>
    <col min="11790" max="12033" width="9" style="589"/>
    <col min="12034" max="12034" width="3.125" style="589" customWidth="1"/>
    <col min="12035" max="12035" width="26.125" style="589" customWidth="1"/>
    <col min="12036" max="12040" width="15.625" style="589" customWidth="1"/>
    <col min="12041" max="12041" width="12.125" style="589" customWidth="1"/>
    <col min="12042" max="12044" width="10.125" style="589" customWidth="1"/>
    <col min="12045" max="12045" width="10.625" style="589" bestFit="1" customWidth="1"/>
    <col min="12046" max="12289" width="9" style="589"/>
    <col min="12290" max="12290" width="3.125" style="589" customWidth="1"/>
    <col min="12291" max="12291" width="26.125" style="589" customWidth="1"/>
    <col min="12292" max="12296" width="15.625" style="589" customWidth="1"/>
    <col min="12297" max="12297" width="12.125" style="589" customWidth="1"/>
    <col min="12298" max="12300" width="10.125" style="589" customWidth="1"/>
    <col min="12301" max="12301" width="10.625" style="589" bestFit="1" customWidth="1"/>
    <col min="12302" max="12545" width="9" style="589"/>
    <col min="12546" max="12546" width="3.125" style="589" customWidth="1"/>
    <col min="12547" max="12547" width="26.125" style="589" customWidth="1"/>
    <col min="12548" max="12552" width="15.625" style="589" customWidth="1"/>
    <col min="12553" max="12553" width="12.125" style="589" customWidth="1"/>
    <col min="12554" max="12556" width="10.125" style="589" customWidth="1"/>
    <col min="12557" max="12557" width="10.625" style="589" bestFit="1" customWidth="1"/>
    <col min="12558" max="12801" width="9" style="589"/>
    <col min="12802" max="12802" width="3.125" style="589" customWidth="1"/>
    <col min="12803" max="12803" width="26.125" style="589" customWidth="1"/>
    <col min="12804" max="12808" width="15.625" style="589" customWidth="1"/>
    <col min="12809" max="12809" width="12.125" style="589" customWidth="1"/>
    <col min="12810" max="12812" width="10.125" style="589" customWidth="1"/>
    <col min="12813" max="12813" width="10.625" style="589" bestFit="1" customWidth="1"/>
    <col min="12814" max="13057" width="9" style="589"/>
    <col min="13058" max="13058" width="3.125" style="589" customWidth="1"/>
    <col min="13059" max="13059" width="26.125" style="589" customWidth="1"/>
    <col min="13060" max="13064" width="15.625" style="589" customWidth="1"/>
    <col min="13065" max="13065" width="12.125" style="589" customWidth="1"/>
    <col min="13066" max="13068" width="10.125" style="589" customWidth="1"/>
    <col min="13069" max="13069" width="10.625" style="589" bestFit="1" customWidth="1"/>
    <col min="13070" max="13313" width="9" style="589"/>
    <col min="13314" max="13314" width="3.125" style="589" customWidth="1"/>
    <col min="13315" max="13315" width="26.125" style="589" customWidth="1"/>
    <col min="13316" max="13320" width="15.625" style="589" customWidth="1"/>
    <col min="13321" max="13321" width="12.125" style="589" customWidth="1"/>
    <col min="13322" max="13324" width="10.125" style="589" customWidth="1"/>
    <col min="13325" max="13325" width="10.625" style="589" bestFit="1" customWidth="1"/>
    <col min="13326" max="13569" width="9" style="589"/>
    <col min="13570" max="13570" width="3.125" style="589" customWidth="1"/>
    <col min="13571" max="13571" width="26.125" style="589" customWidth="1"/>
    <col min="13572" max="13576" width="15.625" style="589" customWidth="1"/>
    <col min="13577" max="13577" width="12.125" style="589" customWidth="1"/>
    <col min="13578" max="13580" width="10.125" style="589" customWidth="1"/>
    <col min="13581" max="13581" width="10.625" style="589" bestFit="1" customWidth="1"/>
    <col min="13582" max="13825" width="9" style="589"/>
    <col min="13826" max="13826" width="3.125" style="589" customWidth="1"/>
    <col min="13827" max="13827" width="26.125" style="589" customWidth="1"/>
    <col min="13828" max="13832" width="15.625" style="589" customWidth="1"/>
    <col min="13833" max="13833" width="12.125" style="589" customWidth="1"/>
    <col min="13834" max="13836" width="10.125" style="589" customWidth="1"/>
    <col min="13837" max="13837" width="10.625" style="589" bestFit="1" customWidth="1"/>
    <col min="13838" max="14081" width="9" style="589"/>
    <col min="14082" max="14082" width="3.125" style="589" customWidth="1"/>
    <col min="14083" max="14083" width="26.125" style="589" customWidth="1"/>
    <col min="14084" max="14088" width="15.625" style="589" customWidth="1"/>
    <col min="14089" max="14089" width="12.125" style="589" customWidth="1"/>
    <col min="14090" max="14092" width="10.125" style="589" customWidth="1"/>
    <col min="14093" max="14093" width="10.625" style="589" bestFit="1" customWidth="1"/>
    <col min="14094" max="14337" width="9" style="589"/>
    <col min="14338" max="14338" width="3.125" style="589" customWidth="1"/>
    <col min="14339" max="14339" width="26.125" style="589" customWidth="1"/>
    <col min="14340" max="14344" width="15.625" style="589" customWidth="1"/>
    <col min="14345" max="14345" width="12.125" style="589" customWidth="1"/>
    <col min="14346" max="14348" width="10.125" style="589" customWidth="1"/>
    <col min="14349" max="14349" width="10.625" style="589" bestFit="1" customWidth="1"/>
    <col min="14350" max="14593" width="9" style="589"/>
    <col min="14594" max="14594" width="3.125" style="589" customWidth="1"/>
    <col min="14595" max="14595" width="26.125" style="589" customWidth="1"/>
    <col min="14596" max="14600" width="15.625" style="589" customWidth="1"/>
    <col min="14601" max="14601" width="12.125" style="589" customWidth="1"/>
    <col min="14602" max="14604" width="10.125" style="589" customWidth="1"/>
    <col min="14605" max="14605" width="10.625" style="589" bestFit="1" customWidth="1"/>
    <col min="14606" max="14849" width="9" style="589"/>
    <col min="14850" max="14850" width="3.125" style="589" customWidth="1"/>
    <col min="14851" max="14851" width="26.125" style="589" customWidth="1"/>
    <col min="14852" max="14856" width="15.625" style="589" customWidth="1"/>
    <col min="14857" max="14857" width="12.125" style="589" customWidth="1"/>
    <col min="14858" max="14860" width="10.125" style="589" customWidth="1"/>
    <col min="14861" max="14861" width="10.625" style="589" bestFit="1" customWidth="1"/>
    <col min="14862" max="15105" width="9" style="589"/>
    <col min="15106" max="15106" width="3.125" style="589" customWidth="1"/>
    <col min="15107" max="15107" width="26.125" style="589" customWidth="1"/>
    <col min="15108" max="15112" width="15.625" style="589" customWidth="1"/>
    <col min="15113" max="15113" width="12.125" style="589" customWidth="1"/>
    <col min="15114" max="15116" width="10.125" style="589" customWidth="1"/>
    <col min="15117" max="15117" width="10.625" style="589" bestFit="1" customWidth="1"/>
    <col min="15118" max="15361" width="9" style="589"/>
    <col min="15362" max="15362" width="3.125" style="589" customWidth="1"/>
    <col min="15363" max="15363" width="26.125" style="589" customWidth="1"/>
    <col min="15364" max="15368" width="15.625" style="589" customWidth="1"/>
    <col min="15369" max="15369" width="12.125" style="589" customWidth="1"/>
    <col min="15370" max="15372" width="10.125" style="589" customWidth="1"/>
    <col min="15373" max="15373" width="10.625" style="589" bestFit="1" customWidth="1"/>
    <col min="15374" max="15617" width="9" style="589"/>
    <col min="15618" max="15618" width="3.125" style="589" customWidth="1"/>
    <col min="15619" max="15619" width="26.125" style="589" customWidth="1"/>
    <col min="15620" max="15624" width="15.625" style="589" customWidth="1"/>
    <col min="15625" max="15625" width="12.125" style="589" customWidth="1"/>
    <col min="15626" max="15628" width="10.125" style="589" customWidth="1"/>
    <col min="15629" max="15629" width="10.625" style="589" bestFit="1" customWidth="1"/>
    <col min="15630" max="15873" width="9" style="589"/>
    <col min="15874" max="15874" width="3.125" style="589" customWidth="1"/>
    <col min="15875" max="15875" width="26.125" style="589" customWidth="1"/>
    <col min="15876" max="15880" width="15.625" style="589" customWidth="1"/>
    <col min="15881" max="15881" width="12.125" style="589" customWidth="1"/>
    <col min="15882" max="15884" width="10.125" style="589" customWidth="1"/>
    <col min="15885" max="15885" width="10.625" style="589" bestFit="1" customWidth="1"/>
    <col min="15886" max="16129" width="9" style="589"/>
    <col min="16130" max="16130" width="3.125" style="589" customWidth="1"/>
    <col min="16131" max="16131" width="26.125" style="589" customWidth="1"/>
    <col min="16132" max="16136" width="15.625" style="589" customWidth="1"/>
    <col min="16137" max="16137" width="12.125" style="589" customWidth="1"/>
    <col min="16138" max="16140" width="10.125" style="589" customWidth="1"/>
    <col min="16141" max="16141" width="10.625" style="589" bestFit="1" customWidth="1"/>
    <col min="16142" max="16384" width="9" style="589"/>
  </cols>
  <sheetData>
    <row r="2" spans="2:13" ht="15" customHeight="1" thickBot="1">
      <c r="B2" s="690" t="s">
        <v>1493</v>
      </c>
    </row>
    <row r="3" spans="2:13" ht="17.25" customHeight="1" thickBot="1">
      <c r="B3" s="1514" t="s">
        <v>1494</v>
      </c>
      <c r="C3" s="1515" t="s">
        <v>62</v>
      </c>
      <c r="D3" s="1515" t="s">
        <v>65</v>
      </c>
      <c r="E3" s="1515" t="s">
        <v>888</v>
      </c>
      <c r="F3" s="1515" t="s">
        <v>1495</v>
      </c>
      <c r="G3" s="1515" t="s">
        <v>2645</v>
      </c>
      <c r="H3" s="1516" t="s">
        <v>1496</v>
      </c>
    </row>
    <row r="4" spans="2:13" ht="17.25" customHeight="1">
      <c r="B4" s="1517" t="s">
        <v>3461</v>
      </c>
      <c r="C4" s="996">
        <v>3123279500</v>
      </c>
      <c r="D4" s="996">
        <v>12384121289</v>
      </c>
      <c r="E4" s="996">
        <v>429109150</v>
      </c>
      <c r="F4" s="996">
        <v>-9977866938</v>
      </c>
      <c r="G4" s="1518">
        <v>0</v>
      </c>
      <c r="H4" s="996">
        <f>SUM(C4:G4)</f>
        <v>5958643001</v>
      </c>
      <c r="I4" s="615">
        <v>5958643001</v>
      </c>
      <c r="J4" s="1170">
        <f>I4-H4</f>
        <v>0</v>
      </c>
    </row>
    <row r="5" spans="2:13" ht="17.25" customHeight="1">
      <c r="B5" s="1168" t="s">
        <v>1500</v>
      </c>
      <c r="C5" s="718"/>
      <c r="D5" s="718"/>
      <c r="E5" s="718"/>
      <c r="F5" s="718"/>
      <c r="G5" s="988"/>
      <c r="H5" s="718"/>
    </row>
    <row r="6" spans="2:13" ht="17.25" customHeight="1">
      <c r="B6" s="1169" t="s">
        <v>140</v>
      </c>
      <c r="C6" s="718">
        <v>0</v>
      </c>
      <c r="D6" s="718">
        <v>0</v>
      </c>
      <c r="E6" s="718">
        <v>0</v>
      </c>
      <c r="F6" s="718">
        <v>989649425</v>
      </c>
      <c r="G6" s="988">
        <v>0</v>
      </c>
      <c r="H6" s="718">
        <f>SUM(C6:G6)</f>
        <v>989649425</v>
      </c>
      <c r="K6" s="556"/>
    </row>
    <row r="7" spans="2:13" ht="17.25" customHeight="1">
      <c r="B7" s="1169" t="s">
        <v>1501</v>
      </c>
      <c r="C7" s="718">
        <v>0</v>
      </c>
      <c r="D7" s="718">
        <v>0</v>
      </c>
      <c r="E7" s="718">
        <v>0</v>
      </c>
      <c r="F7" s="718">
        <v>40134025</v>
      </c>
      <c r="G7" s="988">
        <v>0</v>
      </c>
      <c r="H7" s="718">
        <f t="shared" ref="H7:H12" si="0">SUM(C7:G7)</f>
        <v>40134025</v>
      </c>
    </row>
    <row r="8" spans="2:13" ht="17.25" customHeight="1">
      <c r="B8" s="1169" t="s">
        <v>604</v>
      </c>
      <c r="C8" s="718">
        <v>0</v>
      </c>
      <c r="D8" s="718">
        <v>0</v>
      </c>
      <c r="E8" s="718">
        <v>-17279474</v>
      </c>
      <c r="F8" s="718">
        <v>0</v>
      </c>
      <c r="G8" s="988">
        <v>0</v>
      </c>
      <c r="H8" s="718">
        <f t="shared" si="0"/>
        <v>-17279474</v>
      </c>
    </row>
    <row r="9" spans="2:13" ht="17.25" customHeight="1">
      <c r="B9" s="1168" t="s">
        <v>1502</v>
      </c>
      <c r="C9" s="718"/>
      <c r="D9" s="718"/>
      <c r="E9" s="718"/>
      <c r="F9" s="718"/>
      <c r="G9" s="988"/>
      <c r="H9" s="718"/>
    </row>
    <row r="10" spans="2:13" ht="17.25" customHeight="1">
      <c r="B10" s="1169" t="s">
        <v>164</v>
      </c>
      <c r="C10" s="718">
        <v>2511000000</v>
      </c>
      <c r="D10" s="718">
        <v>32474515340</v>
      </c>
      <c r="E10" s="718">
        <v>0</v>
      </c>
      <c r="F10" s="718">
        <v>0</v>
      </c>
      <c r="G10" s="988">
        <v>0</v>
      </c>
      <c r="H10" s="718">
        <f t="shared" si="0"/>
        <v>34985515340</v>
      </c>
    </row>
    <row r="11" spans="2:13" ht="17.25" customHeight="1">
      <c r="B11" s="1703" t="s">
        <v>3460</v>
      </c>
      <c r="C11" s="1629">
        <v>56912000</v>
      </c>
      <c r="D11" s="1629">
        <v>298745669</v>
      </c>
      <c r="E11" s="1629">
        <v>-88626565</v>
      </c>
      <c r="F11" s="1629"/>
      <c r="G11" s="1629"/>
      <c r="H11" s="718">
        <f t="shared" si="0"/>
        <v>267031104</v>
      </c>
    </row>
    <row r="12" spans="2:13" ht="17.25" customHeight="1">
      <c r="B12" s="1168" t="s">
        <v>1499</v>
      </c>
      <c r="C12" s="718">
        <v>0</v>
      </c>
      <c r="D12" s="718">
        <v>0</v>
      </c>
      <c r="E12" s="718">
        <v>135571460</v>
      </c>
      <c r="F12" s="718">
        <v>0</v>
      </c>
      <c r="G12" s="988">
        <v>0</v>
      </c>
      <c r="H12" s="718">
        <f t="shared" si="0"/>
        <v>135571460</v>
      </c>
    </row>
    <row r="13" spans="2:13" ht="17.25" customHeight="1">
      <c r="B13" s="1519" t="s">
        <v>3462</v>
      </c>
      <c r="C13" s="996">
        <f t="shared" ref="C13:H13" si="1">SUM(C4:C12)</f>
        <v>5691191500</v>
      </c>
      <c r="D13" s="996">
        <f t="shared" si="1"/>
        <v>45157382298</v>
      </c>
      <c r="E13" s="996">
        <f t="shared" si="1"/>
        <v>458774571</v>
      </c>
      <c r="F13" s="996">
        <f t="shared" si="1"/>
        <v>-8948083488</v>
      </c>
      <c r="G13" s="996">
        <f t="shared" si="1"/>
        <v>0</v>
      </c>
      <c r="H13" s="996">
        <f t="shared" si="1"/>
        <v>42359264881</v>
      </c>
      <c r="I13" s="615">
        <v>42359264881</v>
      </c>
      <c r="J13" s="1170">
        <f>I13-H13</f>
        <v>0</v>
      </c>
      <c r="K13" s="589" t="b">
        <f>J13=J4</f>
        <v>1</v>
      </c>
    </row>
    <row r="14" spans="2:13" ht="17.25" customHeight="1">
      <c r="B14" s="1520" t="s">
        <v>3463</v>
      </c>
      <c r="C14" s="996">
        <v>5691191500</v>
      </c>
      <c r="D14" s="996">
        <v>45157382298</v>
      </c>
      <c r="E14" s="996">
        <v>458774571</v>
      </c>
      <c r="F14" s="996">
        <v>-8948083488</v>
      </c>
      <c r="G14" s="1518">
        <v>0</v>
      </c>
      <c r="H14" s="996">
        <f>SUM(C14:G14)</f>
        <v>42359264881</v>
      </c>
      <c r="I14" s="722"/>
      <c r="J14" s="1170"/>
    </row>
    <row r="15" spans="2:13" ht="17.25" customHeight="1">
      <c r="B15" s="1168" t="s">
        <v>1497</v>
      </c>
      <c r="C15" s="718"/>
      <c r="D15" s="718"/>
      <c r="E15" s="718"/>
      <c r="F15" s="718"/>
      <c r="G15" s="988"/>
      <c r="H15" s="718"/>
      <c r="I15" s="722"/>
      <c r="J15" s="1170"/>
    </row>
    <row r="16" spans="2:13" ht="17.25" customHeight="1">
      <c r="B16" s="1169" t="s">
        <v>140</v>
      </c>
      <c r="C16" s="718">
        <v>0</v>
      </c>
      <c r="D16" s="718">
        <v>0</v>
      </c>
      <c r="E16" s="718">
        <v>0</v>
      </c>
      <c r="F16" s="718">
        <f>연결PL!D101</f>
        <v>-867554501</v>
      </c>
      <c r="G16" s="988">
        <f>연결PL!D103</f>
        <v>0</v>
      </c>
      <c r="H16" s="718">
        <f>SUM(C16:G16)</f>
        <v>-867554501</v>
      </c>
      <c r="I16" s="1009"/>
      <c r="J16" s="1009"/>
      <c r="K16" s="1009"/>
      <c r="L16" s="1009"/>
      <c r="M16" s="1009"/>
    </row>
    <row r="17" spans="2:13" ht="17.25" customHeight="1">
      <c r="B17" s="1169" t="s">
        <v>1501</v>
      </c>
      <c r="C17" s="718">
        <v>0</v>
      </c>
      <c r="D17" s="718">
        <v>0</v>
      </c>
      <c r="E17" s="718">
        <v>0</v>
      </c>
      <c r="F17" s="718">
        <f>연결PL!D106</f>
        <v>0</v>
      </c>
      <c r="G17" s="988">
        <v>0</v>
      </c>
      <c r="H17" s="718">
        <f t="shared" ref="H17:H18" si="2">SUM(C17:G17)</f>
        <v>0</v>
      </c>
      <c r="I17" s="1009"/>
      <c r="J17" s="1009"/>
      <c r="K17" s="1009"/>
      <c r="L17" s="1009"/>
      <c r="M17" s="1009"/>
    </row>
    <row r="18" spans="2:13" ht="17.25" customHeight="1">
      <c r="B18" s="1169" t="s">
        <v>604</v>
      </c>
      <c r="C18" s="718">
        <v>0</v>
      </c>
      <c r="D18" s="718">
        <v>0</v>
      </c>
      <c r="E18" s="718">
        <f>연결PL!D108</f>
        <v>11298394</v>
      </c>
      <c r="F18" s="718">
        <v>0</v>
      </c>
      <c r="G18" s="988">
        <v>0</v>
      </c>
      <c r="H18" s="718">
        <f t="shared" si="2"/>
        <v>11298394</v>
      </c>
      <c r="I18" s="1009"/>
      <c r="J18" s="1009"/>
      <c r="K18" s="1009"/>
      <c r="L18" s="1009"/>
      <c r="M18" s="1009"/>
    </row>
    <row r="19" spans="2:13" ht="17.25" customHeight="1">
      <c r="B19" s="1171" t="s">
        <v>1502</v>
      </c>
      <c r="C19" s="718"/>
      <c r="D19" s="718"/>
      <c r="E19" s="718"/>
      <c r="F19" s="718"/>
      <c r="G19" s="988"/>
      <c r="H19" s="718"/>
      <c r="I19" s="1009"/>
      <c r="J19" s="1009"/>
      <c r="K19" s="1009"/>
      <c r="L19" s="1009"/>
      <c r="M19" s="1009"/>
    </row>
    <row r="20" spans="2:13" ht="17.25" customHeight="1">
      <c r="B20" s="1168" t="s">
        <v>1498</v>
      </c>
      <c r="C20" s="718">
        <v>0</v>
      </c>
      <c r="D20" s="718">
        <v>0</v>
      </c>
      <c r="E20" s="718">
        <v>0</v>
      </c>
      <c r="F20" s="718">
        <v>0</v>
      </c>
      <c r="G20" s="988">
        <v>0</v>
      </c>
      <c r="H20" s="718">
        <f>SUM(C20:G20)</f>
        <v>0</v>
      </c>
      <c r="I20" s="722"/>
      <c r="J20" s="1170"/>
    </row>
    <row r="21" spans="2:13" ht="17.25" customHeight="1">
      <c r="B21" s="1168" t="s">
        <v>1503</v>
      </c>
      <c r="C21" s="718">
        <v>0</v>
      </c>
      <c r="D21" s="718">
        <v>0</v>
      </c>
      <c r="E21" s="718">
        <v>0</v>
      </c>
      <c r="F21" s="718">
        <v>0</v>
      </c>
      <c r="G21" s="988">
        <v>0</v>
      </c>
      <c r="H21" s="718">
        <f t="shared" ref="H21:H22" si="3">SUM(C21:G21)</f>
        <v>0</v>
      </c>
      <c r="I21" s="722"/>
      <c r="J21" s="1170"/>
    </row>
    <row r="22" spans="2:13" ht="17.25" customHeight="1">
      <c r="B22" s="1168" t="s">
        <v>3841</v>
      </c>
      <c r="C22" s="718">
        <v>0</v>
      </c>
      <c r="D22" s="718">
        <v>0</v>
      </c>
      <c r="E22" s="718">
        <v>0</v>
      </c>
      <c r="F22" s="718">
        <v>0</v>
      </c>
      <c r="G22" s="988">
        <f>RIC!I73</f>
        <v>117986065</v>
      </c>
      <c r="H22" s="718">
        <f t="shared" si="3"/>
        <v>117986065</v>
      </c>
      <c r="I22" s="722"/>
      <c r="J22" s="1170"/>
    </row>
    <row r="23" spans="2:13" ht="17.25" customHeight="1">
      <c r="B23" s="1519" t="s">
        <v>3464</v>
      </c>
      <c r="C23" s="996">
        <f t="shared" ref="C23:H23" si="4">SUM(C14:C22)</f>
        <v>5691191500</v>
      </c>
      <c r="D23" s="996">
        <f t="shared" si="4"/>
        <v>45157382298</v>
      </c>
      <c r="E23" s="996">
        <f t="shared" si="4"/>
        <v>470072965</v>
      </c>
      <c r="F23" s="996">
        <f t="shared" si="4"/>
        <v>-9815637989</v>
      </c>
      <c r="G23" s="996">
        <f t="shared" si="4"/>
        <v>117986065</v>
      </c>
      <c r="H23" s="996">
        <f t="shared" si="4"/>
        <v>41620994839</v>
      </c>
      <c r="I23" s="722">
        <f>연결BS!D115</f>
        <v>41620994839</v>
      </c>
      <c r="J23" s="1170">
        <f>I23-H23</f>
        <v>0</v>
      </c>
    </row>
    <row r="24" spans="2:13" ht="15" customHeight="1">
      <c r="C24" s="556"/>
      <c r="D24" s="556"/>
      <c r="E24" s="556"/>
      <c r="F24" s="556"/>
      <c r="G24" s="556"/>
      <c r="H24" s="556"/>
      <c r="I24" s="722"/>
      <c r="J24" s="1170"/>
    </row>
    <row r="25" spans="2:13" ht="15" customHeight="1">
      <c r="C25" s="556">
        <f>C14-연결BS!E105</f>
        <v>0</v>
      </c>
      <c r="D25" s="556">
        <f>D14-연결BS!E106</f>
        <v>0</v>
      </c>
      <c r="E25" s="556">
        <f>E14-연결BS!E109</f>
        <v>0</v>
      </c>
      <c r="F25" s="556">
        <f>F14-연결BS!E112</f>
        <v>0</v>
      </c>
      <c r="G25" s="556"/>
      <c r="H25" s="556">
        <f>H14-연결BS!E115</f>
        <v>0</v>
      </c>
    </row>
    <row r="26" spans="2:13" ht="15" customHeight="1">
      <c r="C26" s="556">
        <f>C23-연결BS!D104</f>
        <v>0</v>
      </c>
      <c r="D26" s="556">
        <f>D23-연결BS!D106</f>
        <v>0</v>
      </c>
      <c r="E26" s="556">
        <f>E23-연결BS!D109</f>
        <v>0</v>
      </c>
      <c r="F26" s="556">
        <f>F23-연결BS!D112</f>
        <v>0</v>
      </c>
      <c r="G26" s="556">
        <f>G23-연결BS!D114</f>
        <v>0</v>
      </c>
      <c r="H26" s="556">
        <f>H23-연결BS!D115</f>
        <v>0</v>
      </c>
    </row>
    <row r="27" spans="2:13" ht="15" customHeight="1">
      <c r="F27" s="556"/>
      <c r="G27" s="556"/>
      <c r="H27" s="556"/>
    </row>
    <row r="28" spans="2:13" ht="15" customHeight="1">
      <c r="C28" s="615"/>
      <c r="E28" s="556"/>
      <c r="F28" s="556"/>
      <c r="G28" s="556"/>
      <c r="H28" s="722"/>
      <c r="I28" s="722"/>
    </row>
    <row r="29" spans="2:13" ht="15" customHeight="1">
      <c r="E29" s="722"/>
      <c r="F29" s="722"/>
      <c r="G29" s="722"/>
      <c r="H29" s="722"/>
      <c r="I29" s="722"/>
    </row>
    <row r="30" spans="2:13" ht="15" customHeight="1">
      <c r="E30" s="722"/>
      <c r="F30" s="722"/>
      <c r="G30" s="722"/>
      <c r="H30" s="722"/>
      <c r="I30" s="722"/>
    </row>
    <row r="31" spans="2:13" ht="15" customHeight="1">
      <c r="E31" s="722"/>
      <c r="F31" s="722"/>
      <c r="G31" s="722"/>
      <c r="H31" s="722"/>
      <c r="I31" s="722"/>
    </row>
    <row r="32" spans="2:13" ht="15" customHeight="1">
      <c r="E32" s="722"/>
      <c r="F32" s="722"/>
      <c r="G32" s="722"/>
      <c r="H32" s="722"/>
      <c r="I32" s="722"/>
    </row>
    <row r="33" spans="2:11" ht="15" customHeight="1">
      <c r="E33" s="722"/>
      <c r="F33" s="722"/>
      <c r="G33" s="722"/>
      <c r="H33" s="722"/>
      <c r="I33" s="722"/>
    </row>
    <row r="34" spans="2:11" ht="15" customHeight="1">
      <c r="B34" s="690"/>
      <c r="C34" s="690"/>
      <c r="D34" s="690"/>
      <c r="E34" s="1172"/>
      <c r="F34" s="1172"/>
      <c r="G34" s="1172"/>
      <c r="H34" s="1172"/>
      <c r="I34" s="722"/>
    </row>
    <row r="35" spans="2:11" ht="15" customHeight="1">
      <c r="B35" s="690"/>
      <c r="C35" s="690"/>
      <c r="D35" s="690"/>
      <c r="E35" s="1172"/>
      <c r="F35" s="1172"/>
      <c r="G35" s="1172"/>
      <c r="H35" s="1172"/>
      <c r="I35" s="722"/>
      <c r="J35" s="1170"/>
      <c r="K35" s="1170"/>
    </row>
    <row r="36" spans="2:11" ht="15" customHeight="1">
      <c r="E36" s="722"/>
      <c r="F36" s="722"/>
      <c r="G36" s="722"/>
      <c r="H36" s="722"/>
      <c r="I36" s="722"/>
      <c r="J36" s="1170"/>
    </row>
    <row r="37" spans="2:11" ht="15" customHeight="1">
      <c r="E37" s="722"/>
      <c r="F37" s="722"/>
      <c r="G37" s="722"/>
      <c r="H37" s="722"/>
      <c r="I37" s="722"/>
    </row>
    <row r="38" spans="2:11" ht="15" customHeight="1">
      <c r="E38" s="722"/>
      <c r="F38" s="722"/>
      <c r="G38" s="722"/>
      <c r="H38" s="722"/>
      <c r="I38" s="722"/>
    </row>
    <row r="39" spans="2:11" ht="15" customHeight="1">
      <c r="I39" s="722"/>
    </row>
    <row r="42" spans="2:11" ht="15" customHeight="1">
      <c r="B42" s="690"/>
      <c r="C42" s="690"/>
      <c r="D42" s="690"/>
      <c r="E42" s="690"/>
      <c r="F42" s="690"/>
      <c r="G42" s="690"/>
      <c r="H42" s="690"/>
    </row>
    <row r="48" spans="2:11" ht="15" customHeight="1">
      <c r="B48" s="690"/>
      <c r="C48" s="690"/>
      <c r="D48" s="690"/>
      <c r="E48" s="690"/>
      <c r="F48" s="690"/>
      <c r="G48" s="690"/>
      <c r="H48" s="690"/>
    </row>
    <row r="49" spans="2:8" ht="15" customHeight="1">
      <c r="B49" s="690"/>
      <c r="C49" s="690"/>
      <c r="D49" s="690"/>
      <c r="E49" s="690"/>
      <c r="F49" s="690"/>
      <c r="G49" s="690"/>
      <c r="H49" s="690"/>
    </row>
    <row r="50" spans="2:8" ht="15" customHeight="1">
      <c r="B50" s="690"/>
      <c r="C50" s="690"/>
      <c r="D50" s="690"/>
      <c r="E50" s="690"/>
      <c r="F50" s="690"/>
      <c r="G50" s="690"/>
      <c r="H50" s="690"/>
    </row>
    <row r="52" spans="2:8" ht="15" customHeight="1">
      <c r="B52" s="690"/>
      <c r="C52" s="690"/>
      <c r="D52" s="690"/>
      <c r="E52" s="690"/>
      <c r="F52" s="690"/>
      <c r="G52" s="690"/>
      <c r="H52" s="690"/>
    </row>
    <row r="54" spans="2:8" ht="15" customHeight="1">
      <c r="B54" s="690"/>
      <c r="C54" s="690"/>
      <c r="D54" s="690"/>
      <c r="E54" s="690"/>
      <c r="F54" s="690"/>
      <c r="G54" s="690"/>
      <c r="H54" s="690"/>
    </row>
    <row r="56" spans="2:8" ht="15" customHeight="1">
      <c r="B56" s="690"/>
      <c r="C56" s="690"/>
      <c r="D56" s="690"/>
      <c r="E56" s="690"/>
      <c r="F56" s="690"/>
      <c r="G56" s="690"/>
      <c r="H56" s="690"/>
    </row>
    <row r="57" spans="2:8" ht="15" customHeight="1">
      <c r="B57" s="690"/>
      <c r="C57" s="690"/>
      <c r="D57" s="690"/>
      <c r="E57" s="690"/>
      <c r="F57" s="690"/>
      <c r="G57" s="690"/>
      <c r="H57" s="690"/>
    </row>
    <row r="59" spans="2:8" ht="15" customHeight="1">
      <c r="B59" s="690"/>
      <c r="C59" s="690"/>
      <c r="D59" s="690"/>
      <c r="E59" s="690"/>
      <c r="F59" s="690"/>
      <c r="G59" s="690"/>
      <c r="H59" s="690"/>
    </row>
  </sheetData>
  <phoneticPr fontId="3" type="noConversion"/>
  <pageMargins left="0.7" right="0.7" top="0.75" bottom="0.75" header="0.3" footer="0.3"/>
  <pageSetup paperSize="9" scale="72"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35">
    <tabColor theme="1"/>
  </sheetPr>
  <dimension ref="D2:M30"/>
  <sheetViews>
    <sheetView showGridLines="0" zoomScale="85" zoomScaleNormal="85" workbookViewId="0">
      <selection activeCell="F29" sqref="E4:F29"/>
    </sheetView>
  </sheetViews>
  <sheetFormatPr defaultColWidth="8.625" defaultRowHeight="13.5"/>
  <cols>
    <col min="1" max="3" width="8.625" style="97"/>
    <col min="4" max="4" width="33.375" style="97" bestFit="1" customWidth="1"/>
    <col min="5" max="8" width="13.125" style="97" customWidth="1"/>
    <col min="9" max="10" width="8.625" style="97" customWidth="1"/>
    <col min="11" max="11" width="36.625" style="97" customWidth="1"/>
    <col min="12" max="13" width="12.625" style="97" customWidth="1"/>
    <col min="14" max="14" width="10.375" style="97" customWidth="1"/>
    <col min="15" max="16384" width="8.625" style="97"/>
  </cols>
  <sheetData>
    <row r="2" spans="4:13" ht="15.95" customHeight="1">
      <c r="D2" s="1149" t="s">
        <v>2641</v>
      </c>
      <c r="E2" s="1148">
        <v>2026</v>
      </c>
      <c r="F2" s="1148">
        <v>2026</v>
      </c>
      <c r="G2" s="1148">
        <v>2025</v>
      </c>
      <c r="H2" s="1148">
        <v>2025</v>
      </c>
      <c r="K2" s="1880" t="s">
        <v>1476</v>
      </c>
      <c r="L2" s="1878">
        <v>2026</v>
      </c>
      <c r="M2" s="1879"/>
    </row>
    <row r="3" spans="4:13" ht="13.5" customHeight="1">
      <c r="D3" s="1149"/>
      <c r="E3" s="1149" t="s">
        <v>2639</v>
      </c>
      <c r="F3" s="1149" t="s">
        <v>2640</v>
      </c>
      <c r="G3" s="1149" t="s">
        <v>2639</v>
      </c>
      <c r="H3" s="1149" t="s">
        <v>2640</v>
      </c>
      <c r="K3" s="1881"/>
      <c r="L3" s="1138" t="s">
        <v>2628</v>
      </c>
      <c r="M3" s="1139" t="s">
        <v>2629</v>
      </c>
    </row>
    <row r="4" spans="4:13">
      <c r="D4" s="1140" t="s">
        <v>81</v>
      </c>
      <c r="E4" s="1150">
        <f>F4-M4</f>
        <v>4518456853</v>
      </c>
      <c r="F4" s="1151">
        <f>연결PL!D2</f>
        <v>8812244469</v>
      </c>
      <c r="G4" s="1151">
        <v>4268206262</v>
      </c>
      <c r="H4" s="1151">
        <v>9441165967</v>
      </c>
      <c r="K4" s="1140" t="s">
        <v>81</v>
      </c>
      <c r="L4" s="1142"/>
      <c r="M4" s="1143">
        <v>4293787616</v>
      </c>
    </row>
    <row r="5" spans="4:13">
      <c r="D5" s="1140" t="s">
        <v>82</v>
      </c>
      <c r="E5" s="1150">
        <f>F5-M5</f>
        <v>1797042032</v>
      </c>
      <c r="F5" s="1151">
        <f>연결PL!D7</f>
        <v>3634217621</v>
      </c>
      <c r="G5" s="1151">
        <v>1458903526</v>
      </c>
      <c r="H5" s="1151">
        <v>3581100990</v>
      </c>
      <c r="K5" s="1140" t="s">
        <v>82</v>
      </c>
      <c r="L5" s="1142"/>
      <c r="M5" s="1143">
        <v>1837175589</v>
      </c>
    </row>
    <row r="6" spans="4:13">
      <c r="D6" s="1140" t="s">
        <v>270</v>
      </c>
      <c r="E6" s="1150">
        <f>E4-E5</f>
        <v>2721414821</v>
      </c>
      <c r="F6" s="1151">
        <f>F4-F5</f>
        <v>5178026848</v>
      </c>
      <c r="G6" s="1150">
        <v>2809302736</v>
      </c>
      <c r="H6" s="1151">
        <v>5860064977</v>
      </c>
      <c r="K6" s="1140" t="s">
        <v>270</v>
      </c>
      <c r="L6" s="1142"/>
      <c r="M6" s="1143">
        <v>2456612027</v>
      </c>
    </row>
    <row r="7" spans="4:13">
      <c r="D7" s="1140" t="s">
        <v>1481</v>
      </c>
      <c r="E7" s="1150">
        <f>F7-M7</f>
        <v>3157559749</v>
      </c>
      <c r="F7" s="1151">
        <f>연결PL!D35</f>
        <v>5969068326</v>
      </c>
      <c r="G7" s="1151">
        <v>2405235596</v>
      </c>
      <c r="H7" s="1151">
        <v>4763859751</v>
      </c>
      <c r="K7" s="1140" t="s">
        <v>1481</v>
      </c>
      <c r="L7" s="1142"/>
      <c r="M7" s="1143">
        <v>2811508577</v>
      </c>
    </row>
    <row r="8" spans="4:13">
      <c r="D8" s="1140" t="s">
        <v>1482</v>
      </c>
      <c r="E8" s="1150">
        <f>E6-E7</f>
        <v>-436144928</v>
      </c>
      <c r="F8" s="1151">
        <f>F6-F7</f>
        <v>-791041478</v>
      </c>
      <c r="G8" s="1150">
        <v>404067140</v>
      </c>
      <c r="H8" s="1151">
        <v>1096205226</v>
      </c>
      <c r="K8" s="1140" t="s">
        <v>1482</v>
      </c>
      <c r="L8" s="1142"/>
      <c r="M8" s="1143">
        <v>-354896550</v>
      </c>
    </row>
    <row r="9" spans="4:13">
      <c r="D9" s="1140" t="s">
        <v>1483</v>
      </c>
      <c r="E9" s="1150">
        <f>F9-M9</f>
        <v>2107337429</v>
      </c>
      <c r="F9" s="1151">
        <f>연결PL!D69</f>
        <v>2109602184</v>
      </c>
      <c r="G9" s="1151">
        <v>1934393</v>
      </c>
      <c r="H9" s="1151">
        <v>8256143</v>
      </c>
      <c r="K9" s="1140" t="s">
        <v>1483</v>
      </c>
      <c r="L9" s="1142"/>
      <c r="M9" s="1143">
        <v>2264755</v>
      </c>
    </row>
    <row r="10" spans="4:13">
      <c r="D10" s="1140" t="s">
        <v>1484</v>
      </c>
      <c r="E10" s="1150">
        <f>F10-M10</f>
        <v>9222257</v>
      </c>
      <c r="F10" s="1151">
        <f>연결PL!D77</f>
        <v>9488772</v>
      </c>
      <c r="G10" s="1151">
        <v>6528994</v>
      </c>
      <c r="H10" s="1151">
        <v>7087062</v>
      </c>
      <c r="K10" s="1140" t="s">
        <v>1484</v>
      </c>
      <c r="L10" s="1142"/>
      <c r="M10" s="1143">
        <v>266515</v>
      </c>
    </row>
    <row r="11" spans="4:13">
      <c r="D11" s="1140" t="s">
        <v>1485</v>
      </c>
      <c r="E11" s="1150">
        <f>F11-M11</f>
        <v>70594021</v>
      </c>
      <c r="F11" s="1151">
        <f>연결PL!D85</f>
        <v>169546726</v>
      </c>
      <c r="G11" s="1151">
        <v>7723398</v>
      </c>
      <c r="H11" s="1151">
        <v>48738081</v>
      </c>
      <c r="K11" s="1140" t="s">
        <v>1485</v>
      </c>
      <c r="L11" s="1142"/>
      <c r="M11" s="1143">
        <v>98952705</v>
      </c>
    </row>
    <row r="12" spans="4:13">
      <c r="D12" s="1140" t="s">
        <v>1486</v>
      </c>
      <c r="E12" s="1150">
        <f>F12-M12</f>
        <v>214204709</v>
      </c>
      <c r="F12" s="1151">
        <f>연결PL!D90</f>
        <v>273243495</v>
      </c>
      <c r="G12" s="1151">
        <v>112078187</v>
      </c>
      <c r="H12" s="1151">
        <v>145282026</v>
      </c>
      <c r="K12" s="1140" t="s">
        <v>1486</v>
      </c>
      <c r="L12" s="1142"/>
      <c r="M12" s="1143">
        <v>59038786</v>
      </c>
    </row>
    <row r="13" spans="4:13">
      <c r="D13" s="1140" t="s">
        <v>2630</v>
      </c>
      <c r="E13" s="1150">
        <f>F13-M13</f>
        <v>-1282816342</v>
      </c>
      <c r="F13" s="1151">
        <f>연결PL!D96</f>
        <v>-2067945777</v>
      </c>
      <c r="G13" s="1151">
        <v>0</v>
      </c>
      <c r="H13" s="1151">
        <v>0</v>
      </c>
      <c r="K13" s="1140" t="s">
        <v>2630</v>
      </c>
      <c r="L13" s="1142"/>
      <c r="M13" s="1143">
        <v>-785129435</v>
      </c>
    </row>
    <row r="14" spans="4:13">
      <c r="D14" s="1140" t="s">
        <v>1487</v>
      </c>
      <c r="E14" s="1150">
        <f>E8+E9-E10+E11-E12+E13</f>
        <v>235543214</v>
      </c>
      <c r="F14" s="1151">
        <f>F8+F9-F10+F11-F12+F13</f>
        <v>-862570612</v>
      </c>
      <c r="G14" s="1150">
        <v>295117750</v>
      </c>
      <c r="H14" s="1151">
        <v>1000830362</v>
      </c>
      <c r="K14" s="1140" t="s">
        <v>1487</v>
      </c>
      <c r="L14" s="1142"/>
      <c r="M14" s="1143">
        <v>-1098113826</v>
      </c>
    </row>
    <row r="15" spans="4:13">
      <c r="D15" s="1140" t="s">
        <v>238</v>
      </c>
      <c r="E15" s="1150">
        <f>F15-M15</f>
        <v>-3009004</v>
      </c>
      <c r="F15" s="1151">
        <f>연결PL!D100</f>
        <v>4983889</v>
      </c>
      <c r="G15" s="1151">
        <v>-3233729</v>
      </c>
      <c r="H15" s="1151">
        <v>4894989</v>
      </c>
      <c r="K15" s="1140" t="s">
        <v>238</v>
      </c>
      <c r="L15" s="1141"/>
      <c r="M15" s="1144">
        <v>7992893</v>
      </c>
    </row>
    <row r="16" spans="4:13">
      <c r="D16" s="1140" t="s">
        <v>2631</v>
      </c>
      <c r="E16" s="1150">
        <f>E14-E15</f>
        <v>238552218</v>
      </c>
      <c r="F16" s="1151">
        <f>F14-F15</f>
        <v>-867554501</v>
      </c>
      <c r="G16" s="1150">
        <v>298351479</v>
      </c>
      <c r="H16" s="1151">
        <v>995935373</v>
      </c>
      <c r="K16" s="1140" t="s">
        <v>2642</v>
      </c>
      <c r="L16" s="1142"/>
      <c r="M16" s="1143">
        <v>-1106106719</v>
      </c>
    </row>
    <row r="17" spans="4:13">
      <c r="D17" s="1140" t="s">
        <v>2632</v>
      </c>
      <c r="E17" s="1150">
        <f>E16</f>
        <v>238552218</v>
      </c>
      <c r="F17" s="1151">
        <f>F16</f>
        <v>-867554501</v>
      </c>
      <c r="G17" s="1151">
        <v>298351479</v>
      </c>
      <c r="H17" s="1151">
        <v>995935373</v>
      </c>
      <c r="K17" s="1140" t="s">
        <v>2643</v>
      </c>
      <c r="L17" s="1142"/>
      <c r="M17" s="1143">
        <v>-1106106719</v>
      </c>
    </row>
    <row r="18" spans="4:13">
      <c r="D18" s="1140" t="s">
        <v>2633</v>
      </c>
      <c r="E18" s="1150">
        <v>0</v>
      </c>
      <c r="F18" s="1151">
        <v>0</v>
      </c>
      <c r="G18" s="1151">
        <v>0</v>
      </c>
      <c r="H18" s="1151">
        <v>0</v>
      </c>
      <c r="K18" s="1140" t="s">
        <v>2644</v>
      </c>
      <c r="L18" s="1141"/>
      <c r="M18" s="1144">
        <v>0</v>
      </c>
    </row>
    <row r="19" spans="4:13">
      <c r="D19" s="1140" t="s">
        <v>250</v>
      </c>
      <c r="E19" s="1150">
        <f>E20+E22</f>
        <v>3267871</v>
      </c>
      <c r="F19" s="1151">
        <f>F20+F22</f>
        <v>11298394</v>
      </c>
      <c r="G19" s="1150">
        <v>-17734655</v>
      </c>
      <c r="H19" s="1151">
        <v>-26600734</v>
      </c>
      <c r="K19" s="1140" t="s">
        <v>250</v>
      </c>
      <c r="L19" s="1142"/>
      <c r="M19" s="1143">
        <v>8030523</v>
      </c>
    </row>
    <row r="20" spans="4:13">
      <c r="D20" s="1140" t="s">
        <v>1489</v>
      </c>
      <c r="E20" s="1150">
        <f>E21</f>
        <v>0</v>
      </c>
      <c r="F20" s="1151">
        <f>F21</f>
        <v>0</v>
      </c>
      <c r="G20" s="1150">
        <v>0</v>
      </c>
      <c r="H20" s="1151">
        <v>0</v>
      </c>
      <c r="K20" s="1140" t="s">
        <v>1489</v>
      </c>
      <c r="L20" s="1142"/>
      <c r="M20" s="1143">
        <v>0</v>
      </c>
    </row>
    <row r="21" spans="4:13">
      <c r="D21" s="1140" t="s">
        <v>2634</v>
      </c>
      <c r="E21" s="1150">
        <f>F21-M21</f>
        <v>0</v>
      </c>
      <c r="F21" s="1151">
        <f>연결PL!D106</f>
        <v>0</v>
      </c>
      <c r="G21" s="1151">
        <v>0</v>
      </c>
      <c r="H21" s="1151">
        <v>0</v>
      </c>
      <c r="K21" s="1140" t="s">
        <v>2634</v>
      </c>
      <c r="L21" s="1142"/>
      <c r="M21" s="1143">
        <v>0</v>
      </c>
    </row>
    <row r="22" spans="4:13">
      <c r="D22" s="1140" t="s">
        <v>2635</v>
      </c>
      <c r="E22" s="1150">
        <f>E23</f>
        <v>3267871</v>
      </c>
      <c r="F22" s="1151">
        <f>F23</f>
        <v>11298394</v>
      </c>
      <c r="G22" s="1150">
        <v>-17734655</v>
      </c>
      <c r="H22" s="1151">
        <v>-26600734</v>
      </c>
      <c r="K22" s="1140" t="s">
        <v>2635</v>
      </c>
      <c r="L22" s="1142"/>
      <c r="M22" s="1143">
        <v>8030523</v>
      </c>
    </row>
    <row r="23" spans="4:13">
      <c r="D23" s="1140" t="s">
        <v>2636</v>
      </c>
      <c r="E23" s="1150">
        <f>F23-M23</f>
        <v>3267871</v>
      </c>
      <c r="F23" s="1151">
        <f>연결PL!D108</f>
        <v>11298394</v>
      </c>
      <c r="G23" s="1151">
        <v>-17734655</v>
      </c>
      <c r="H23" s="1151">
        <v>-26600734</v>
      </c>
      <c r="K23" s="1140" t="s">
        <v>2636</v>
      </c>
      <c r="L23" s="1142"/>
      <c r="M23" s="1143">
        <v>8030523</v>
      </c>
    </row>
    <row r="24" spans="4:13">
      <c r="D24" s="1140" t="s">
        <v>272</v>
      </c>
      <c r="E24" s="1150">
        <f>E16+E19</f>
        <v>241820089</v>
      </c>
      <c r="F24" s="1151">
        <f>F16+F19</f>
        <v>-856256107</v>
      </c>
      <c r="G24" s="1150">
        <v>280616824</v>
      </c>
      <c r="H24" s="1151">
        <v>969334639</v>
      </c>
      <c r="K24" s="1140" t="s">
        <v>272</v>
      </c>
      <c r="L24" s="1142"/>
      <c r="M24" s="1143">
        <v>-1098076196</v>
      </c>
    </row>
    <row r="25" spans="4:13">
      <c r="D25" s="1140" t="s">
        <v>2637</v>
      </c>
      <c r="E25" s="1150">
        <f>E24</f>
        <v>241820089</v>
      </c>
      <c r="F25" s="1151">
        <f>F24</f>
        <v>-856256107</v>
      </c>
      <c r="G25" s="1150">
        <v>280616824</v>
      </c>
      <c r="H25" s="1151">
        <v>969334639</v>
      </c>
      <c r="K25" s="1140" t="s">
        <v>2637</v>
      </c>
      <c r="L25" s="1142"/>
      <c r="M25" s="1143">
        <v>-1098076196</v>
      </c>
    </row>
    <row r="26" spans="4:13">
      <c r="D26" s="1140" t="s">
        <v>2638</v>
      </c>
      <c r="E26" s="1150">
        <v>0</v>
      </c>
      <c r="F26" s="1151">
        <v>0</v>
      </c>
      <c r="G26" s="1150">
        <v>0</v>
      </c>
      <c r="H26" s="1151">
        <v>0</v>
      </c>
      <c r="K26" s="1140" t="s">
        <v>2638</v>
      </c>
      <c r="L26" s="1141"/>
      <c r="M26" s="1144">
        <v>0</v>
      </c>
    </row>
    <row r="27" spans="4:13">
      <c r="D27" s="1140" t="s">
        <v>1490</v>
      </c>
      <c r="E27" s="1141"/>
      <c r="F27" s="1144"/>
      <c r="G27" s="1141"/>
      <c r="H27" s="1144"/>
      <c r="K27" s="1140" t="s">
        <v>1490</v>
      </c>
      <c r="L27" s="1141"/>
      <c r="M27" s="1144"/>
    </row>
    <row r="28" spans="4:13">
      <c r="D28" s="1140" t="s">
        <v>1491</v>
      </c>
      <c r="E28" s="1144">
        <f>'31'!C12</f>
        <v>21</v>
      </c>
      <c r="F28" s="1144">
        <f>'31'!D12</f>
        <v>-76</v>
      </c>
      <c r="G28" s="1141">
        <v>47</v>
      </c>
      <c r="H28" s="1151">
        <v>159</v>
      </c>
      <c r="K28" s="1140" t="s">
        <v>1491</v>
      </c>
      <c r="L28" s="1141"/>
      <c r="M28" s="1144">
        <v>-97</v>
      </c>
    </row>
    <row r="29" spans="4:13">
      <c r="D29" s="1145" t="s">
        <v>1492</v>
      </c>
      <c r="E29" s="1147">
        <f>'31'!C46</f>
        <v>21</v>
      </c>
      <c r="F29" s="1147">
        <f>'31'!D46</f>
        <v>-76</v>
      </c>
      <c r="G29" s="1141">
        <v>47</v>
      </c>
      <c r="H29" s="1151">
        <v>157</v>
      </c>
      <c r="K29" s="1145" t="s">
        <v>1492</v>
      </c>
      <c r="L29" s="1146"/>
      <c r="M29" s="1147">
        <v>-97</v>
      </c>
    </row>
    <row r="30" spans="4:13">
      <c r="F30" s="97" t="b">
        <f>F24=연결PL!D109</f>
        <v>1</v>
      </c>
    </row>
  </sheetData>
  <mergeCells count="2">
    <mergeCell ref="L2:M2"/>
    <mergeCell ref="K2:K3"/>
  </mergeCells>
  <phoneticPr fontId="3"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 operator="containsText" id="{247F468D-11BB-463B-A31C-3E7184B98EDD}">
            <xm:f>NOT(ISERROR(SEARCH("false",A1)))</xm:f>
            <xm:f>"false"</xm:f>
            <x14:dxf>
              <fill>
                <patternFill>
                  <bgColor rgb="FFFF0000"/>
                </patternFill>
              </fill>
            </x14:dxf>
          </x14:cfRule>
          <xm:sqref>A1:XFD1048576</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4">
    <tabColor theme="1"/>
    <outlinePr summaryBelow="0"/>
  </sheetPr>
  <dimension ref="B1:L119"/>
  <sheetViews>
    <sheetView zoomScaleNormal="100" zoomScaleSheetLayoutView="100" workbookViewId="0">
      <pane xSplit="3" ySplit="1" topLeftCell="D71" activePane="bottomRight" state="frozen"/>
      <selection activeCell="M213" sqref="M213"/>
      <selection pane="topRight" activeCell="M213" sqref="M213"/>
      <selection pane="bottomLeft" activeCell="M213" sqref="M213"/>
      <selection pane="bottomRight" activeCell="B91" sqref="B91"/>
    </sheetView>
  </sheetViews>
  <sheetFormatPr defaultColWidth="9" defaultRowHeight="13.5" outlineLevelRow="1"/>
  <cols>
    <col min="1" max="1" width="1.125" style="589" customWidth="1"/>
    <col min="2" max="2" width="27.875" style="589" bestFit="1" customWidth="1"/>
    <col min="3" max="3" width="9.625" style="589" bestFit="1" customWidth="1"/>
    <col min="4" max="5" width="15.625" style="556" customWidth="1"/>
    <col min="6" max="6" width="3.125" style="589" customWidth="1"/>
    <col min="7" max="7" width="2.875" style="589" customWidth="1"/>
    <col min="8" max="8" width="11.25" style="589" bestFit="1" customWidth="1"/>
    <col min="9" max="9" width="10.375" style="589" bestFit="1" customWidth="1"/>
    <col min="10" max="16384" width="9" style="589"/>
  </cols>
  <sheetData>
    <row r="1" spans="2:5" ht="14.25" thickBot="1">
      <c r="B1" s="678" t="s">
        <v>236</v>
      </c>
      <c r="C1" s="678" t="s">
        <v>1451</v>
      </c>
      <c r="D1" s="679">
        <f>A0!E7</f>
        <v>46203</v>
      </c>
      <c r="E1" s="680">
        <v>46022</v>
      </c>
    </row>
    <row r="2" spans="2:5" ht="14.25" thickBot="1">
      <c r="B2" s="681" t="s">
        <v>871</v>
      </c>
      <c r="C2" s="681"/>
      <c r="D2" s="681"/>
      <c r="E2" s="682"/>
    </row>
    <row r="3" spans="2:5" ht="14.25" thickBot="1">
      <c r="B3" s="681" t="s">
        <v>872</v>
      </c>
      <c r="C3" s="681"/>
      <c r="D3" s="681">
        <f>D4+D6+D7+D14+D25+D34+D31</f>
        <v>19569724244</v>
      </c>
      <c r="E3" s="681">
        <v>26088866610</v>
      </c>
    </row>
    <row r="4" spans="2:5">
      <c r="B4" s="683" t="s">
        <v>359</v>
      </c>
      <c r="C4" s="683"/>
      <c r="D4" s="684">
        <f>D5</f>
        <v>11853592219</v>
      </c>
      <c r="E4" s="684">
        <v>19371699448</v>
      </c>
    </row>
    <row r="5" spans="2:5" outlineLevel="1">
      <c r="B5" s="686" t="s">
        <v>359</v>
      </c>
      <c r="C5" s="687"/>
      <c r="D5" s="688">
        <f>SUMIF(BS!$Y:$Y,연결BS!B5,BS!$X:$X)</f>
        <v>11853592219</v>
      </c>
      <c r="E5" s="689">
        <v>19371699448</v>
      </c>
    </row>
    <row r="6" spans="2:5">
      <c r="B6" s="683" t="s">
        <v>8</v>
      </c>
      <c r="C6" s="683"/>
      <c r="D6" s="684">
        <f>SUMIF(BS!$Y:$Y,연결BS!B6,BS!$X:$X)</f>
        <v>1000000000</v>
      </c>
      <c r="E6" s="685">
        <v>0</v>
      </c>
    </row>
    <row r="7" spans="2:5">
      <c r="B7" s="683" t="s">
        <v>341</v>
      </c>
      <c r="C7" s="687"/>
      <c r="D7" s="684">
        <f>SUM(D8:D13)</f>
        <v>1542306044</v>
      </c>
      <c r="E7" s="684">
        <v>1742211093</v>
      </c>
    </row>
    <row r="8" spans="2:5" outlineLevel="1">
      <c r="B8" s="686" t="s">
        <v>10</v>
      </c>
      <c r="C8" s="683"/>
      <c r="D8" s="688">
        <f>SUMIF(BS!$Y:$Y,연결BS!B8,BS!$X:$X)</f>
        <v>1093289891</v>
      </c>
      <c r="E8" s="689">
        <v>1667334063</v>
      </c>
    </row>
    <row r="9" spans="2:5" outlineLevel="1">
      <c r="B9" s="686" t="s">
        <v>12</v>
      </c>
      <c r="C9" s="687"/>
      <c r="D9" s="688">
        <f>SUMIF(BS!$Y:$Y,연결BS!B9,BS!$X:$X)</f>
        <v>-79701518</v>
      </c>
      <c r="E9" s="689">
        <v>-163007230</v>
      </c>
    </row>
    <row r="10" spans="2:5" outlineLevel="1">
      <c r="B10" s="686" t="s">
        <v>15</v>
      </c>
      <c r="C10" s="687"/>
      <c r="D10" s="688">
        <f>SUMIF(BS!$Y:$Y,연결BS!B10,BS!$X:$X)</f>
        <v>8344109</v>
      </c>
      <c r="E10" s="689">
        <v>0</v>
      </c>
    </row>
    <row r="11" spans="2:5" outlineLevel="1">
      <c r="B11" s="686" t="s">
        <v>1504</v>
      </c>
      <c r="C11" s="687"/>
      <c r="D11" s="688">
        <f>SUMIF(BS!$Y:$Y,연결BS!B11,BS!$X:$X)</f>
        <v>0</v>
      </c>
      <c r="E11" s="689">
        <v>0</v>
      </c>
    </row>
    <row r="12" spans="2:5" outlineLevel="1">
      <c r="B12" s="686" t="s">
        <v>13</v>
      </c>
      <c r="C12" s="687"/>
      <c r="D12" s="688">
        <f>SUMIF(BS!$Y:$Y,연결BS!B12,BS!$X:$X)</f>
        <v>544512562</v>
      </c>
      <c r="E12" s="689">
        <v>265023260</v>
      </c>
    </row>
    <row r="13" spans="2:5" outlineLevel="1">
      <c r="B13" s="686" t="s">
        <v>14</v>
      </c>
      <c r="C13" s="687"/>
      <c r="D13" s="688">
        <f>SUMIF(BS!$Y:$Y,연결BS!B13,BS!$X:$X)</f>
        <v>-24139000</v>
      </c>
      <c r="E13" s="689">
        <v>-27139000</v>
      </c>
    </row>
    <row r="14" spans="2:5">
      <c r="B14" s="683" t="s">
        <v>20</v>
      </c>
      <c r="C14" s="687"/>
      <c r="D14" s="684">
        <f>SUM(D15:D24)</f>
        <v>2306724877</v>
      </c>
      <c r="E14" s="684">
        <v>2120729597</v>
      </c>
    </row>
    <row r="15" spans="2:5" outlineLevel="1">
      <c r="B15" s="686" t="s">
        <v>23</v>
      </c>
      <c r="C15" s="683"/>
      <c r="D15" s="688">
        <f>SUMIF(BS!$Y:$Y,연결BS!B15,BS!$X:$X)</f>
        <v>113083377</v>
      </c>
      <c r="E15" s="689">
        <v>111295016</v>
      </c>
    </row>
    <row r="16" spans="2:5" outlineLevel="1">
      <c r="B16" s="686" t="s">
        <v>1507</v>
      </c>
      <c r="C16" s="683"/>
      <c r="D16" s="688">
        <f>SUMIF(BS!$Y:$Y,연결BS!B16,BS!$X:$X)</f>
        <v>0</v>
      </c>
      <c r="E16" s="689">
        <v>-14089</v>
      </c>
    </row>
    <row r="17" spans="2:8" outlineLevel="1">
      <c r="B17" s="686" t="s">
        <v>21</v>
      </c>
      <c r="C17" s="687"/>
      <c r="D17" s="688">
        <f>SUMIF(BS!$Y:$Y,연결BS!B17,BS!$X:$X)</f>
        <v>2573602294</v>
      </c>
      <c r="E17" s="689">
        <v>2367206763</v>
      </c>
    </row>
    <row r="18" spans="2:8" outlineLevel="1">
      <c r="B18" s="686" t="s">
        <v>1508</v>
      </c>
      <c r="C18" s="687"/>
      <c r="D18" s="688">
        <f>SUMIF(BS!$Y:$Y,연결BS!B18,BS!$X:$X)</f>
        <v>-827921741</v>
      </c>
      <c r="E18" s="689">
        <v>-725171962</v>
      </c>
    </row>
    <row r="19" spans="2:8" outlineLevel="1">
      <c r="B19" s="686" t="s">
        <v>24</v>
      </c>
      <c r="C19" s="687"/>
      <c r="D19" s="688">
        <f>SUMIF(BS!$Y:$Y,연결BS!B19,BS!$X:$X)</f>
        <v>487254381</v>
      </c>
      <c r="E19" s="689">
        <v>354984836</v>
      </c>
    </row>
    <row r="20" spans="2:8" outlineLevel="1">
      <c r="B20" s="686" t="s">
        <v>1509</v>
      </c>
      <c r="C20" s="687"/>
      <c r="D20" s="688">
        <f>SUMIF(BS!$Y:$Y,연결BS!B20,BS!$X:$X)</f>
        <v>-67100184</v>
      </c>
      <c r="E20" s="689">
        <v>-34479470</v>
      </c>
    </row>
    <row r="21" spans="2:8" outlineLevel="1">
      <c r="B21" s="686" t="s">
        <v>1372</v>
      </c>
      <c r="C21" s="687"/>
      <c r="D21" s="688">
        <f>SUMIF(BS!$Y:$Y,연결BS!B21,BS!$X:$X)</f>
        <v>48405072</v>
      </c>
      <c r="E21" s="972">
        <v>49267189</v>
      </c>
    </row>
    <row r="22" spans="2:8" outlineLevel="1">
      <c r="B22" s="686" t="s">
        <v>1848</v>
      </c>
      <c r="C22" s="687"/>
      <c r="D22" s="688">
        <f>SUMIF(BS!$Y:$Y,연결BS!B22,BS!$X:$X)</f>
        <v>-20598322</v>
      </c>
      <c r="E22" s="972">
        <v>-2358686</v>
      </c>
    </row>
    <row r="23" spans="2:8" outlineLevel="1">
      <c r="B23" s="686" t="s">
        <v>22</v>
      </c>
      <c r="C23" s="687"/>
      <c r="D23" s="688">
        <f>SUMIF(BS!$Y:$Y,연결BS!B23,BS!$X:$X)</f>
        <v>1451631047</v>
      </c>
      <c r="E23" s="689">
        <v>0</v>
      </c>
    </row>
    <row r="24" spans="2:8" outlineLevel="1">
      <c r="B24" s="686" t="s">
        <v>3790</v>
      </c>
      <c r="C24" s="687"/>
      <c r="D24" s="688">
        <f>SUMIF(BS!$Y:$Y,연결BS!B24,BS!$X:$X)</f>
        <v>-1451631047</v>
      </c>
      <c r="E24" s="688">
        <v>0</v>
      </c>
    </row>
    <row r="25" spans="2:8">
      <c r="B25" s="683" t="s">
        <v>105</v>
      </c>
      <c r="C25" s="687"/>
      <c r="D25" s="684">
        <f>SUM(D26:D30)</f>
        <v>2793009371</v>
      </c>
      <c r="E25" s="684">
        <v>2780553225</v>
      </c>
    </row>
    <row r="26" spans="2:8" outlineLevel="1">
      <c r="B26" s="686" t="s">
        <v>16</v>
      </c>
      <c r="C26" s="687"/>
      <c r="D26" s="688">
        <f>SUMIF(BS!$Y:$Y,연결BS!B26,BS!$X:$X)</f>
        <v>1238992451</v>
      </c>
      <c r="E26" s="689">
        <v>2298824241</v>
      </c>
      <c r="H26" s="556"/>
    </row>
    <row r="27" spans="2:8" outlineLevel="1">
      <c r="B27" s="686" t="s">
        <v>1505</v>
      </c>
      <c r="C27" s="687"/>
      <c r="D27" s="688">
        <f>SUMIF(BS!$Y:$Y,연결BS!B27,BS!$X:$X)</f>
        <v>-564300000</v>
      </c>
      <c r="E27" s="689">
        <v>0</v>
      </c>
    </row>
    <row r="28" spans="2:8" outlineLevel="1">
      <c r="B28" s="686" t="s">
        <v>17</v>
      </c>
      <c r="C28" s="687"/>
      <c r="D28" s="688">
        <f>SUMIF(BS!$Y:$Y,연결BS!B28,BS!$X:$X)</f>
        <v>1698698289</v>
      </c>
      <c r="E28" s="972">
        <v>474036344</v>
      </c>
    </row>
    <row r="29" spans="2:8" outlineLevel="1">
      <c r="B29" s="686" t="s">
        <v>2760</v>
      </c>
      <c r="C29" s="687"/>
      <c r="D29" s="688">
        <f>SUMIF(BS!$Y:$Y,연결BS!B29,BS!$X:$X)</f>
        <v>4272227</v>
      </c>
      <c r="E29" s="689">
        <v>7692640</v>
      </c>
    </row>
    <row r="30" spans="2:8" outlineLevel="1">
      <c r="B30" s="686" t="s">
        <v>3794</v>
      </c>
      <c r="C30" s="687"/>
      <c r="D30" s="688">
        <f>SUMIF(BS!$Y:$Y,연결BS!B30,BS!$X:$X)</f>
        <v>415346404</v>
      </c>
      <c r="E30" s="688">
        <v>0</v>
      </c>
    </row>
    <row r="31" spans="2:8">
      <c r="B31" s="683" t="s">
        <v>2570</v>
      </c>
      <c r="C31" s="687"/>
      <c r="D31" s="684">
        <f>SUM(D32:D33)</f>
        <v>58432567</v>
      </c>
      <c r="E31" s="684">
        <v>56059511</v>
      </c>
    </row>
    <row r="32" spans="2:8" outlineLevel="1">
      <c r="B32" s="686" t="s">
        <v>2508</v>
      </c>
      <c r="C32" s="687"/>
      <c r="D32" s="688">
        <f>SUMIF(BS!$Y:$Y,연결BS!B32,BS!$X:$X)</f>
        <v>58432567</v>
      </c>
      <c r="E32" s="689">
        <v>54809510</v>
      </c>
    </row>
    <row r="33" spans="2:12" outlineLevel="1">
      <c r="B33" s="686" t="s">
        <v>1506</v>
      </c>
      <c r="C33" s="687"/>
      <c r="D33" s="688">
        <f>SUMIF(BS!$Y:$Y,연결BS!B33,BS!$X:$X)</f>
        <v>0</v>
      </c>
      <c r="E33" s="689">
        <v>1250001</v>
      </c>
    </row>
    <row r="34" spans="2:12" ht="14.25" thickBot="1">
      <c r="B34" s="683" t="s">
        <v>106</v>
      </c>
      <c r="C34" s="687"/>
      <c r="D34" s="684">
        <f>SUMIF(BS!$Y:$Y,연결BS!B34,BS!$X:$X)</f>
        <v>15659166</v>
      </c>
      <c r="E34" s="685">
        <v>17613736</v>
      </c>
    </row>
    <row r="35" spans="2:12" s="690" customFormat="1" ht="14.25" thickBot="1">
      <c r="B35" s="681" t="s">
        <v>873</v>
      </c>
      <c r="C35" s="681"/>
      <c r="D35" s="681">
        <f>D36+D40+D43+D62+D73+D39+D71</f>
        <v>47987765603</v>
      </c>
      <c r="E35" s="681">
        <v>29206530706</v>
      </c>
      <c r="F35" s="589"/>
      <c r="I35" s="589"/>
      <c r="K35" s="589"/>
      <c r="L35" s="589"/>
    </row>
    <row r="36" spans="2:12">
      <c r="B36" s="683" t="s">
        <v>1115</v>
      </c>
      <c r="C36" s="683"/>
      <c r="D36" s="684">
        <f>SUM(D37:D38)</f>
        <v>715041595</v>
      </c>
      <c r="E36" s="685">
        <v>388220275</v>
      </c>
      <c r="K36" s="690"/>
    </row>
    <row r="37" spans="2:12" outlineLevel="1">
      <c r="B37" s="686" t="s">
        <v>43</v>
      </c>
      <c r="C37" s="687"/>
      <c r="D37" s="688">
        <f>SUMIF(BS!$Y:$Y,연결BS!B37,BS!$X:$X)</f>
        <v>696916809</v>
      </c>
      <c r="E37" s="689">
        <v>378196105</v>
      </c>
    </row>
    <row r="38" spans="2:12" outlineLevel="1">
      <c r="B38" s="686" t="s">
        <v>44</v>
      </c>
      <c r="C38" s="687"/>
      <c r="D38" s="688">
        <f>SUMIF(BS!$Y:$Y,연결BS!B38,BS!$X:$X)</f>
        <v>18124786</v>
      </c>
      <c r="E38" s="689">
        <v>10024170</v>
      </c>
    </row>
    <row r="39" spans="2:12">
      <c r="B39" s="683" t="s">
        <v>1511</v>
      </c>
      <c r="C39" s="687"/>
      <c r="D39" s="684">
        <f>SUMIF(BS!$Y:$Y,연결BS!B39,BS!$X:$X)</f>
        <v>172664940</v>
      </c>
      <c r="E39" s="685">
        <v>172664940</v>
      </c>
    </row>
    <row r="40" spans="2:12">
      <c r="B40" s="683" t="s">
        <v>269</v>
      </c>
      <c r="C40" s="687"/>
      <c r="D40" s="684">
        <f>SUM(D41:D42)</f>
        <v>0</v>
      </c>
      <c r="E40" s="685">
        <v>16999999500</v>
      </c>
    </row>
    <row r="41" spans="2:12" outlineLevel="1">
      <c r="B41" s="686" t="s">
        <v>904</v>
      </c>
      <c r="C41" s="686"/>
      <c r="D41" s="688">
        <f>SUMIF(BS!$Y:$Y,연결BS!B41,BS!$X:$X)</f>
        <v>0</v>
      </c>
      <c r="E41" s="689">
        <v>0</v>
      </c>
    </row>
    <row r="42" spans="2:12" outlineLevel="1">
      <c r="B42" s="686" t="s">
        <v>905</v>
      </c>
      <c r="C42" s="686"/>
      <c r="D42" s="688">
        <f>SUMIF(BS!$Y:$Y,연결BS!B42,BS!$X:$X)</f>
        <v>0</v>
      </c>
      <c r="E42" s="689">
        <v>16999999500</v>
      </c>
    </row>
    <row r="43" spans="2:12">
      <c r="B43" s="683" t="s">
        <v>27</v>
      </c>
      <c r="C43" s="687"/>
      <c r="D43" s="684">
        <f>SUM(D44:D61)</f>
        <v>10878025531</v>
      </c>
      <c r="E43" s="685">
        <v>9040172270</v>
      </c>
    </row>
    <row r="44" spans="2:12" outlineLevel="1">
      <c r="B44" s="686" t="s">
        <v>2577</v>
      </c>
      <c r="C44" s="687"/>
      <c r="D44" s="688">
        <f>SUMIF(BS!$Y:$Y,연결BS!B44,BS!$X:$X)</f>
        <v>1115280040</v>
      </c>
      <c r="E44" s="944">
        <v>557640020</v>
      </c>
    </row>
    <row r="45" spans="2:12" outlineLevel="1">
      <c r="B45" s="686" t="s">
        <v>29</v>
      </c>
      <c r="C45" s="687"/>
      <c r="D45" s="688">
        <f>SUMIF(BS!$Y:$Y,연결BS!B45,BS!$X:$X)</f>
        <v>2832428420</v>
      </c>
      <c r="E45" s="944">
        <v>1355889942</v>
      </c>
    </row>
    <row r="46" spans="2:12" outlineLevel="1">
      <c r="B46" s="686" t="s">
        <v>30</v>
      </c>
      <c r="C46" s="687"/>
      <c r="D46" s="688">
        <f>SUMIF(BS!$Y:$Y,연결BS!B46,BS!$X:$X)</f>
        <v>-61959374</v>
      </c>
      <c r="E46" s="944">
        <v>-31072481</v>
      </c>
    </row>
    <row r="47" spans="2:12" s="690" customFormat="1" outlineLevel="1">
      <c r="B47" s="686" t="s">
        <v>31</v>
      </c>
      <c r="C47" s="686"/>
      <c r="D47" s="688">
        <f>SUMIF(BS!$Y:$Y,연결BS!B47,BS!$X:$X)</f>
        <v>4880028475</v>
      </c>
      <c r="E47" s="689">
        <v>1819453967</v>
      </c>
      <c r="I47" s="589"/>
      <c r="K47" s="589"/>
      <c r="L47" s="589"/>
    </row>
    <row r="48" spans="2:12" outlineLevel="1">
      <c r="B48" s="686" t="s">
        <v>1522</v>
      </c>
      <c r="C48" s="687"/>
      <c r="D48" s="688">
        <f>SUMIF(BS!$Y:$Y,연결BS!B48,BS!$X:$X)</f>
        <v>-2996965212</v>
      </c>
      <c r="E48" s="689">
        <v>-1210652849</v>
      </c>
    </row>
    <row r="49" spans="2:12" outlineLevel="1">
      <c r="B49" s="686" t="s">
        <v>33</v>
      </c>
      <c r="C49" s="687"/>
      <c r="D49" s="688">
        <f>SUMIF(BS!$Y:$Y,연결BS!B49,BS!$X:$X)</f>
        <v>7974819</v>
      </c>
      <c r="E49" s="689">
        <v>7974819</v>
      </c>
      <c r="K49" s="690"/>
    </row>
    <row r="50" spans="2:12" outlineLevel="1">
      <c r="B50" s="686" t="s">
        <v>1512</v>
      </c>
      <c r="C50" s="687"/>
      <c r="D50" s="688">
        <f>SUMIF(BS!$Y:$Y,연결BS!B50,BS!$X:$X)</f>
        <v>-7972819</v>
      </c>
      <c r="E50" s="689">
        <v>-7972819</v>
      </c>
    </row>
    <row r="51" spans="2:12" outlineLevel="1">
      <c r="B51" s="686" t="s">
        <v>662</v>
      </c>
      <c r="C51" s="687"/>
      <c r="D51" s="688">
        <f>SUMIF(BS!$Y:$Y,연결BS!B51,BS!$X:$X)</f>
        <v>131100000</v>
      </c>
      <c r="E51" s="689">
        <v>131100000</v>
      </c>
    </row>
    <row r="52" spans="2:12" outlineLevel="1">
      <c r="B52" s="686" t="s">
        <v>1520</v>
      </c>
      <c r="C52" s="687"/>
      <c r="D52" s="688">
        <f>SUMIF(BS!$Y:$Y,연결BS!B52,BS!$X:$X)</f>
        <v>-67838194</v>
      </c>
      <c r="E52" s="689">
        <v>-58155206</v>
      </c>
    </row>
    <row r="53" spans="2:12" s="690" customFormat="1" outlineLevel="1">
      <c r="B53" s="686" t="s">
        <v>874</v>
      </c>
      <c r="C53" s="687"/>
      <c r="D53" s="688">
        <f>SUMIF(BS!$Y:$Y,연결BS!B53,BS!$X:$X)</f>
        <v>1535040545</v>
      </c>
      <c r="E53" s="689">
        <v>614672405</v>
      </c>
      <c r="I53" s="589"/>
      <c r="K53" s="589"/>
      <c r="L53" s="589"/>
    </row>
    <row r="54" spans="2:12" s="690" customFormat="1" outlineLevel="1">
      <c r="B54" s="686" t="s">
        <v>1518</v>
      </c>
      <c r="C54" s="687"/>
      <c r="D54" s="688">
        <f>SUMIF(BS!$Y:$Y,연결BS!B54,BS!$X:$X)</f>
        <v>-1221588823</v>
      </c>
      <c r="E54" s="689">
        <v>-434308698</v>
      </c>
      <c r="I54" s="589"/>
      <c r="K54" s="589"/>
      <c r="L54" s="589"/>
    </row>
    <row r="55" spans="2:12" s="690" customFormat="1" outlineLevel="1">
      <c r="B55" s="686" t="s">
        <v>669</v>
      </c>
      <c r="C55" s="687"/>
      <c r="D55" s="688">
        <f>SUMIF(BS!$Y:$Y,연결BS!B55,BS!$X:$X)</f>
        <v>550941423</v>
      </c>
      <c r="E55" s="689">
        <v>611253322</v>
      </c>
      <c r="I55" s="589"/>
      <c r="L55" s="589"/>
    </row>
    <row r="56" spans="2:12" s="690" customFormat="1" outlineLevel="1">
      <c r="B56" s="686" t="s">
        <v>1516</v>
      </c>
      <c r="C56" s="687"/>
      <c r="D56" s="688">
        <f>SUMIF(BS!$Y:$Y,연결BS!B56,BS!$X:$X)</f>
        <v>-349402157</v>
      </c>
      <c r="E56" s="689">
        <v>-382367556</v>
      </c>
      <c r="I56" s="589"/>
      <c r="L56" s="589"/>
    </row>
    <row r="57" spans="2:12" s="690" customFormat="1" outlineLevel="1">
      <c r="B57" s="686" t="s">
        <v>1366</v>
      </c>
      <c r="C57" s="1121"/>
      <c r="D57" s="688">
        <f>SUMIF(BS!$Y:$Y,연결BS!B57,BS!$X:$X)</f>
        <v>1633968204</v>
      </c>
      <c r="E57" s="972">
        <v>473450000</v>
      </c>
      <c r="I57" s="589"/>
      <c r="L57" s="589"/>
    </row>
    <row r="58" spans="2:12" s="690" customFormat="1" outlineLevel="1">
      <c r="B58" s="686" t="s">
        <v>2572</v>
      </c>
      <c r="C58" s="1121"/>
      <c r="D58" s="688">
        <f>SUMIF(BS!$Y:$Y,연결BS!B58,BS!$X:$X)</f>
        <v>-797806647</v>
      </c>
      <c r="E58" s="972">
        <v>-85582504</v>
      </c>
      <c r="I58" s="589"/>
      <c r="L58" s="589"/>
    </row>
    <row r="59" spans="2:12" s="690" customFormat="1" outlineLevel="1">
      <c r="B59" s="686" t="s">
        <v>2574</v>
      </c>
      <c r="C59" s="1121"/>
      <c r="D59" s="688">
        <f>SUMIF(BS!$Y:$Y,연결BS!B59,BS!$X:$X)</f>
        <v>1376213175</v>
      </c>
      <c r="E59" s="972">
        <v>4039985025</v>
      </c>
      <c r="L59" s="589"/>
    </row>
    <row r="60" spans="2:12" s="690" customFormat="1" ht="16.5" outlineLevel="1">
      <c r="B60" s="686" t="s">
        <v>346</v>
      </c>
      <c r="C60" s="691"/>
      <c r="D60" s="688">
        <f>SUMIF(BS!$Y:$Y,연결BS!B60,BS!$X:$X)</f>
        <v>4849259093</v>
      </c>
      <c r="E60" s="689">
        <v>2097393657</v>
      </c>
      <c r="F60" s="555"/>
      <c r="G60" s="555"/>
      <c r="I60" s="589"/>
      <c r="L60" s="589"/>
    </row>
    <row r="61" spans="2:12" s="690" customFormat="1" ht="16.5" outlineLevel="1">
      <c r="B61" s="686" t="s">
        <v>1513</v>
      </c>
      <c r="C61" s="691"/>
      <c r="D61" s="688">
        <f>SUMIF(BS!$Y:$Y,연결BS!B61,BS!$X:$X)</f>
        <v>-2530675437</v>
      </c>
      <c r="E61" s="689">
        <v>-458528774</v>
      </c>
      <c r="F61" s="555"/>
      <c r="G61" s="555"/>
      <c r="I61" s="589"/>
      <c r="L61" s="589"/>
    </row>
    <row r="62" spans="2:12">
      <c r="B62" s="560" t="s">
        <v>35</v>
      </c>
      <c r="C62" s="692"/>
      <c r="D62" s="684">
        <f>SUM(D63:D70)</f>
        <v>33200055369</v>
      </c>
      <c r="E62" s="685">
        <v>50368750</v>
      </c>
      <c r="K62" s="690"/>
    </row>
    <row r="63" spans="2:12" s="690" customFormat="1" outlineLevel="1">
      <c r="B63" s="686" t="s">
        <v>37</v>
      </c>
      <c r="C63" s="687"/>
      <c r="D63" s="688">
        <f>SUMIF(BS!$Y:$Y,연결BS!B63,BS!$X:$X)</f>
        <v>4712779068</v>
      </c>
      <c r="E63" s="689">
        <v>18182933</v>
      </c>
      <c r="I63" s="589"/>
      <c r="L63" s="589"/>
    </row>
    <row r="64" spans="2:12" outlineLevel="1">
      <c r="B64" s="686" t="s">
        <v>38</v>
      </c>
      <c r="C64" s="687"/>
      <c r="D64" s="688">
        <f>SUMIF(BS!$Y:$Y,연결BS!B64,BS!$X:$X)</f>
        <v>407963698</v>
      </c>
      <c r="E64" s="689">
        <v>19838530</v>
      </c>
      <c r="K64" s="690"/>
    </row>
    <row r="65" spans="2:12" outlineLevel="1">
      <c r="B65" s="686" t="s">
        <v>1452</v>
      </c>
      <c r="C65" s="687"/>
      <c r="D65" s="688">
        <f>SUMIF(BS!$Y:$Y,연결BS!B65,BS!$X:$X)</f>
        <v>16195983360</v>
      </c>
      <c r="E65" s="689">
        <v>0</v>
      </c>
    </row>
    <row r="66" spans="2:12" s="690" customFormat="1" outlineLevel="1">
      <c r="B66" s="686" t="s">
        <v>40</v>
      </c>
      <c r="C66" s="687"/>
      <c r="D66" s="688">
        <f>SUMIF(BS!$Y:$Y,연결BS!B66,BS!$X:$X)</f>
        <v>5628405039</v>
      </c>
      <c r="E66" s="689">
        <v>0</v>
      </c>
      <c r="I66" s="589"/>
      <c r="L66" s="589"/>
    </row>
    <row r="67" spans="2:12" outlineLevel="1">
      <c r="B67" s="686" t="s">
        <v>41</v>
      </c>
      <c r="C67" s="687"/>
      <c r="D67" s="688">
        <f>SUMIF(BS!$Y:$Y,연결BS!B67,BS!$X:$X)</f>
        <v>73116784</v>
      </c>
      <c r="E67" s="689">
        <v>12347287</v>
      </c>
    </row>
    <row r="68" spans="2:12" outlineLevel="1">
      <c r="B68" s="686" t="s">
        <v>3791</v>
      </c>
      <c r="C68" s="687"/>
      <c r="D68" s="688">
        <f>SUMIF(BS!$Y:$Y,연결BS!B68,BS!$X:$X)</f>
        <v>46357920</v>
      </c>
      <c r="E68" s="1778">
        <v>0</v>
      </c>
    </row>
    <row r="69" spans="2:12" outlineLevel="1">
      <c r="B69" s="686" t="s">
        <v>3836</v>
      </c>
      <c r="C69" s="687"/>
      <c r="D69" s="688">
        <f>SUMIF(BS!$Y:$Y,연결BS!B69,BS!$X:$X)</f>
        <v>6097155442</v>
      </c>
      <c r="E69" s="1778">
        <v>0</v>
      </c>
    </row>
    <row r="70" spans="2:12" outlineLevel="1">
      <c r="B70" s="686" t="s">
        <v>3792</v>
      </c>
      <c r="C70" s="687"/>
      <c r="D70" s="688">
        <f>SUMIF(BS!$Y:$Y,연결BS!B70,BS!$X:$X)</f>
        <v>38294058</v>
      </c>
      <c r="E70" s="1778">
        <v>0</v>
      </c>
    </row>
    <row r="71" spans="2:12">
      <c r="B71" s="683" t="s">
        <v>3793</v>
      </c>
      <c r="C71" s="687"/>
      <c r="D71" s="684">
        <f>D72</f>
        <v>466873197</v>
      </c>
      <c r="E71" s="1778">
        <v>0</v>
      </c>
    </row>
    <row r="72" spans="2:12" outlineLevel="1">
      <c r="B72" s="686" t="s">
        <v>3774</v>
      </c>
      <c r="C72" s="687"/>
      <c r="D72" s="688">
        <f>SUMIF(BS!$Y:$Y,연결BS!B72,BS!$X:$X)</f>
        <v>466873197</v>
      </c>
      <c r="E72" s="1778">
        <v>0</v>
      </c>
    </row>
    <row r="73" spans="2:12" ht="14.25" thickBot="1">
      <c r="B73" s="683" t="s">
        <v>1453</v>
      </c>
      <c r="C73" s="693"/>
      <c r="D73" s="684">
        <f>SUMIF(BS!$Y:$Y,연결BS!B73,BS!$X:$X)</f>
        <v>2555104971</v>
      </c>
      <c r="E73" s="685">
        <v>2555104971</v>
      </c>
    </row>
    <row r="74" spans="2:12" ht="14.25" thickBot="1">
      <c r="B74" s="681" t="s">
        <v>876</v>
      </c>
      <c r="C74" s="681"/>
      <c r="D74" s="681">
        <f>D35+D3</f>
        <v>67557489847</v>
      </c>
      <c r="E74" s="681">
        <v>55295397316</v>
      </c>
      <c r="I74" s="556"/>
      <c r="K74" s="690"/>
    </row>
    <row r="75" spans="2:12" ht="14.25" thickBot="1">
      <c r="B75" s="681" t="s">
        <v>877</v>
      </c>
      <c r="C75" s="681"/>
      <c r="D75" s="681"/>
      <c r="E75" s="682"/>
    </row>
    <row r="76" spans="2:12">
      <c r="B76" s="694" t="s">
        <v>878</v>
      </c>
      <c r="C76" s="694"/>
      <c r="D76" s="695">
        <f>D77+D83+D84+D86+D85+D82</f>
        <v>16544730603</v>
      </c>
      <c r="E76" s="695">
        <v>6018209801</v>
      </c>
      <c r="F76" s="561"/>
    </row>
    <row r="77" spans="2:12">
      <c r="B77" s="683" t="s">
        <v>362</v>
      </c>
      <c r="C77" s="683"/>
      <c r="D77" s="684">
        <f>SUM(D78:D81)</f>
        <v>7487585981</v>
      </c>
      <c r="E77" s="684">
        <v>1700812758</v>
      </c>
    </row>
    <row r="78" spans="2:12" outlineLevel="1">
      <c r="B78" s="686" t="s">
        <v>48</v>
      </c>
      <c r="C78" s="687"/>
      <c r="D78" s="688">
        <f>SUMIF(BS!$Y:$Y,연결BS!B78,BS!$X:$X)</f>
        <v>299168927</v>
      </c>
      <c r="E78" s="689">
        <v>564384003</v>
      </c>
    </row>
    <row r="79" spans="2:12" outlineLevel="1">
      <c r="B79" s="686" t="s">
        <v>51</v>
      </c>
      <c r="C79" s="687"/>
      <c r="D79" s="688">
        <f>SUMIF(BS!$Y:$Y,연결BS!B79,BS!$X:$X)</f>
        <v>4343550080</v>
      </c>
      <c r="E79" s="689">
        <v>293535909</v>
      </c>
    </row>
    <row r="80" spans="2:12" outlineLevel="1">
      <c r="B80" s="686" t="s">
        <v>879</v>
      </c>
      <c r="C80" s="687"/>
      <c r="D80" s="688">
        <f>SUMIF(BS!$Y:$Y,연결BS!B80,BS!$X:$X)</f>
        <v>85200680</v>
      </c>
      <c r="E80" s="689">
        <v>0</v>
      </c>
    </row>
    <row r="81" spans="2:5" outlineLevel="1">
      <c r="B81" s="686" t="s">
        <v>54</v>
      </c>
      <c r="C81" s="687"/>
      <c r="D81" s="688">
        <f>SUMIF(BS!$Y:$Y,연결BS!B81,BS!$X:$X)</f>
        <v>2759666294</v>
      </c>
      <c r="E81" s="689">
        <v>842892846</v>
      </c>
    </row>
    <row r="82" spans="2:5">
      <c r="B82" s="683" t="s">
        <v>108</v>
      </c>
      <c r="C82" s="687"/>
      <c r="D82" s="684">
        <f>SUMIF(BS!$Y:$Y,연결BS!B82,BS!$X:$X)</f>
        <v>0</v>
      </c>
      <c r="E82" s="972">
        <v>0</v>
      </c>
    </row>
    <row r="83" spans="2:5">
      <c r="B83" s="683" t="s">
        <v>50</v>
      </c>
      <c r="C83" s="683"/>
      <c r="D83" s="684">
        <f>SUMIF(BS!$Y:$Y,연결BS!B83,BS!$X:$X)</f>
        <v>1120000000</v>
      </c>
      <c r="E83" s="685">
        <v>1120000000</v>
      </c>
    </row>
    <row r="84" spans="2:5">
      <c r="B84" s="683" t="s">
        <v>55</v>
      </c>
      <c r="C84" s="683"/>
      <c r="D84" s="684">
        <f>SUMIF(BS!$Y:$Y,연결BS!B84,BS!$X:$X)</f>
        <v>0</v>
      </c>
      <c r="E84" s="685">
        <v>83300000</v>
      </c>
    </row>
    <row r="85" spans="2:5">
      <c r="B85" s="683" t="s">
        <v>694</v>
      </c>
      <c r="C85" s="683"/>
      <c r="D85" s="684">
        <f>SUMIF(BS!$Y:$Y,연결BS!B85,BS!$X:$X)</f>
        <v>899145465</v>
      </c>
      <c r="E85" s="685">
        <v>545986082</v>
      </c>
    </row>
    <row r="86" spans="2:5">
      <c r="B86" s="683" t="s">
        <v>107</v>
      </c>
      <c r="C86" s="683"/>
      <c r="D86" s="684">
        <f>SUM(D87:D88)</f>
        <v>7037999157</v>
      </c>
      <c r="E86" s="685">
        <v>2568110961</v>
      </c>
    </row>
    <row r="87" spans="2:5" outlineLevel="1">
      <c r="B87" s="686" t="s">
        <v>52</v>
      </c>
      <c r="C87" s="686"/>
      <c r="D87" s="688">
        <f>SUMIF(BS!$Y:$Y,연결BS!B87,BS!$X:$X)</f>
        <v>7028604154</v>
      </c>
      <c r="E87" s="689">
        <v>2550767839</v>
      </c>
    </row>
    <row r="88" spans="2:5" outlineLevel="1">
      <c r="B88" s="686" t="s">
        <v>183</v>
      </c>
      <c r="C88" s="687"/>
      <c r="D88" s="688">
        <f>SUMIF(BS!$Y:$Y,연결BS!B88,BS!$X:$X)</f>
        <v>9395003</v>
      </c>
      <c r="E88" s="689">
        <v>17343122</v>
      </c>
    </row>
    <row r="89" spans="2:5">
      <c r="B89" s="694" t="s">
        <v>882</v>
      </c>
      <c r="C89" s="696"/>
      <c r="D89" s="695">
        <f>D96+D90+D98+D92+D93+D91+D94</f>
        <v>9391764405</v>
      </c>
      <c r="E89" s="695">
        <v>6917922634</v>
      </c>
    </row>
    <row r="90" spans="2:5">
      <c r="B90" s="683" t="s">
        <v>57</v>
      </c>
      <c r="C90" s="687"/>
      <c r="D90" s="684">
        <f>SUMIF(BS!$Y:$Y,연결BS!B90,BS!$X:$X)</f>
        <v>4100000000</v>
      </c>
      <c r="E90" s="685">
        <v>4100000000</v>
      </c>
    </row>
    <row r="91" spans="2:5">
      <c r="B91" s="683" t="s">
        <v>3777</v>
      </c>
      <c r="C91" s="687"/>
      <c r="D91" s="684">
        <f>SUMIF(BS!$Y:$Y,연결BS!B91,BS!$X:$X)</f>
        <v>299694899</v>
      </c>
      <c r="E91" s="1779">
        <v>0</v>
      </c>
    </row>
    <row r="92" spans="2:5">
      <c r="B92" s="683" t="s">
        <v>590</v>
      </c>
      <c r="C92" s="687"/>
      <c r="D92" s="684">
        <f>SUMIF(BS!$Y:$Y,연결BS!B92,BS!$X:$X)</f>
        <v>1535260103</v>
      </c>
      <c r="E92" s="685">
        <v>1049272823</v>
      </c>
    </row>
    <row r="93" spans="2:5">
      <c r="B93" s="683" t="s">
        <v>2439</v>
      </c>
      <c r="C93" s="687"/>
      <c r="D93" s="684">
        <f>SUMIF(BS!$Y:$Y,연결BS!B93,BS!$X:$X)</f>
        <v>2462964628</v>
      </c>
      <c r="E93" s="944">
        <v>8355551</v>
      </c>
    </row>
    <row r="94" spans="2:5">
      <c r="B94" s="683" t="s">
        <v>3795</v>
      </c>
      <c r="C94" s="687"/>
      <c r="D94" s="684">
        <f>D95</f>
        <v>77758201</v>
      </c>
      <c r="E94" s="1779">
        <v>0</v>
      </c>
    </row>
    <row r="95" spans="2:5" outlineLevel="1">
      <c r="B95" s="686" t="s">
        <v>3781</v>
      </c>
      <c r="C95" s="687"/>
      <c r="D95" s="688">
        <f>SUMIF(BS!$Y:$Y,연결BS!B95,BS!$X:$X)</f>
        <v>77758201</v>
      </c>
      <c r="E95" s="1778">
        <v>0</v>
      </c>
    </row>
    <row r="96" spans="2:5">
      <c r="B96" s="683" t="s">
        <v>2662</v>
      </c>
      <c r="C96" s="687"/>
      <c r="D96" s="684">
        <f>D97</f>
        <v>205709924</v>
      </c>
      <c r="E96" s="685">
        <v>173088026</v>
      </c>
    </row>
    <row r="97" spans="2:9" outlineLevel="1">
      <c r="B97" s="686" t="s">
        <v>2663</v>
      </c>
      <c r="C97" s="687"/>
      <c r="D97" s="684">
        <f>SUMIF(BS!$Y:$Y,연결BS!B97,BS!$X:$X)</f>
        <v>205709924</v>
      </c>
      <c r="E97" s="689">
        <v>173088026</v>
      </c>
    </row>
    <row r="98" spans="2:9">
      <c r="B98" s="683" t="s">
        <v>1514</v>
      </c>
      <c r="C98" s="697"/>
      <c r="D98" s="684">
        <f>SUM(D99:D100)</f>
        <v>710376650</v>
      </c>
      <c r="E98" s="685">
        <v>1587206234</v>
      </c>
    </row>
    <row r="99" spans="2:9" outlineLevel="1">
      <c r="B99" s="686" t="s">
        <v>885</v>
      </c>
      <c r="C99" s="686"/>
      <c r="D99" s="688">
        <f>SUMIF(BS!$Y:$Y,연결BS!B99,BS!$X:$X)</f>
        <v>710376650</v>
      </c>
      <c r="E99" s="689">
        <v>1587206234</v>
      </c>
    </row>
    <row r="100" spans="2:9" ht="14.25" outlineLevel="1" thickBot="1">
      <c r="B100" s="686" t="s">
        <v>60</v>
      </c>
      <c r="C100" s="687"/>
      <c r="D100" s="688">
        <f>SUMIF(BS!$Y:$Y,연결BS!B100,BS!$X:$X)</f>
        <v>0</v>
      </c>
      <c r="E100" s="689">
        <v>0</v>
      </c>
    </row>
    <row r="101" spans="2:9" ht="14.25" thickBot="1">
      <c r="B101" s="681" t="s">
        <v>886</v>
      </c>
      <c r="C101" s="681"/>
      <c r="D101" s="681">
        <f>D89+D76</f>
        <v>25936495008</v>
      </c>
      <c r="E101" s="681">
        <v>12936132435</v>
      </c>
      <c r="I101" s="556"/>
    </row>
    <row r="102" spans="2:9">
      <c r="B102" s="697" t="s">
        <v>61</v>
      </c>
      <c r="C102" s="697"/>
      <c r="D102" s="684"/>
      <c r="E102" s="685"/>
    </row>
    <row r="103" spans="2:9">
      <c r="B103" s="697" t="s">
        <v>3842</v>
      </c>
      <c r="C103" s="697"/>
      <c r="D103" s="684">
        <f>SUM(D104,D106,D109,D112)</f>
        <v>41503008774</v>
      </c>
      <c r="E103" s="684">
        <f>SUM(E104,E106,E109,E112)</f>
        <v>42359264881</v>
      </c>
    </row>
    <row r="104" spans="2:9">
      <c r="B104" s="683" t="s">
        <v>62</v>
      </c>
      <c r="C104" s="683"/>
      <c r="D104" s="684">
        <f>D105</f>
        <v>5691191500</v>
      </c>
      <c r="E104" s="685">
        <v>5691191500</v>
      </c>
    </row>
    <row r="105" spans="2:9" outlineLevel="1">
      <c r="B105" s="687" t="s">
        <v>63</v>
      </c>
      <c r="C105" s="687"/>
      <c r="D105" s="688">
        <f>SUMIF(BS!$Y:$Y,연결BS!B105,BS!$X:$X)</f>
        <v>5691191500</v>
      </c>
      <c r="E105" s="689">
        <v>5691191500</v>
      </c>
    </row>
    <row r="106" spans="2:9">
      <c r="B106" s="683" t="s">
        <v>65</v>
      </c>
      <c r="C106" s="683"/>
      <c r="D106" s="684">
        <f>SUM(D107:D108)</f>
        <v>45157382298</v>
      </c>
      <c r="E106" s="685">
        <v>45157382298</v>
      </c>
    </row>
    <row r="107" spans="2:9" outlineLevel="1">
      <c r="B107" s="687" t="s">
        <v>66</v>
      </c>
      <c r="C107" s="687"/>
      <c r="D107" s="688">
        <f>SUMIF(BS!$Y:$Y,연결BS!B107,BS!$X:$X)</f>
        <v>45157382298</v>
      </c>
      <c r="E107" s="689">
        <v>45157382298</v>
      </c>
    </row>
    <row r="108" spans="2:9" outlineLevel="1">
      <c r="B108" s="687" t="s">
        <v>3754</v>
      </c>
      <c r="C108" s="687"/>
      <c r="D108" s="688">
        <f>SUMIF(BS!$Y:$Y,연결BS!B108,BS!$X:$X)</f>
        <v>0</v>
      </c>
      <c r="E108" s="1778">
        <v>0</v>
      </c>
    </row>
    <row r="109" spans="2:9">
      <c r="B109" s="683" t="s">
        <v>888</v>
      </c>
      <c r="C109" s="683"/>
      <c r="D109" s="684">
        <f>SUM(D110:D111)</f>
        <v>470072965</v>
      </c>
      <c r="E109" s="685">
        <v>458774571</v>
      </c>
    </row>
    <row r="110" spans="2:9" outlineLevel="1">
      <c r="B110" s="687" t="s">
        <v>889</v>
      </c>
      <c r="C110" s="687"/>
      <c r="D110" s="688">
        <f>SUMIF(BS!$Y:$Y,연결BS!B110,BS!$X:$X)</f>
        <v>424627793</v>
      </c>
      <c r="E110" s="689">
        <v>424627793</v>
      </c>
    </row>
    <row r="111" spans="2:9" outlineLevel="1">
      <c r="B111" s="687" t="s">
        <v>1235</v>
      </c>
      <c r="C111" s="687"/>
      <c r="D111" s="688">
        <f>SUMIF(BS!$Y:$Y,연결BS!B111,BS!$X:$X)</f>
        <v>45445172</v>
      </c>
      <c r="E111" s="689">
        <v>34146778</v>
      </c>
    </row>
    <row r="112" spans="2:9">
      <c r="B112" s="683" t="s">
        <v>890</v>
      </c>
      <c r="C112" s="683"/>
      <c r="D112" s="684">
        <f>D113</f>
        <v>-9815637989</v>
      </c>
      <c r="E112" s="685">
        <v>-8948083488</v>
      </c>
    </row>
    <row r="113" spans="2:5" outlineLevel="1">
      <c r="B113" s="687" t="s">
        <v>715</v>
      </c>
      <c r="C113" s="687"/>
      <c r="D113" s="688">
        <f>SUMIF(BS!$Y:$Y,연결BS!B113,BS!$X:$X)</f>
        <v>-9815637989</v>
      </c>
      <c r="E113" s="689">
        <v>-8948083488</v>
      </c>
    </row>
    <row r="114" spans="2:5" ht="14.25" thickBot="1">
      <c r="B114" s="697" t="s">
        <v>109</v>
      </c>
      <c r="C114" s="687"/>
      <c r="D114" s="684">
        <f>BS!X151</f>
        <v>117986065</v>
      </c>
      <c r="E114" s="688">
        <v>0</v>
      </c>
    </row>
    <row r="115" spans="2:5" ht="14.25" thickBot="1">
      <c r="B115" s="681" t="s">
        <v>243</v>
      </c>
      <c r="C115" s="681"/>
      <c r="D115" s="681">
        <f>SUM(D103,D114)</f>
        <v>41620994839</v>
      </c>
      <c r="E115" s="681">
        <v>42359264881</v>
      </c>
    </row>
    <row r="116" spans="2:5" ht="14.25" thickBot="1">
      <c r="B116" s="681" t="s">
        <v>1454</v>
      </c>
      <c r="C116" s="681"/>
      <c r="D116" s="681">
        <f>D101+D115</f>
        <v>67557489847</v>
      </c>
      <c r="E116" s="681">
        <v>55295397316</v>
      </c>
    </row>
    <row r="117" spans="2:5">
      <c r="B117" s="561"/>
      <c r="C117" s="561"/>
      <c r="D117" s="561"/>
      <c r="E117" s="561"/>
    </row>
    <row r="118" spans="2:5">
      <c r="C118" s="589" t="s">
        <v>1455</v>
      </c>
      <c r="D118" s="556">
        <f>D74-D116</f>
        <v>0</v>
      </c>
      <c r="E118" s="556">
        <f>E74-E116</f>
        <v>0</v>
      </c>
    </row>
    <row r="119" spans="2:5">
      <c r="C119" s="589" t="s">
        <v>1456</v>
      </c>
      <c r="D119" s="556">
        <f>D116-BS!X120-BS!X88</f>
        <v>0</v>
      </c>
    </row>
  </sheetData>
  <phoneticPr fontId="3" type="noConversion"/>
  <conditionalFormatting sqref="I1:I81 I83:I1048576">
    <cfRule type="containsText" dxfId="159" priority="1" operator="containsText" text="false">
      <formula>NOT(ISERROR(SEARCH("false",I1)))</formula>
    </cfRule>
  </conditionalFormatting>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37">
    <tabColor theme="1"/>
  </sheetPr>
  <dimension ref="A1:AK289"/>
  <sheetViews>
    <sheetView showGridLines="0" zoomScale="70" zoomScaleNormal="70" workbookViewId="0">
      <pane xSplit="6" ySplit="6" topLeftCell="T160" activePane="bottomRight" state="frozen"/>
      <selection activeCell="M213" sqref="M213"/>
      <selection pane="topRight" activeCell="M213" sqref="M213"/>
      <selection pane="bottomLeft" activeCell="M213" sqref="M213"/>
      <selection pane="bottomRight" activeCell="AI161" sqref="AI161"/>
    </sheetView>
  </sheetViews>
  <sheetFormatPr defaultColWidth="8" defaultRowHeight="13.5"/>
  <cols>
    <col min="1" max="2" width="3.5" style="314" customWidth="1"/>
    <col min="3" max="3" width="24.125" style="314" customWidth="1"/>
    <col min="4" max="4" width="16.125" style="315" customWidth="1"/>
    <col min="5" max="5" width="15" style="315" customWidth="1"/>
    <col min="6" max="6" width="15" style="389" customWidth="1"/>
    <col min="7" max="7" width="25.375" style="314" customWidth="1"/>
    <col min="8" max="8" width="14.875" style="316" customWidth="1"/>
    <col min="9" max="9" width="0.5" style="316" customWidth="1"/>
    <col min="10" max="10" width="24.875" style="314" customWidth="1"/>
    <col min="11" max="11" width="14.625" style="316" customWidth="1"/>
    <col min="12" max="12" width="0.5" style="314" customWidth="1"/>
    <col min="13" max="13" width="22.625" style="314" customWidth="1"/>
    <col min="14" max="14" width="15.125" style="317" customWidth="1"/>
    <col min="15" max="15" width="0.5" style="317" customWidth="1"/>
    <col min="16" max="16" width="26.125" style="314" customWidth="1"/>
    <col min="17" max="17" width="14.625" style="314" customWidth="1"/>
    <col min="18" max="18" width="1" style="314" customWidth="1"/>
    <col min="19" max="19" width="26" style="314" customWidth="1"/>
    <col min="20" max="20" width="15.5" style="314" customWidth="1"/>
    <col min="21" max="21" width="0.875" style="314" customWidth="1"/>
    <col min="22" max="22" width="22.125" style="314" customWidth="1"/>
    <col min="23" max="23" width="15.5" style="314" customWidth="1"/>
    <col min="24" max="24" width="1.125" style="314" customWidth="1"/>
    <col min="25" max="25" width="23" style="314" customWidth="1"/>
    <col min="26" max="26" width="15.625" style="314" customWidth="1"/>
    <col min="27" max="27" width="1" style="314" customWidth="1"/>
    <col min="28" max="28" width="25" style="314" customWidth="1"/>
    <col min="29" max="29" width="15.5" style="314" customWidth="1"/>
    <col min="30" max="30" width="0.875" style="314" customWidth="1"/>
    <col min="31" max="31" width="26.5" style="314" customWidth="1"/>
    <col min="32" max="32" width="15.5" style="314" customWidth="1"/>
    <col min="33" max="33" width="0.875" style="314" customWidth="1"/>
    <col min="34" max="34" width="16.625" style="318" customWidth="1"/>
    <col min="35" max="35" width="3.125" style="314" customWidth="1"/>
    <col min="36" max="36" width="14.125" style="314" bestFit="1" customWidth="1"/>
    <col min="37" max="37" width="14.125" style="314" customWidth="1"/>
    <col min="38" max="39" width="14.125" style="314" bestFit="1" customWidth="1"/>
    <col min="40" max="16384" width="8" style="314"/>
  </cols>
  <sheetData>
    <row r="1" spans="1:34">
      <c r="B1" s="1888" t="str">
        <f>+A0!E5</f>
        <v>주식회사 울트라브이와 그 종속기업</v>
      </c>
      <c r="C1" s="1888"/>
      <c r="E1" s="1336"/>
      <c r="F1" s="314" t="s">
        <v>2900</v>
      </c>
    </row>
    <row r="2" spans="1:34">
      <c r="B2" s="1889" t="s">
        <v>525</v>
      </c>
      <c r="C2" s="1889"/>
      <c r="D2" s="506"/>
      <c r="E2" s="506"/>
      <c r="G2" s="315"/>
      <c r="H2" s="315"/>
      <c r="I2" s="315"/>
      <c r="J2" s="315"/>
      <c r="K2" s="315"/>
      <c r="L2" s="315"/>
      <c r="M2" s="315"/>
      <c r="N2" s="315"/>
      <c r="O2" s="315"/>
      <c r="P2" s="315"/>
      <c r="Q2" s="315"/>
      <c r="R2" s="315"/>
      <c r="S2" s="315"/>
      <c r="T2" s="315"/>
      <c r="U2" s="315"/>
      <c r="V2" s="315"/>
      <c r="W2" s="315"/>
      <c r="X2" s="315"/>
      <c r="Y2" s="315"/>
      <c r="Z2" s="315"/>
      <c r="AA2" s="315"/>
      <c r="AB2" s="315">
        <f>CF정산표!AC11+CF정산표!H11-CF정산표!K11</f>
        <v>-13318794</v>
      </c>
    </row>
    <row r="3" spans="1:34" ht="14.25" thickBot="1">
      <c r="B3" s="1890">
        <f>+A0!E7</f>
        <v>46203</v>
      </c>
      <c r="C3" s="1890"/>
      <c r="G3" s="315"/>
      <c r="H3" s="315"/>
      <c r="I3" s="315"/>
      <c r="J3" s="315"/>
      <c r="K3" s="315"/>
      <c r="L3" s="315"/>
      <c r="M3" s="315"/>
      <c r="N3" s="315"/>
      <c r="O3" s="315"/>
      <c r="P3" s="315"/>
      <c r="Q3" s="315"/>
      <c r="R3" s="315"/>
      <c r="S3" s="315"/>
      <c r="T3" s="315"/>
      <c r="U3" s="315"/>
      <c r="V3" s="315"/>
      <c r="W3" s="315"/>
      <c r="X3" s="315"/>
      <c r="Y3" s="315"/>
      <c r="Z3" s="315"/>
      <c r="AA3" s="315"/>
      <c r="AB3" s="315"/>
    </row>
    <row r="4" spans="1:34" s="319" customFormat="1">
      <c r="B4" s="1891" t="s">
        <v>526</v>
      </c>
      <c r="C4" s="1892"/>
      <c r="D4" s="348"/>
      <c r="E4" s="348"/>
      <c r="F4" s="390"/>
      <c r="G4" s="351" t="s">
        <v>527</v>
      </c>
      <c r="H4" s="351"/>
      <c r="I4" s="351"/>
      <c r="J4" s="351"/>
      <c r="K4" s="351"/>
      <c r="L4" s="351"/>
      <c r="M4" s="351"/>
      <c r="N4" s="352"/>
      <c r="O4" s="356"/>
      <c r="P4" s="357" t="s">
        <v>528</v>
      </c>
      <c r="Q4" s="357"/>
      <c r="R4" s="357"/>
      <c r="S4" s="357"/>
      <c r="T4" s="356"/>
      <c r="U4" s="361"/>
      <c r="V4" s="362" t="s">
        <v>529</v>
      </c>
      <c r="W4" s="362"/>
      <c r="X4" s="362"/>
      <c r="Y4" s="362"/>
      <c r="Z4" s="361"/>
      <c r="AA4" s="366"/>
      <c r="AB4" s="367" t="s">
        <v>530</v>
      </c>
      <c r="AC4" s="367"/>
      <c r="AD4" s="367"/>
      <c r="AE4" s="367"/>
      <c r="AF4" s="368"/>
      <c r="AG4" s="368"/>
      <c r="AH4" s="374"/>
    </row>
    <row r="5" spans="1:34" s="319" customFormat="1">
      <c r="B5" s="1893"/>
      <c r="C5" s="1894"/>
      <c r="D5" s="349" t="s">
        <v>531</v>
      </c>
      <c r="E5" s="349" t="s">
        <v>532</v>
      </c>
      <c r="F5" s="391" t="s">
        <v>567</v>
      </c>
      <c r="G5" s="353" t="s">
        <v>533</v>
      </c>
      <c r="H5" s="354"/>
      <c r="I5" s="354"/>
      <c r="J5" s="353" t="s">
        <v>534</v>
      </c>
      <c r="K5" s="354"/>
      <c r="L5" s="354"/>
      <c r="M5" s="353" t="s">
        <v>535</v>
      </c>
      <c r="N5" s="354"/>
      <c r="O5" s="358"/>
      <c r="P5" s="359" t="s">
        <v>536</v>
      </c>
      <c r="Q5" s="358"/>
      <c r="R5" s="358"/>
      <c r="S5" s="359" t="s">
        <v>537</v>
      </c>
      <c r="T5" s="358"/>
      <c r="U5" s="363"/>
      <c r="V5" s="364" t="s">
        <v>536</v>
      </c>
      <c r="W5" s="363"/>
      <c r="X5" s="363"/>
      <c r="Y5" s="364" t="s">
        <v>537</v>
      </c>
      <c r="Z5" s="363"/>
      <c r="AA5" s="369"/>
      <c r="AB5" s="370" t="s">
        <v>538</v>
      </c>
      <c r="AC5" s="371"/>
      <c r="AD5" s="371"/>
      <c r="AE5" s="370" t="s">
        <v>539</v>
      </c>
      <c r="AF5" s="371"/>
      <c r="AG5" s="372"/>
      <c r="AH5" s="375" t="s">
        <v>540</v>
      </c>
    </row>
    <row r="6" spans="1:34" s="319" customFormat="1">
      <c r="B6" s="1893"/>
      <c r="C6" s="1894"/>
      <c r="D6" s="350" t="s">
        <v>541</v>
      </c>
      <c r="E6" s="350" t="s">
        <v>541</v>
      </c>
      <c r="F6" s="392"/>
      <c r="G6" s="355" t="s">
        <v>542</v>
      </c>
      <c r="H6" s="355" t="s">
        <v>543</v>
      </c>
      <c r="I6" s="355"/>
      <c r="J6" s="355" t="s">
        <v>542</v>
      </c>
      <c r="K6" s="355" t="s">
        <v>543</v>
      </c>
      <c r="L6" s="355"/>
      <c r="M6" s="355" t="s">
        <v>542</v>
      </c>
      <c r="N6" s="355" t="s">
        <v>543</v>
      </c>
      <c r="O6" s="360"/>
      <c r="P6" s="360" t="s">
        <v>542</v>
      </c>
      <c r="Q6" s="360" t="s">
        <v>543</v>
      </c>
      <c r="R6" s="360"/>
      <c r="S6" s="360" t="s">
        <v>542</v>
      </c>
      <c r="T6" s="360" t="s">
        <v>543</v>
      </c>
      <c r="U6" s="365"/>
      <c r="V6" s="365" t="s">
        <v>542</v>
      </c>
      <c r="W6" s="365" t="s">
        <v>543</v>
      </c>
      <c r="X6" s="365"/>
      <c r="Y6" s="365" t="s">
        <v>542</v>
      </c>
      <c r="Z6" s="365" t="s">
        <v>543</v>
      </c>
      <c r="AA6" s="373"/>
      <c r="AB6" s="373" t="s">
        <v>542</v>
      </c>
      <c r="AC6" s="373" t="s">
        <v>543</v>
      </c>
      <c r="AD6" s="373"/>
      <c r="AE6" s="373" t="s">
        <v>542</v>
      </c>
      <c r="AF6" s="373" t="s">
        <v>543</v>
      </c>
      <c r="AG6" s="373"/>
      <c r="AH6" s="376"/>
    </row>
    <row r="7" spans="1:34">
      <c r="B7" s="320"/>
      <c r="C7" s="321"/>
      <c r="D7" s="322">
        <f>연결BS!E3-D8</f>
        <v>0</v>
      </c>
      <c r="E7" s="322">
        <f>E8-연결BS!D3</f>
        <v>0</v>
      </c>
      <c r="F7" s="393"/>
      <c r="G7" s="321"/>
      <c r="H7" s="321"/>
      <c r="I7" s="321"/>
      <c r="J7" s="321"/>
      <c r="K7" s="321"/>
      <c r="L7" s="321"/>
      <c r="M7" s="321"/>
      <c r="N7" s="321"/>
      <c r="O7" s="321"/>
      <c r="P7" s="321"/>
      <c r="Q7" s="321"/>
      <c r="R7" s="321"/>
      <c r="S7" s="321"/>
      <c r="T7" s="321"/>
      <c r="U7" s="321"/>
      <c r="V7" s="321"/>
      <c r="W7" s="321"/>
      <c r="X7" s="321"/>
      <c r="Y7" s="321"/>
      <c r="Z7" s="321"/>
      <c r="AA7" s="321"/>
      <c r="AB7" s="321"/>
      <c r="AC7" s="321"/>
      <c r="AD7" s="321"/>
      <c r="AE7" s="321"/>
      <c r="AF7" s="321"/>
      <c r="AG7" s="321"/>
      <c r="AH7" s="323"/>
    </row>
    <row r="8" spans="1:34" s="382" customFormat="1">
      <c r="A8" s="324"/>
      <c r="B8" s="325" t="s">
        <v>501</v>
      </c>
      <c r="C8" s="326" t="s">
        <v>4</v>
      </c>
      <c r="D8" s="326">
        <f>+D10+D13+D18+D37+D52+D30</f>
        <v>26088866610</v>
      </c>
      <c r="E8" s="326">
        <f>+E10+E13+E18+E37+E52+E30</f>
        <v>19569724244</v>
      </c>
      <c r="F8" s="394"/>
      <c r="G8" s="326"/>
      <c r="H8" s="326"/>
      <c r="I8" s="326"/>
      <c r="J8" s="326"/>
      <c r="K8" s="326"/>
      <c r="L8" s="326"/>
      <c r="M8" s="326"/>
      <c r="N8" s="326"/>
      <c r="O8" s="326"/>
      <c r="P8" s="326"/>
      <c r="Q8" s="326"/>
      <c r="R8" s="326"/>
      <c r="S8" s="326"/>
      <c r="T8" s="326"/>
      <c r="U8" s="326"/>
      <c r="V8" s="326"/>
      <c r="W8" s="326"/>
      <c r="X8" s="326"/>
      <c r="Y8" s="326"/>
      <c r="Z8" s="326"/>
      <c r="AA8" s="326"/>
      <c r="AB8" s="326"/>
      <c r="AC8" s="326"/>
      <c r="AD8" s="326"/>
      <c r="AE8" s="326"/>
      <c r="AF8" s="326"/>
      <c r="AG8" s="326"/>
      <c r="AH8" s="327"/>
    </row>
    <row r="9" spans="1:34" s="383" customFormat="1">
      <c r="A9" s="316"/>
      <c r="B9" s="320"/>
      <c r="C9" s="326"/>
      <c r="D9" s="326"/>
      <c r="E9" s="326"/>
      <c r="F9" s="394"/>
      <c r="G9" s="321"/>
      <c r="H9" s="321"/>
      <c r="I9" s="321"/>
      <c r="J9" s="321"/>
      <c r="K9" s="321"/>
      <c r="L9" s="321"/>
      <c r="M9" s="321"/>
      <c r="N9" s="321"/>
      <c r="O9" s="321"/>
      <c r="P9" s="321"/>
      <c r="Q9" s="321"/>
      <c r="R9" s="321"/>
      <c r="S9" s="321"/>
      <c r="T9" s="321"/>
      <c r="U9" s="321"/>
      <c r="V9" s="321"/>
      <c r="W9" s="321"/>
      <c r="X9" s="321"/>
      <c r="Y9" s="321"/>
      <c r="Z9" s="321"/>
      <c r="AA9" s="321"/>
      <c r="AB9" s="321"/>
      <c r="AC9" s="321"/>
      <c r="AD9" s="321"/>
      <c r="AE9" s="321"/>
      <c r="AF9" s="321"/>
      <c r="AG9" s="321"/>
      <c r="AH9" s="323"/>
    </row>
    <row r="10" spans="1:34" s="383" customFormat="1">
      <c r="A10" s="316"/>
      <c r="B10" s="378"/>
      <c r="C10" s="379" t="str">
        <f>연결BS!B5</f>
        <v>현금및현금성자산</v>
      </c>
      <c r="D10" s="379">
        <f>SUM(D11)</f>
        <v>19371699448</v>
      </c>
      <c r="E10" s="379">
        <f>SUM(E11)</f>
        <v>11853592219</v>
      </c>
      <c r="F10" s="395"/>
      <c r="G10" s="379"/>
      <c r="H10" s="379"/>
      <c r="I10" s="379"/>
      <c r="J10" s="379"/>
      <c r="K10" s="379"/>
      <c r="L10" s="379"/>
      <c r="M10" s="379"/>
      <c r="N10" s="379"/>
      <c r="O10" s="379"/>
      <c r="P10" s="379"/>
      <c r="Q10" s="379"/>
      <c r="R10" s="379"/>
      <c r="S10" s="379"/>
      <c r="T10" s="379"/>
      <c r="U10" s="379"/>
      <c r="V10" s="379"/>
      <c r="W10" s="379"/>
      <c r="X10" s="379"/>
      <c r="Y10" s="379"/>
      <c r="Z10" s="379"/>
      <c r="AA10" s="379"/>
      <c r="AB10" s="379"/>
      <c r="AC10" s="379"/>
      <c r="AD10" s="379"/>
      <c r="AE10" s="379"/>
      <c r="AF10" s="379"/>
      <c r="AG10" s="379"/>
      <c r="AH10" s="380"/>
    </row>
    <row r="11" spans="1:34" s="383" customFormat="1">
      <c r="A11" s="316">
        <f>AH11</f>
        <v>0</v>
      </c>
      <c r="B11" s="320"/>
      <c r="C11" s="377" t="str">
        <f>연결BS!B5</f>
        <v>현금및현금성자산</v>
      </c>
      <c r="D11" s="321">
        <f>연결BS!E5</f>
        <v>19371699448</v>
      </c>
      <c r="E11" s="321">
        <f>연결BS!D5</f>
        <v>11853592219</v>
      </c>
      <c r="F11" s="385">
        <f>E11-D11</f>
        <v>-7518107229</v>
      </c>
      <c r="G11" s="321" t="s">
        <v>544</v>
      </c>
      <c r="H11" s="1565">
        <v>5</v>
      </c>
      <c r="I11" s="321"/>
      <c r="J11" s="321" t="s">
        <v>127</v>
      </c>
      <c r="K11" s="1565">
        <v>0</v>
      </c>
      <c r="L11" s="321"/>
      <c r="M11" s="321" t="str">
        <f>C11&amp;"의 증가(감소)"</f>
        <v>현금및현금성자산의 증가(감소)</v>
      </c>
      <c r="N11" s="321">
        <f>D11-E11+H11-K11+Q11-T11+W11-Z11+SUM(AC11:AC12)-AF11</f>
        <v>7504788435</v>
      </c>
      <c r="O11" s="321"/>
      <c r="P11" s="321" t="s">
        <v>3850</v>
      </c>
      <c r="Q11" s="321">
        <f>-AC12</f>
        <v>-677182600</v>
      </c>
      <c r="R11" s="321"/>
      <c r="S11" s="321"/>
      <c r="T11" s="321"/>
      <c r="U11" s="321"/>
      <c r="V11" s="321"/>
      <c r="W11" s="321"/>
      <c r="X11" s="321"/>
      <c r="Y11" s="321"/>
      <c r="Z11" s="321"/>
      <c r="AA11" s="321"/>
      <c r="AB11" s="321" t="s">
        <v>255</v>
      </c>
      <c r="AC11" s="540">
        <f>환율변동효과!D16+환율변동효과!D17+환율변동효과!D18</f>
        <v>-13318799</v>
      </c>
      <c r="AD11" s="321"/>
      <c r="AE11" s="321"/>
      <c r="AF11" s="321"/>
      <c r="AG11" s="321"/>
      <c r="AH11" s="323">
        <f>D11-E11+H11-K11-N11+Q11-T11+W11-Z11+SUM(AC11:AC12)-AF11</f>
        <v>0</v>
      </c>
    </row>
    <row r="12" spans="1:34" s="383" customFormat="1">
      <c r="A12" s="316">
        <f t="shared" ref="A12:A77" si="0">AH12</f>
        <v>0</v>
      </c>
      <c r="B12" s="320"/>
      <c r="C12" s="321"/>
      <c r="D12" s="321"/>
      <c r="E12" s="321"/>
      <c r="F12" s="385"/>
      <c r="G12" s="321"/>
      <c r="H12" s="321"/>
      <c r="I12" s="321"/>
      <c r="J12" s="321"/>
      <c r="K12" s="321"/>
      <c r="L12" s="321"/>
      <c r="M12" s="321"/>
      <c r="N12" s="321"/>
      <c r="O12" s="321"/>
      <c r="P12" s="321"/>
      <c r="Q12" s="321"/>
      <c r="R12" s="321"/>
      <c r="S12" s="321"/>
      <c r="T12" s="321"/>
      <c r="U12" s="321"/>
      <c r="V12" s="321"/>
      <c r="W12" s="321"/>
      <c r="X12" s="321"/>
      <c r="Y12" s="321"/>
      <c r="Z12" s="321"/>
      <c r="AA12" s="321"/>
      <c r="AB12" s="321" t="s">
        <v>3852</v>
      </c>
      <c r="AC12" s="321">
        <f>BS!N8</f>
        <v>677182600</v>
      </c>
      <c r="AD12" s="321"/>
      <c r="AE12" s="321"/>
      <c r="AF12" s="321"/>
      <c r="AG12" s="321"/>
      <c r="AH12" s="323"/>
    </row>
    <row r="13" spans="1:34" s="383" customFormat="1">
      <c r="A13" s="316">
        <f t="shared" si="0"/>
        <v>0</v>
      </c>
      <c r="B13" s="378"/>
      <c r="C13" s="379" t="s">
        <v>8</v>
      </c>
      <c r="D13" s="379">
        <f>SUM(D14)</f>
        <v>0</v>
      </c>
      <c r="E13" s="379">
        <f>SUM(E14:E14)</f>
        <v>1000000000</v>
      </c>
      <c r="F13" s="395"/>
      <c r="G13" s="379"/>
      <c r="H13" s="379"/>
      <c r="I13" s="379"/>
      <c r="J13" s="379"/>
      <c r="K13" s="379"/>
      <c r="L13" s="379"/>
      <c r="M13" s="379"/>
      <c r="N13" s="379"/>
      <c r="O13" s="379"/>
      <c r="P13" s="379"/>
      <c r="Q13" s="379"/>
      <c r="R13" s="379"/>
      <c r="S13" s="379"/>
      <c r="T13" s="379"/>
      <c r="U13" s="379"/>
      <c r="V13" s="379"/>
      <c r="W13" s="379"/>
      <c r="X13" s="379"/>
      <c r="Y13" s="379"/>
      <c r="Z13" s="379"/>
      <c r="AA13" s="379"/>
      <c r="AB13" s="379"/>
      <c r="AC13" s="379"/>
      <c r="AD13" s="379"/>
      <c r="AE13" s="379"/>
      <c r="AF13" s="379"/>
      <c r="AG13" s="379"/>
      <c r="AH13" s="380"/>
    </row>
    <row r="14" spans="1:34" s="383" customFormat="1">
      <c r="A14" s="316">
        <f t="shared" si="0"/>
        <v>0</v>
      </c>
      <c r="B14" s="320"/>
      <c r="C14" s="377" t="str">
        <f>연결BS!B6</f>
        <v>단기금융상품</v>
      </c>
      <c r="D14" s="321">
        <f>연결BS!E6</f>
        <v>0</v>
      </c>
      <c r="E14" s="321">
        <f>연결BS!D6</f>
        <v>1000000000</v>
      </c>
      <c r="F14" s="385">
        <f>E14-D14</f>
        <v>1000000000</v>
      </c>
      <c r="G14" s="321" t="s">
        <v>581</v>
      </c>
      <c r="H14" s="321">
        <v>0</v>
      </c>
      <c r="I14" s="321"/>
      <c r="J14" s="321" t="s">
        <v>322</v>
      </c>
      <c r="K14" s="321"/>
      <c r="L14" s="321"/>
      <c r="M14" s="321"/>
      <c r="N14" s="321"/>
      <c r="O14" s="321"/>
      <c r="P14" s="328" t="s">
        <v>256</v>
      </c>
      <c r="Q14" s="502">
        <v>0</v>
      </c>
      <c r="R14" s="321"/>
      <c r="S14" s="328" t="s">
        <v>1851</v>
      </c>
      <c r="T14" s="503"/>
      <c r="U14" s="321"/>
      <c r="V14" s="321"/>
      <c r="W14" s="321"/>
      <c r="X14" s="321"/>
      <c r="Y14" s="321"/>
      <c r="Z14" s="321"/>
      <c r="AA14" s="321"/>
      <c r="AB14" s="321" t="s">
        <v>3853</v>
      </c>
      <c r="AC14" s="321">
        <v>1000000000</v>
      </c>
      <c r="AD14" s="321"/>
      <c r="AE14" s="321"/>
      <c r="AF14" s="321"/>
      <c r="AG14" s="321"/>
      <c r="AH14" s="323">
        <f>D14-E14+SUM(H14:I17)-SUM(K14:K17)-N14+Q14-T14+W14-Z14+AC14-AF14</f>
        <v>0</v>
      </c>
    </row>
    <row r="15" spans="1:34" s="383" customFormat="1">
      <c r="A15" s="316">
        <f t="shared" si="0"/>
        <v>0</v>
      </c>
      <c r="B15" s="320"/>
      <c r="C15" s="321"/>
      <c r="D15" s="321"/>
      <c r="E15" s="321"/>
      <c r="F15" s="385"/>
      <c r="G15" s="321" t="s">
        <v>582</v>
      </c>
      <c r="H15" s="502">
        <v>0</v>
      </c>
      <c r="I15" s="321"/>
      <c r="J15" s="321" t="s">
        <v>580</v>
      </c>
      <c r="K15" s="502">
        <v>0</v>
      </c>
      <c r="L15" s="321"/>
      <c r="M15" s="321"/>
      <c r="N15" s="321"/>
      <c r="O15" s="321"/>
      <c r="P15" s="321"/>
      <c r="Q15" s="321"/>
      <c r="R15" s="321"/>
      <c r="S15" s="328"/>
      <c r="T15" s="328"/>
      <c r="U15" s="321"/>
      <c r="V15" s="321"/>
      <c r="W15" s="321"/>
      <c r="X15" s="321"/>
      <c r="Y15" s="321"/>
      <c r="Z15" s="321"/>
      <c r="AA15" s="321"/>
      <c r="AB15" s="321"/>
      <c r="AC15" s="321"/>
      <c r="AD15" s="321"/>
      <c r="AE15" s="321"/>
      <c r="AF15" s="321"/>
      <c r="AG15" s="321"/>
      <c r="AH15" s="323"/>
    </row>
    <row r="16" spans="1:34" s="383" customFormat="1">
      <c r="A16" s="316"/>
      <c r="B16" s="320"/>
      <c r="C16" s="321"/>
      <c r="D16" s="321"/>
      <c r="E16" s="321"/>
      <c r="F16" s="385"/>
      <c r="G16" s="321" t="s">
        <v>133</v>
      </c>
      <c r="H16" s="502">
        <v>0</v>
      </c>
      <c r="I16" s="321"/>
      <c r="J16" s="321" t="s">
        <v>127</v>
      </c>
      <c r="K16" s="502">
        <v>0</v>
      </c>
      <c r="L16" s="321"/>
      <c r="M16" s="321"/>
      <c r="N16" s="321"/>
      <c r="O16" s="321"/>
      <c r="P16" s="321"/>
      <c r="Q16" s="321"/>
      <c r="R16" s="321"/>
      <c r="S16" s="321"/>
      <c r="T16" s="321"/>
      <c r="U16" s="321"/>
      <c r="V16" s="321"/>
      <c r="W16" s="321"/>
      <c r="X16" s="321"/>
      <c r="Y16" s="321"/>
      <c r="Z16" s="321"/>
      <c r="AA16" s="321"/>
      <c r="AB16" s="321"/>
      <c r="AC16" s="321"/>
      <c r="AD16" s="321"/>
      <c r="AE16" s="321"/>
      <c r="AF16" s="321"/>
      <c r="AG16" s="321"/>
      <c r="AH16" s="323"/>
    </row>
    <row r="17" spans="1:34" s="383" customFormat="1">
      <c r="A17" s="316"/>
      <c r="B17" s="320"/>
      <c r="C17" s="321"/>
      <c r="D17" s="321"/>
      <c r="E17" s="321"/>
      <c r="F17" s="385"/>
      <c r="G17" s="321"/>
      <c r="H17" s="321"/>
      <c r="I17" s="321"/>
      <c r="J17" s="321"/>
      <c r="K17" s="321"/>
      <c r="L17" s="321"/>
      <c r="M17" s="321"/>
      <c r="N17" s="321"/>
      <c r="O17" s="321"/>
      <c r="P17" s="321"/>
      <c r="Q17" s="321"/>
      <c r="R17" s="321"/>
      <c r="S17" s="321"/>
      <c r="T17" s="321"/>
      <c r="U17" s="321"/>
      <c r="V17" s="321"/>
      <c r="W17" s="321"/>
      <c r="X17" s="321"/>
      <c r="Y17" s="321"/>
      <c r="Z17" s="321"/>
      <c r="AA17" s="321"/>
      <c r="AB17" s="321"/>
      <c r="AC17" s="321"/>
      <c r="AD17" s="321"/>
      <c r="AE17" s="321"/>
      <c r="AF17" s="321"/>
      <c r="AG17" s="321"/>
      <c r="AH17" s="323"/>
    </row>
    <row r="18" spans="1:34" s="383" customFormat="1">
      <c r="A18" s="316">
        <f t="shared" ref="A18:A25" si="1">AH18</f>
        <v>0</v>
      </c>
      <c r="B18" s="381"/>
      <c r="C18" s="379" t="str">
        <f>연결BS!B7</f>
        <v>매출채권및기타채권</v>
      </c>
      <c r="D18" s="379">
        <f>SUM(D19:D29)</f>
        <v>1742211093</v>
      </c>
      <c r="E18" s="379">
        <f>SUM(E19:E29)</f>
        <v>1542306044</v>
      </c>
      <c r="F18" s="395"/>
      <c r="G18" s="379"/>
      <c r="H18" s="379"/>
      <c r="I18" s="379"/>
      <c r="J18" s="379"/>
      <c r="K18" s="379"/>
      <c r="L18" s="379"/>
      <c r="M18" s="379"/>
      <c r="N18" s="379"/>
      <c r="O18" s="379"/>
      <c r="P18" s="379"/>
      <c r="Q18" s="379"/>
      <c r="R18" s="379"/>
      <c r="S18" s="379"/>
      <c r="T18" s="379"/>
      <c r="U18" s="379"/>
      <c r="V18" s="379"/>
      <c r="W18" s="379"/>
      <c r="X18" s="379"/>
      <c r="Y18" s="379"/>
      <c r="Z18" s="379"/>
      <c r="AA18" s="379"/>
      <c r="AB18" s="379"/>
      <c r="AC18" s="379"/>
      <c r="AD18" s="379"/>
      <c r="AE18" s="379"/>
      <c r="AF18" s="379"/>
      <c r="AG18" s="379"/>
      <c r="AH18" s="380"/>
    </row>
    <row r="19" spans="1:34" s="383" customFormat="1">
      <c r="A19" s="316">
        <f t="shared" si="1"/>
        <v>0</v>
      </c>
      <c r="B19" s="320"/>
      <c r="C19" s="377" t="str">
        <f>연결BS!B8</f>
        <v>매출채권</v>
      </c>
      <c r="D19" s="385">
        <f>연결BS!E8</f>
        <v>1667334063</v>
      </c>
      <c r="E19" s="385">
        <f>연결BS!D8</f>
        <v>1093289891</v>
      </c>
      <c r="F19" s="385">
        <f t="shared" ref="F19:F25" si="2">E19-D19</f>
        <v>-574044172</v>
      </c>
      <c r="G19" s="321" t="s">
        <v>121</v>
      </c>
      <c r="H19" s="1565">
        <v>37603834</v>
      </c>
      <c r="I19" s="321"/>
      <c r="J19" s="321" t="s">
        <v>127</v>
      </c>
      <c r="K19" s="1565">
        <v>0</v>
      </c>
      <c r="L19" s="321"/>
      <c r="M19" s="321" t="str">
        <f>C19&amp;"의 감소(증가)"</f>
        <v>매출채권의 감소(증가)</v>
      </c>
      <c r="N19" s="505">
        <f>SUM(D19:D20)-SUM(E19:E20)+SUM(H19:H20)-SUM(K19:K20)+Q19-T19+W19-Z19+SUM(AC19:AC20)-SUM(AF19:AF20)</f>
        <v>502587042</v>
      </c>
      <c r="O19" s="321"/>
      <c r="P19" s="321"/>
      <c r="Q19" s="321"/>
      <c r="R19" s="321"/>
      <c r="S19" s="321"/>
      <c r="T19" s="321"/>
      <c r="U19" s="321"/>
      <c r="V19" s="321"/>
      <c r="W19" s="321"/>
      <c r="X19" s="321"/>
      <c r="Y19" s="321"/>
      <c r="Z19" s="321"/>
      <c r="AA19" s="321"/>
      <c r="AB19" s="321" t="s">
        <v>255</v>
      </c>
      <c r="AC19" s="540">
        <f>환율변동효과!D20+환율변동효과!D21</f>
        <v>-109060964</v>
      </c>
      <c r="AD19" s="321"/>
      <c r="AE19" s="409" t="s">
        <v>1852</v>
      </c>
      <c r="AF19" s="409">
        <f>AC20</f>
        <v>0</v>
      </c>
      <c r="AG19" s="321"/>
      <c r="AH19" s="323">
        <f>SUM(D19:D20)-SUM(E19:E20)+SUM(H19:H20)-SUM(K19:K20)-N19+Q19-T19+W19-Z19+SUM(AC19:AC20)-SUM(AF19:AF20)</f>
        <v>0</v>
      </c>
    </row>
    <row r="20" spans="1:34" s="383" customFormat="1">
      <c r="A20" s="316">
        <f t="shared" si="1"/>
        <v>0</v>
      </c>
      <c r="B20" s="320"/>
      <c r="C20" s="377" t="str">
        <f>연결BS!B9</f>
        <v>매출채권대손충당금</v>
      </c>
      <c r="D20" s="385">
        <f>연결BS!E9</f>
        <v>-163007230</v>
      </c>
      <c r="E20" s="385">
        <f>연결BS!D9</f>
        <v>-79701518</v>
      </c>
      <c r="F20" s="385">
        <f>E20-D20</f>
        <v>83305712</v>
      </c>
      <c r="G20" s="321"/>
      <c r="H20" s="321"/>
      <c r="I20" s="321"/>
      <c r="J20" s="321" t="s">
        <v>174</v>
      </c>
      <c r="K20" s="321">
        <f>'8'!D76</f>
        <v>-83305712</v>
      </c>
      <c r="L20" s="321"/>
      <c r="M20" s="321"/>
      <c r="N20" s="321"/>
      <c r="O20" s="321"/>
      <c r="P20" s="321"/>
      <c r="Q20" s="321"/>
      <c r="R20" s="321"/>
      <c r="S20" s="321"/>
      <c r="T20" s="321"/>
      <c r="U20" s="321"/>
      <c r="V20" s="321"/>
      <c r="W20" s="321"/>
      <c r="X20" s="321"/>
      <c r="Y20" s="321"/>
      <c r="Z20" s="321"/>
      <c r="AA20" s="321"/>
      <c r="AB20" s="409" t="s">
        <v>1852</v>
      </c>
      <c r="AC20" s="409">
        <f>-'8'!E76</f>
        <v>0</v>
      </c>
      <c r="AD20" s="321"/>
      <c r="AE20" s="321"/>
      <c r="AF20" s="321"/>
      <c r="AG20" s="321"/>
      <c r="AH20" s="323"/>
    </row>
    <row r="21" spans="1:34" s="383" customFormat="1">
      <c r="A21" s="316">
        <f t="shared" si="1"/>
        <v>0</v>
      </c>
      <c r="B21" s="320"/>
      <c r="C21" s="377" t="str">
        <f>연결BS!B10</f>
        <v>미수수익</v>
      </c>
      <c r="D21" s="385">
        <f>연결BS!E10</f>
        <v>0</v>
      </c>
      <c r="E21" s="385">
        <f>연결BS!D10</f>
        <v>8344109</v>
      </c>
      <c r="F21" s="385">
        <f t="shared" ref="F21:F23" si="3">E21-D21</f>
        <v>8344109</v>
      </c>
      <c r="G21" s="321" t="s">
        <v>546</v>
      </c>
      <c r="H21" s="321">
        <f>PL!Y97-H83</f>
        <v>14072249</v>
      </c>
      <c r="I21" s="321"/>
      <c r="J21" s="321"/>
      <c r="K21" s="321"/>
      <c r="L21" s="321"/>
      <c r="M21" s="321" t="s">
        <v>1853</v>
      </c>
      <c r="N21" s="321">
        <v>14072249</v>
      </c>
      <c r="O21" s="321"/>
      <c r="P21" s="321"/>
      <c r="Q21" s="321"/>
      <c r="R21" s="321"/>
      <c r="S21" s="321"/>
      <c r="T21" s="321"/>
      <c r="U21" s="321"/>
      <c r="V21" s="321"/>
      <c r="W21" s="321"/>
      <c r="X21" s="321"/>
      <c r="Y21" s="321"/>
      <c r="Z21" s="321"/>
      <c r="AA21" s="321"/>
      <c r="AB21" s="377" t="s">
        <v>255</v>
      </c>
      <c r="AC21" s="540">
        <f>환율변동효과!D22</f>
        <v>0</v>
      </c>
      <c r="AD21" s="321"/>
      <c r="AE21" s="321"/>
      <c r="AF21" s="540"/>
      <c r="AG21" s="321"/>
      <c r="AH21" s="323">
        <f>SUM(D21:D21)-SUM(E21:E21)+SUM(H21:H21)-SUM(K21:K21)-N21+Q21-T21+W21-Z21+SUM(AC21:AC22)-SUM(AF21:AF21)</f>
        <v>0</v>
      </c>
    </row>
    <row r="22" spans="1:34" s="383" customFormat="1">
      <c r="A22" s="316"/>
      <c r="B22" s="1823"/>
      <c r="C22" s="377"/>
      <c r="D22" s="385"/>
      <c r="E22" s="385"/>
      <c r="F22" s="385"/>
      <c r="G22" s="321"/>
      <c r="H22" s="321"/>
      <c r="I22" s="321"/>
      <c r="J22" s="321"/>
      <c r="K22" s="321"/>
      <c r="L22" s="321"/>
      <c r="M22" s="321"/>
      <c r="N22" s="321"/>
      <c r="O22" s="321"/>
      <c r="P22" s="321"/>
      <c r="Q22" s="321"/>
      <c r="R22" s="321"/>
      <c r="S22" s="321"/>
      <c r="T22" s="321"/>
      <c r="U22" s="321"/>
      <c r="V22" s="321"/>
      <c r="W22" s="321"/>
      <c r="X22" s="321"/>
      <c r="Y22" s="321"/>
      <c r="Z22" s="321"/>
      <c r="AA22" s="321"/>
      <c r="AB22" s="377" t="s">
        <v>3852</v>
      </c>
      <c r="AC22" s="377">
        <v>8344109</v>
      </c>
      <c r="AD22" s="321"/>
      <c r="AE22" s="321"/>
      <c r="AF22" s="540"/>
      <c r="AG22" s="321"/>
      <c r="AH22" s="323"/>
    </row>
    <row r="23" spans="1:34" s="383" customFormat="1">
      <c r="A23" s="316">
        <f t="shared" si="1"/>
        <v>0</v>
      </c>
      <c r="B23" s="320"/>
      <c r="C23" s="377" t="str">
        <f>연결BS!B11</f>
        <v>미수수익대손충당금</v>
      </c>
      <c r="D23" s="385">
        <f>연결BS!E11</f>
        <v>0</v>
      </c>
      <c r="E23" s="385">
        <f>연결BS!D11</f>
        <v>0</v>
      </c>
      <c r="F23" s="385">
        <f t="shared" si="3"/>
        <v>0</v>
      </c>
      <c r="G23" s="321"/>
      <c r="H23" s="321"/>
      <c r="I23" s="321"/>
      <c r="J23" s="321"/>
      <c r="K23" s="321"/>
      <c r="L23" s="321"/>
      <c r="M23" s="321"/>
      <c r="N23" s="321"/>
      <c r="O23" s="321"/>
      <c r="P23" s="321"/>
      <c r="Q23" s="321"/>
      <c r="R23" s="321"/>
      <c r="S23" s="321"/>
      <c r="T23" s="321"/>
      <c r="U23" s="321"/>
      <c r="V23" s="321"/>
      <c r="W23" s="321"/>
      <c r="X23" s="321"/>
      <c r="Y23" s="321"/>
      <c r="Z23" s="321"/>
      <c r="AA23" s="321"/>
      <c r="AB23" s="377" t="s">
        <v>255</v>
      </c>
      <c r="AC23" s="540">
        <f>환율변동효과!D23</f>
        <v>0</v>
      </c>
      <c r="AD23" s="321"/>
      <c r="AE23" s="321"/>
      <c r="AF23" s="540"/>
      <c r="AG23" s="321"/>
      <c r="AH23" s="323">
        <f>SUM(D23:D23)-SUM(E23:E23)+SUM(H23:H23)-SUM(K23:K23)-N23+Q23-T23+W23-Z23+SUM(AC23:AC23)-SUM(AF23:AF23)</f>
        <v>0</v>
      </c>
    </row>
    <row r="24" spans="1:34" s="383" customFormat="1">
      <c r="A24" s="383">
        <f t="shared" si="1"/>
        <v>0</v>
      </c>
      <c r="B24" s="400"/>
      <c r="C24" s="377" t="str">
        <f>연결BS!B12</f>
        <v>미수금</v>
      </c>
      <c r="D24" s="385">
        <f>연결BS!E12</f>
        <v>265023260</v>
      </c>
      <c r="E24" s="385">
        <f>연결BS!D12</f>
        <v>544512562</v>
      </c>
      <c r="F24" s="386">
        <f t="shared" si="2"/>
        <v>279489302</v>
      </c>
      <c r="G24" s="377" t="s">
        <v>121</v>
      </c>
      <c r="H24" s="377"/>
      <c r="I24" s="377"/>
      <c r="J24" s="377" t="s">
        <v>127</v>
      </c>
      <c r="K24" s="377"/>
      <c r="L24" s="377"/>
      <c r="M24" s="377" t="str">
        <f>C24&amp;"의 감소(증가)"</f>
        <v>미수금의 감소(증가)</v>
      </c>
      <c r="N24" s="505">
        <v>4005688</v>
      </c>
      <c r="O24" s="377"/>
      <c r="P24" s="377"/>
      <c r="Q24" s="377"/>
      <c r="R24" s="377"/>
      <c r="S24" s="377"/>
      <c r="T24" s="377"/>
      <c r="U24" s="377"/>
      <c r="V24" s="377"/>
      <c r="W24" s="377"/>
      <c r="X24" s="377"/>
      <c r="Y24" s="377"/>
      <c r="Z24" s="377"/>
      <c r="AA24" s="377"/>
      <c r="AB24" s="377" t="s">
        <v>3852</v>
      </c>
      <c r="AC24" s="377">
        <v>283494990</v>
      </c>
      <c r="AD24" s="377"/>
      <c r="AE24" s="377" t="s">
        <v>2592</v>
      </c>
      <c r="AF24" s="377">
        <v>0</v>
      </c>
      <c r="AG24" s="377"/>
      <c r="AH24" s="408">
        <f>SUM(D24:D25)-SUM(E24:E25)+SUM(H24:H25)-SUM(K24:K25)-N24+Q24-T24+W24-Z24+SUM(AC24:AC25)-SUM(AF24:AF25)</f>
        <v>0</v>
      </c>
    </row>
    <row r="25" spans="1:34" s="383" customFormat="1">
      <c r="A25" s="383">
        <f t="shared" si="1"/>
        <v>0</v>
      </c>
      <c r="B25" s="400"/>
      <c r="C25" s="377" t="str">
        <f>연결BS!B13</f>
        <v>미수금대손충당금</v>
      </c>
      <c r="D25" s="385">
        <f>연결BS!E13</f>
        <v>-27139000</v>
      </c>
      <c r="E25" s="385">
        <f>연결BS!D13</f>
        <v>-24139000</v>
      </c>
      <c r="F25" s="386">
        <f t="shared" si="2"/>
        <v>3000000</v>
      </c>
      <c r="G25" s="377" t="s">
        <v>133</v>
      </c>
      <c r="H25" s="377"/>
      <c r="I25" s="377"/>
      <c r="J25" s="377" t="s">
        <v>2768</v>
      </c>
      <c r="K25" s="377">
        <f>'8'!D77</f>
        <v>-3000000</v>
      </c>
      <c r="L25" s="377"/>
      <c r="M25" s="377"/>
      <c r="N25" s="377"/>
      <c r="O25" s="377"/>
      <c r="P25" s="377"/>
      <c r="Q25" s="377"/>
      <c r="R25" s="377"/>
      <c r="S25" s="377"/>
      <c r="T25" s="377"/>
      <c r="U25" s="377"/>
      <c r="V25" s="377"/>
      <c r="W25" s="377"/>
      <c r="X25" s="377"/>
      <c r="Y25" s="377"/>
      <c r="Z25" s="377"/>
      <c r="AA25" s="377"/>
      <c r="AB25" s="377" t="s">
        <v>591</v>
      </c>
      <c r="AC25" s="540">
        <f>환율변동효과!D25</f>
        <v>0</v>
      </c>
      <c r="AD25" s="377"/>
      <c r="AE25" s="377"/>
      <c r="AF25" s="377"/>
      <c r="AG25" s="377"/>
      <c r="AH25" s="408"/>
    </row>
    <row r="26" spans="1:34" s="383" customFormat="1">
      <c r="A26" s="316"/>
      <c r="B26" s="320"/>
      <c r="C26" s="377"/>
      <c r="D26" s="385"/>
      <c r="E26" s="385"/>
      <c r="F26" s="385"/>
      <c r="G26" s="321" t="s">
        <v>121</v>
      </c>
      <c r="H26" s="321"/>
      <c r="I26" s="321"/>
      <c r="J26" s="321"/>
      <c r="K26" s="321"/>
      <c r="L26" s="321"/>
      <c r="M26" s="321"/>
      <c r="N26" s="321"/>
      <c r="O26" s="321"/>
      <c r="P26" s="321"/>
      <c r="Q26" s="321"/>
      <c r="R26" s="321"/>
      <c r="S26" s="321"/>
      <c r="T26" s="321"/>
      <c r="U26" s="321"/>
      <c r="V26" s="321"/>
      <c r="W26" s="321"/>
      <c r="X26" s="321"/>
      <c r="Y26" s="321"/>
      <c r="Z26" s="321"/>
      <c r="AA26" s="321"/>
      <c r="AB26" s="321"/>
      <c r="AC26" s="321"/>
      <c r="AD26" s="321"/>
      <c r="AE26" s="321"/>
      <c r="AF26" s="321"/>
      <c r="AG26" s="321"/>
      <c r="AH26" s="323"/>
    </row>
    <row r="27" spans="1:34" s="383" customFormat="1">
      <c r="A27" s="316"/>
      <c r="B27" s="320"/>
      <c r="C27" s="377"/>
      <c r="D27" s="385"/>
      <c r="E27" s="385"/>
      <c r="F27" s="385"/>
      <c r="G27" s="321"/>
      <c r="H27" s="321"/>
      <c r="I27" s="321"/>
      <c r="J27" s="321"/>
      <c r="K27" s="321"/>
      <c r="L27" s="321"/>
      <c r="M27" s="321"/>
      <c r="N27" s="321"/>
      <c r="O27" s="321"/>
      <c r="P27" s="321"/>
      <c r="Q27" s="321"/>
      <c r="R27" s="321"/>
      <c r="S27" s="321"/>
      <c r="T27" s="321"/>
      <c r="U27" s="321"/>
      <c r="V27" s="321"/>
      <c r="W27" s="321"/>
      <c r="X27" s="321"/>
      <c r="Y27" s="321"/>
      <c r="Z27" s="321"/>
      <c r="AA27" s="321"/>
      <c r="AB27" s="377"/>
      <c r="AC27" s="540"/>
      <c r="AD27" s="377"/>
      <c r="AE27" s="377"/>
      <c r="AF27" s="540"/>
      <c r="AG27" s="321"/>
      <c r="AH27" s="323"/>
    </row>
    <row r="28" spans="1:34" s="383" customFormat="1">
      <c r="A28" s="316"/>
      <c r="B28" s="320"/>
      <c r="C28" s="377"/>
      <c r="D28" s="385"/>
      <c r="E28" s="385"/>
      <c r="F28" s="385"/>
      <c r="G28" s="321"/>
      <c r="H28" s="321"/>
      <c r="I28" s="321"/>
      <c r="J28" s="321"/>
      <c r="K28" s="321"/>
      <c r="L28" s="321"/>
      <c r="M28" s="321"/>
      <c r="N28" s="321"/>
      <c r="O28" s="321"/>
      <c r="P28" s="321"/>
      <c r="Q28" s="321"/>
      <c r="R28" s="321"/>
      <c r="S28" s="321"/>
      <c r="T28" s="321"/>
      <c r="U28" s="321"/>
      <c r="V28" s="321"/>
      <c r="W28" s="321"/>
      <c r="X28" s="321"/>
      <c r="Y28" s="321"/>
      <c r="Z28" s="321"/>
      <c r="AA28" s="321"/>
      <c r="AB28" s="377"/>
      <c r="AC28" s="540"/>
      <c r="AD28" s="377"/>
      <c r="AE28" s="377"/>
      <c r="AF28" s="540"/>
      <c r="AG28" s="321"/>
      <c r="AH28" s="323"/>
    </row>
    <row r="29" spans="1:34" s="383" customFormat="1">
      <c r="A29" s="316"/>
      <c r="B29" s="320"/>
      <c r="C29" s="321"/>
      <c r="D29" s="321"/>
      <c r="E29" s="321"/>
      <c r="F29" s="385"/>
      <c r="G29" s="321"/>
      <c r="H29" s="321"/>
      <c r="I29" s="321"/>
      <c r="J29" s="321"/>
      <c r="K29" s="321"/>
      <c r="L29" s="321"/>
      <c r="M29" s="321"/>
      <c r="N29" s="321"/>
      <c r="O29" s="321"/>
      <c r="P29" s="321"/>
      <c r="Q29" s="321"/>
      <c r="R29" s="321"/>
      <c r="S29" s="328"/>
      <c r="T29" s="328"/>
      <c r="U29" s="321"/>
      <c r="V29" s="321"/>
      <c r="W29" s="321"/>
      <c r="X29" s="321"/>
      <c r="Y29" s="321"/>
      <c r="Z29" s="321"/>
      <c r="AA29" s="321"/>
      <c r="AB29" s="377"/>
      <c r="AC29" s="377"/>
      <c r="AD29" s="377"/>
      <c r="AE29" s="377"/>
      <c r="AF29" s="377"/>
      <c r="AG29" s="321"/>
      <c r="AH29" s="323"/>
    </row>
    <row r="30" spans="1:34" s="383" customFormat="1">
      <c r="A30" s="316">
        <f>AH30</f>
        <v>0</v>
      </c>
      <c r="B30" s="381"/>
      <c r="C30" s="379" t="str">
        <f>연결BS!B14</f>
        <v>재고자산</v>
      </c>
      <c r="D30" s="379">
        <f>연결BS!E14</f>
        <v>2120729597</v>
      </c>
      <c r="E30" s="379">
        <f>연결BS!D14</f>
        <v>2306724877</v>
      </c>
      <c r="F30" s="395"/>
      <c r="G30" s="379"/>
      <c r="H30" s="379"/>
      <c r="I30" s="379"/>
      <c r="J30" s="379"/>
      <c r="K30" s="379"/>
      <c r="L30" s="379"/>
      <c r="M30" s="379" t="s">
        <v>503</v>
      </c>
      <c r="N30" s="505">
        <f>SUM(D30:D34)-SUM(E30:E34)+SUM(H30:H34)-SUM(K30:K34)+Q30-T30+W30-Z30+AC30-SUM(AF30:AF33)</f>
        <v>-326232101</v>
      </c>
      <c r="O30" s="379"/>
      <c r="P30" s="379"/>
      <c r="Q30" s="379"/>
      <c r="R30" s="379"/>
      <c r="S30" s="379"/>
      <c r="T30" s="379"/>
      <c r="U30" s="379"/>
      <c r="V30" s="379"/>
      <c r="W30" s="379"/>
      <c r="X30" s="379"/>
      <c r="Y30" s="379"/>
      <c r="Z30" s="379"/>
      <c r="AA30" s="379"/>
      <c r="AB30" s="379" t="s">
        <v>255</v>
      </c>
      <c r="AC30" s="540">
        <f>SUM(환율변동효과!D33:D41)</f>
        <v>-9043647</v>
      </c>
      <c r="AD30" s="379"/>
      <c r="AE30" s="379"/>
      <c r="AF30" s="379"/>
      <c r="AG30" s="379"/>
      <c r="AH30" s="380">
        <f>D30-E30+SUM(H30:H34)-SUM(K30:K34)-SUM(N30:N34)+SUM(Q30:Q34)-SUM(T30:T34)+SUM(W30:W34)-SUM(Z30:Z34)+SUM(AC30:AC35)-SUM(AF30:AF35)</f>
        <v>0</v>
      </c>
    </row>
    <row r="31" spans="1:34" s="383" customFormat="1">
      <c r="A31" s="316">
        <f>AH31</f>
        <v>0</v>
      </c>
      <c r="B31" s="320"/>
      <c r="C31" s="377"/>
      <c r="D31" s="385"/>
      <c r="E31" s="385"/>
      <c r="F31" s="385"/>
      <c r="G31" s="321" t="s">
        <v>1854</v>
      </c>
      <c r="H31" s="321">
        <v>14089</v>
      </c>
      <c r="I31" s="321"/>
      <c r="J31" s="321" t="s">
        <v>1857</v>
      </c>
      <c r="K31" s="321">
        <v>0</v>
      </c>
      <c r="L31" s="321"/>
      <c r="M31" s="321"/>
      <c r="N31" s="321"/>
      <c r="O31" s="321"/>
      <c r="P31" s="321"/>
      <c r="Q31" s="321"/>
      <c r="R31" s="321"/>
      <c r="S31" s="321"/>
      <c r="T31" s="321"/>
      <c r="U31" s="321"/>
      <c r="V31" s="321"/>
      <c r="W31" s="321"/>
      <c r="X31" s="321"/>
      <c r="Y31" s="321"/>
      <c r="Z31" s="321"/>
      <c r="AA31" s="321"/>
      <c r="AB31" s="321" t="s">
        <v>3852</v>
      </c>
      <c r="AC31" s="321">
        <v>0</v>
      </c>
      <c r="AD31" s="321"/>
      <c r="AE31" s="321"/>
      <c r="AF31" s="377"/>
      <c r="AG31" s="321"/>
      <c r="AH31" s="323"/>
    </row>
    <row r="32" spans="1:34" s="383" customFormat="1">
      <c r="A32" s="316"/>
      <c r="B32" s="320"/>
      <c r="C32" s="377"/>
      <c r="D32" s="385"/>
      <c r="E32" s="385"/>
      <c r="F32" s="385"/>
      <c r="G32" s="321" t="s">
        <v>1855</v>
      </c>
      <c r="H32" s="321">
        <v>0</v>
      </c>
      <c r="I32" s="321"/>
      <c r="J32" s="321" t="s">
        <v>1858</v>
      </c>
      <c r="K32" s="321">
        <v>102749779</v>
      </c>
      <c r="L32" s="321"/>
      <c r="M32" s="321"/>
      <c r="N32" s="321"/>
      <c r="O32" s="321"/>
      <c r="P32" s="321"/>
      <c r="Q32" s="321"/>
      <c r="R32" s="321"/>
      <c r="S32" s="321"/>
      <c r="T32" s="321"/>
      <c r="U32" s="321"/>
      <c r="V32" s="321"/>
      <c r="W32" s="321"/>
      <c r="X32" s="321"/>
      <c r="Y32" s="321"/>
      <c r="Z32" s="321"/>
      <c r="AA32" s="321"/>
      <c r="AB32" s="321"/>
      <c r="AC32" s="321"/>
      <c r="AD32" s="321"/>
      <c r="AE32" s="321"/>
      <c r="AF32" s="321"/>
      <c r="AG32" s="321"/>
      <c r="AH32" s="323"/>
    </row>
    <row r="33" spans="1:34" s="383" customFormat="1">
      <c r="A33" s="316"/>
      <c r="B33" s="320"/>
      <c r="C33" s="377"/>
      <c r="D33" s="385"/>
      <c r="E33" s="385"/>
      <c r="F33" s="385"/>
      <c r="G33" s="321" t="s">
        <v>1856</v>
      </c>
      <c r="H33" s="321">
        <v>0</v>
      </c>
      <c r="I33" s="321"/>
      <c r="J33" s="321" t="s">
        <v>1859</v>
      </c>
      <c r="K33" s="321">
        <v>10217848</v>
      </c>
      <c r="L33" s="321"/>
      <c r="M33" s="321"/>
      <c r="N33" s="321"/>
      <c r="O33" s="321"/>
      <c r="P33" s="321"/>
      <c r="Q33" s="321"/>
      <c r="R33" s="321"/>
      <c r="S33" s="321"/>
      <c r="T33" s="321"/>
      <c r="U33" s="321"/>
      <c r="V33" s="321"/>
      <c r="W33" s="321"/>
      <c r="X33" s="321"/>
      <c r="Y33" s="321"/>
      <c r="Z33" s="321"/>
      <c r="AA33" s="321"/>
      <c r="AB33" s="321"/>
      <c r="AC33" s="321"/>
      <c r="AD33" s="321"/>
      <c r="AE33" s="321"/>
      <c r="AF33" s="321"/>
      <c r="AG33" s="321"/>
      <c r="AH33" s="323"/>
    </row>
    <row r="34" spans="1:34" s="383" customFormat="1">
      <c r="A34" s="316"/>
      <c r="B34" s="320"/>
      <c r="C34" s="377"/>
      <c r="D34" s="385"/>
      <c r="E34" s="385"/>
      <c r="F34" s="385"/>
      <c r="G34" s="321" t="s">
        <v>2603</v>
      </c>
      <c r="H34" s="321">
        <v>0</v>
      </c>
      <c r="I34" s="321"/>
      <c r="J34" s="321" t="s">
        <v>2604</v>
      </c>
      <c r="K34" s="321">
        <v>18239636</v>
      </c>
      <c r="L34" s="321"/>
      <c r="M34" s="321"/>
      <c r="N34" s="321"/>
      <c r="O34" s="321"/>
      <c r="P34" s="321"/>
      <c r="Q34" s="321"/>
      <c r="R34" s="321"/>
      <c r="S34" s="321"/>
      <c r="T34" s="321"/>
      <c r="U34" s="321"/>
      <c r="V34" s="321"/>
      <c r="W34" s="321"/>
      <c r="X34" s="321"/>
      <c r="Y34" s="321"/>
      <c r="Z34" s="321"/>
      <c r="AA34" s="321"/>
      <c r="AB34" s="321"/>
      <c r="AC34" s="321"/>
      <c r="AD34" s="321"/>
      <c r="AE34" s="321"/>
      <c r="AF34" s="321"/>
      <c r="AG34" s="321"/>
      <c r="AH34" s="323"/>
    </row>
    <row r="35" spans="1:34" s="383" customFormat="1">
      <c r="A35" s="316">
        <f>AH35</f>
        <v>0</v>
      </c>
      <c r="B35" s="320"/>
      <c r="C35" s="377"/>
      <c r="D35" s="385"/>
      <c r="E35" s="385"/>
      <c r="F35" s="385"/>
      <c r="G35" s="321"/>
      <c r="H35" s="321"/>
      <c r="I35" s="321"/>
      <c r="J35" s="321"/>
      <c r="K35" s="321"/>
      <c r="L35" s="321"/>
      <c r="M35" s="321"/>
      <c r="N35" s="321"/>
      <c r="O35" s="321"/>
      <c r="P35" s="321"/>
      <c r="Q35" s="321"/>
      <c r="R35" s="321"/>
      <c r="S35" s="321"/>
      <c r="T35" s="321"/>
      <c r="U35" s="321"/>
      <c r="V35" s="321"/>
      <c r="W35" s="321"/>
      <c r="X35" s="321"/>
      <c r="Y35" s="321"/>
      <c r="Z35" s="321"/>
      <c r="AA35" s="321"/>
      <c r="AB35" s="321"/>
      <c r="AC35" s="321"/>
      <c r="AD35" s="321"/>
      <c r="AE35" s="321"/>
      <c r="AF35" s="321"/>
      <c r="AG35" s="321"/>
      <c r="AH35" s="323"/>
    </row>
    <row r="36" spans="1:34" s="383" customFormat="1">
      <c r="A36" s="316"/>
      <c r="B36" s="320"/>
      <c r="C36" s="377"/>
      <c r="D36" s="321"/>
      <c r="E36" s="321"/>
      <c r="F36" s="385"/>
      <c r="G36" s="321"/>
      <c r="H36" s="321"/>
      <c r="I36" s="321"/>
      <c r="J36" s="321"/>
      <c r="K36" s="321"/>
      <c r="L36" s="321"/>
      <c r="M36" s="321"/>
      <c r="N36" s="321"/>
      <c r="O36" s="321"/>
      <c r="P36" s="321"/>
      <c r="Q36" s="321"/>
      <c r="R36" s="321"/>
      <c r="S36" s="321"/>
      <c r="T36" s="321"/>
      <c r="U36" s="321"/>
      <c r="V36" s="321"/>
      <c r="W36" s="321"/>
      <c r="X36" s="321"/>
      <c r="Y36" s="321"/>
      <c r="Z36" s="321"/>
      <c r="AA36" s="321"/>
      <c r="AB36" s="321"/>
      <c r="AC36" s="321"/>
      <c r="AD36" s="321"/>
      <c r="AE36" s="321"/>
      <c r="AF36" s="321"/>
      <c r="AG36" s="321"/>
      <c r="AH36" s="323"/>
    </row>
    <row r="37" spans="1:34" s="383" customFormat="1">
      <c r="A37" s="316">
        <f t="shared" si="0"/>
        <v>0</v>
      </c>
      <c r="B37" s="381"/>
      <c r="C37" s="379" t="str">
        <f>연결BS!B25</f>
        <v>기타유동자산</v>
      </c>
      <c r="D37" s="379">
        <f>SUM(D38:D51)</f>
        <v>2836612736</v>
      </c>
      <c r="E37" s="379">
        <f>SUM(E38:E51)</f>
        <v>2851441938</v>
      </c>
      <c r="F37" s="395"/>
      <c r="G37" s="379"/>
      <c r="H37" s="379"/>
      <c r="I37" s="379"/>
      <c r="J37" s="379"/>
      <c r="K37" s="379"/>
      <c r="L37" s="379"/>
      <c r="M37" s="379"/>
      <c r="N37" s="379"/>
      <c r="O37" s="379"/>
      <c r="P37" s="379"/>
      <c r="Q37" s="379"/>
      <c r="R37" s="379"/>
      <c r="S37" s="379"/>
      <c r="T37" s="379"/>
      <c r="U37" s="379"/>
      <c r="V37" s="379"/>
      <c r="W37" s="379"/>
      <c r="X37" s="379"/>
      <c r="Y37" s="379"/>
      <c r="Z37" s="379"/>
      <c r="AA37" s="379"/>
      <c r="AB37" s="379"/>
      <c r="AC37" s="379"/>
      <c r="AD37" s="379"/>
      <c r="AE37" s="379"/>
      <c r="AF37" s="379"/>
      <c r="AG37" s="379"/>
      <c r="AH37" s="380"/>
    </row>
    <row r="38" spans="1:34" s="383" customFormat="1">
      <c r="A38" s="316">
        <f t="shared" si="0"/>
        <v>0</v>
      </c>
      <c r="B38" s="320"/>
      <c r="C38" s="377" t="str">
        <f>연결BS!B26</f>
        <v>선급금</v>
      </c>
      <c r="D38" s="385">
        <f>연결BS!E26</f>
        <v>2298824241</v>
      </c>
      <c r="E38" s="385">
        <f>연결BS!D26</f>
        <v>1238992451</v>
      </c>
      <c r="F38" s="385">
        <f t="shared" ref="F38:F46" si="4">E38-D38</f>
        <v>-1059831790</v>
      </c>
      <c r="G38" s="321"/>
      <c r="H38" s="321"/>
      <c r="I38" s="321"/>
      <c r="J38" s="321"/>
      <c r="K38" s="321"/>
      <c r="L38" s="321"/>
      <c r="M38" s="321" t="str">
        <f t="shared" ref="M38:M46" si="5">C38&amp;"의 감소(증가)"</f>
        <v>선급금의 감소(증가)</v>
      </c>
      <c r="N38" s="505">
        <f>D38-E38+H38-K38+Q38-T38+W38-Z38+SUM(AC38:AC40)-SUM(AF38:AF39)</f>
        <v>1650893458</v>
      </c>
      <c r="O38" s="321"/>
      <c r="P38" s="321"/>
      <c r="Q38" s="321"/>
      <c r="R38" s="321"/>
      <c r="S38" s="321"/>
      <c r="T38" s="321"/>
      <c r="U38" s="321"/>
      <c r="V38" s="321"/>
      <c r="W38" s="321"/>
      <c r="X38" s="321"/>
      <c r="Y38" s="321"/>
      <c r="Z38" s="321"/>
      <c r="AA38" s="321"/>
      <c r="AB38" s="321" t="s">
        <v>255</v>
      </c>
      <c r="AC38" s="540">
        <f>ROUND(환율변동효과!D26,)+3.72529029846191E-09</f>
        <v>-238331.99999999627</v>
      </c>
      <c r="AD38" s="321"/>
      <c r="AE38" s="321"/>
      <c r="AF38" s="321"/>
      <c r="AG38" s="321"/>
      <c r="AH38" s="323">
        <f>D38-E38+SUM(H38:I39)-SUM(K38:K39)-SUM(N38:O39)+SUM(Q38:Q39)-SUM(T38:T39)+SUM(W38:W39)-SUM(Z38:Z39)+SUM(AC38:AC40)-SUM(AF38:AF39)</f>
        <v>0</v>
      </c>
    </row>
    <row r="39" spans="1:34" s="383" customFormat="1">
      <c r="B39" s="400"/>
      <c r="C39" s="377"/>
      <c r="D39" s="386"/>
      <c r="E39" s="386"/>
      <c r="F39" s="386"/>
      <c r="G39" s="377"/>
      <c r="H39" s="377"/>
      <c r="I39" s="377"/>
      <c r="J39" s="377"/>
      <c r="K39" s="377"/>
      <c r="L39" s="377"/>
      <c r="M39" s="377"/>
      <c r="N39" s="377"/>
      <c r="O39" s="377"/>
      <c r="P39" s="377"/>
      <c r="Q39" s="377"/>
      <c r="R39" s="377"/>
      <c r="S39" s="377"/>
      <c r="T39" s="377"/>
      <c r="U39" s="377"/>
      <c r="V39" s="377"/>
      <c r="W39" s="377"/>
      <c r="X39" s="377"/>
      <c r="Y39" s="377"/>
      <c r="Z39" s="377"/>
      <c r="AA39" s="377"/>
      <c r="AB39" s="377" t="s">
        <v>3490</v>
      </c>
      <c r="AC39" s="377">
        <v>26999999.999999996</v>
      </c>
      <c r="AD39" s="377"/>
      <c r="AE39" s="377"/>
      <c r="AF39" s="377"/>
      <c r="AG39" s="377"/>
      <c r="AH39" s="323"/>
    </row>
    <row r="40" spans="1:34" s="383" customFormat="1">
      <c r="B40" s="1824"/>
      <c r="C40" s="377"/>
      <c r="D40" s="386"/>
      <c r="E40" s="386"/>
      <c r="F40" s="386"/>
      <c r="G40" s="377"/>
      <c r="H40" s="377"/>
      <c r="I40" s="377"/>
      <c r="J40" s="377"/>
      <c r="K40" s="377"/>
      <c r="L40" s="377"/>
      <c r="M40" s="377"/>
      <c r="N40" s="377"/>
      <c r="O40" s="377"/>
      <c r="P40" s="377"/>
      <c r="Q40" s="377"/>
      <c r="R40" s="377"/>
      <c r="S40" s="377"/>
      <c r="T40" s="377"/>
      <c r="U40" s="377"/>
      <c r="V40" s="377"/>
      <c r="W40" s="377"/>
      <c r="X40" s="377"/>
      <c r="Y40" s="377"/>
      <c r="Z40" s="377"/>
      <c r="AA40" s="377"/>
      <c r="AB40" s="377" t="s">
        <v>3852</v>
      </c>
      <c r="AC40" s="377">
        <v>564300000</v>
      </c>
      <c r="AD40" s="377"/>
      <c r="AE40" s="377"/>
      <c r="AF40" s="377"/>
      <c r="AG40" s="377"/>
      <c r="AH40" s="323"/>
    </row>
    <row r="41" spans="1:34" s="383" customFormat="1">
      <c r="A41" s="316"/>
      <c r="B41" s="320"/>
      <c r="C41" s="377" t="str">
        <f>연결BS!B27</f>
        <v>선급금대손충당금</v>
      </c>
      <c r="D41" s="385">
        <f>연결BS!E27</f>
        <v>0</v>
      </c>
      <c r="E41" s="385">
        <f>연결BS!D27</f>
        <v>-564300000</v>
      </c>
      <c r="F41" s="385">
        <f t="shared" si="4"/>
        <v>-564300000</v>
      </c>
      <c r="G41" s="321"/>
      <c r="H41" s="321"/>
      <c r="I41" s="321"/>
      <c r="J41" s="321" t="s">
        <v>2768</v>
      </c>
      <c r="K41" s="321">
        <v>0</v>
      </c>
      <c r="L41" s="321"/>
      <c r="M41" s="321"/>
      <c r="N41" s="321"/>
      <c r="O41" s="321"/>
      <c r="P41" s="321"/>
      <c r="Q41" s="321"/>
      <c r="R41" s="321"/>
      <c r="S41" s="321"/>
      <c r="T41" s="321"/>
      <c r="U41" s="321"/>
      <c r="V41" s="321"/>
      <c r="W41" s="321"/>
      <c r="X41" s="321"/>
      <c r="Y41" s="321"/>
      <c r="Z41" s="321"/>
      <c r="AA41" s="321"/>
      <c r="AB41" s="321" t="s">
        <v>255</v>
      </c>
      <c r="AC41" s="540">
        <f>환율변동효과!D27</f>
        <v>0</v>
      </c>
      <c r="AD41" s="321"/>
      <c r="AE41" s="321"/>
      <c r="AF41" s="321"/>
      <c r="AG41" s="321"/>
      <c r="AH41" s="323">
        <f>D41-E41+H41-K41-N41+Q41-T41+W41-Z41+SUM(AC41:AC42)-SUM(AF41)</f>
        <v>0</v>
      </c>
    </row>
    <row r="42" spans="1:34" s="383" customFormat="1">
      <c r="A42" s="316"/>
      <c r="B42" s="1823"/>
      <c r="C42" s="377"/>
      <c r="D42" s="385"/>
      <c r="E42" s="385"/>
      <c r="F42" s="385"/>
      <c r="G42" s="321"/>
      <c r="H42" s="321"/>
      <c r="I42" s="321"/>
      <c r="J42" s="321"/>
      <c r="K42" s="321"/>
      <c r="L42" s="321"/>
      <c r="M42" s="321"/>
      <c r="N42" s="321"/>
      <c r="O42" s="321"/>
      <c r="P42" s="321"/>
      <c r="Q42" s="321"/>
      <c r="R42" s="321"/>
      <c r="S42" s="321"/>
      <c r="T42" s="321"/>
      <c r="U42" s="321"/>
      <c r="V42" s="321"/>
      <c r="W42" s="321"/>
      <c r="X42" s="321"/>
      <c r="Y42" s="321"/>
      <c r="Z42" s="321"/>
      <c r="AA42" s="321"/>
      <c r="AB42" s="377" t="s">
        <v>3852</v>
      </c>
      <c r="AC42" s="377">
        <v>-564300000</v>
      </c>
      <c r="AD42" s="321"/>
      <c r="AE42" s="321"/>
      <c r="AF42" s="321"/>
      <c r="AG42" s="321"/>
      <c r="AH42" s="323"/>
    </row>
    <row r="43" spans="1:34" s="383" customFormat="1" ht="12.75" customHeight="1">
      <c r="A43" s="316">
        <f t="shared" si="0"/>
        <v>0</v>
      </c>
      <c r="B43" s="320"/>
      <c r="C43" s="377" t="str">
        <f>연결BS!B33</f>
        <v xml:space="preserve"> 주 . 임.종단기채권</v>
      </c>
      <c r="D43" s="385">
        <f>연결BS!E33</f>
        <v>1250001</v>
      </c>
      <c r="E43" s="385">
        <f>연결BS!D33</f>
        <v>0</v>
      </c>
      <c r="F43" s="385">
        <f t="shared" si="4"/>
        <v>-1250001</v>
      </c>
      <c r="G43" s="321"/>
      <c r="H43" s="321"/>
      <c r="I43" s="321"/>
      <c r="J43" s="321"/>
      <c r="K43" s="321"/>
      <c r="L43" s="321"/>
      <c r="M43" s="321"/>
      <c r="N43" s="377"/>
      <c r="O43" s="321"/>
      <c r="P43" s="321" t="s">
        <v>1860</v>
      </c>
      <c r="Q43" s="321">
        <v>0</v>
      </c>
      <c r="R43" s="321"/>
      <c r="S43" s="321" t="s">
        <v>1861</v>
      </c>
      <c r="T43" s="321">
        <v>1250001</v>
      </c>
      <c r="U43" s="321"/>
      <c r="V43" s="321"/>
      <c r="W43" s="321"/>
      <c r="X43" s="321"/>
      <c r="Y43" s="321"/>
      <c r="Z43" s="321"/>
      <c r="AA43" s="321"/>
      <c r="AB43" s="321" t="s">
        <v>255</v>
      </c>
      <c r="AC43" s="540">
        <v>0</v>
      </c>
      <c r="AD43" s="321"/>
      <c r="AE43" s="321"/>
      <c r="AF43" s="321"/>
      <c r="AG43" s="321"/>
      <c r="AH43" s="323">
        <f>D43-E43+H43-K43-N43+Q43-T43+W43-Z43+SUM(AC43:AC44)-AF43</f>
        <v>0</v>
      </c>
    </row>
    <row r="44" spans="1:34" s="383" customFormat="1" ht="12.75" customHeight="1">
      <c r="A44" s="316"/>
      <c r="B44" s="1823"/>
      <c r="C44" s="377"/>
      <c r="D44" s="385"/>
      <c r="E44" s="385"/>
      <c r="F44" s="385"/>
      <c r="G44" s="321"/>
      <c r="H44" s="321"/>
      <c r="I44" s="321"/>
      <c r="J44" s="321"/>
      <c r="K44" s="321"/>
      <c r="L44" s="321"/>
      <c r="M44" s="321"/>
      <c r="N44" s="377"/>
      <c r="O44" s="321"/>
      <c r="P44" s="321"/>
      <c r="Q44" s="321"/>
      <c r="R44" s="321"/>
      <c r="S44" s="321"/>
      <c r="T44" s="321"/>
      <c r="U44" s="321"/>
      <c r="V44" s="321"/>
      <c r="W44" s="321"/>
      <c r="X44" s="321"/>
      <c r="Y44" s="321"/>
      <c r="Z44" s="321"/>
      <c r="AA44" s="321"/>
      <c r="AB44" s="377" t="s">
        <v>3852</v>
      </c>
      <c r="AC44" s="377">
        <v>0</v>
      </c>
      <c r="AD44" s="321"/>
      <c r="AE44" s="321"/>
      <c r="AF44" s="321"/>
      <c r="AG44" s="321"/>
      <c r="AH44" s="323"/>
    </row>
    <row r="45" spans="1:34" s="383" customFormat="1" ht="12.75" customHeight="1">
      <c r="A45" s="316">
        <f t="shared" ref="A45" si="6">AH45</f>
        <v>0</v>
      </c>
      <c r="B45" s="320"/>
      <c r="C45" s="377" t="str">
        <f>연결BS!B28</f>
        <v>선급비용</v>
      </c>
      <c r="D45" s="385">
        <f>연결BS!E28</f>
        <v>474036344</v>
      </c>
      <c r="E45" s="385">
        <f>연결BS!D28</f>
        <v>1698698289</v>
      </c>
      <c r="F45" s="385">
        <f t="shared" ref="F45" si="7">E45-D45</f>
        <v>1224661945</v>
      </c>
      <c r="G45" s="321"/>
      <c r="H45" s="321"/>
      <c r="I45" s="321"/>
      <c r="J45" s="321"/>
      <c r="K45" s="321"/>
      <c r="L45" s="321"/>
      <c r="M45" s="321" t="str">
        <f t="shared" ref="M45" si="8">C45&amp;"의 감소(증가)"</f>
        <v>선급비용의 감소(증가)</v>
      </c>
      <c r="N45" s="505">
        <f>D45-E45+H45-K45+Q45-T45+W45-Z45+AC45-SUM(AF45:AF46)</f>
        <v>-1224661945</v>
      </c>
      <c r="O45" s="321"/>
      <c r="P45" s="321"/>
      <c r="Q45" s="321"/>
      <c r="R45" s="321"/>
      <c r="S45" s="321"/>
      <c r="T45" s="321"/>
      <c r="U45" s="321"/>
      <c r="V45" s="321"/>
      <c r="W45" s="321"/>
      <c r="X45" s="321"/>
      <c r="Y45" s="321"/>
      <c r="Z45" s="321"/>
      <c r="AA45" s="321"/>
      <c r="AB45" s="321" t="s">
        <v>255</v>
      </c>
      <c r="AC45" s="540">
        <v>0</v>
      </c>
      <c r="AD45" s="321"/>
      <c r="AE45" s="321"/>
      <c r="AF45" s="321"/>
      <c r="AG45" s="321"/>
      <c r="AH45" s="323">
        <f>D45-E45+H45-K45-N45+Q45-T45+W45-Z45+AC45-AF45</f>
        <v>0</v>
      </c>
    </row>
    <row r="46" spans="1:34" s="383" customFormat="1">
      <c r="A46" s="316">
        <f t="shared" si="0"/>
        <v>0</v>
      </c>
      <c r="B46" s="320"/>
      <c r="C46" s="377" t="str">
        <f>연결BS!B29</f>
        <v>환불자산</v>
      </c>
      <c r="D46" s="385">
        <f>연결BS!E29</f>
        <v>7692640</v>
      </c>
      <c r="E46" s="385">
        <f>연결BS!D29</f>
        <v>4272227</v>
      </c>
      <c r="F46" s="385">
        <f t="shared" si="4"/>
        <v>-3420413</v>
      </c>
      <c r="G46" s="321"/>
      <c r="H46" s="321"/>
      <c r="I46" s="321"/>
      <c r="J46" s="321"/>
      <c r="K46" s="321"/>
      <c r="L46" s="321"/>
      <c r="M46" s="321" t="str">
        <f t="shared" si="5"/>
        <v>환불자산의 감소(증가)</v>
      </c>
      <c r="N46" s="505">
        <f>SUM(D46:D47)-SUM(E46:E47)+SUM(H46:H47)-SUM(K46:K47)+Q46-T46+W46-Z46+SUM(AC46:AC47)-SUM(AF46:AF47)</f>
        <v>3420413</v>
      </c>
      <c r="O46" s="321"/>
      <c r="P46" s="321"/>
      <c r="Q46" s="321"/>
      <c r="R46" s="321"/>
      <c r="S46" s="321"/>
      <c r="T46" s="321"/>
      <c r="U46" s="321"/>
      <c r="V46" s="321"/>
      <c r="W46" s="321"/>
      <c r="X46" s="321"/>
      <c r="Y46" s="321"/>
      <c r="Z46" s="321"/>
      <c r="AA46" s="321"/>
      <c r="AB46" s="377" t="s">
        <v>254</v>
      </c>
      <c r="AC46" s="540"/>
      <c r="AD46" s="377"/>
      <c r="AE46" s="377"/>
      <c r="AF46" s="377"/>
      <c r="AG46" s="321"/>
      <c r="AH46" s="323">
        <f>SUM(D46:D47)-SUM(E46:E47)+SUM(H46:H47)-SUM(K46:K47)-N46+Q46-T46+W46-Z46+SUM(AC46:AC47)-SUM(AF46:AF47)</f>
        <v>0</v>
      </c>
    </row>
    <row r="47" spans="1:34" s="383" customFormat="1">
      <c r="A47" s="316"/>
      <c r="B47" s="320"/>
      <c r="C47" s="377"/>
      <c r="D47" s="385"/>
      <c r="E47" s="385"/>
      <c r="F47" s="385"/>
      <c r="G47" s="321"/>
      <c r="H47" s="321"/>
      <c r="I47" s="321"/>
      <c r="J47" s="321"/>
      <c r="K47" s="321"/>
      <c r="L47" s="321"/>
      <c r="M47" s="321"/>
      <c r="N47" s="321"/>
      <c r="O47" s="321"/>
      <c r="P47" s="321"/>
      <c r="Q47" s="321"/>
      <c r="R47" s="321"/>
      <c r="S47" s="321"/>
      <c r="T47" s="321"/>
      <c r="U47" s="321"/>
      <c r="V47" s="321"/>
      <c r="W47" s="321"/>
      <c r="X47" s="321"/>
      <c r="Y47" s="321"/>
      <c r="Z47" s="321"/>
      <c r="AA47" s="321"/>
      <c r="AB47" s="321" t="s">
        <v>255</v>
      </c>
      <c r="AC47" s="540">
        <f>환율변동효과!D28</f>
        <v>0</v>
      </c>
      <c r="AD47" s="321"/>
      <c r="AE47" s="321"/>
      <c r="AF47" s="321"/>
      <c r="AG47" s="321"/>
      <c r="AH47" s="323"/>
    </row>
    <row r="48" spans="1:34" s="383" customFormat="1">
      <c r="A48" s="316"/>
      <c r="B48" s="320"/>
      <c r="C48" s="377"/>
      <c r="D48" s="385"/>
      <c r="E48" s="385"/>
      <c r="F48" s="385"/>
      <c r="G48" s="321"/>
      <c r="H48" s="321"/>
      <c r="I48" s="321"/>
      <c r="J48" s="321"/>
      <c r="K48" s="321"/>
      <c r="L48" s="321"/>
      <c r="M48" s="321"/>
      <c r="N48" s="321"/>
      <c r="O48" s="321"/>
      <c r="P48" s="321"/>
      <c r="Q48" s="321"/>
      <c r="R48" s="321"/>
      <c r="S48" s="321"/>
      <c r="T48" s="321"/>
      <c r="U48" s="321"/>
      <c r="V48" s="321"/>
      <c r="W48" s="321"/>
      <c r="X48" s="321"/>
      <c r="Y48" s="321"/>
      <c r="Z48" s="321"/>
      <c r="AA48" s="321"/>
      <c r="AB48" s="321"/>
      <c r="AC48" s="540"/>
      <c r="AD48" s="321"/>
      <c r="AE48" s="321"/>
      <c r="AF48" s="321"/>
      <c r="AG48" s="321"/>
      <c r="AH48" s="323"/>
    </row>
    <row r="49" spans="1:34" s="383" customFormat="1">
      <c r="A49" s="316">
        <f t="shared" si="0"/>
        <v>0</v>
      </c>
      <c r="B49" s="320"/>
      <c r="C49" s="377" t="str">
        <f>연결BS!B32</f>
        <v>임차보증금(유동)</v>
      </c>
      <c r="D49" s="385">
        <f>연결BS!E32</f>
        <v>54809510</v>
      </c>
      <c r="E49" s="385">
        <f>연결BS!D32</f>
        <v>58432567</v>
      </c>
      <c r="F49" s="385">
        <f t="shared" ref="F49" si="9">E49-D49</f>
        <v>3623057</v>
      </c>
      <c r="G49" s="321"/>
      <c r="H49" s="321"/>
      <c r="I49" s="321"/>
      <c r="J49" s="321"/>
      <c r="K49" s="321"/>
      <c r="L49" s="321"/>
      <c r="M49" s="321"/>
      <c r="N49" s="377"/>
      <c r="O49" s="321"/>
      <c r="P49" s="321" t="s">
        <v>2494</v>
      </c>
      <c r="Q49" s="321">
        <v>0</v>
      </c>
      <c r="R49" s="321"/>
      <c r="S49" s="321" t="s">
        <v>2498</v>
      </c>
      <c r="T49" s="321">
        <v>0</v>
      </c>
      <c r="U49" s="321"/>
      <c r="V49" s="321"/>
      <c r="W49" s="321"/>
      <c r="X49" s="321"/>
      <c r="Y49" s="321"/>
      <c r="Z49" s="321"/>
      <c r="AA49" s="321"/>
      <c r="AB49" s="321" t="s">
        <v>373</v>
      </c>
      <c r="AC49" s="321">
        <f>SUM(AF83:AF86)-AC86</f>
        <v>0</v>
      </c>
      <c r="AD49" s="321"/>
      <c r="AE49" s="321"/>
      <c r="AF49" s="321"/>
      <c r="AG49" s="321"/>
      <c r="AH49" s="408">
        <f>SUM(D49:D50)-SUM(E49:E50)+SUM(H49:H50)-SUM(K49:K50)-N49+Q49-T49+W49-Z49+SUM(AC49:AC50)-SUM(AF49:AF50)</f>
        <v>0</v>
      </c>
    </row>
    <row r="50" spans="1:34" s="383" customFormat="1">
      <c r="A50" s="316">
        <f t="shared" si="0"/>
        <v>0</v>
      </c>
      <c r="B50" s="320"/>
      <c r="C50" s="321"/>
      <c r="D50" s="321"/>
      <c r="E50" s="321"/>
      <c r="F50" s="385"/>
      <c r="G50" s="330"/>
      <c r="H50" s="330"/>
      <c r="I50" s="321"/>
      <c r="J50" s="321"/>
      <c r="K50" s="321"/>
      <c r="L50" s="321"/>
      <c r="M50" s="321"/>
      <c r="N50" s="321"/>
      <c r="O50" s="321"/>
      <c r="P50" s="321"/>
      <c r="Q50" s="321"/>
      <c r="R50" s="321"/>
      <c r="S50" s="321"/>
      <c r="T50" s="321"/>
      <c r="U50" s="321"/>
      <c r="V50" s="321"/>
      <c r="W50" s="321"/>
      <c r="X50" s="321"/>
      <c r="Y50" s="321"/>
      <c r="Z50" s="321"/>
      <c r="AA50" s="321"/>
      <c r="AB50" s="321" t="s">
        <v>255</v>
      </c>
      <c r="AC50" s="540">
        <v>3623057</v>
      </c>
      <c r="AD50" s="321"/>
      <c r="AE50" s="321"/>
      <c r="AF50" s="321"/>
      <c r="AG50" s="321"/>
      <c r="AH50" s="323"/>
    </row>
    <row r="51" spans="1:34" s="383" customFormat="1" ht="12.75" customHeight="1">
      <c r="A51" s="316">
        <f t="shared" si="0"/>
        <v>0</v>
      </c>
      <c r="B51" s="320"/>
      <c r="C51" s="377" t="str">
        <f>연결BS!B30</f>
        <v>부가세대급금</v>
      </c>
      <c r="D51" s="385">
        <f>연결BS!E30</f>
        <v>0</v>
      </c>
      <c r="E51" s="385">
        <f>연결BS!D30</f>
        <v>415346404</v>
      </c>
      <c r="F51" s="385">
        <f t="shared" ref="F51" si="10">E51-D51</f>
        <v>415346404</v>
      </c>
      <c r="G51" s="321"/>
      <c r="H51" s="321"/>
      <c r="I51" s="321"/>
      <c r="J51" s="321"/>
      <c r="K51" s="321"/>
      <c r="L51" s="321"/>
      <c r="M51" s="321" t="str">
        <f t="shared" ref="M51" si="11">C51&amp;"의 감소(증가)"</f>
        <v>부가세대급금의 감소(증가)</v>
      </c>
      <c r="N51" s="505">
        <f>D51-E51+H51-K51+Q51-T51+W51-Z51+AC51-SUM(AF51:AF52)</f>
        <v>0</v>
      </c>
      <c r="O51" s="321"/>
      <c r="P51" s="321"/>
      <c r="Q51" s="321"/>
      <c r="R51" s="321"/>
      <c r="S51" s="321"/>
      <c r="T51" s="321"/>
      <c r="U51" s="321"/>
      <c r="V51" s="321"/>
      <c r="W51" s="321"/>
      <c r="X51" s="321"/>
      <c r="Y51" s="321"/>
      <c r="Z51" s="321"/>
      <c r="AA51" s="321"/>
      <c r="AB51" s="377" t="s">
        <v>3852</v>
      </c>
      <c r="AC51" s="377">
        <v>415346404</v>
      </c>
      <c r="AD51" s="321"/>
      <c r="AE51" s="321"/>
      <c r="AF51" s="321"/>
      <c r="AG51" s="321"/>
      <c r="AH51" s="323">
        <f>D51-E51+H51-K51-N51+Q51-T51+W51-Z51+AC51-AF51</f>
        <v>0</v>
      </c>
    </row>
    <row r="52" spans="1:34" s="383" customFormat="1">
      <c r="A52" s="316">
        <f t="shared" si="0"/>
        <v>0</v>
      </c>
      <c r="B52" s="381"/>
      <c r="C52" s="379" t="str">
        <f>연결BS!B34</f>
        <v>당기법인세자산</v>
      </c>
      <c r="D52" s="379">
        <f>D53</f>
        <v>17613736</v>
      </c>
      <c r="E52" s="379">
        <f>E53</f>
        <v>15659166</v>
      </c>
      <c r="F52" s="395"/>
      <c r="G52" s="379"/>
      <c r="H52" s="379"/>
      <c r="I52" s="379"/>
      <c r="J52" s="379"/>
      <c r="K52" s="379"/>
      <c r="L52" s="379"/>
      <c r="M52" s="379"/>
      <c r="N52" s="379"/>
      <c r="O52" s="379"/>
      <c r="P52" s="379"/>
      <c r="Q52" s="379"/>
      <c r="R52" s="379"/>
      <c r="S52" s="379"/>
      <c r="T52" s="379"/>
      <c r="U52" s="379"/>
      <c r="V52" s="379"/>
      <c r="W52" s="379"/>
      <c r="X52" s="379"/>
      <c r="Y52" s="379"/>
      <c r="Z52" s="379"/>
      <c r="AA52" s="379"/>
      <c r="AB52" s="379"/>
      <c r="AC52" s="379"/>
      <c r="AD52" s="379"/>
      <c r="AE52" s="379"/>
      <c r="AF52" s="379"/>
      <c r="AG52" s="379"/>
      <c r="AH52" s="380"/>
    </row>
    <row r="53" spans="1:34" s="383" customFormat="1">
      <c r="A53" s="316">
        <f t="shared" si="0"/>
        <v>0</v>
      </c>
      <c r="B53" s="320"/>
      <c r="C53" s="321" t="str">
        <f>연결BS!B34</f>
        <v>당기법인세자산</v>
      </c>
      <c r="D53" s="321">
        <f>연결BS!E34</f>
        <v>17613736</v>
      </c>
      <c r="E53" s="321">
        <f>연결BS!D34</f>
        <v>15659166</v>
      </c>
      <c r="F53" s="385"/>
      <c r="G53" s="377"/>
      <c r="H53" s="377"/>
      <c r="I53" s="379"/>
      <c r="J53" s="329" t="s">
        <v>238</v>
      </c>
      <c r="K53" s="329">
        <f>PL!Y112</f>
        <v>4983889</v>
      </c>
      <c r="L53" s="321"/>
      <c r="M53" s="329" t="s">
        <v>547</v>
      </c>
      <c r="N53" s="329">
        <f>D53-E53+H53-K53+Q53-T53+W53-Z53+AC53+AC54+AC55-AF53</f>
        <v>-1204167</v>
      </c>
      <c r="O53" s="379"/>
      <c r="P53" s="377"/>
      <c r="Q53" s="377"/>
      <c r="R53" s="377"/>
      <c r="S53" s="377"/>
      <c r="T53" s="377"/>
      <c r="U53" s="377"/>
      <c r="V53" s="377"/>
      <c r="W53" s="377"/>
      <c r="X53" s="377"/>
      <c r="Y53" s="377"/>
      <c r="Z53" s="377"/>
      <c r="AA53" s="377"/>
      <c r="AB53" s="377" t="s">
        <v>579</v>
      </c>
      <c r="AC53" s="540">
        <f>환율변동효과!D31</f>
        <v>-785278</v>
      </c>
      <c r="AD53" s="321"/>
      <c r="AE53" s="321"/>
      <c r="AF53" s="321"/>
      <c r="AG53" s="321"/>
      <c r="AH53" s="323" cm="1">
        <f t="array" ref="AH53">D53-E53+H53-K53-N53+Q53-T53+W53-Z53+SUM(AC53:AC55-AF53)</f>
        <v>0</v>
      </c>
    </row>
    <row r="54" spans="1:34" s="383" customFormat="1">
      <c r="A54" s="316"/>
      <c r="B54" s="1823"/>
      <c r="C54" s="321"/>
      <c r="D54" s="321"/>
      <c r="E54" s="321"/>
      <c r="F54" s="385"/>
      <c r="G54" s="377"/>
      <c r="H54" s="377"/>
      <c r="I54" s="379"/>
      <c r="J54" s="329"/>
      <c r="K54" s="329"/>
      <c r="L54" s="321"/>
      <c r="M54" s="329"/>
      <c r="N54" s="329"/>
      <c r="O54" s="379"/>
      <c r="P54" s="377"/>
      <c r="Q54" s="377"/>
      <c r="R54" s="377"/>
      <c r="S54" s="377"/>
      <c r="T54" s="377"/>
      <c r="U54" s="377"/>
      <c r="V54" s="377"/>
      <c r="W54" s="377"/>
      <c r="X54" s="377"/>
      <c r="Y54" s="377"/>
      <c r="Z54" s="377"/>
      <c r="AA54" s="377"/>
      <c r="AB54" s="377" t="s">
        <v>3852</v>
      </c>
      <c r="AC54" s="377">
        <v>2610430</v>
      </c>
      <c r="AD54" s="321"/>
      <c r="AE54" s="321"/>
      <c r="AF54" s="321"/>
      <c r="AG54" s="321"/>
      <c r="AH54" s="323"/>
    </row>
    <row r="55" spans="1:34" s="383" customFormat="1">
      <c r="A55" s="316"/>
      <c r="B55" s="320"/>
      <c r="C55" s="321"/>
      <c r="D55" s="321"/>
      <c r="E55" s="321"/>
      <c r="F55" s="385"/>
      <c r="G55" s="321"/>
      <c r="H55" s="321"/>
      <c r="I55" s="321"/>
      <c r="J55" s="321"/>
      <c r="K55" s="321"/>
      <c r="L55" s="321"/>
      <c r="M55" s="807"/>
      <c r="N55" s="321"/>
      <c r="O55" s="321"/>
      <c r="P55" s="321"/>
      <c r="Q55" s="321"/>
      <c r="R55" s="321"/>
      <c r="S55" s="321"/>
      <c r="T55" s="321"/>
      <c r="U55" s="321"/>
      <c r="V55" s="321"/>
      <c r="W55" s="321"/>
      <c r="X55" s="321"/>
      <c r="Y55" s="321"/>
      <c r="Z55" s="321"/>
      <c r="AA55" s="321"/>
      <c r="AB55" s="321" t="s">
        <v>1864</v>
      </c>
      <c r="AC55" s="1337">
        <v>0</v>
      </c>
      <c r="AD55" s="321"/>
      <c r="AE55" s="321"/>
      <c r="AF55" s="321"/>
      <c r="AG55" s="321"/>
      <c r="AH55" s="323"/>
    </row>
    <row r="56" spans="1:34" s="383" customFormat="1">
      <c r="A56" s="316"/>
      <c r="B56" s="320"/>
      <c r="C56" s="321"/>
      <c r="D56" s="321"/>
      <c r="E56" s="321"/>
      <c r="F56" s="385"/>
      <c r="G56" s="321"/>
      <c r="H56" s="321"/>
      <c r="I56" s="321"/>
      <c r="J56" s="321"/>
      <c r="K56" s="321"/>
      <c r="L56" s="321"/>
      <c r="M56" s="807"/>
      <c r="N56" s="321"/>
      <c r="O56" s="321"/>
      <c r="P56" s="321"/>
      <c r="Q56" s="321"/>
      <c r="R56" s="321"/>
      <c r="S56" s="321"/>
      <c r="T56" s="321"/>
      <c r="U56" s="321"/>
      <c r="V56" s="321"/>
      <c r="W56" s="321"/>
      <c r="X56" s="321"/>
      <c r="Y56" s="321"/>
      <c r="Z56" s="321"/>
      <c r="AA56" s="321"/>
      <c r="AB56" s="321"/>
      <c r="AC56" s="321"/>
      <c r="AD56" s="321"/>
      <c r="AE56" s="321"/>
      <c r="AF56" s="321"/>
      <c r="AG56" s="321"/>
      <c r="AH56" s="323"/>
    </row>
    <row r="57" spans="1:34" s="383" customFormat="1">
      <c r="A57" s="316"/>
      <c r="B57" s="320"/>
      <c r="C57" s="321"/>
      <c r="D57" s="321"/>
      <c r="E57" s="321"/>
      <c r="F57" s="385"/>
      <c r="G57" s="321"/>
      <c r="H57" s="321"/>
      <c r="I57" s="321"/>
      <c r="J57" s="321"/>
      <c r="K57" s="321"/>
      <c r="L57" s="321"/>
      <c r="M57" s="807"/>
      <c r="N57" s="321"/>
      <c r="O57" s="321"/>
      <c r="P57" s="321"/>
      <c r="Q57" s="321"/>
      <c r="R57" s="321"/>
      <c r="S57" s="321"/>
      <c r="T57" s="321"/>
      <c r="U57" s="321"/>
      <c r="V57" s="321"/>
      <c r="W57" s="321"/>
      <c r="X57" s="321"/>
      <c r="Y57" s="321"/>
      <c r="Z57" s="321"/>
      <c r="AA57" s="321"/>
      <c r="AB57" s="321"/>
      <c r="AC57" s="321"/>
      <c r="AD57" s="321"/>
      <c r="AE57" s="321"/>
      <c r="AF57" s="321"/>
      <c r="AG57" s="321"/>
      <c r="AH57" s="323"/>
    </row>
    <row r="58" spans="1:34" s="383" customFormat="1">
      <c r="A58" s="316">
        <f t="shared" si="0"/>
        <v>0</v>
      </c>
      <c r="B58" s="320"/>
      <c r="C58" s="321"/>
      <c r="D58" s="322" t="b">
        <f>D59=연결BS!E35</f>
        <v>1</v>
      </c>
      <c r="E58" s="322">
        <f>E59-연결BS!D35</f>
        <v>0</v>
      </c>
      <c r="F58" s="385"/>
      <c r="G58" s="321"/>
      <c r="H58" s="321"/>
      <c r="I58" s="321"/>
      <c r="J58" s="321"/>
      <c r="K58" s="321"/>
      <c r="L58" s="321"/>
      <c r="M58" s="321"/>
      <c r="N58" s="321"/>
      <c r="O58" s="321"/>
      <c r="P58" s="321"/>
      <c r="Q58" s="321"/>
      <c r="R58" s="321"/>
      <c r="S58" s="321"/>
      <c r="T58" s="321"/>
      <c r="U58" s="321"/>
      <c r="V58" s="321"/>
      <c r="W58" s="321"/>
      <c r="X58" s="321"/>
      <c r="Y58" s="321"/>
      <c r="Z58" s="321"/>
      <c r="AA58" s="321"/>
      <c r="AB58" s="321"/>
      <c r="AC58" s="321"/>
      <c r="AD58" s="321"/>
      <c r="AE58" s="321"/>
      <c r="AF58" s="321"/>
      <c r="AG58" s="321"/>
      <c r="AH58" s="323"/>
    </row>
    <row r="59" spans="1:34" s="382" customFormat="1">
      <c r="A59" s="316">
        <f t="shared" si="0"/>
        <v>0</v>
      </c>
      <c r="B59" s="325" t="s">
        <v>575</v>
      </c>
      <c r="C59" s="326" t="s">
        <v>25</v>
      </c>
      <c r="D59" s="326">
        <f>D61+D65+D68+D77+D82+D90+D88</f>
        <v>29206530706</v>
      </c>
      <c r="E59" s="326">
        <f>E61+E65+E68+E77+E82+E90+E88</f>
        <v>47987765603</v>
      </c>
      <c r="F59" s="394"/>
      <c r="G59" s="326"/>
      <c r="H59" s="331"/>
      <c r="I59" s="326"/>
      <c r="J59" s="326"/>
      <c r="K59" s="326"/>
      <c r="L59" s="326"/>
      <c r="M59" s="326"/>
      <c r="N59" s="326"/>
      <c r="O59" s="326"/>
      <c r="P59" s="331"/>
      <c r="Q59" s="326"/>
      <c r="R59" s="326"/>
      <c r="S59" s="326"/>
      <c r="T59" s="326"/>
      <c r="U59" s="326"/>
      <c r="V59" s="326"/>
      <c r="W59" s="326"/>
      <c r="X59" s="326"/>
      <c r="Y59" s="326"/>
      <c r="Z59" s="326"/>
      <c r="AA59" s="326"/>
      <c r="AB59" s="326"/>
      <c r="AC59" s="326"/>
      <c r="AD59" s="326"/>
      <c r="AE59" s="326"/>
      <c r="AF59" s="326"/>
      <c r="AG59" s="326"/>
      <c r="AH59" s="327"/>
    </row>
    <row r="60" spans="1:34" s="383" customFormat="1">
      <c r="A60" s="316">
        <f t="shared" si="0"/>
        <v>0</v>
      </c>
      <c r="B60" s="320"/>
      <c r="C60" s="321"/>
      <c r="D60" s="321"/>
      <c r="E60" s="321"/>
      <c r="F60" s="385"/>
      <c r="G60" s="321"/>
      <c r="H60" s="321"/>
      <c r="I60" s="321"/>
      <c r="J60" s="321"/>
      <c r="K60" s="321"/>
      <c r="L60" s="321"/>
      <c r="M60" s="321"/>
      <c r="N60" s="321"/>
      <c r="O60" s="321"/>
      <c r="P60" s="321"/>
      <c r="Q60" s="321"/>
      <c r="R60" s="321"/>
      <c r="S60" s="321"/>
      <c r="T60" s="321"/>
      <c r="U60" s="321"/>
      <c r="V60" s="321"/>
      <c r="W60" s="321"/>
      <c r="X60" s="321"/>
      <c r="Y60" s="321"/>
      <c r="Z60" s="321"/>
      <c r="AA60" s="321"/>
      <c r="AB60" s="321"/>
      <c r="AC60" s="321"/>
      <c r="AD60" s="321"/>
      <c r="AE60" s="321"/>
      <c r="AF60" s="321"/>
      <c r="AG60" s="321"/>
      <c r="AH60" s="323"/>
    </row>
    <row r="61" spans="1:34" s="383" customFormat="1">
      <c r="A61" s="316">
        <f t="shared" si="0"/>
        <v>0</v>
      </c>
      <c r="B61" s="381"/>
      <c r="C61" s="379" t="str">
        <f>연결BS!B39</f>
        <v>당기손익-공정가치금융자산</v>
      </c>
      <c r="D61" s="379">
        <f>D62</f>
        <v>172664940</v>
      </c>
      <c r="E61" s="379">
        <f>E62</f>
        <v>172664940</v>
      </c>
      <c r="F61" s="395"/>
      <c r="G61" s="379"/>
      <c r="H61" s="379"/>
      <c r="I61" s="379"/>
      <c r="J61" s="379"/>
      <c r="K61" s="379"/>
      <c r="L61" s="379"/>
      <c r="M61" s="379"/>
      <c r="N61" s="379"/>
      <c r="O61" s="379"/>
      <c r="P61" s="379"/>
      <c r="Q61" s="379"/>
      <c r="R61" s="379"/>
      <c r="S61" s="379"/>
      <c r="T61" s="379"/>
      <c r="U61" s="379"/>
      <c r="V61" s="379"/>
      <c r="W61" s="379"/>
      <c r="X61" s="379"/>
      <c r="Y61" s="379"/>
      <c r="Z61" s="379"/>
      <c r="AA61" s="379"/>
      <c r="AB61" s="379"/>
      <c r="AC61" s="379"/>
      <c r="AD61" s="379"/>
      <c r="AE61" s="379"/>
      <c r="AF61" s="379"/>
      <c r="AG61" s="379"/>
      <c r="AH61" s="380"/>
    </row>
    <row r="62" spans="1:34" s="383" customFormat="1">
      <c r="A62" s="316">
        <f t="shared" si="0"/>
        <v>0</v>
      </c>
      <c r="B62" s="320"/>
      <c r="C62" s="377" t="str">
        <f>연결BS!B39</f>
        <v>당기손익-공정가치금융자산</v>
      </c>
      <c r="D62" s="321">
        <f>연결BS!E39</f>
        <v>172664940</v>
      </c>
      <c r="E62" s="321">
        <f>연결BS!D39</f>
        <v>172664940</v>
      </c>
      <c r="F62" s="385">
        <f t="shared" ref="F62" si="12">E62-D62</f>
        <v>0</v>
      </c>
      <c r="G62" s="321" t="s">
        <v>345</v>
      </c>
      <c r="H62" s="321">
        <v>0</v>
      </c>
      <c r="I62" s="321"/>
      <c r="J62" s="321" t="s">
        <v>273</v>
      </c>
      <c r="K62" s="321">
        <v>0</v>
      </c>
      <c r="L62" s="321"/>
      <c r="M62" s="321"/>
      <c r="N62" s="321"/>
      <c r="O62" s="321"/>
      <c r="P62" s="321" t="s">
        <v>323</v>
      </c>
      <c r="Q62" s="321">
        <v>0</v>
      </c>
      <c r="R62" s="321"/>
      <c r="S62" s="321" t="s">
        <v>568</v>
      </c>
      <c r="T62" s="321">
        <v>0</v>
      </c>
      <c r="U62" s="321"/>
      <c r="V62" s="321"/>
      <c r="W62" s="321"/>
      <c r="X62" s="321"/>
      <c r="Y62" s="321"/>
      <c r="Z62" s="321"/>
      <c r="AA62" s="321"/>
      <c r="AB62" s="321" t="s">
        <v>2750</v>
      </c>
      <c r="AC62" s="321">
        <f>AF65</f>
        <v>0</v>
      </c>
      <c r="AD62" s="321"/>
      <c r="AE62" s="321"/>
      <c r="AF62" s="321"/>
      <c r="AG62" s="321"/>
      <c r="AH62" s="323">
        <f>D62-E62+SUM(H62:H63)-SUM(K62:K63)-N62+Q62-T62+W62-Z62+AC62-AF62-AF63</f>
        <v>0</v>
      </c>
    </row>
    <row r="63" spans="1:34" s="383" customFormat="1">
      <c r="A63" s="316">
        <f t="shared" si="0"/>
        <v>0</v>
      </c>
      <c r="B63" s="320"/>
      <c r="C63" s="377"/>
      <c r="D63" s="321"/>
      <c r="E63" s="321"/>
      <c r="F63" s="385"/>
      <c r="G63" s="321"/>
      <c r="H63" s="321"/>
      <c r="I63" s="321"/>
      <c r="J63" s="321"/>
      <c r="K63" s="321"/>
      <c r="L63" s="321"/>
      <c r="M63" s="321"/>
      <c r="N63" s="321"/>
      <c r="O63" s="321"/>
      <c r="P63" s="321"/>
      <c r="Q63" s="321"/>
      <c r="R63" s="321"/>
      <c r="S63" s="321"/>
      <c r="T63" s="321"/>
      <c r="U63" s="321"/>
      <c r="V63" s="321"/>
      <c r="W63" s="321"/>
      <c r="X63" s="321"/>
      <c r="Y63" s="321"/>
      <c r="Z63" s="321"/>
      <c r="AA63" s="321"/>
      <c r="AB63" s="321"/>
      <c r="AC63" s="321"/>
      <c r="AD63" s="321"/>
      <c r="AE63" s="321"/>
      <c r="AF63" s="321"/>
      <c r="AG63" s="321"/>
      <c r="AH63" s="323"/>
    </row>
    <row r="64" spans="1:34" s="383" customFormat="1">
      <c r="A64" s="316">
        <f t="shared" si="0"/>
        <v>0</v>
      </c>
      <c r="B64" s="320"/>
      <c r="C64" s="321"/>
      <c r="D64" s="321"/>
      <c r="E64" s="321"/>
      <c r="F64" s="385"/>
      <c r="G64" s="321"/>
      <c r="H64" s="321"/>
      <c r="I64" s="321"/>
      <c r="J64" s="321"/>
      <c r="K64" s="321"/>
      <c r="L64" s="321"/>
      <c r="M64" s="321"/>
      <c r="N64" s="321"/>
      <c r="O64" s="321"/>
      <c r="P64" s="321"/>
      <c r="Q64" s="321"/>
      <c r="R64" s="321"/>
      <c r="S64" s="321"/>
      <c r="T64" s="321"/>
      <c r="U64" s="321"/>
      <c r="V64" s="321"/>
      <c r="W64" s="321"/>
      <c r="X64" s="321"/>
      <c r="Y64" s="321"/>
      <c r="Z64" s="321"/>
      <c r="AA64" s="321"/>
      <c r="AB64" s="321"/>
      <c r="AC64" s="321"/>
      <c r="AD64" s="321"/>
      <c r="AE64" s="321"/>
      <c r="AF64" s="321"/>
      <c r="AG64" s="321"/>
      <c r="AH64" s="323"/>
    </row>
    <row r="65" spans="1:34" s="383" customFormat="1">
      <c r="A65" s="316">
        <f t="shared" si="0"/>
        <v>0</v>
      </c>
      <c r="B65" s="381"/>
      <c r="C65" s="379" t="str">
        <f>연결BS!B40</f>
        <v>종속기업및관계기업투자</v>
      </c>
      <c r="D65" s="379">
        <f>연결BS!E40</f>
        <v>16999999500</v>
      </c>
      <c r="E65" s="379">
        <f>연결BS!D40</f>
        <v>0</v>
      </c>
      <c r="F65" s="395"/>
      <c r="G65" s="379" t="s">
        <v>3491</v>
      </c>
      <c r="H65" s="379">
        <v>-2067945777</v>
      </c>
      <c r="I65" s="379"/>
      <c r="J65" s="379" t="s">
        <v>3854</v>
      </c>
      <c r="K65" s="379">
        <f>-연결PL!D75</f>
        <v>-2067945777</v>
      </c>
      <c r="L65" s="379"/>
      <c r="M65" s="379"/>
      <c r="N65" s="379"/>
      <c r="O65" s="379"/>
      <c r="P65" s="379" t="s">
        <v>3850</v>
      </c>
      <c r="Q65" s="379">
        <f>지분법계산_에이티지씨!C45</f>
        <v>8000000000</v>
      </c>
      <c r="R65" s="379"/>
      <c r="S65" s="379"/>
      <c r="T65" s="379"/>
      <c r="U65" s="379"/>
      <c r="V65" s="379"/>
      <c r="W65" s="379"/>
      <c r="X65" s="379"/>
      <c r="Y65" s="379"/>
      <c r="Z65" s="379"/>
      <c r="AA65" s="379"/>
      <c r="AB65" s="379" t="s">
        <v>255</v>
      </c>
      <c r="AC65" s="540">
        <v>0</v>
      </c>
      <c r="AD65" s="379"/>
      <c r="AE65" s="379" t="s">
        <v>2751</v>
      </c>
      <c r="AF65" s="379"/>
      <c r="AG65" s="379"/>
      <c r="AH65" s="380">
        <f>D65-E65+H65-K65-N65+Q65-T65+W65-Z65+SUM(AC65:AC66)-AF65</f>
        <v>0</v>
      </c>
    </row>
    <row r="66" spans="1:34" s="383" customFormat="1">
      <c r="A66" s="316">
        <f t="shared" si="0"/>
        <v>0</v>
      </c>
      <c r="B66" s="320"/>
      <c r="C66" s="321"/>
      <c r="D66" s="321"/>
      <c r="E66" s="321"/>
      <c r="F66" s="385"/>
      <c r="G66" s="321"/>
      <c r="H66" s="321"/>
      <c r="I66" s="321"/>
      <c r="J66" s="321"/>
      <c r="K66" s="321"/>
      <c r="L66" s="321"/>
      <c r="M66" s="321"/>
      <c r="N66" s="321"/>
      <c r="O66" s="321"/>
      <c r="P66" s="321"/>
      <c r="Q66" s="321"/>
      <c r="R66" s="321"/>
      <c r="S66" s="321"/>
      <c r="T66" s="321"/>
      <c r="U66" s="321"/>
      <c r="V66" s="321"/>
      <c r="W66" s="321"/>
      <c r="X66" s="321"/>
      <c r="Y66" s="321"/>
      <c r="Z66" s="321"/>
      <c r="AA66" s="321"/>
      <c r="AB66" s="377" t="s">
        <v>3852</v>
      </c>
      <c r="AC66" s="377">
        <f>-RIC!I71</f>
        <v>-24999999500</v>
      </c>
      <c r="AD66" s="321"/>
      <c r="AE66" s="321"/>
      <c r="AF66" s="321"/>
      <c r="AG66" s="321"/>
      <c r="AH66" s="323"/>
    </row>
    <row r="67" spans="1:34" s="383" customFormat="1">
      <c r="A67" s="316">
        <f t="shared" si="0"/>
        <v>0</v>
      </c>
      <c r="B67" s="320"/>
      <c r="C67" s="321"/>
      <c r="D67" s="321"/>
      <c r="E67" s="321"/>
      <c r="F67" s="385"/>
      <c r="G67" s="321"/>
      <c r="H67" s="321"/>
      <c r="I67" s="321"/>
      <c r="J67" s="321"/>
      <c r="K67" s="321"/>
      <c r="L67" s="321"/>
      <c r="M67" s="321"/>
      <c r="N67" s="321"/>
      <c r="O67" s="321"/>
      <c r="P67" s="321"/>
      <c r="Q67" s="321"/>
      <c r="R67" s="321"/>
      <c r="S67" s="321"/>
      <c r="T67" s="321"/>
      <c r="U67" s="321"/>
      <c r="V67" s="321"/>
      <c r="W67" s="321"/>
      <c r="X67" s="321"/>
      <c r="Y67" s="321"/>
      <c r="Z67" s="321"/>
      <c r="AA67" s="321"/>
      <c r="AB67" s="321"/>
      <c r="AC67" s="321"/>
      <c r="AD67" s="321"/>
      <c r="AE67" s="321"/>
      <c r="AF67" s="321"/>
      <c r="AG67" s="321"/>
      <c r="AH67" s="323"/>
    </row>
    <row r="68" spans="1:34" s="383" customFormat="1">
      <c r="A68" s="316">
        <f t="shared" si="0"/>
        <v>0</v>
      </c>
      <c r="B68" s="381"/>
      <c r="C68" s="379" t="str">
        <f>연결BS!B43</f>
        <v>유형자산</v>
      </c>
      <c r="D68" s="379">
        <f>연결BS!E43</f>
        <v>9040172270</v>
      </c>
      <c r="E68" s="379">
        <f>연결BS!D43</f>
        <v>10878025531</v>
      </c>
      <c r="F68" s="395">
        <f>E68-D68</f>
        <v>1837853261</v>
      </c>
      <c r="G68" s="379"/>
      <c r="H68" s="379"/>
      <c r="I68" s="379"/>
      <c r="J68" s="379"/>
      <c r="K68" s="379"/>
      <c r="L68" s="379"/>
      <c r="M68" s="379"/>
      <c r="N68" s="379"/>
      <c r="O68" s="379"/>
      <c r="P68" s="379"/>
      <c r="Q68" s="379"/>
      <c r="R68" s="379"/>
      <c r="S68" s="379"/>
      <c r="T68" s="379"/>
      <c r="U68" s="379"/>
      <c r="V68" s="379"/>
      <c r="W68" s="379"/>
      <c r="X68" s="379"/>
      <c r="Y68" s="379"/>
      <c r="Z68" s="379"/>
      <c r="AA68" s="379"/>
      <c r="AB68" s="379"/>
      <c r="AC68" s="379"/>
      <c r="AD68" s="379"/>
      <c r="AE68" s="379"/>
      <c r="AF68" s="379"/>
      <c r="AG68" s="379"/>
      <c r="AH68" s="380">
        <f>D68-E68+SUM(H68:H76)-SUM(K68:K76)-SUM(N68:N76)+SUM(Q68:Q76)-SUM(T68:T76)+W68-Z68+SUM(AC68:AC76)-SUM(AF68:AF76)</f>
        <v>0</v>
      </c>
    </row>
    <row r="69" spans="1:34" s="383" customFormat="1">
      <c r="A69" s="316">
        <f t="shared" si="0"/>
        <v>0</v>
      </c>
      <c r="B69" s="320"/>
      <c r="C69" s="386"/>
      <c r="D69" s="385"/>
      <c r="E69" s="385"/>
      <c r="F69" s="385"/>
      <c r="G69" s="321" t="s">
        <v>122</v>
      </c>
      <c r="H69" s="321">
        <f>PL!Y84</f>
        <v>1202135</v>
      </c>
      <c r="I69" s="321"/>
      <c r="J69" s="321" t="s">
        <v>129</v>
      </c>
      <c r="K69" s="321">
        <f>PL!Y88</f>
        <v>4825402</v>
      </c>
      <c r="L69" s="321"/>
      <c r="M69" s="321"/>
      <c r="N69" s="321"/>
      <c r="O69" s="321"/>
      <c r="P69" s="321" t="s">
        <v>578</v>
      </c>
      <c r="Q69" s="1337">
        <f>'12'!D33-'12'!D31</f>
        <v>940715535</v>
      </c>
      <c r="R69" s="321"/>
      <c r="S69" s="321" t="s">
        <v>577</v>
      </c>
      <c r="T69" s="409">
        <f>-('12'!E33-'12'!E31)+연결PL!D74-연결PL!D81-AF71</f>
        <v>452135</v>
      </c>
      <c r="U69" s="321"/>
      <c r="V69" s="321"/>
      <c r="W69" s="321"/>
      <c r="X69" s="321"/>
      <c r="Y69" s="321"/>
      <c r="Z69" s="321"/>
      <c r="AA69" s="321"/>
      <c r="AB69" s="377" t="s">
        <v>255</v>
      </c>
      <c r="AC69" s="1337">
        <f>'12'!I33</f>
        <v>21436385</v>
      </c>
      <c r="AD69" s="377"/>
      <c r="AE69" s="377" t="s">
        <v>1862</v>
      </c>
      <c r="AF69" s="377">
        <v>0</v>
      </c>
      <c r="AG69" s="321"/>
      <c r="AH69" s="323"/>
    </row>
    <row r="70" spans="1:34" s="383" customFormat="1">
      <c r="A70" s="316">
        <f t="shared" si="0"/>
        <v>0</v>
      </c>
      <c r="B70" s="320"/>
      <c r="C70" s="386"/>
      <c r="D70" s="385"/>
      <c r="E70" s="385"/>
      <c r="F70" s="385"/>
      <c r="G70" s="321"/>
      <c r="H70" s="321"/>
      <c r="I70" s="321"/>
      <c r="J70" s="321" t="s">
        <v>132</v>
      </c>
      <c r="K70" s="321">
        <v>0</v>
      </c>
      <c r="L70" s="321"/>
      <c r="M70" s="321"/>
      <c r="N70" s="321"/>
      <c r="O70" s="321"/>
      <c r="P70" s="321"/>
      <c r="Q70" s="321"/>
      <c r="R70" s="321"/>
      <c r="S70" s="321"/>
      <c r="T70" s="321"/>
      <c r="U70" s="321"/>
      <c r="V70" s="321"/>
      <c r="W70" s="321"/>
      <c r="X70" s="321"/>
      <c r="Y70" s="321"/>
      <c r="Z70" s="321"/>
      <c r="AA70" s="321"/>
      <c r="AB70" s="377" t="s">
        <v>2471</v>
      </c>
      <c r="AC70" s="377">
        <f>'12'!D31</f>
        <v>9012918</v>
      </c>
      <c r="AD70" s="377"/>
      <c r="AE70" s="377" t="s">
        <v>2452</v>
      </c>
      <c r="AF70" s="322">
        <v>18218466</v>
      </c>
      <c r="AG70" s="321"/>
      <c r="AH70" s="323"/>
    </row>
    <row r="71" spans="1:34" s="383" customFormat="1">
      <c r="A71" s="316">
        <f t="shared" si="0"/>
        <v>0</v>
      </c>
      <c r="B71" s="320"/>
      <c r="C71" s="386"/>
      <c r="D71" s="385"/>
      <c r="E71" s="385"/>
      <c r="F71" s="385"/>
      <c r="G71" s="321"/>
      <c r="H71" s="321"/>
      <c r="I71" s="321"/>
      <c r="J71" s="321" t="s">
        <v>176</v>
      </c>
      <c r="K71" s="1337">
        <f>-'12'!G33</f>
        <v>585661920</v>
      </c>
      <c r="L71" s="321"/>
      <c r="M71" s="321"/>
      <c r="N71" s="321"/>
      <c r="O71" s="321"/>
      <c r="P71" s="321"/>
      <c r="Q71" s="321"/>
      <c r="R71" s="321"/>
      <c r="S71" s="321"/>
      <c r="T71" s="321"/>
      <c r="U71" s="321"/>
      <c r="V71" s="321"/>
      <c r="W71" s="321"/>
      <c r="X71" s="321"/>
      <c r="Y71" s="321"/>
      <c r="Z71" s="321"/>
      <c r="AA71" s="321"/>
      <c r="AB71" s="377" t="s">
        <v>2766</v>
      </c>
      <c r="AC71" s="1468">
        <v>25031561</v>
      </c>
      <c r="AD71" s="377"/>
      <c r="AE71" s="377" t="s">
        <v>3490</v>
      </c>
      <c r="AF71" s="377">
        <f>AC39+AC99</f>
        <v>90000000</v>
      </c>
      <c r="AG71" s="321"/>
      <c r="AH71" s="323"/>
    </row>
    <row r="72" spans="1:34" s="383" customFormat="1">
      <c r="A72" s="316">
        <f t="shared" si="0"/>
        <v>0</v>
      </c>
      <c r="B72" s="320"/>
      <c r="C72" s="386"/>
      <c r="D72" s="385"/>
      <c r="E72" s="385"/>
      <c r="F72" s="385"/>
      <c r="G72" s="321"/>
      <c r="H72" s="321"/>
      <c r="I72" s="321"/>
      <c r="J72" s="321"/>
      <c r="K72" s="321"/>
      <c r="L72" s="321"/>
      <c r="M72" s="321"/>
      <c r="N72" s="321"/>
      <c r="O72" s="321"/>
      <c r="P72" s="321"/>
      <c r="Q72" s="321"/>
      <c r="R72" s="321"/>
      <c r="S72" s="321"/>
      <c r="T72" s="321"/>
      <c r="U72" s="321"/>
      <c r="V72" s="321"/>
      <c r="W72" s="321"/>
      <c r="X72" s="321"/>
      <c r="Y72" s="321"/>
      <c r="Z72" s="321"/>
      <c r="AA72" s="321"/>
      <c r="AB72" s="377" t="s">
        <v>3852</v>
      </c>
      <c r="AC72" s="377">
        <f>SUM('12'!H136:H146)</f>
        <v>1539612650</v>
      </c>
      <c r="AD72" s="377"/>
      <c r="AE72" s="377"/>
      <c r="AF72" s="377"/>
      <c r="AG72" s="321"/>
      <c r="AH72" s="323"/>
    </row>
    <row r="73" spans="1:34" s="383" customFormat="1">
      <c r="A73" s="316">
        <f t="shared" si="0"/>
        <v>0</v>
      </c>
      <c r="B73" s="320"/>
      <c r="C73" s="386"/>
      <c r="D73" s="385"/>
      <c r="E73" s="385"/>
      <c r="F73" s="385"/>
      <c r="G73" s="321"/>
      <c r="H73" s="321"/>
      <c r="I73" s="321"/>
      <c r="J73" s="321"/>
      <c r="K73" s="321"/>
      <c r="L73" s="321"/>
      <c r="M73" s="321"/>
      <c r="N73" s="321"/>
      <c r="O73" s="321"/>
      <c r="P73" s="321"/>
      <c r="Q73" s="321"/>
      <c r="R73" s="321"/>
      <c r="S73" s="321"/>
      <c r="T73" s="321"/>
      <c r="U73" s="321"/>
      <c r="V73" s="321"/>
      <c r="W73" s="321"/>
      <c r="X73" s="321"/>
      <c r="Y73" s="321"/>
      <c r="Z73" s="321"/>
      <c r="AA73" s="321"/>
      <c r="AB73" s="377"/>
      <c r="AC73" s="377"/>
      <c r="AD73" s="377"/>
      <c r="AE73" s="377"/>
      <c r="AF73" s="377"/>
      <c r="AG73" s="321"/>
      <c r="AH73" s="323"/>
    </row>
    <row r="74" spans="1:34" s="383" customFormat="1">
      <c r="A74" s="316">
        <f t="shared" si="0"/>
        <v>0</v>
      </c>
      <c r="B74" s="320"/>
      <c r="C74" s="386"/>
      <c r="D74" s="385"/>
      <c r="E74" s="385"/>
      <c r="F74" s="385"/>
      <c r="G74" s="321"/>
      <c r="H74" s="321"/>
      <c r="I74" s="321"/>
      <c r="J74" s="321"/>
      <c r="K74" s="321"/>
      <c r="L74" s="321"/>
      <c r="M74" s="321"/>
      <c r="N74" s="321"/>
      <c r="O74" s="321"/>
      <c r="P74" s="321"/>
      <c r="Q74" s="321"/>
      <c r="R74" s="321"/>
      <c r="S74" s="321"/>
      <c r="T74" s="321"/>
      <c r="U74" s="321"/>
      <c r="V74" s="321"/>
      <c r="W74" s="321"/>
      <c r="X74" s="321"/>
      <c r="Y74" s="321"/>
      <c r="Z74" s="321"/>
      <c r="AA74" s="321"/>
      <c r="AB74" s="377"/>
      <c r="AC74" s="377"/>
      <c r="AD74" s="377"/>
      <c r="AE74" s="377"/>
      <c r="AF74" s="377"/>
      <c r="AG74" s="321"/>
      <c r="AH74" s="323"/>
    </row>
    <row r="75" spans="1:34" s="383" customFormat="1">
      <c r="A75" s="316">
        <f t="shared" si="0"/>
        <v>0</v>
      </c>
      <c r="B75" s="320"/>
      <c r="C75" s="386"/>
      <c r="D75" s="385"/>
      <c r="E75" s="385"/>
      <c r="F75" s="385"/>
      <c r="G75" s="321"/>
      <c r="H75" s="321"/>
      <c r="I75" s="321"/>
      <c r="J75" s="321"/>
      <c r="K75" s="321"/>
      <c r="L75" s="321"/>
      <c r="M75" s="321"/>
      <c r="N75" s="321"/>
      <c r="O75" s="321"/>
      <c r="P75" s="321"/>
      <c r="Q75" s="321"/>
      <c r="R75" s="321"/>
      <c r="S75" s="321"/>
      <c r="T75" s="321"/>
      <c r="U75" s="321"/>
      <c r="V75" s="321"/>
      <c r="W75" s="321"/>
      <c r="X75" s="321"/>
      <c r="Y75" s="321"/>
      <c r="Z75" s="321"/>
      <c r="AA75" s="321"/>
      <c r="AB75" s="321"/>
      <c r="AC75" s="321"/>
      <c r="AD75" s="321"/>
      <c r="AE75" s="321"/>
      <c r="AF75" s="321"/>
      <c r="AG75" s="321"/>
      <c r="AH75" s="323"/>
    </row>
    <row r="76" spans="1:34" s="383" customFormat="1">
      <c r="A76" s="316">
        <f t="shared" si="0"/>
        <v>0</v>
      </c>
      <c r="B76" s="320"/>
      <c r="C76" s="386"/>
      <c r="D76" s="385"/>
      <c r="E76" s="385"/>
      <c r="F76" s="385"/>
      <c r="G76" s="321"/>
      <c r="H76" s="321"/>
      <c r="I76" s="321"/>
      <c r="J76" s="321"/>
      <c r="K76" s="321"/>
      <c r="L76" s="321"/>
      <c r="M76" s="321"/>
      <c r="N76" s="321"/>
      <c r="O76" s="321"/>
      <c r="P76" s="321"/>
      <c r="Q76" s="321"/>
      <c r="R76" s="321"/>
      <c r="S76" s="321"/>
      <c r="T76" s="321"/>
      <c r="U76" s="321"/>
      <c r="V76" s="321"/>
      <c r="W76" s="321"/>
      <c r="X76" s="321"/>
      <c r="Y76" s="321"/>
      <c r="Z76" s="321"/>
      <c r="AA76" s="321"/>
      <c r="AB76" s="321"/>
      <c r="AC76" s="321"/>
      <c r="AD76" s="321"/>
      <c r="AE76" s="321"/>
      <c r="AF76" s="321"/>
      <c r="AG76" s="321"/>
      <c r="AH76" s="323"/>
    </row>
    <row r="77" spans="1:34" s="383" customFormat="1">
      <c r="A77" s="316">
        <f t="shared" si="0"/>
        <v>0</v>
      </c>
      <c r="B77" s="381"/>
      <c r="C77" s="379" t="str">
        <f>연결BS!B62</f>
        <v>무형자산</v>
      </c>
      <c r="D77" s="379">
        <f>연결BS!E62</f>
        <v>50368750</v>
      </c>
      <c r="E77" s="379">
        <f>연결BS!D62</f>
        <v>33200055369</v>
      </c>
      <c r="F77" s="395">
        <f>E77-D77</f>
        <v>33149686619</v>
      </c>
      <c r="G77" s="379"/>
      <c r="H77" s="379"/>
      <c r="I77" s="379"/>
      <c r="J77" s="379"/>
      <c r="K77" s="379"/>
      <c r="L77" s="379"/>
      <c r="M77" s="379"/>
      <c r="N77" s="379"/>
      <c r="O77" s="379"/>
      <c r="P77" s="379"/>
      <c r="Q77" s="379"/>
      <c r="R77" s="379"/>
      <c r="S77" s="379"/>
      <c r="T77" s="379"/>
      <c r="U77" s="379"/>
      <c r="V77" s="379"/>
      <c r="W77" s="379"/>
      <c r="X77" s="379"/>
      <c r="Y77" s="379"/>
      <c r="Z77" s="379"/>
      <c r="AA77" s="379"/>
      <c r="AB77" s="379"/>
      <c r="AC77" s="379"/>
      <c r="AD77" s="379"/>
      <c r="AE77" s="379"/>
      <c r="AF77" s="379"/>
      <c r="AG77" s="379"/>
      <c r="AH77" s="380">
        <f>D77-E77+SUM(H77:H81)-SUM(K77:K81)-SUM(N77:N81)+SUM(Q77:Q81)-SUM(T77:T81)+SUM(W77:W81)-SUM(Z77:Z81)+SUM(AC77:AC81)-SUM(AF77:AF81)</f>
        <v>0</v>
      </c>
    </row>
    <row r="78" spans="1:34" s="383" customFormat="1">
      <c r="B78" s="847"/>
      <c r="C78" s="377"/>
      <c r="D78" s="377"/>
      <c r="E78" s="377"/>
      <c r="F78" s="386"/>
      <c r="G78" s="377"/>
      <c r="H78" s="377"/>
      <c r="I78" s="377"/>
      <c r="J78" s="377" t="s">
        <v>177</v>
      </c>
      <c r="K78" s="1337">
        <f>-'13'!F27</f>
        <v>21529107</v>
      </c>
      <c r="L78" s="377"/>
      <c r="M78" s="377"/>
      <c r="N78" s="377"/>
      <c r="O78" s="377"/>
      <c r="P78" s="377" t="s">
        <v>548</v>
      </c>
      <c r="Q78" s="409">
        <f>'13'!D27</f>
        <v>95882479</v>
      </c>
      <c r="R78" s="377"/>
      <c r="S78" s="377" t="s">
        <v>1863</v>
      </c>
      <c r="T78" s="409"/>
      <c r="U78" s="377"/>
      <c r="V78" s="377"/>
      <c r="W78" s="377"/>
      <c r="X78" s="377"/>
      <c r="Y78" s="377"/>
      <c r="Z78" s="377"/>
      <c r="AA78" s="377"/>
      <c r="AB78" s="377" t="s">
        <v>255</v>
      </c>
      <c r="AC78" s="540">
        <f>SUM(환율변동효과!D58:D62)</f>
        <v>0</v>
      </c>
      <c r="AD78" s="377"/>
      <c r="AE78" s="377"/>
      <c r="AF78" s="377"/>
      <c r="AG78" s="377"/>
      <c r="AH78" s="408"/>
    </row>
    <row r="79" spans="1:34" s="383" customFormat="1">
      <c r="B79" s="847"/>
      <c r="C79" s="377"/>
      <c r="D79" s="377"/>
      <c r="E79" s="377"/>
      <c r="F79" s="386"/>
      <c r="G79" s="377"/>
      <c r="H79" s="377"/>
      <c r="I79" s="377"/>
      <c r="J79" s="377"/>
      <c r="K79" s="377"/>
      <c r="L79" s="377"/>
      <c r="M79" s="377"/>
      <c r="N79" s="377"/>
      <c r="O79" s="377"/>
      <c r="P79" s="377"/>
      <c r="Q79" s="377"/>
      <c r="R79" s="377"/>
      <c r="S79" s="377"/>
      <c r="T79" s="377"/>
      <c r="U79" s="377"/>
      <c r="V79" s="377"/>
      <c r="W79" s="377"/>
      <c r="X79" s="377"/>
      <c r="Y79" s="377"/>
      <c r="Z79" s="377"/>
      <c r="AA79" s="377"/>
      <c r="AB79" s="377" t="s">
        <v>3852</v>
      </c>
      <c r="AC79" s="377">
        <f>RIC!F76+RIC!F77+RIC!F78+RIC!F79+BS!N68</f>
        <v>33075333247</v>
      </c>
      <c r="AD79" s="377"/>
      <c r="AE79" s="377"/>
      <c r="AF79" s="377"/>
      <c r="AG79" s="377"/>
      <c r="AH79" s="408"/>
    </row>
    <row r="80" spans="1:34" s="383" customFormat="1">
      <c r="B80" s="847"/>
      <c r="C80" s="377"/>
      <c r="D80" s="377"/>
      <c r="E80" s="377"/>
      <c r="F80" s="386"/>
      <c r="G80" s="377"/>
      <c r="H80" s="377"/>
      <c r="I80" s="377"/>
      <c r="J80" s="377"/>
      <c r="K80" s="377"/>
      <c r="L80" s="377"/>
      <c r="M80" s="377"/>
      <c r="N80" s="377"/>
      <c r="O80" s="377"/>
      <c r="P80" s="377"/>
      <c r="Q80" s="377"/>
      <c r="R80" s="377"/>
      <c r="S80" s="377"/>
      <c r="T80" s="377"/>
      <c r="U80" s="377"/>
      <c r="V80" s="377"/>
      <c r="W80" s="377"/>
      <c r="X80" s="377"/>
      <c r="Y80" s="377"/>
      <c r="Z80" s="377"/>
      <c r="AA80" s="377"/>
      <c r="AB80" s="377"/>
      <c r="AC80" s="377"/>
      <c r="AD80" s="377"/>
      <c r="AE80" s="377"/>
      <c r="AF80" s="377"/>
      <c r="AG80" s="377"/>
      <c r="AH80" s="408"/>
    </row>
    <row r="81" spans="1:34" s="383" customFormat="1">
      <c r="B81" s="400"/>
      <c r="C81" s="377"/>
      <c r="D81" s="377"/>
      <c r="E81" s="377"/>
      <c r="F81" s="386"/>
      <c r="G81" s="377"/>
      <c r="H81" s="377"/>
      <c r="I81" s="377"/>
      <c r="J81" s="377"/>
      <c r="K81" s="377"/>
      <c r="L81" s="377"/>
      <c r="M81" s="377"/>
      <c r="N81" s="377"/>
      <c r="O81" s="377"/>
      <c r="P81" s="377"/>
      <c r="Q81" s="377"/>
      <c r="R81" s="377"/>
      <c r="S81" s="377"/>
      <c r="T81" s="377"/>
      <c r="U81" s="377"/>
      <c r="V81" s="377"/>
      <c r="W81" s="377"/>
      <c r="X81" s="377"/>
      <c r="Y81" s="377"/>
      <c r="Z81" s="377"/>
      <c r="AA81" s="377"/>
      <c r="AB81" s="377"/>
      <c r="AC81" s="377"/>
      <c r="AD81" s="377"/>
      <c r="AE81" s="377"/>
      <c r="AF81" s="377"/>
      <c r="AG81" s="377"/>
      <c r="AH81" s="408"/>
    </row>
    <row r="82" spans="1:34" s="383" customFormat="1">
      <c r="A82" s="316">
        <f>AH82</f>
        <v>0</v>
      </c>
      <c r="B82" s="381"/>
      <c r="C82" s="379" t="str">
        <f>연결BS!B36</f>
        <v>기타비유동금융자산</v>
      </c>
      <c r="D82" s="379">
        <f>SUM(D83:D87)</f>
        <v>388220275</v>
      </c>
      <c r="E82" s="379">
        <f>SUM(E83:E87)</f>
        <v>715041595</v>
      </c>
      <c r="F82" s="395"/>
      <c r="G82" s="379"/>
      <c r="H82" s="379"/>
      <c r="I82" s="379"/>
      <c r="J82" s="379"/>
      <c r="K82" s="379"/>
      <c r="L82" s="379"/>
      <c r="M82" s="379"/>
      <c r="N82" s="379"/>
      <c r="O82" s="379"/>
      <c r="P82" s="379"/>
      <c r="Q82" s="379"/>
      <c r="R82" s="379"/>
      <c r="S82" s="379"/>
      <c r="T82" s="379"/>
      <c r="U82" s="379"/>
      <c r="V82" s="379"/>
      <c r="W82" s="379"/>
      <c r="X82" s="379"/>
      <c r="Y82" s="379"/>
      <c r="Z82" s="379"/>
      <c r="AA82" s="379"/>
      <c r="AB82" s="379"/>
      <c r="AC82" s="379"/>
      <c r="AD82" s="379"/>
      <c r="AE82" s="379"/>
      <c r="AF82" s="379"/>
      <c r="AG82" s="379"/>
      <c r="AH82" s="380"/>
    </row>
    <row r="83" spans="1:34" s="383" customFormat="1">
      <c r="A83" s="316">
        <f>AH83</f>
        <v>0</v>
      </c>
      <c r="B83" s="320"/>
      <c r="C83" s="377" t="str">
        <f>연결BS!B37</f>
        <v>임차보증금</v>
      </c>
      <c r="D83" s="385">
        <f>연결BS!E37</f>
        <v>378196105</v>
      </c>
      <c r="E83" s="385">
        <f>연결BS!D37</f>
        <v>696916809</v>
      </c>
      <c r="F83" s="385">
        <f t="shared" ref="F83:F86" si="13">E83-D83</f>
        <v>318720704</v>
      </c>
      <c r="G83" s="321" t="s">
        <v>133</v>
      </c>
      <c r="H83" s="321">
        <v>8029205</v>
      </c>
      <c r="I83" s="321"/>
      <c r="J83" s="321"/>
      <c r="K83" s="321"/>
      <c r="L83" s="321"/>
      <c r="M83" s="377"/>
      <c r="N83" s="377"/>
      <c r="O83" s="321"/>
      <c r="P83" s="321" t="s">
        <v>1867</v>
      </c>
      <c r="Q83" s="321">
        <v>6000000</v>
      </c>
      <c r="R83" s="321"/>
      <c r="S83" s="321" t="s">
        <v>1868</v>
      </c>
      <c r="T83" s="321">
        <v>15978000</v>
      </c>
      <c r="U83" s="321"/>
      <c r="V83" s="321"/>
      <c r="W83" s="321"/>
      <c r="X83" s="321"/>
      <c r="Y83" s="321"/>
      <c r="Z83" s="321"/>
      <c r="AA83" s="321"/>
      <c r="AB83" s="377" t="s">
        <v>255</v>
      </c>
      <c r="AC83" s="540">
        <v>0</v>
      </c>
      <c r="AD83" s="377"/>
      <c r="AE83" s="377" t="s">
        <v>2593</v>
      </c>
      <c r="AF83" s="377">
        <v>0</v>
      </c>
      <c r="AG83" s="321"/>
      <c r="AH83" s="323">
        <f>SUM(D83:D83)-SUM(E83:E83)+SUM(H83:H83)-SUM(K83:K83)-N83+Q83-T83+W83-Z83+SUM(AC83:AC85)-SUM(AF83:AF83)</f>
        <v>0</v>
      </c>
    </row>
    <row r="84" spans="1:34" s="383" customFormat="1">
      <c r="A84" s="316"/>
      <c r="B84" s="1823"/>
      <c r="C84" s="377"/>
      <c r="D84" s="385"/>
      <c r="E84" s="385"/>
      <c r="F84" s="385"/>
      <c r="G84" s="321"/>
      <c r="H84" s="321"/>
      <c r="I84" s="321"/>
      <c r="J84" s="321"/>
      <c r="K84" s="321"/>
      <c r="L84" s="321"/>
      <c r="M84" s="377"/>
      <c r="N84" s="377"/>
      <c r="O84" s="321"/>
      <c r="P84" s="321"/>
      <c r="Q84" s="321"/>
      <c r="R84" s="321"/>
      <c r="S84" s="321"/>
      <c r="T84" s="321"/>
      <c r="U84" s="321"/>
      <c r="V84" s="321"/>
      <c r="W84" s="321"/>
      <c r="X84" s="321"/>
      <c r="Y84" s="321"/>
      <c r="Z84" s="321"/>
      <c r="AA84" s="321"/>
      <c r="AB84" s="377" t="s">
        <v>3852</v>
      </c>
      <c r="AC84" s="377">
        <f>400000000-79029697</f>
        <v>320970303</v>
      </c>
      <c r="AD84" s="377"/>
      <c r="AE84" s="377"/>
      <c r="AF84" s="377"/>
      <c r="AG84" s="321"/>
      <c r="AH84" s="323"/>
    </row>
    <row r="85" spans="1:34" s="383" customFormat="1">
      <c r="A85" s="316"/>
      <c r="B85" s="320"/>
      <c r="C85" s="377"/>
      <c r="D85" s="385"/>
      <c r="E85" s="385"/>
      <c r="F85" s="385"/>
      <c r="G85" s="321"/>
      <c r="H85" s="321"/>
      <c r="I85" s="321"/>
      <c r="J85" s="321"/>
      <c r="K85" s="321"/>
      <c r="L85" s="321"/>
      <c r="M85" s="377"/>
      <c r="N85" s="377"/>
      <c r="O85" s="321"/>
      <c r="P85" s="321"/>
      <c r="Q85" s="321"/>
      <c r="R85" s="321"/>
      <c r="S85" s="321"/>
      <c r="T85" s="321"/>
      <c r="U85" s="321"/>
      <c r="V85" s="321"/>
      <c r="W85" s="321"/>
      <c r="X85" s="321"/>
      <c r="Y85" s="321"/>
      <c r="Z85" s="321"/>
      <c r="AA85" s="321"/>
      <c r="AB85" s="377" t="s">
        <v>3859</v>
      </c>
      <c r="AC85" s="377">
        <v>-300804</v>
      </c>
      <c r="AD85" s="377"/>
      <c r="AE85" s="377"/>
      <c r="AF85" s="377"/>
      <c r="AG85" s="321"/>
      <c r="AH85" s="323"/>
    </row>
    <row r="86" spans="1:34" s="383" customFormat="1">
      <c r="A86" s="316">
        <f t="shared" ref="A86" si="14">AH86</f>
        <v>0</v>
      </c>
      <c r="B86" s="320"/>
      <c r="C86" s="377" t="str">
        <f>연결BS!B38</f>
        <v>기타보증금</v>
      </c>
      <c r="D86" s="385">
        <f>연결BS!E38</f>
        <v>10024170</v>
      </c>
      <c r="E86" s="385">
        <f>연결BS!D38</f>
        <v>18124786</v>
      </c>
      <c r="F86" s="385">
        <f t="shared" si="13"/>
        <v>8100616</v>
      </c>
      <c r="G86" s="321"/>
      <c r="H86" s="321"/>
      <c r="I86" s="321"/>
      <c r="J86" s="321"/>
      <c r="K86" s="321"/>
      <c r="L86" s="321"/>
      <c r="M86" s="377"/>
      <c r="N86" s="377"/>
      <c r="O86" s="321"/>
      <c r="P86" s="321" t="s">
        <v>1866</v>
      </c>
      <c r="Q86" s="321">
        <v>640000</v>
      </c>
      <c r="R86" s="321"/>
      <c r="S86" s="321" t="s">
        <v>1865</v>
      </c>
      <c r="T86" s="321">
        <v>528300</v>
      </c>
      <c r="U86" s="321"/>
      <c r="V86" s="321"/>
      <c r="W86" s="321"/>
      <c r="X86" s="321"/>
      <c r="Y86" s="321"/>
      <c r="Z86" s="321"/>
      <c r="AA86" s="321"/>
      <c r="AB86" s="321" t="s">
        <v>2754</v>
      </c>
      <c r="AC86" s="377"/>
      <c r="AD86" s="321"/>
      <c r="AE86" s="321"/>
      <c r="AF86" s="321"/>
      <c r="AG86" s="321"/>
      <c r="AH86" s="323">
        <f>SUM(D86:D86)-SUM(E86:E86)+SUM(H86:H86)-SUM(K86:K86)-N86+Q86-T86+W86-Z86+SUM(AC86:AC87)-SUM(AF86:AF86)</f>
        <v>0</v>
      </c>
    </row>
    <row r="87" spans="1:34" s="383" customFormat="1">
      <c r="A87" s="316"/>
      <c r="B87" s="320"/>
      <c r="C87" s="377"/>
      <c r="D87" s="385"/>
      <c r="E87" s="385"/>
      <c r="F87" s="385"/>
      <c r="G87" s="321"/>
      <c r="H87" s="321"/>
      <c r="I87" s="321"/>
      <c r="J87" s="321"/>
      <c r="K87" s="321"/>
      <c r="L87" s="321"/>
      <c r="M87" s="321"/>
      <c r="N87" s="321"/>
      <c r="O87" s="321"/>
      <c r="P87" s="321"/>
      <c r="Q87" s="321"/>
      <c r="R87" s="321"/>
      <c r="S87" s="321"/>
      <c r="T87" s="321"/>
      <c r="U87" s="321"/>
      <c r="V87" s="321"/>
      <c r="W87" s="321"/>
      <c r="X87" s="321"/>
      <c r="Y87" s="321"/>
      <c r="Z87" s="321"/>
      <c r="AA87" s="321"/>
      <c r="AB87" s="321" t="s">
        <v>3852</v>
      </c>
      <c r="AC87" s="321">
        <v>7988916</v>
      </c>
      <c r="AD87" s="321"/>
      <c r="AE87" s="321"/>
      <c r="AF87" s="321"/>
      <c r="AG87" s="321"/>
      <c r="AH87" s="323"/>
    </row>
    <row r="88" spans="1:34" s="383" customFormat="1">
      <c r="A88" s="316">
        <f>AH88</f>
        <v>0</v>
      </c>
      <c r="B88" s="381"/>
      <c r="C88" s="379" t="str">
        <f>연결BS!B72</f>
        <v>장기선급비용</v>
      </c>
      <c r="D88" s="379">
        <f>연결BS!E72</f>
        <v>0</v>
      </c>
      <c r="E88" s="379">
        <f>연결BS!D72</f>
        <v>466873197</v>
      </c>
      <c r="F88" s="395"/>
      <c r="G88" s="379"/>
      <c r="H88" s="379"/>
      <c r="I88" s="379"/>
      <c r="J88" s="379"/>
      <c r="K88" s="379"/>
      <c r="L88" s="379"/>
      <c r="M88" s="379"/>
      <c r="N88" s="379"/>
      <c r="O88" s="379"/>
      <c r="P88" s="379"/>
      <c r="Q88" s="379"/>
      <c r="R88" s="379"/>
      <c r="S88" s="379"/>
      <c r="T88" s="379"/>
      <c r="U88" s="379"/>
      <c r="V88" s="379"/>
      <c r="W88" s="379"/>
      <c r="X88" s="379"/>
      <c r="Y88" s="379"/>
      <c r="Z88" s="379"/>
      <c r="AA88" s="379"/>
      <c r="AB88" s="379" t="s">
        <v>3852</v>
      </c>
      <c r="AC88" s="379">
        <v>466873197</v>
      </c>
      <c r="AD88" s="379"/>
      <c r="AE88" s="379"/>
      <c r="AF88" s="379"/>
      <c r="AG88" s="379"/>
      <c r="AH88" s="380">
        <f>SUM(D88:D88)-SUM(E88:E88)+SUM(H88:H88)-SUM(K88:K88)-N88+Q88-T88+W88-Z88+SUM(AC88:AC88)-SUM(AF88:AF88)</f>
        <v>0</v>
      </c>
    </row>
    <row r="89" spans="1:34" s="383" customFormat="1">
      <c r="A89" s="316"/>
      <c r="B89" s="320"/>
      <c r="C89" s="321"/>
      <c r="D89" s="321"/>
      <c r="E89" s="321"/>
      <c r="F89" s="385"/>
      <c r="G89" s="321"/>
      <c r="H89" s="321"/>
      <c r="I89" s="321"/>
      <c r="J89" s="321"/>
      <c r="K89" s="321"/>
      <c r="L89" s="321"/>
      <c r="M89" s="321"/>
      <c r="N89" s="321"/>
      <c r="O89" s="321"/>
      <c r="P89" s="321"/>
      <c r="Q89" s="321"/>
      <c r="R89" s="321"/>
      <c r="S89" s="321"/>
      <c r="T89" s="321"/>
      <c r="U89" s="321"/>
      <c r="V89" s="321"/>
      <c r="W89" s="321"/>
      <c r="X89" s="321"/>
      <c r="Y89" s="321"/>
      <c r="Z89" s="321"/>
      <c r="AA89" s="321"/>
      <c r="AB89" s="321"/>
      <c r="AC89" s="321"/>
      <c r="AD89" s="321"/>
      <c r="AE89" s="321"/>
      <c r="AF89" s="321"/>
      <c r="AG89" s="321"/>
      <c r="AH89" s="323"/>
    </row>
    <row r="90" spans="1:34" s="383" customFormat="1">
      <c r="A90" s="316">
        <f t="shared" ref="A90:A108" si="15">AH90</f>
        <v>0</v>
      </c>
      <c r="B90" s="381"/>
      <c r="C90" s="379" t="str">
        <f>연결BS!B73</f>
        <v>이연법인세자산</v>
      </c>
      <c r="D90" s="379">
        <f>연결BS!E73</f>
        <v>2555104971</v>
      </c>
      <c r="E90" s="379">
        <f>연결BS!D73</f>
        <v>2555104971</v>
      </c>
      <c r="F90" s="395"/>
      <c r="G90" s="379"/>
      <c r="H90" s="379"/>
      <c r="I90" s="379"/>
      <c r="J90" s="329" t="s">
        <v>238</v>
      </c>
      <c r="K90" s="329"/>
      <c r="L90" s="321"/>
      <c r="M90" s="329" t="s">
        <v>566</v>
      </c>
      <c r="N90" s="329">
        <f>D90-E90+H90-K90+Q90-T90+W90-Z90+AC90-AF90+AC91</f>
        <v>0</v>
      </c>
      <c r="O90" s="379"/>
      <c r="P90" s="379"/>
      <c r="Q90" s="379"/>
      <c r="R90" s="379"/>
      <c r="S90" s="379"/>
      <c r="T90" s="379"/>
      <c r="U90" s="379"/>
      <c r="V90" s="379"/>
      <c r="W90" s="379"/>
      <c r="X90" s="379"/>
      <c r="Y90" s="379"/>
      <c r="Z90" s="379"/>
      <c r="AA90" s="379"/>
      <c r="AB90" s="379" t="s">
        <v>255</v>
      </c>
      <c r="AC90" s="540">
        <f>환율변동효과!D65</f>
        <v>0</v>
      </c>
      <c r="AD90" s="379"/>
      <c r="AE90" s="379"/>
      <c r="AF90" s="379"/>
      <c r="AG90" s="379"/>
      <c r="AH90" s="380">
        <f>D90-E90+H90-K90-N90+Q90-T90+W90-Z90+AC90-AF90+AC91</f>
        <v>0</v>
      </c>
    </row>
    <row r="91" spans="1:34" s="383" customFormat="1">
      <c r="A91" s="316">
        <f t="shared" si="15"/>
        <v>0</v>
      </c>
      <c r="B91" s="320"/>
      <c r="C91" s="321"/>
      <c r="D91" s="321"/>
      <c r="E91" s="321"/>
      <c r="F91" s="385"/>
      <c r="G91" s="321"/>
      <c r="H91" s="321"/>
      <c r="I91" s="321"/>
      <c r="J91" s="321"/>
      <c r="K91" s="321"/>
      <c r="L91" s="321"/>
      <c r="M91" s="321"/>
      <c r="N91" s="321"/>
      <c r="O91" s="321"/>
      <c r="P91" s="321"/>
      <c r="Q91" s="321"/>
      <c r="R91" s="321"/>
      <c r="S91" s="321"/>
      <c r="T91" s="321"/>
      <c r="U91" s="321"/>
      <c r="V91" s="321"/>
      <c r="W91" s="321"/>
      <c r="X91" s="321"/>
      <c r="Y91" s="321"/>
      <c r="Z91" s="321"/>
      <c r="AA91" s="321"/>
      <c r="AB91" s="321"/>
      <c r="AC91" s="321"/>
      <c r="AD91" s="321"/>
      <c r="AE91" s="321"/>
      <c r="AF91" s="321"/>
      <c r="AG91" s="321"/>
      <c r="AH91" s="323"/>
    </row>
    <row r="92" spans="1:34" s="383" customFormat="1">
      <c r="A92" s="316">
        <f t="shared" si="15"/>
        <v>0</v>
      </c>
      <c r="B92" s="320"/>
      <c r="C92" s="321"/>
      <c r="D92" s="321"/>
      <c r="E92" s="321"/>
      <c r="F92" s="385"/>
      <c r="G92" s="321"/>
      <c r="H92" s="321"/>
      <c r="I92" s="321"/>
      <c r="J92" s="321"/>
      <c r="K92" s="321"/>
      <c r="L92" s="321"/>
      <c r="M92" s="321"/>
      <c r="N92" s="321"/>
      <c r="O92" s="321"/>
      <c r="P92" s="321"/>
      <c r="Q92" s="321"/>
      <c r="R92" s="321"/>
      <c r="S92" s="321"/>
      <c r="T92" s="321"/>
      <c r="U92" s="321"/>
      <c r="V92" s="321"/>
      <c r="W92" s="321"/>
      <c r="X92" s="321"/>
      <c r="Y92" s="321"/>
      <c r="Z92" s="321"/>
      <c r="AA92" s="321"/>
      <c r="AB92" s="321"/>
      <c r="AC92" s="321"/>
      <c r="AD92" s="321"/>
      <c r="AE92" s="321"/>
      <c r="AF92" s="321"/>
      <c r="AG92" s="321"/>
      <c r="AH92" s="323"/>
    </row>
    <row r="93" spans="1:34" s="382" customFormat="1" ht="14.25" thickBot="1">
      <c r="A93" s="316">
        <f t="shared" si="15"/>
        <v>0</v>
      </c>
      <c r="B93" s="1895" t="s">
        <v>267</v>
      </c>
      <c r="C93" s="1896"/>
      <c r="D93" s="332">
        <f>D59+D8</f>
        <v>55295397316</v>
      </c>
      <c r="E93" s="332">
        <f>E59+E8</f>
        <v>67557489847</v>
      </c>
      <c r="F93" s="396"/>
      <c r="G93" s="332"/>
      <c r="H93" s="332"/>
      <c r="I93" s="332"/>
      <c r="J93" s="332"/>
      <c r="K93" s="332"/>
      <c r="L93" s="332"/>
      <c r="M93" s="332"/>
      <c r="N93" s="332"/>
      <c r="O93" s="332"/>
      <c r="P93" s="332"/>
      <c r="Q93" s="332"/>
      <c r="R93" s="332"/>
      <c r="S93" s="332"/>
      <c r="T93" s="332"/>
      <c r="U93" s="332"/>
      <c r="V93" s="332"/>
      <c r="W93" s="332"/>
      <c r="X93" s="332"/>
      <c r="Y93" s="332"/>
      <c r="Z93" s="332"/>
      <c r="AA93" s="332"/>
      <c r="AB93" s="332"/>
      <c r="AC93" s="332"/>
      <c r="AD93" s="332"/>
      <c r="AE93" s="332"/>
      <c r="AF93" s="332"/>
      <c r="AG93" s="332"/>
      <c r="AH93" s="333"/>
    </row>
    <row r="94" spans="1:34" s="383" customFormat="1" ht="14.25" thickTop="1">
      <c r="A94" s="316">
        <f t="shared" si="15"/>
        <v>0</v>
      </c>
      <c r="B94" s="320"/>
      <c r="C94" s="321"/>
      <c r="D94" s="322" t="b">
        <f>D93=연결BS!E74</f>
        <v>1</v>
      </c>
      <c r="E94" s="322" t="b">
        <f>E93=연결BS!D74</f>
        <v>1</v>
      </c>
      <c r="F94" s="393"/>
      <c r="G94" s="321"/>
      <c r="H94" s="321"/>
      <c r="I94" s="321"/>
      <c r="J94" s="321"/>
      <c r="K94" s="321"/>
      <c r="L94" s="321"/>
      <c r="M94" s="321"/>
      <c r="N94" s="321"/>
      <c r="O94" s="321"/>
      <c r="P94" s="321"/>
      <c r="Q94" s="321"/>
      <c r="R94" s="321"/>
      <c r="S94" s="321"/>
      <c r="T94" s="321"/>
      <c r="U94" s="321"/>
      <c r="V94" s="321"/>
      <c r="W94" s="321"/>
      <c r="X94" s="321"/>
      <c r="Y94" s="321"/>
      <c r="Z94" s="321"/>
      <c r="AA94" s="321"/>
      <c r="AB94" s="321"/>
      <c r="AC94" s="321"/>
      <c r="AD94" s="321"/>
      <c r="AE94" s="321"/>
      <c r="AF94" s="321"/>
      <c r="AG94" s="321"/>
      <c r="AH94" s="323"/>
    </row>
    <row r="95" spans="1:34" s="382" customFormat="1">
      <c r="A95" s="316">
        <f t="shared" si="15"/>
        <v>0</v>
      </c>
      <c r="B95" s="325" t="s">
        <v>501</v>
      </c>
      <c r="C95" s="326" t="s">
        <v>47</v>
      </c>
      <c r="D95" s="326">
        <f>D97+D107+D110+D120+D125</f>
        <v>6018209801</v>
      </c>
      <c r="E95" s="326">
        <f>E97+E107+E110+E120+E125</f>
        <v>16544730603</v>
      </c>
      <c r="F95" s="394"/>
      <c r="G95" s="326"/>
      <c r="H95" s="326"/>
      <c r="I95" s="326"/>
      <c r="J95" s="326"/>
      <c r="K95" s="326"/>
      <c r="L95" s="326"/>
      <c r="M95" s="326"/>
      <c r="N95" s="326"/>
      <c r="O95" s="326"/>
      <c r="P95" s="326"/>
      <c r="Q95" s="326"/>
      <c r="R95" s="326"/>
      <c r="S95" s="326"/>
      <c r="T95" s="326"/>
      <c r="U95" s="326"/>
      <c r="V95" s="326"/>
      <c r="W95" s="326"/>
      <c r="X95" s="326"/>
      <c r="Y95" s="326"/>
      <c r="Z95" s="326"/>
      <c r="AA95" s="326"/>
      <c r="AB95" s="326"/>
      <c r="AC95" s="326"/>
      <c r="AD95" s="326"/>
      <c r="AE95" s="326"/>
      <c r="AF95" s="326"/>
      <c r="AG95" s="326"/>
      <c r="AH95" s="327"/>
    </row>
    <row r="96" spans="1:34" s="383" customFormat="1">
      <c r="A96" s="316">
        <f t="shared" si="15"/>
        <v>0</v>
      </c>
      <c r="B96" s="320"/>
      <c r="C96" s="321"/>
      <c r="D96" s="322" t="b">
        <f>D95=연결BS!E76</f>
        <v>1</v>
      </c>
      <c r="E96" s="322" t="b">
        <f>E95=연결BS!D76</f>
        <v>1</v>
      </c>
      <c r="F96" s="393"/>
      <c r="G96" s="321"/>
      <c r="H96" s="321"/>
      <c r="I96" s="321"/>
      <c r="J96" s="321"/>
      <c r="K96" s="321"/>
      <c r="L96" s="321"/>
      <c r="M96" s="321"/>
      <c r="N96" s="321"/>
      <c r="O96" s="321"/>
      <c r="P96" s="321"/>
      <c r="Q96" s="321"/>
      <c r="R96" s="321"/>
      <c r="S96" s="321"/>
      <c r="T96" s="321"/>
      <c r="U96" s="321"/>
      <c r="V96" s="321"/>
      <c r="W96" s="321"/>
      <c r="X96" s="321"/>
      <c r="Y96" s="321"/>
      <c r="Z96" s="321"/>
      <c r="AA96" s="321"/>
      <c r="AB96" s="321"/>
      <c r="AC96" s="321"/>
      <c r="AD96" s="321"/>
      <c r="AE96" s="321"/>
      <c r="AF96" s="321"/>
      <c r="AG96" s="321"/>
      <c r="AH96" s="323"/>
    </row>
    <row r="97" spans="1:36" s="383" customFormat="1">
      <c r="A97" s="316">
        <f t="shared" si="15"/>
        <v>0</v>
      </c>
      <c r="B97" s="381"/>
      <c r="C97" s="379" t="str">
        <f>연결BS!B77</f>
        <v>매입채무및기타채무</v>
      </c>
      <c r="D97" s="379">
        <f>SUM(D98:D106)</f>
        <v>1700812758</v>
      </c>
      <c r="E97" s="379">
        <f>SUM(E98:E106)</f>
        <v>7487585981</v>
      </c>
      <c r="F97" s="395"/>
      <c r="G97" s="379"/>
      <c r="H97" s="379"/>
      <c r="I97" s="379"/>
      <c r="J97" s="379"/>
      <c r="K97" s="379"/>
      <c r="L97" s="379"/>
      <c r="M97" s="379"/>
      <c r="N97" s="379"/>
      <c r="O97" s="379"/>
      <c r="P97" s="379"/>
      <c r="Q97" s="379"/>
      <c r="R97" s="379"/>
      <c r="S97" s="379"/>
      <c r="T97" s="379"/>
      <c r="U97" s="379"/>
      <c r="V97" s="379"/>
      <c r="W97" s="379"/>
      <c r="X97" s="379"/>
      <c r="Y97" s="379"/>
      <c r="Z97" s="379"/>
      <c r="AA97" s="379"/>
      <c r="AB97" s="379"/>
      <c r="AC97" s="379"/>
      <c r="AD97" s="379"/>
      <c r="AE97" s="379"/>
      <c r="AF97" s="379"/>
      <c r="AG97" s="379"/>
      <c r="AH97" s="380"/>
    </row>
    <row r="98" spans="1:36" s="383" customFormat="1">
      <c r="A98" s="316">
        <f t="shared" si="15"/>
        <v>0</v>
      </c>
      <c r="B98" s="320"/>
      <c r="C98" s="377" t="str">
        <f>연결BS!B78</f>
        <v>매입채무</v>
      </c>
      <c r="D98" s="321">
        <f>연결BS!E78</f>
        <v>564384003</v>
      </c>
      <c r="E98" s="321">
        <f>연결BS!D78</f>
        <v>299168927</v>
      </c>
      <c r="F98" s="385">
        <f t="shared" ref="F98:F104" si="16">E98-D98</f>
        <v>-265215076</v>
      </c>
      <c r="G98" s="321" t="s">
        <v>544</v>
      </c>
      <c r="H98" s="1480">
        <v>0</v>
      </c>
      <c r="I98" s="321"/>
      <c r="J98" s="321" t="s">
        <v>545</v>
      </c>
      <c r="K98" s="322">
        <v>2</v>
      </c>
      <c r="L98" s="321"/>
      <c r="M98" s="321" t="str">
        <f>C98&amp;"의 증가(감소)"</f>
        <v>매입채무의 증가(감소)</v>
      </c>
      <c r="N98" s="505">
        <f>-(D98-E98)+H98-K98+Q98-T98+W98-Z98+AC98-AF98</f>
        <v>116569589</v>
      </c>
      <c r="O98" s="321"/>
      <c r="P98" s="321"/>
      <c r="Q98" s="321"/>
      <c r="R98" s="321"/>
      <c r="S98" s="321"/>
      <c r="T98" s="321"/>
      <c r="U98" s="321"/>
      <c r="V98" s="321"/>
      <c r="W98" s="321"/>
      <c r="X98" s="321"/>
      <c r="Y98" s="321"/>
      <c r="Z98" s="321"/>
      <c r="AA98" s="321"/>
      <c r="AB98" s="321"/>
      <c r="AC98" s="321"/>
      <c r="AD98" s="321"/>
      <c r="AE98" s="321" t="s">
        <v>255</v>
      </c>
      <c r="AF98" s="322">
        <f>환율변동효과!D68-251926863</f>
        <v>-381784667</v>
      </c>
      <c r="AG98" s="321"/>
      <c r="AH98" s="323">
        <f>-(D98-E98)+H98-K98-N98+Q98-T98+W98-Z98+AC98-AF98</f>
        <v>0</v>
      </c>
      <c r="AJ98" s="383" t="s">
        <v>2945</v>
      </c>
    </row>
    <row r="99" spans="1:36" s="383" customFormat="1">
      <c r="A99" s="316">
        <f t="shared" si="15"/>
        <v>0</v>
      </c>
      <c r="B99" s="320"/>
      <c r="C99" s="377" t="str">
        <f>연결BS!B79</f>
        <v>미지급금</v>
      </c>
      <c r="D99" s="321">
        <f>연결BS!E79</f>
        <v>293535909</v>
      </c>
      <c r="E99" s="321">
        <f>연결BS!D79</f>
        <v>4343550080</v>
      </c>
      <c r="F99" s="385">
        <f t="shared" si="16"/>
        <v>4050014171</v>
      </c>
      <c r="G99" s="321" t="s">
        <v>121</v>
      </c>
      <c r="H99" s="321">
        <v>0</v>
      </c>
      <c r="I99" s="321"/>
      <c r="J99" s="321" t="s">
        <v>127</v>
      </c>
      <c r="K99" s="321"/>
      <c r="L99" s="321"/>
      <c r="M99" s="321" t="str">
        <f t="shared" ref="M99:M104" si="17">C99&amp;"의 증가(감소)"</f>
        <v>미지급금의 증가(감소)</v>
      </c>
      <c r="N99" s="505">
        <f>-(D99-E99)+H99-SUM(K99:L99)+Q99-T99+W99-Z99+SUM(AC99:AC100)-AF99</f>
        <v>-22895999</v>
      </c>
      <c r="O99" s="321"/>
      <c r="P99" s="321"/>
      <c r="Q99" s="321"/>
      <c r="R99" s="321"/>
      <c r="S99" s="321"/>
      <c r="T99" s="321"/>
      <c r="U99" s="321"/>
      <c r="V99" s="321"/>
      <c r="W99" s="321"/>
      <c r="X99" s="321"/>
      <c r="Y99" s="321"/>
      <c r="Z99" s="321"/>
      <c r="AA99" s="321"/>
      <c r="AB99" s="321" t="str">
        <f>AE71</f>
        <v>기계장치 반품</v>
      </c>
      <c r="AC99" s="321">
        <v>63000000</v>
      </c>
      <c r="AD99" s="321"/>
      <c r="AE99" s="321" t="s">
        <v>255</v>
      </c>
      <c r="AF99" s="540">
        <f>환율변동효과!D69</f>
        <v>0</v>
      </c>
      <c r="AG99" s="321"/>
      <c r="AH99" s="323">
        <f>-(D99-E99)+H99-SUM(K99:K100)-N99+Q99-T99+W99-Z99+SUM(AC99:AC100)-SUM(AF99:AG99)</f>
        <v>0</v>
      </c>
    </row>
    <row r="100" spans="1:36" s="383" customFormat="1">
      <c r="A100" s="316"/>
      <c r="B100" s="320"/>
      <c r="C100" s="377"/>
      <c r="D100" s="321"/>
      <c r="E100" s="321"/>
      <c r="F100" s="385"/>
      <c r="G100" s="321"/>
      <c r="H100" s="321"/>
      <c r="I100" s="321"/>
      <c r="J100" s="321"/>
      <c r="K100" s="321"/>
      <c r="L100" s="321"/>
      <c r="M100" s="321"/>
      <c r="N100" s="321"/>
      <c r="O100" s="321"/>
      <c r="P100" s="321"/>
      <c r="Q100" s="321"/>
      <c r="R100" s="321"/>
      <c r="S100" s="321"/>
      <c r="T100" s="321"/>
      <c r="U100" s="321"/>
      <c r="V100" s="321"/>
      <c r="W100" s="321"/>
      <c r="X100" s="321"/>
      <c r="Y100" s="321"/>
      <c r="Z100" s="321"/>
      <c r="AA100" s="321"/>
      <c r="AB100" s="321" t="s">
        <v>3852</v>
      </c>
      <c r="AC100" s="321">
        <f>-BS!N92</f>
        <v>-4135910170</v>
      </c>
      <c r="AD100" s="321"/>
      <c r="AE100" s="321"/>
      <c r="AF100" s="321"/>
      <c r="AG100" s="321"/>
      <c r="AH100" s="323"/>
    </row>
    <row r="101" spans="1:36" s="383" customFormat="1">
      <c r="A101" s="316">
        <f t="shared" si="15"/>
        <v>0</v>
      </c>
      <c r="B101" s="320"/>
      <c r="C101" s="377" t="str">
        <f>연결BS!B81</f>
        <v>미지급비용</v>
      </c>
      <c r="D101" s="321">
        <f>연결BS!E81-D102</f>
        <v>840331711</v>
      </c>
      <c r="E101" s="321">
        <f>연결BS!D81-E102</f>
        <v>2752017725</v>
      </c>
      <c r="F101" s="385">
        <f t="shared" si="16"/>
        <v>1911686014</v>
      </c>
      <c r="G101" s="321"/>
      <c r="H101" s="321"/>
      <c r="I101" s="321"/>
      <c r="J101" s="321"/>
      <c r="K101" s="321"/>
      <c r="L101" s="321"/>
      <c r="M101" s="321" t="str">
        <f t="shared" si="17"/>
        <v>미지급비용의 증가(감소)</v>
      </c>
      <c r="N101" s="505">
        <f>-(D101-E101)+H101-K101+Q101-T101+W101-Z101+AC101-AF101</f>
        <v>1772577408</v>
      </c>
      <c r="O101" s="321"/>
      <c r="P101" s="321"/>
      <c r="Q101" s="321"/>
      <c r="R101" s="321"/>
      <c r="S101" s="321"/>
      <c r="T101" s="321"/>
      <c r="U101" s="321"/>
      <c r="V101" s="321"/>
      <c r="W101" s="321"/>
      <c r="X101" s="321"/>
      <c r="Y101" s="321"/>
      <c r="Z101" s="321"/>
      <c r="AA101" s="321"/>
      <c r="AB101" s="321" t="s">
        <v>3852</v>
      </c>
      <c r="AC101" s="321">
        <f>-BS!N98</f>
        <v>-143171601</v>
      </c>
      <c r="AD101" s="321"/>
      <c r="AE101" s="321" t="s">
        <v>255</v>
      </c>
      <c r="AF101" s="540">
        <f>환율변동효과!D75</f>
        <v>-4062995</v>
      </c>
      <c r="AG101" s="321"/>
      <c r="AH101" s="323">
        <f>-(D101-E101)+H101-SUM(K101)-N101+Q101-T101+W101-Z101+AC101-AF101</f>
        <v>0</v>
      </c>
    </row>
    <row r="102" spans="1:36" s="383" customFormat="1">
      <c r="A102" s="316">
        <f t="shared" si="15"/>
        <v>0</v>
      </c>
      <c r="B102" s="320"/>
      <c r="C102" s="377" t="s">
        <v>605</v>
      </c>
      <c r="D102" s="334">
        <v>2561135</v>
      </c>
      <c r="E102" s="334">
        <v>7648569</v>
      </c>
      <c r="F102" s="385">
        <f t="shared" si="16"/>
        <v>5087434</v>
      </c>
      <c r="G102" s="321"/>
      <c r="H102" s="321"/>
      <c r="I102" s="321"/>
      <c r="J102" s="329" t="s">
        <v>550</v>
      </c>
      <c r="K102" s="329">
        <f>연결PL!D91-K136</f>
        <v>71893278</v>
      </c>
      <c r="L102" s="321"/>
      <c r="M102" s="329" t="s">
        <v>551</v>
      </c>
      <c r="N102" s="329">
        <f t="shared" ref="N102:N104" si="18">-(D102-E102)+H102-K102+Q102-T102+W102-Z102+AC102-AF102</f>
        <v>-91837405</v>
      </c>
      <c r="O102" s="321"/>
      <c r="P102" s="321"/>
      <c r="Q102" s="321"/>
      <c r="R102" s="321"/>
      <c r="S102" s="321"/>
      <c r="T102" s="321"/>
      <c r="U102" s="321"/>
      <c r="V102" s="321"/>
      <c r="W102" s="321"/>
      <c r="X102" s="321"/>
      <c r="Y102" s="321"/>
      <c r="Z102" s="321"/>
      <c r="AA102" s="321"/>
      <c r="AB102" s="321"/>
      <c r="AC102" s="321"/>
      <c r="AD102" s="321"/>
      <c r="AE102" s="321" t="s">
        <v>2766</v>
      </c>
      <c r="AF102" s="321">
        <f>AC71</f>
        <v>25031561</v>
      </c>
      <c r="AG102" s="321"/>
      <c r="AH102" s="323">
        <f>-(D102-E102)+H102-K102-N102+Q102-T102+W102-Z102+AC102-AF102</f>
        <v>0</v>
      </c>
    </row>
    <row r="103" spans="1:36" s="383" customFormat="1">
      <c r="A103" s="316"/>
      <c r="B103" s="320"/>
      <c r="C103" s="377"/>
      <c r="D103" s="321"/>
      <c r="E103" s="321"/>
      <c r="F103" s="385"/>
      <c r="G103" s="321"/>
      <c r="H103" s="321"/>
      <c r="I103" s="321"/>
      <c r="J103" s="321"/>
      <c r="K103" s="321"/>
      <c r="L103" s="321"/>
      <c r="M103" s="321"/>
      <c r="N103" s="505"/>
      <c r="O103" s="321"/>
      <c r="P103" s="321"/>
      <c r="Q103" s="321"/>
      <c r="R103" s="321"/>
      <c r="S103" s="321"/>
      <c r="T103" s="321"/>
      <c r="U103" s="321"/>
      <c r="V103" s="321"/>
      <c r="W103" s="321"/>
      <c r="X103" s="321"/>
      <c r="Y103" s="321"/>
      <c r="Z103" s="321"/>
      <c r="AA103" s="321"/>
      <c r="AB103" s="321"/>
      <c r="AC103" s="321"/>
      <c r="AD103" s="321"/>
      <c r="AE103" s="321"/>
      <c r="AF103" s="377"/>
      <c r="AG103" s="321"/>
      <c r="AH103" s="323"/>
    </row>
    <row r="104" spans="1:36" s="383" customFormat="1">
      <c r="A104" s="316">
        <f t="shared" si="15"/>
        <v>0</v>
      </c>
      <c r="B104" s="320"/>
      <c r="C104" s="377" t="str">
        <f>연결BS!B80</f>
        <v>예수금</v>
      </c>
      <c r="D104" s="321">
        <f>연결BS!E80</f>
        <v>0</v>
      </c>
      <c r="E104" s="321">
        <f>연결BS!D80</f>
        <v>85200680</v>
      </c>
      <c r="F104" s="385">
        <f t="shared" si="16"/>
        <v>85200680</v>
      </c>
      <c r="G104" s="321"/>
      <c r="H104" s="321"/>
      <c r="I104" s="321"/>
      <c r="J104" s="321"/>
      <c r="K104" s="321"/>
      <c r="L104" s="321"/>
      <c r="M104" s="321" t="str">
        <f t="shared" si="17"/>
        <v>예수금의 증가(감소)</v>
      </c>
      <c r="N104" s="321">
        <f t="shared" si="18"/>
        <v>85200680</v>
      </c>
      <c r="O104" s="321"/>
      <c r="P104" s="321"/>
      <c r="Q104" s="321"/>
      <c r="R104" s="321"/>
      <c r="S104" s="321"/>
      <c r="T104" s="321"/>
      <c r="U104" s="321"/>
      <c r="V104" s="321"/>
      <c r="W104" s="321"/>
      <c r="X104" s="321"/>
      <c r="Y104" s="321"/>
      <c r="Z104" s="321"/>
      <c r="AA104" s="321"/>
      <c r="AB104" s="321"/>
      <c r="AC104" s="321"/>
      <c r="AD104" s="321"/>
      <c r="AE104" s="321" t="s">
        <v>255</v>
      </c>
      <c r="AF104" s="540">
        <f>환율변동효과!D70</f>
        <v>0</v>
      </c>
      <c r="AG104" s="321"/>
      <c r="AH104" s="323">
        <f>-(D104-E104)+H104-K104-N104+Q104-T104+W104-Z104+AC104-AF104</f>
        <v>0</v>
      </c>
    </row>
    <row r="105" spans="1:36" s="383" customFormat="1">
      <c r="A105" s="316"/>
      <c r="B105" s="320"/>
      <c r="C105" s="377"/>
      <c r="D105" s="321"/>
      <c r="E105" s="321"/>
      <c r="F105" s="385"/>
      <c r="G105" s="321"/>
      <c r="H105" s="321"/>
      <c r="I105" s="321"/>
      <c r="J105" s="321"/>
      <c r="K105" s="321"/>
      <c r="L105" s="321"/>
      <c r="M105" s="321"/>
      <c r="N105" s="321"/>
      <c r="O105" s="321"/>
      <c r="P105" s="321"/>
      <c r="Q105" s="321"/>
      <c r="R105" s="321"/>
      <c r="S105" s="321"/>
      <c r="T105" s="321"/>
      <c r="U105" s="321"/>
      <c r="V105" s="321"/>
      <c r="W105" s="321"/>
      <c r="X105" s="321"/>
      <c r="Y105" s="321"/>
      <c r="Z105" s="321"/>
      <c r="AA105" s="321"/>
      <c r="AB105" s="321"/>
      <c r="AC105" s="377"/>
      <c r="AD105" s="377"/>
      <c r="AE105" s="377"/>
      <c r="AF105" s="377"/>
      <c r="AG105" s="321"/>
      <c r="AH105" s="323"/>
    </row>
    <row r="106" spans="1:36" s="383" customFormat="1">
      <c r="A106" s="316">
        <f t="shared" si="15"/>
        <v>0</v>
      </c>
      <c r="B106" s="320"/>
      <c r="C106" s="377"/>
      <c r="D106" s="321"/>
      <c r="E106" s="321"/>
      <c r="F106" s="385"/>
      <c r="G106" s="321"/>
      <c r="H106" s="321"/>
      <c r="I106" s="321"/>
      <c r="J106" s="321"/>
      <c r="K106" s="321"/>
      <c r="L106" s="321"/>
      <c r="M106" s="321"/>
      <c r="N106" s="321"/>
      <c r="O106" s="321"/>
      <c r="P106" s="321"/>
      <c r="Q106" s="321"/>
      <c r="R106" s="321"/>
      <c r="S106" s="321"/>
      <c r="T106" s="321"/>
      <c r="U106" s="321"/>
      <c r="V106" s="321"/>
      <c r="W106" s="321"/>
      <c r="X106" s="321"/>
      <c r="Y106" s="321"/>
      <c r="Z106" s="321"/>
      <c r="AA106" s="321"/>
      <c r="AB106" s="321"/>
      <c r="AC106" s="321"/>
      <c r="AD106" s="321"/>
      <c r="AE106" s="321"/>
      <c r="AF106" s="377"/>
      <c r="AG106" s="321"/>
      <c r="AH106" s="323"/>
    </row>
    <row r="107" spans="1:36" s="383" customFormat="1">
      <c r="A107" s="316">
        <f t="shared" si="15"/>
        <v>0</v>
      </c>
      <c r="B107" s="381"/>
      <c r="C107" s="379"/>
      <c r="D107" s="379">
        <f>SUM(D108)</f>
        <v>0</v>
      </c>
      <c r="E107" s="379">
        <f>SUM(E108)</f>
        <v>0</v>
      </c>
      <c r="F107" s="395"/>
      <c r="G107" s="379"/>
      <c r="H107" s="379"/>
      <c r="I107" s="379"/>
      <c r="J107" s="379"/>
      <c r="K107" s="379"/>
      <c r="L107" s="379"/>
      <c r="M107" s="379"/>
      <c r="N107" s="379"/>
      <c r="O107" s="379"/>
      <c r="P107" s="379"/>
      <c r="Q107" s="379"/>
      <c r="R107" s="379"/>
      <c r="S107" s="379"/>
      <c r="T107" s="379"/>
      <c r="U107" s="379"/>
      <c r="V107" s="379"/>
      <c r="W107" s="379"/>
      <c r="X107" s="379"/>
      <c r="Y107" s="379"/>
      <c r="Z107" s="379"/>
      <c r="AA107" s="379"/>
      <c r="AB107" s="379"/>
      <c r="AC107" s="379"/>
      <c r="AD107" s="379"/>
      <c r="AE107" s="379"/>
      <c r="AF107" s="379"/>
      <c r="AG107" s="379"/>
      <c r="AH107" s="380"/>
    </row>
    <row r="108" spans="1:36" s="383" customFormat="1">
      <c r="A108" s="316">
        <f t="shared" si="15"/>
        <v>0</v>
      </c>
      <c r="B108" s="320"/>
      <c r="C108" s="377" t="s">
        <v>2749</v>
      </c>
      <c r="D108" s="321">
        <f>연결BS!E82</f>
        <v>0</v>
      </c>
      <c r="E108" s="321">
        <f>연결BS!D82</f>
        <v>0</v>
      </c>
      <c r="F108" s="385">
        <f t="shared" ref="F108" si="19">E108-D108</f>
        <v>0</v>
      </c>
      <c r="G108" s="321"/>
      <c r="H108" s="321"/>
      <c r="I108" s="321"/>
      <c r="J108" s="329" t="s">
        <v>583</v>
      </c>
      <c r="K108" s="329">
        <f>-K149-K90</f>
        <v>0</v>
      </c>
      <c r="L108" s="321"/>
      <c r="M108" s="329" t="s">
        <v>549</v>
      </c>
      <c r="N108" s="329">
        <f>-(D108-E108)+H108-K108+Q108-T108+W108-Z108+AC108-AF108</f>
        <v>0</v>
      </c>
      <c r="O108" s="321"/>
      <c r="P108" s="321"/>
      <c r="Q108" s="321"/>
      <c r="R108" s="321"/>
      <c r="S108" s="321"/>
      <c r="T108" s="321"/>
      <c r="U108" s="321"/>
      <c r="V108" s="321"/>
      <c r="W108" s="321"/>
      <c r="X108" s="321"/>
      <c r="Y108" s="321"/>
      <c r="Z108" s="321"/>
      <c r="AA108" s="321"/>
      <c r="AB108" s="321"/>
      <c r="AC108" s="321"/>
      <c r="AD108" s="321"/>
      <c r="AE108" s="321" t="s">
        <v>255</v>
      </c>
      <c r="AF108" s="540">
        <f>환율변동효과!D76</f>
        <v>0</v>
      </c>
      <c r="AG108" s="321"/>
      <c r="AH108" s="323">
        <f>-(D108-E108)+H108-K108-N108+Q108-T108+W108-Z108+AC108-AF108</f>
        <v>0</v>
      </c>
    </row>
    <row r="109" spans="1:36" s="383" customFormat="1">
      <c r="A109" s="316"/>
      <c r="B109" s="320"/>
      <c r="C109" s="377"/>
      <c r="D109" s="321"/>
      <c r="E109" s="321"/>
      <c r="F109" s="385"/>
      <c r="G109" s="321"/>
      <c r="H109" s="321"/>
      <c r="I109" s="321"/>
      <c r="J109" s="321"/>
      <c r="K109" s="321"/>
      <c r="L109" s="321"/>
      <c r="M109" s="321"/>
      <c r="N109" s="321"/>
      <c r="O109" s="321"/>
      <c r="P109" s="321"/>
      <c r="Q109" s="321"/>
      <c r="R109" s="321"/>
      <c r="S109" s="321"/>
      <c r="T109" s="321"/>
      <c r="U109" s="321"/>
      <c r="V109" s="321"/>
      <c r="W109" s="321"/>
      <c r="X109" s="321"/>
      <c r="Y109" s="321"/>
      <c r="Z109" s="321"/>
      <c r="AA109" s="321"/>
      <c r="AB109" s="321"/>
      <c r="AC109" s="321"/>
      <c r="AD109" s="321"/>
      <c r="AE109" s="321"/>
      <c r="AF109" s="321"/>
      <c r="AG109" s="321"/>
      <c r="AH109" s="323"/>
    </row>
    <row r="110" spans="1:36" s="383" customFormat="1">
      <c r="A110" s="316">
        <f t="shared" ref="A110:A112" si="20">AH110</f>
        <v>0</v>
      </c>
      <c r="B110" s="381"/>
      <c r="C110" s="379" t="str">
        <f>연결BS!B86</f>
        <v>기타유동부채</v>
      </c>
      <c r="D110" s="379">
        <f>SUM(D111:D116)</f>
        <v>2568110961</v>
      </c>
      <c r="E110" s="379">
        <f>SUM(E111:E116)</f>
        <v>7037999157</v>
      </c>
      <c r="F110" s="395"/>
      <c r="G110" s="379"/>
      <c r="H110" s="379"/>
      <c r="I110" s="379"/>
      <c r="J110" s="379"/>
      <c r="K110" s="379"/>
      <c r="L110" s="379"/>
      <c r="M110" s="379"/>
      <c r="N110" s="379"/>
      <c r="O110" s="379"/>
      <c r="P110" s="379"/>
      <c r="Q110" s="379"/>
      <c r="R110" s="379"/>
      <c r="S110" s="379"/>
      <c r="T110" s="379"/>
      <c r="U110" s="379"/>
      <c r="V110" s="379"/>
      <c r="W110" s="379"/>
      <c r="X110" s="379"/>
      <c r="Y110" s="379"/>
      <c r="Z110" s="379"/>
      <c r="AA110" s="379"/>
      <c r="AB110" s="379"/>
      <c r="AC110" s="379"/>
      <c r="AD110" s="379"/>
      <c r="AE110" s="379"/>
      <c r="AF110" s="379"/>
      <c r="AG110" s="379"/>
      <c r="AH110" s="380"/>
    </row>
    <row r="111" spans="1:36" s="383" customFormat="1">
      <c r="A111" s="316">
        <f t="shared" si="20"/>
        <v>0</v>
      </c>
      <c r="B111" s="320"/>
      <c r="C111" s="377" t="str">
        <f>연결BS!B87</f>
        <v>선수금</v>
      </c>
      <c r="D111" s="377">
        <f>연결BS!E87</f>
        <v>2550767839</v>
      </c>
      <c r="E111" s="377">
        <f>연결BS!D87</f>
        <v>7028604154</v>
      </c>
      <c r="F111" s="385">
        <f t="shared" ref="F111:F112" si="21">E111-D111</f>
        <v>4477836315</v>
      </c>
      <c r="G111" s="321"/>
      <c r="H111" s="321"/>
      <c r="I111" s="321"/>
      <c r="J111" s="321"/>
      <c r="K111" s="321"/>
      <c r="L111" s="321"/>
      <c r="M111" s="321" t="str">
        <f t="shared" ref="M111:M112" si="22">C111&amp;"의 증가(감소)"</f>
        <v>선수금의 증가(감소)</v>
      </c>
      <c r="N111" s="505">
        <f t="shared" ref="N111:N112" si="23">-(D111-E111)+H111-K111+Q111-T111+W111-Z111+AC111-AF111</f>
        <v>-265408405</v>
      </c>
      <c r="O111" s="321"/>
      <c r="P111" s="321"/>
      <c r="Q111" s="321"/>
      <c r="R111" s="321"/>
      <c r="S111" s="321"/>
      <c r="T111" s="321"/>
      <c r="U111" s="321"/>
      <c r="V111" s="321"/>
      <c r="W111" s="321"/>
      <c r="X111" s="321"/>
      <c r="Y111" s="321"/>
      <c r="Z111" s="321"/>
      <c r="AA111" s="321"/>
      <c r="AB111" s="321" t="s">
        <v>3852</v>
      </c>
      <c r="AC111" s="321">
        <f>-BS!N95</f>
        <v>-4747430895</v>
      </c>
      <c r="AD111" s="321"/>
      <c r="AE111" s="321" t="s">
        <v>255</v>
      </c>
      <c r="AF111" s="540">
        <f>환율변동효과!D72</f>
        <v>-4186175</v>
      </c>
      <c r="AG111" s="321"/>
      <c r="AH111" s="323">
        <f>-(D111-E111)+H111-K111-N111+Q111-T111+W111-Z111+AC111-AF111</f>
        <v>0</v>
      </c>
    </row>
    <row r="112" spans="1:36" s="383" customFormat="1">
      <c r="A112" s="316">
        <f t="shared" si="20"/>
        <v>0</v>
      </c>
      <c r="B112" s="320"/>
      <c r="C112" s="377" t="str">
        <f>연결BS!B88</f>
        <v>환불부채</v>
      </c>
      <c r="D112" s="377">
        <f>연결BS!E88</f>
        <v>17343122</v>
      </c>
      <c r="E112" s="377">
        <f>연결BS!D88</f>
        <v>9395003</v>
      </c>
      <c r="F112" s="385">
        <f t="shared" si="21"/>
        <v>-7948119</v>
      </c>
      <c r="G112" s="321"/>
      <c r="H112" s="321"/>
      <c r="I112" s="321"/>
      <c r="J112" s="321" t="s">
        <v>183</v>
      </c>
      <c r="K112" s="321">
        <v>-7948119</v>
      </c>
      <c r="L112" s="321"/>
      <c r="M112" s="321" t="str">
        <f t="shared" si="22"/>
        <v>환불부채의 증가(감소)</v>
      </c>
      <c r="N112" s="505">
        <f t="shared" si="23"/>
        <v>0</v>
      </c>
      <c r="O112" s="321"/>
      <c r="P112" s="321"/>
      <c r="Q112" s="321"/>
      <c r="R112" s="321"/>
      <c r="S112" s="321"/>
      <c r="T112" s="321"/>
      <c r="U112" s="321"/>
      <c r="V112" s="321"/>
      <c r="W112" s="321"/>
      <c r="X112" s="321"/>
      <c r="Y112" s="321"/>
      <c r="Z112" s="321"/>
      <c r="AA112" s="321"/>
      <c r="AB112" s="321"/>
      <c r="AC112" s="321"/>
      <c r="AD112" s="321"/>
      <c r="AE112" s="321" t="s">
        <v>255</v>
      </c>
      <c r="AF112" s="540">
        <f>환율변동효과!D73</f>
        <v>0</v>
      </c>
      <c r="AG112" s="321"/>
      <c r="AH112" s="323">
        <f>-(D112-E112)+H112-K112-N112+Q112-T112+W112-Z112+AC112-AF112</f>
        <v>0</v>
      </c>
    </row>
    <row r="113" spans="1:34" s="383" customFormat="1">
      <c r="A113" s="316"/>
      <c r="B113" s="320"/>
      <c r="C113" s="377"/>
      <c r="D113" s="377"/>
      <c r="E113" s="377"/>
      <c r="F113" s="385"/>
      <c r="G113" s="321"/>
      <c r="H113" s="321"/>
      <c r="I113" s="321"/>
      <c r="J113" s="321"/>
      <c r="K113" s="321"/>
      <c r="L113" s="321"/>
      <c r="M113" s="321"/>
      <c r="N113" s="377"/>
      <c r="O113" s="321"/>
      <c r="P113" s="321"/>
      <c r="Q113" s="321"/>
      <c r="R113" s="321"/>
      <c r="S113" s="321"/>
      <c r="T113" s="321"/>
      <c r="U113" s="321"/>
      <c r="V113" s="321"/>
      <c r="W113" s="321"/>
      <c r="X113" s="321"/>
      <c r="Y113" s="321"/>
      <c r="Z113" s="321"/>
      <c r="AA113" s="321"/>
      <c r="AB113" s="321"/>
      <c r="AC113" s="321"/>
      <c r="AD113" s="321"/>
      <c r="AE113" s="321"/>
      <c r="AF113" s="377"/>
      <c r="AG113" s="321"/>
      <c r="AH113" s="323"/>
    </row>
    <row r="114" spans="1:34" s="383" customFormat="1">
      <c r="A114" s="316"/>
      <c r="B114" s="320"/>
      <c r="C114" s="377"/>
      <c r="D114" s="377"/>
      <c r="E114" s="377"/>
      <c r="F114" s="385"/>
      <c r="G114" s="321"/>
      <c r="H114" s="321"/>
      <c r="I114" s="321"/>
      <c r="J114" s="321"/>
      <c r="K114" s="321"/>
      <c r="L114" s="321"/>
      <c r="M114" s="321"/>
      <c r="N114" s="377"/>
      <c r="O114" s="321"/>
      <c r="P114" s="321"/>
      <c r="Q114" s="321"/>
      <c r="R114" s="321"/>
      <c r="S114" s="321"/>
      <c r="T114" s="321"/>
      <c r="U114" s="321"/>
      <c r="V114" s="321"/>
      <c r="W114" s="321"/>
      <c r="X114" s="321"/>
      <c r="Y114" s="321"/>
      <c r="Z114" s="321"/>
      <c r="AA114" s="321"/>
      <c r="AB114" s="321"/>
      <c r="AC114" s="321"/>
      <c r="AD114" s="321"/>
      <c r="AE114" s="321"/>
      <c r="AF114" s="377"/>
      <c r="AG114" s="321"/>
      <c r="AH114" s="323"/>
    </row>
    <row r="115" spans="1:34" s="383" customFormat="1">
      <c r="A115" s="316"/>
      <c r="B115" s="320"/>
      <c r="C115" s="377"/>
      <c r="D115" s="377"/>
      <c r="E115" s="377"/>
      <c r="F115" s="385"/>
      <c r="G115" s="321"/>
      <c r="H115" s="321"/>
      <c r="I115" s="321"/>
      <c r="J115" s="321"/>
      <c r="K115" s="321"/>
      <c r="L115" s="321"/>
      <c r="M115" s="321"/>
      <c r="N115" s="321"/>
      <c r="O115" s="321"/>
      <c r="P115" s="321"/>
      <c r="Q115" s="321"/>
      <c r="R115" s="321"/>
      <c r="S115" s="321"/>
      <c r="T115" s="321"/>
      <c r="U115" s="321"/>
      <c r="V115" s="321"/>
      <c r="W115" s="321"/>
      <c r="X115" s="321"/>
      <c r="Y115" s="321"/>
      <c r="Z115" s="321"/>
      <c r="AA115" s="321"/>
      <c r="AB115" s="377"/>
      <c r="AC115" s="377"/>
      <c r="AD115" s="377"/>
      <c r="AE115" s="377"/>
      <c r="AF115" s="377"/>
      <c r="AG115" s="321"/>
      <c r="AH115" s="323"/>
    </row>
    <row r="116" spans="1:34" s="383" customFormat="1">
      <c r="A116" s="316"/>
      <c r="B116" s="320"/>
      <c r="C116" s="377"/>
      <c r="D116" s="377"/>
      <c r="E116" s="377"/>
      <c r="F116" s="385"/>
      <c r="G116" s="321"/>
      <c r="H116" s="321"/>
      <c r="I116" s="321"/>
      <c r="J116" s="321"/>
      <c r="K116" s="321"/>
      <c r="L116" s="321"/>
      <c r="M116" s="321"/>
      <c r="N116" s="321"/>
      <c r="O116" s="321"/>
      <c r="P116" s="321"/>
      <c r="Q116" s="321"/>
      <c r="R116" s="321"/>
      <c r="S116" s="321"/>
      <c r="T116" s="321"/>
      <c r="U116" s="321"/>
      <c r="V116" s="321"/>
      <c r="W116" s="321"/>
      <c r="X116" s="321"/>
      <c r="Y116" s="321"/>
      <c r="Z116" s="321"/>
      <c r="AA116" s="321"/>
      <c r="AB116" s="377"/>
      <c r="AC116" s="377"/>
      <c r="AD116" s="377"/>
      <c r="AE116" s="377"/>
      <c r="AF116" s="377"/>
      <c r="AG116" s="321"/>
      <c r="AH116" s="323"/>
    </row>
    <row r="117" spans="1:34" s="383" customFormat="1">
      <c r="A117" s="316"/>
      <c r="B117" s="320"/>
      <c r="C117" s="377"/>
      <c r="D117" s="377"/>
      <c r="E117" s="377"/>
      <c r="F117" s="385"/>
      <c r="G117" s="321"/>
      <c r="H117" s="321"/>
      <c r="I117" s="321"/>
      <c r="J117" s="321"/>
      <c r="K117" s="321"/>
      <c r="L117" s="321"/>
      <c r="M117" s="321"/>
      <c r="N117" s="321"/>
      <c r="O117" s="321"/>
      <c r="P117" s="321"/>
      <c r="Q117" s="321"/>
      <c r="R117" s="321"/>
      <c r="S117" s="321"/>
      <c r="T117" s="321"/>
      <c r="U117" s="321"/>
      <c r="V117" s="321"/>
      <c r="W117" s="321"/>
      <c r="X117" s="321"/>
      <c r="Y117" s="321"/>
      <c r="Z117" s="321"/>
      <c r="AA117" s="321"/>
      <c r="AB117" s="377"/>
      <c r="AC117" s="377"/>
      <c r="AD117" s="377"/>
      <c r="AE117" s="377"/>
      <c r="AF117" s="377"/>
      <c r="AG117" s="321"/>
      <c r="AH117" s="323"/>
    </row>
    <row r="118" spans="1:34" s="383" customFormat="1">
      <c r="A118" s="316"/>
      <c r="B118" s="320"/>
      <c r="C118" s="377"/>
      <c r="D118" s="377"/>
      <c r="E118" s="377"/>
      <c r="F118" s="385"/>
      <c r="G118" s="321"/>
      <c r="H118" s="321"/>
      <c r="I118" s="321"/>
      <c r="J118" s="321"/>
      <c r="K118" s="321"/>
      <c r="L118" s="321"/>
      <c r="M118" s="321"/>
      <c r="N118" s="321"/>
      <c r="O118" s="321"/>
      <c r="P118" s="321"/>
      <c r="Q118" s="321"/>
      <c r="R118" s="321"/>
      <c r="S118" s="321"/>
      <c r="T118" s="321"/>
      <c r="U118" s="321"/>
      <c r="V118" s="321"/>
      <c r="W118" s="321"/>
      <c r="X118" s="321"/>
      <c r="Y118" s="321"/>
      <c r="Z118" s="321"/>
      <c r="AA118" s="321"/>
      <c r="AB118" s="377"/>
      <c r="AC118" s="377"/>
      <c r="AD118" s="377"/>
      <c r="AE118" s="377"/>
      <c r="AF118" s="377"/>
      <c r="AG118" s="321"/>
      <c r="AH118" s="323"/>
    </row>
    <row r="119" spans="1:34" s="383" customFormat="1">
      <c r="A119" s="316"/>
      <c r="B119" s="320"/>
      <c r="C119" s="377"/>
      <c r="D119" s="377"/>
      <c r="E119" s="377"/>
      <c r="F119" s="386"/>
      <c r="G119" s="321"/>
      <c r="H119" s="321"/>
      <c r="I119" s="321"/>
      <c r="J119" s="321"/>
      <c r="K119" s="321"/>
      <c r="L119" s="321"/>
      <c r="M119" s="321"/>
      <c r="N119" s="321"/>
      <c r="O119" s="321"/>
      <c r="P119" s="321"/>
      <c r="Q119" s="321"/>
      <c r="R119" s="321"/>
      <c r="S119" s="321"/>
      <c r="T119" s="321"/>
      <c r="U119" s="321"/>
      <c r="V119" s="321"/>
      <c r="W119" s="321"/>
      <c r="X119" s="321"/>
      <c r="Y119" s="321"/>
      <c r="Z119" s="321"/>
      <c r="AA119" s="321"/>
      <c r="AB119" s="377"/>
      <c r="AC119" s="377"/>
      <c r="AD119" s="377"/>
      <c r="AE119" s="377"/>
      <c r="AF119" s="377"/>
      <c r="AG119" s="321"/>
      <c r="AH119" s="323"/>
    </row>
    <row r="120" spans="1:34" s="383" customFormat="1">
      <c r="A120" s="316">
        <f>AH120</f>
        <v>0</v>
      </c>
      <c r="B120" s="381"/>
      <c r="C120" s="379" t="str">
        <f>연결BS!B85</f>
        <v>유동성리스부채</v>
      </c>
      <c r="D120" s="379">
        <f>SUM(D121:D124)</f>
        <v>545986082</v>
      </c>
      <c r="E120" s="379">
        <f>SUM(E121:E124)</f>
        <v>899145465</v>
      </c>
      <c r="F120" s="395"/>
      <c r="G120" s="379"/>
      <c r="H120" s="379"/>
      <c r="I120" s="379"/>
      <c r="J120" s="379"/>
      <c r="K120" s="379"/>
      <c r="L120" s="379"/>
      <c r="M120" s="379"/>
      <c r="N120" s="379"/>
      <c r="O120" s="379"/>
      <c r="P120" s="379"/>
      <c r="Q120" s="379"/>
      <c r="R120" s="379"/>
      <c r="S120" s="379"/>
      <c r="T120" s="379"/>
      <c r="U120" s="379"/>
      <c r="V120" s="379"/>
      <c r="W120" s="379"/>
      <c r="X120" s="379"/>
      <c r="Y120" s="379"/>
      <c r="Z120" s="379"/>
      <c r="AA120" s="379"/>
      <c r="AB120" s="379"/>
      <c r="AC120" s="379"/>
      <c r="AD120" s="379"/>
      <c r="AE120" s="379"/>
      <c r="AF120" s="379"/>
      <c r="AG120" s="379"/>
      <c r="AH120" s="380"/>
    </row>
    <row r="121" spans="1:34" s="383" customFormat="1">
      <c r="A121" s="316">
        <f>AH121</f>
        <v>0</v>
      </c>
      <c r="B121" s="320"/>
      <c r="C121" s="377" t="str">
        <f>연결BS!B85</f>
        <v>유동성리스부채</v>
      </c>
      <c r="D121" s="377">
        <f>연결BS!E85</f>
        <v>545986082</v>
      </c>
      <c r="E121" s="377">
        <f>연결BS!D85</f>
        <v>899145465</v>
      </c>
      <c r="F121" s="385">
        <f t="shared" ref="F121" si="24">E121-D121</f>
        <v>353159383</v>
      </c>
      <c r="G121" s="321"/>
      <c r="H121" s="321"/>
      <c r="I121" s="321"/>
      <c r="J121" s="321"/>
      <c r="K121" s="321"/>
      <c r="L121" s="321"/>
      <c r="M121" s="321"/>
      <c r="N121" s="321"/>
      <c r="O121" s="321"/>
      <c r="P121" s="321"/>
      <c r="Q121" s="321"/>
      <c r="R121" s="321"/>
      <c r="S121" s="321"/>
      <c r="T121" s="321"/>
      <c r="U121" s="321"/>
      <c r="V121" s="321" t="s">
        <v>2454</v>
      </c>
      <c r="W121" s="1337">
        <f>-'19'!C185-W136</f>
        <v>0</v>
      </c>
      <c r="X121" s="321"/>
      <c r="Y121" s="321"/>
      <c r="Z121" s="321"/>
      <c r="AA121" s="321"/>
      <c r="AB121" s="321" t="s">
        <v>3852</v>
      </c>
      <c r="AC121" s="321">
        <f>-BS!N102</f>
        <v>-362078348</v>
      </c>
      <c r="AD121" s="321"/>
      <c r="AE121" s="321" t="s">
        <v>255</v>
      </c>
      <c r="AF121" s="540">
        <f>'19'!C187</f>
        <v>0</v>
      </c>
      <c r="AG121" s="321"/>
      <c r="AH121" s="323">
        <f>-(D121-E121)+H121-K121-N121+Q121-T121+W121-Z121+SUM(AC121:AC122)-SUM(AF121:AF123)</f>
        <v>0</v>
      </c>
    </row>
    <row r="122" spans="1:34" s="383" customFormat="1">
      <c r="A122" s="316"/>
      <c r="B122" s="320"/>
      <c r="C122" s="377"/>
      <c r="D122" s="377"/>
      <c r="E122" s="377"/>
      <c r="F122" s="385"/>
      <c r="G122" s="321"/>
      <c r="H122" s="321"/>
      <c r="I122" s="321"/>
      <c r="J122" s="321"/>
      <c r="K122" s="321"/>
      <c r="L122" s="321"/>
      <c r="M122" s="321"/>
      <c r="N122" s="377"/>
      <c r="O122" s="321"/>
      <c r="P122" s="321"/>
      <c r="Q122" s="321"/>
      <c r="R122" s="321"/>
      <c r="S122" s="321"/>
      <c r="T122" s="321"/>
      <c r="U122" s="321"/>
      <c r="V122" s="321"/>
      <c r="W122" s="321"/>
      <c r="X122" s="321"/>
      <c r="Y122" s="321"/>
      <c r="Z122" s="321"/>
      <c r="AA122" s="321"/>
      <c r="AB122" s="321" t="s">
        <v>3861</v>
      </c>
      <c r="AC122" s="321">
        <v>15273120</v>
      </c>
      <c r="AD122" s="321"/>
      <c r="AE122" s="321" t="s">
        <v>2456</v>
      </c>
      <c r="AF122" s="322">
        <v>0</v>
      </c>
      <c r="AG122" s="321"/>
      <c r="AH122" s="323"/>
    </row>
    <row r="123" spans="1:34" s="383" customFormat="1">
      <c r="A123" s="316"/>
      <c r="B123" s="320"/>
      <c r="C123" s="377"/>
      <c r="D123" s="377"/>
      <c r="E123" s="377"/>
      <c r="F123" s="385"/>
      <c r="G123" s="321"/>
      <c r="H123" s="321"/>
      <c r="I123" s="321"/>
      <c r="J123" s="321"/>
      <c r="K123" s="321"/>
      <c r="L123" s="321"/>
      <c r="M123" s="321"/>
      <c r="N123" s="321"/>
      <c r="O123" s="321"/>
      <c r="P123" s="321"/>
      <c r="Q123" s="321"/>
      <c r="R123" s="321"/>
      <c r="S123" s="321"/>
      <c r="T123" s="321"/>
      <c r="U123" s="321"/>
      <c r="V123" s="321"/>
      <c r="W123" s="321"/>
      <c r="X123" s="321"/>
      <c r="Y123" s="321"/>
      <c r="Z123" s="321"/>
      <c r="AA123" s="321"/>
      <c r="AB123" s="321"/>
      <c r="AC123" s="321"/>
      <c r="AD123" s="321"/>
      <c r="AE123" s="321" t="s">
        <v>3860</v>
      </c>
      <c r="AF123" s="321">
        <v>6354155</v>
      </c>
      <c r="AG123" s="321"/>
      <c r="AH123" s="323"/>
    </row>
    <row r="124" spans="1:34" s="383" customFormat="1">
      <c r="A124" s="316"/>
      <c r="B124" s="320"/>
      <c r="C124" s="377"/>
      <c r="D124" s="377"/>
      <c r="E124" s="377"/>
      <c r="F124" s="386"/>
      <c r="G124" s="321"/>
      <c r="H124" s="321"/>
      <c r="I124" s="321"/>
      <c r="J124" s="321"/>
      <c r="K124" s="321"/>
      <c r="L124" s="321"/>
      <c r="M124" s="321"/>
      <c r="N124" s="321"/>
      <c r="O124" s="321"/>
      <c r="P124" s="321"/>
      <c r="Q124" s="321"/>
      <c r="R124" s="321"/>
      <c r="S124" s="321"/>
      <c r="T124" s="321"/>
      <c r="U124" s="321"/>
      <c r="V124" s="321"/>
      <c r="W124" s="321"/>
      <c r="X124" s="321"/>
      <c r="Y124" s="321"/>
      <c r="Z124" s="321"/>
      <c r="AA124" s="321"/>
      <c r="AB124" s="321"/>
      <c r="AC124" s="321"/>
      <c r="AD124" s="321"/>
      <c r="AE124" s="321"/>
      <c r="AF124" s="321"/>
      <c r="AG124" s="321"/>
      <c r="AH124" s="323"/>
    </row>
    <row r="125" spans="1:34" s="383" customFormat="1">
      <c r="A125" s="316">
        <f t="shared" ref="A125:A136" si="25">AH125</f>
        <v>0</v>
      </c>
      <c r="B125" s="381"/>
      <c r="C125" s="379" t="str">
        <f>연결BS!B83</f>
        <v>단기차입금</v>
      </c>
      <c r="D125" s="379">
        <f>SUM(D126:D127)</f>
        <v>1203300000</v>
      </c>
      <c r="E125" s="379">
        <f>SUM(E126:E127)</f>
        <v>1120000000</v>
      </c>
      <c r="F125" s="395"/>
      <c r="G125" s="379"/>
      <c r="H125" s="379"/>
      <c r="I125" s="379"/>
      <c r="J125" s="379"/>
      <c r="K125" s="379"/>
      <c r="L125" s="379"/>
      <c r="M125" s="379"/>
      <c r="N125" s="379"/>
      <c r="O125" s="379"/>
      <c r="P125" s="379"/>
      <c r="Q125" s="379"/>
      <c r="R125" s="379"/>
      <c r="S125" s="379"/>
      <c r="T125" s="379"/>
      <c r="U125" s="379"/>
      <c r="V125" s="379"/>
      <c r="W125" s="379"/>
      <c r="X125" s="379"/>
      <c r="Y125" s="379"/>
      <c r="Z125" s="379"/>
      <c r="AA125" s="379"/>
      <c r="AB125" s="379"/>
      <c r="AC125" s="379"/>
      <c r="AD125" s="379"/>
      <c r="AE125" s="379"/>
      <c r="AF125" s="379"/>
      <c r="AG125" s="379"/>
      <c r="AH125" s="380"/>
    </row>
    <row r="126" spans="1:34" s="383" customFormat="1">
      <c r="A126" s="316">
        <f t="shared" si="25"/>
        <v>0</v>
      </c>
      <c r="B126" s="320"/>
      <c r="C126" s="377" t="str">
        <f>연결BS!B83</f>
        <v>단기차입금</v>
      </c>
      <c r="D126" s="321">
        <f>연결BS!E83</f>
        <v>1120000000</v>
      </c>
      <c r="E126" s="321">
        <f>연결BS!D83</f>
        <v>1120000000</v>
      </c>
      <c r="F126" s="385">
        <f t="shared" ref="F126:F127" si="26">E126-D126</f>
        <v>0</v>
      </c>
      <c r="G126" s="321" t="s">
        <v>544</v>
      </c>
      <c r="H126" s="321"/>
      <c r="I126" s="321"/>
      <c r="J126" s="321" t="s">
        <v>545</v>
      </c>
      <c r="K126" s="321"/>
      <c r="L126" s="321"/>
      <c r="M126" s="321"/>
      <c r="N126" s="321"/>
      <c r="O126" s="321"/>
      <c r="P126" s="321"/>
      <c r="Q126" s="321"/>
      <c r="R126" s="321"/>
      <c r="S126" s="321"/>
      <c r="T126" s="321"/>
      <c r="U126" s="321"/>
      <c r="V126" s="321" t="s">
        <v>2448</v>
      </c>
      <c r="W126" s="321"/>
      <c r="X126" s="321"/>
      <c r="Y126" s="321" t="s">
        <v>2449</v>
      </c>
      <c r="Z126" s="321"/>
      <c r="AA126" s="321"/>
      <c r="AB126" s="321"/>
      <c r="AC126" s="321"/>
      <c r="AD126" s="321"/>
      <c r="AE126" s="321" t="s">
        <v>255</v>
      </c>
      <c r="AF126" s="540">
        <f>환율변동효과!D74</f>
        <v>0</v>
      </c>
      <c r="AG126" s="321"/>
      <c r="AH126" s="323">
        <f>-(D126-E126)+H126-K126-N126+Q126-T126+W126-Z126+AC126-AF126</f>
        <v>0</v>
      </c>
    </row>
    <row r="127" spans="1:34" s="383" customFormat="1">
      <c r="A127" s="316">
        <f t="shared" si="25"/>
        <v>0</v>
      </c>
      <c r="B127" s="320"/>
      <c r="C127" s="377" t="str">
        <f>연결BS!B84</f>
        <v>유동성장기차입금</v>
      </c>
      <c r="D127" s="321">
        <f>연결BS!E84</f>
        <v>83300000</v>
      </c>
      <c r="E127" s="321">
        <f>연결BS!D84</f>
        <v>0</v>
      </c>
      <c r="F127" s="385">
        <f t="shared" si="26"/>
        <v>-83300000</v>
      </c>
      <c r="G127" s="321" t="s">
        <v>121</v>
      </c>
      <c r="H127" s="321"/>
      <c r="I127" s="321"/>
      <c r="J127" s="321" t="s">
        <v>127</v>
      </c>
      <c r="K127" s="321"/>
      <c r="L127" s="321"/>
      <c r="M127" s="321"/>
      <c r="N127" s="321"/>
      <c r="O127" s="321"/>
      <c r="P127" s="321"/>
      <c r="Q127" s="321"/>
      <c r="R127" s="321"/>
      <c r="S127" s="321"/>
      <c r="T127" s="321"/>
      <c r="U127" s="321"/>
      <c r="V127" s="321" t="s">
        <v>2450</v>
      </c>
      <c r="W127" s="321">
        <v>83300000</v>
      </c>
      <c r="X127" s="321"/>
      <c r="Y127" s="321"/>
      <c r="Z127" s="321"/>
      <c r="AA127" s="321"/>
      <c r="AB127" s="321"/>
      <c r="AC127" s="321"/>
      <c r="AD127" s="321"/>
      <c r="AE127" s="321" t="s">
        <v>255</v>
      </c>
      <c r="AF127" s="540">
        <f>환율변동효과!D78</f>
        <v>0</v>
      </c>
      <c r="AG127" s="321"/>
      <c r="AH127" s="323">
        <f>-(D127-E127)+H127-K127-N127+Q127-T127+W127-Z127+SUM(AC127:AC128)-SUM(AF127:AF128)</f>
        <v>0</v>
      </c>
    </row>
    <row r="128" spans="1:34" s="383" customFormat="1">
      <c r="A128" s="316">
        <f t="shared" si="25"/>
        <v>0</v>
      </c>
      <c r="B128" s="320"/>
      <c r="C128" s="321"/>
      <c r="D128" s="321"/>
      <c r="E128" s="321"/>
      <c r="F128" s="385"/>
      <c r="G128" s="321"/>
      <c r="H128" s="321"/>
      <c r="I128" s="321"/>
      <c r="J128" s="321"/>
      <c r="K128" s="321"/>
      <c r="L128" s="321"/>
      <c r="M128" s="321"/>
      <c r="N128" s="321"/>
      <c r="O128" s="321"/>
      <c r="P128" s="321"/>
      <c r="Q128" s="321"/>
      <c r="R128" s="321"/>
      <c r="S128" s="321"/>
      <c r="T128" s="321"/>
      <c r="U128" s="321"/>
      <c r="V128" s="321"/>
      <c r="W128" s="321"/>
      <c r="X128" s="321"/>
      <c r="Y128" s="321"/>
      <c r="Z128" s="321"/>
      <c r="AA128" s="321"/>
      <c r="AB128" s="321"/>
      <c r="AC128" s="321"/>
      <c r="AD128" s="321"/>
      <c r="AE128" s="321" t="s">
        <v>2447</v>
      </c>
      <c r="AF128" s="322">
        <f>AC132</f>
        <v>0</v>
      </c>
      <c r="AG128" s="321"/>
      <c r="AH128" s="323"/>
    </row>
    <row r="129" spans="1:36" s="382" customFormat="1">
      <c r="A129" s="316">
        <f t="shared" si="25"/>
        <v>0</v>
      </c>
      <c r="B129" s="325" t="s">
        <v>575</v>
      </c>
      <c r="C129" s="326" t="s">
        <v>56</v>
      </c>
      <c r="D129" s="326">
        <f>D131+D135+D141+D151+D148+D144+D146</f>
        <v>6917922634</v>
      </c>
      <c r="E129" s="326">
        <f>E131+E135+E141+E151+E148+E144+E146</f>
        <v>9391764405</v>
      </c>
      <c r="F129" s="394"/>
      <c r="G129" s="326"/>
      <c r="H129" s="326"/>
      <c r="I129" s="326"/>
      <c r="J129" s="326"/>
      <c r="K129" s="326"/>
      <c r="L129" s="326"/>
      <c r="M129" s="326"/>
      <c r="N129" s="326"/>
      <c r="O129" s="326"/>
      <c r="P129" s="326"/>
      <c r="Q129" s="326"/>
      <c r="R129" s="326"/>
      <c r="S129" s="326"/>
      <c r="T129" s="326"/>
      <c r="U129" s="326"/>
      <c r="V129" s="326"/>
      <c r="W129" s="326"/>
      <c r="X129" s="326"/>
      <c r="Y129" s="326"/>
      <c r="Z129" s="326"/>
      <c r="AA129" s="326"/>
      <c r="AB129" s="326"/>
      <c r="AC129" s="326"/>
      <c r="AD129" s="326"/>
      <c r="AE129" s="326"/>
      <c r="AF129" s="326"/>
      <c r="AG129" s="326"/>
      <c r="AH129" s="327"/>
    </row>
    <row r="130" spans="1:36" s="383" customFormat="1">
      <c r="A130" s="316">
        <f t="shared" si="25"/>
        <v>0</v>
      </c>
      <c r="B130" s="320"/>
      <c r="C130" s="321"/>
      <c r="D130" s="322" t="b">
        <f>D129=연결BS!E89</f>
        <v>1</v>
      </c>
      <c r="E130" s="322" t="b">
        <f>E129=연결BS!D89</f>
        <v>1</v>
      </c>
      <c r="F130" s="393"/>
      <c r="G130" s="321"/>
      <c r="H130" s="321"/>
      <c r="I130" s="321"/>
      <c r="J130" s="321"/>
      <c r="K130" s="321"/>
      <c r="L130" s="321"/>
      <c r="M130" s="321"/>
      <c r="N130" s="321"/>
      <c r="O130" s="321"/>
      <c r="P130" s="321"/>
      <c r="Q130" s="321"/>
      <c r="R130" s="321"/>
      <c r="S130" s="321"/>
      <c r="T130" s="321"/>
      <c r="U130" s="321"/>
      <c r="V130" s="321"/>
      <c r="W130" s="321"/>
      <c r="X130" s="321"/>
      <c r="Y130" s="321"/>
      <c r="Z130" s="321"/>
      <c r="AA130" s="321"/>
      <c r="AB130" s="321"/>
      <c r="AC130" s="321"/>
      <c r="AD130" s="321"/>
      <c r="AE130" s="321"/>
      <c r="AF130" s="321"/>
      <c r="AG130" s="321"/>
      <c r="AH130" s="323"/>
    </row>
    <row r="131" spans="1:36" s="383" customFormat="1">
      <c r="A131" s="316">
        <f t="shared" si="25"/>
        <v>0</v>
      </c>
      <c r="B131" s="381"/>
      <c r="C131" s="379" t="str">
        <f>연결BS!B90</f>
        <v>장기차입금</v>
      </c>
      <c r="D131" s="379">
        <f>SUM(D132:D134)</f>
        <v>4100000000</v>
      </c>
      <c r="E131" s="379">
        <f>SUM(E132:E134)</f>
        <v>4100000000</v>
      </c>
      <c r="F131" s="395"/>
      <c r="G131" s="379"/>
      <c r="H131" s="379"/>
      <c r="I131" s="379"/>
      <c r="J131" s="379"/>
      <c r="K131" s="379"/>
      <c r="L131" s="379"/>
      <c r="M131" s="379"/>
      <c r="N131" s="379"/>
      <c r="O131" s="379"/>
      <c r="P131" s="379"/>
      <c r="Q131" s="379"/>
      <c r="R131" s="379"/>
      <c r="S131" s="379"/>
      <c r="T131" s="379"/>
      <c r="U131" s="379"/>
      <c r="V131" s="379"/>
      <c r="W131" s="379"/>
      <c r="X131" s="379"/>
      <c r="Y131" s="379"/>
      <c r="Z131" s="379"/>
      <c r="AA131" s="379"/>
      <c r="AB131" s="379"/>
      <c r="AC131" s="379"/>
      <c r="AD131" s="379"/>
      <c r="AE131" s="379"/>
      <c r="AF131" s="379"/>
      <c r="AG131" s="379"/>
      <c r="AH131" s="380"/>
    </row>
    <row r="132" spans="1:36" s="383" customFormat="1">
      <c r="A132" s="316">
        <f t="shared" si="25"/>
        <v>0</v>
      </c>
      <c r="B132" s="320"/>
      <c r="C132" s="321" t="str">
        <f>연결BS!B90</f>
        <v>장기차입금</v>
      </c>
      <c r="D132" s="335">
        <f>연결BS!E90</f>
        <v>4100000000</v>
      </c>
      <c r="E132" s="335">
        <f>연결BS!D90</f>
        <v>4100000000</v>
      </c>
      <c r="F132" s="385">
        <f t="shared" ref="F132" si="27">E132-D132</f>
        <v>0</v>
      </c>
      <c r="G132" s="321"/>
      <c r="H132" s="321"/>
      <c r="I132" s="321"/>
      <c r="J132" s="321"/>
      <c r="K132" s="321"/>
      <c r="L132" s="321"/>
      <c r="M132" s="321"/>
      <c r="N132" s="321"/>
      <c r="O132" s="321"/>
      <c r="P132" s="321"/>
      <c r="Q132" s="321"/>
      <c r="R132" s="321"/>
      <c r="S132" s="321"/>
      <c r="T132" s="321"/>
      <c r="U132" s="321"/>
      <c r="V132" s="321" t="s">
        <v>569</v>
      </c>
      <c r="W132" s="321"/>
      <c r="X132" s="321"/>
      <c r="Y132" s="321" t="s">
        <v>570</v>
      </c>
      <c r="Z132" s="321">
        <v>0</v>
      </c>
      <c r="AA132" s="321"/>
      <c r="AB132" s="321" t="s">
        <v>373</v>
      </c>
      <c r="AC132" s="322">
        <v>0</v>
      </c>
      <c r="AD132" s="321"/>
      <c r="AE132" s="321" t="s">
        <v>255</v>
      </c>
      <c r="AF132" s="540">
        <f>환율변동효과!D81</f>
        <v>0</v>
      </c>
      <c r="AG132" s="321"/>
      <c r="AH132" s="323">
        <f>-(D132-E132)+H132-K132-N132+Q132-T132+W132-Z132+AC132-SUM(AF132:AF133)</f>
        <v>0</v>
      </c>
    </row>
    <row r="133" spans="1:36" s="383" customFormat="1">
      <c r="B133" s="400"/>
      <c r="C133" s="377"/>
      <c r="D133" s="377"/>
      <c r="E133" s="377"/>
      <c r="F133" s="386"/>
      <c r="G133" s="377"/>
      <c r="H133" s="377"/>
      <c r="I133" s="377"/>
      <c r="J133" s="377"/>
      <c r="K133" s="377"/>
      <c r="L133" s="377"/>
      <c r="M133" s="377"/>
      <c r="N133" s="377"/>
      <c r="O133" s="377"/>
      <c r="P133" s="377"/>
      <c r="Q133" s="377"/>
      <c r="R133" s="377"/>
      <c r="S133" s="377"/>
      <c r="T133" s="377"/>
      <c r="U133" s="377"/>
      <c r="V133" s="377"/>
      <c r="W133" s="377"/>
      <c r="X133" s="377"/>
      <c r="Y133" s="377"/>
      <c r="Z133" s="377"/>
      <c r="AA133" s="377"/>
      <c r="AB133" s="377"/>
      <c r="AC133" s="377"/>
      <c r="AD133" s="377"/>
      <c r="AE133" s="377" t="s">
        <v>2594</v>
      </c>
      <c r="AF133" s="377">
        <f>AC128</f>
        <v>0</v>
      </c>
      <c r="AG133" s="377"/>
      <c r="AH133" s="408"/>
    </row>
    <row r="134" spans="1:36" s="383" customFormat="1">
      <c r="A134" s="316">
        <f t="shared" si="25"/>
        <v>0</v>
      </c>
      <c r="B134" s="320"/>
      <c r="C134" s="321"/>
      <c r="D134" s="321"/>
      <c r="E134" s="321"/>
      <c r="F134" s="385"/>
      <c r="G134" s="321"/>
      <c r="H134" s="321"/>
      <c r="I134" s="321"/>
      <c r="J134" s="321"/>
      <c r="K134" s="321"/>
      <c r="L134" s="321"/>
      <c r="M134" s="321"/>
      <c r="N134" s="321"/>
      <c r="O134" s="321"/>
      <c r="P134" s="321"/>
      <c r="Q134" s="321"/>
      <c r="R134" s="321"/>
      <c r="S134" s="321"/>
      <c r="T134" s="321"/>
      <c r="U134" s="321"/>
      <c r="V134" s="321"/>
      <c r="W134" s="321"/>
      <c r="X134" s="321"/>
      <c r="Y134" s="321"/>
      <c r="Z134" s="321"/>
      <c r="AA134" s="321"/>
      <c r="AB134" s="321"/>
      <c r="AC134" s="321"/>
      <c r="AD134" s="321"/>
      <c r="AE134" s="321"/>
      <c r="AF134" s="321"/>
      <c r="AG134" s="321"/>
      <c r="AH134" s="323"/>
    </row>
    <row r="135" spans="1:36" s="383" customFormat="1">
      <c r="A135" s="316">
        <f t="shared" si="25"/>
        <v>0</v>
      </c>
      <c r="B135" s="381"/>
      <c r="C135" s="379" t="str">
        <f>연결BS!B92</f>
        <v>리스부채</v>
      </c>
      <c r="D135" s="379">
        <f>SUM(D136:D139)</f>
        <v>1049272823</v>
      </c>
      <c r="E135" s="379">
        <f>SUM(E136:E139)</f>
        <v>1535260103</v>
      </c>
      <c r="F135" s="395"/>
      <c r="G135" s="379"/>
      <c r="H135" s="379"/>
      <c r="I135" s="379"/>
      <c r="J135" s="379"/>
      <c r="K135" s="379"/>
      <c r="L135" s="379"/>
      <c r="M135" s="379"/>
      <c r="N135" s="379"/>
      <c r="O135" s="379"/>
      <c r="P135" s="379"/>
      <c r="Q135" s="379"/>
      <c r="R135" s="379"/>
      <c r="S135" s="379"/>
      <c r="T135" s="379"/>
      <c r="U135" s="379"/>
      <c r="V135" s="379"/>
      <c r="W135" s="379"/>
      <c r="X135" s="379"/>
      <c r="Y135" s="379"/>
      <c r="Z135" s="379"/>
      <c r="AA135" s="379"/>
      <c r="AB135" s="379"/>
      <c r="AC135" s="379"/>
      <c r="AD135" s="379"/>
      <c r="AE135" s="379"/>
      <c r="AF135" s="379"/>
      <c r="AG135" s="379"/>
      <c r="AH135" s="379"/>
    </row>
    <row r="136" spans="1:36" s="383" customFormat="1">
      <c r="A136" s="316">
        <f t="shared" si="25"/>
        <v>0</v>
      </c>
      <c r="B136" s="320"/>
      <c r="C136" s="377" t="str">
        <f>연결BS!B92</f>
        <v>리스부채</v>
      </c>
      <c r="D136" s="335">
        <f>연결BS!E92</f>
        <v>1049272823</v>
      </c>
      <c r="E136" s="335">
        <f>연결BS!D92</f>
        <v>1535260103</v>
      </c>
      <c r="F136" s="385">
        <f t="shared" ref="F136" si="28">E136-D136</f>
        <v>485987280</v>
      </c>
      <c r="G136" s="321"/>
      <c r="H136" s="321"/>
      <c r="I136" s="321"/>
      <c r="J136" s="321" t="s">
        <v>179</v>
      </c>
      <c r="K136" s="1337">
        <v>27061673</v>
      </c>
      <c r="L136" s="321"/>
      <c r="M136" s="321"/>
      <c r="N136" s="321"/>
      <c r="O136" s="321"/>
      <c r="P136" s="321"/>
      <c r="Q136" s="321"/>
      <c r="R136" s="321"/>
      <c r="S136" s="321"/>
      <c r="T136" s="321"/>
      <c r="U136" s="321"/>
      <c r="V136" s="321" t="s">
        <v>2453</v>
      </c>
      <c r="W136" s="321">
        <v>275936850</v>
      </c>
      <c r="X136" s="321"/>
      <c r="Y136" s="321"/>
      <c r="Z136" s="321"/>
      <c r="AA136" s="321"/>
      <c r="AB136" s="321" t="s">
        <v>3852</v>
      </c>
      <c r="AC136" s="321">
        <f>-BS!N113</f>
        <v>-735901979</v>
      </c>
      <c r="AD136" s="321"/>
      <c r="AE136" s="377" t="s">
        <v>255</v>
      </c>
      <c r="AF136" s="540">
        <v>0</v>
      </c>
      <c r="AG136" s="321"/>
      <c r="AH136" s="323">
        <f>-(D136-E136)+H136-K136-K137-N136+Q136-T136+W136-Z136+SUM(AC136:AC138)-SUM(AF136:AF138)</f>
        <v>0</v>
      </c>
    </row>
    <row r="137" spans="1:36" s="383" customFormat="1">
      <c r="A137" s="316"/>
      <c r="B137" s="320"/>
      <c r="C137" s="321"/>
      <c r="D137" s="335"/>
      <c r="E137" s="335"/>
      <c r="F137" s="385"/>
      <c r="G137" s="321"/>
      <c r="H137" s="321"/>
      <c r="I137" s="321"/>
      <c r="J137" s="321"/>
      <c r="K137" s="321"/>
      <c r="L137" s="321"/>
      <c r="M137" s="321"/>
      <c r="N137" s="321"/>
      <c r="O137" s="321"/>
      <c r="P137" s="321"/>
      <c r="Q137" s="321"/>
      <c r="R137" s="321"/>
      <c r="S137" s="321"/>
      <c r="T137" s="321"/>
      <c r="U137" s="321"/>
      <c r="V137" s="321"/>
      <c r="W137" s="321"/>
      <c r="X137" s="321"/>
      <c r="Y137" s="321"/>
      <c r="Z137" s="321"/>
      <c r="AA137" s="321"/>
      <c r="AB137" s="321" t="s">
        <v>2457</v>
      </c>
      <c r="AC137" s="322">
        <f>AF122</f>
        <v>0</v>
      </c>
      <c r="AD137" s="321"/>
      <c r="AE137" s="377" t="s">
        <v>2455</v>
      </c>
      <c r="AF137" s="377">
        <v>2357959</v>
      </c>
      <c r="AG137" s="321"/>
      <c r="AH137" s="323"/>
      <c r="AJ137" s="383">
        <f>AC138-AF137+'19'!C183</f>
        <v>-8918965</v>
      </c>
    </row>
    <row r="138" spans="1:36" s="383" customFormat="1">
      <c r="A138" s="316"/>
      <c r="B138" s="320"/>
      <c r="C138" s="321"/>
      <c r="D138" s="335"/>
      <c r="E138" s="335"/>
      <c r="F138" s="385"/>
      <c r="G138" s="321"/>
      <c r="H138" s="321"/>
      <c r="I138" s="321"/>
      <c r="J138" s="321"/>
      <c r="K138" s="321"/>
      <c r="L138" s="321"/>
      <c r="M138" s="321"/>
      <c r="N138" s="321"/>
      <c r="O138" s="321"/>
      <c r="P138" s="321"/>
      <c r="Q138" s="321"/>
      <c r="R138" s="321"/>
      <c r="S138" s="321"/>
      <c r="T138" s="321"/>
      <c r="U138" s="321"/>
      <c r="V138" s="321"/>
      <c r="W138" s="321"/>
      <c r="X138" s="321"/>
      <c r="Y138" s="321"/>
      <c r="Z138" s="321"/>
      <c r="AA138" s="321"/>
      <c r="AB138" s="321" t="s">
        <v>2472</v>
      </c>
      <c r="AC138" s="321">
        <v>3397481</v>
      </c>
      <c r="AD138" s="321"/>
      <c r="AE138" s="377"/>
      <c r="AF138" s="377"/>
      <c r="AG138" s="321"/>
      <c r="AH138" s="323"/>
    </row>
    <row r="139" spans="1:36" s="383" customFormat="1" ht="12.75" customHeight="1">
      <c r="A139" s="316"/>
      <c r="B139" s="320"/>
      <c r="C139" s="377"/>
      <c r="D139" s="335"/>
      <c r="E139" s="335"/>
      <c r="F139" s="385"/>
      <c r="G139" s="321"/>
      <c r="H139" s="321"/>
      <c r="I139" s="321"/>
      <c r="J139" s="321"/>
      <c r="K139" s="321"/>
      <c r="L139" s="321"/>
      <c r="M139" s="321"/>
      <c r="N139" s="377"/>
      <c r="O139" s="321"/>
      <c r="P139" s="321"/>
      <c r="Q139" s="321"/>
      <c r="R139" s="321"/>
      <c r="S139" s="321"/>
      <c r="T139" s="321"/>
      <c r="U139" s="321"/>
      <c r="V139" s="321"/>
      <c r="W139" s="321"/>
      <c r="X139" s="321"/>
      <c r="Y139" s="321"/>
      <c r="Z139" s="321"/>
      <c r="AA139" s="321"/>
      <c r="AB139" s="321"/>
      <c r="AC139" s="321"/>
      <c r="AD139" s="321"/>
      <c r="AE139" s="321"/>
      <c r="AF139" s="321"/>
      <c r="AG139" s="321"/>
      <c r="AH139" s="323"/>
    </row>
    <row r="140" spans="1:36" s="383" customFormat="1">
      <c r="A140" s="316"/>
      <c r="B140" s="320"/>
      <c r="C140" s="321"/>
      <c r="D140" s="321"/>
      <c r="E140" s="321"/>
      <c r="F140" s="385"/>
      <c r="G140" s="321"/>
      <c r="H140" s="321"/>
      <c r="I140" s="321"/>
      <c r="J140" s="321"/>
      <c r="K140" s="321"/>
      <c r="L140" s="321"/>
      <c r="M140" s="321"/>
      <c r="N140" s="321"/>
      <c r="O140" s="321"/>
      <c r="P140" s="321"/>
      <c r="Q140" s="321"/>
      <c r="R140" s="321"/>
      <c r="S140" s="321"/>
      <c r="T140" s="321"/>
      <c r="U140" s="321"/>
      <c r="V140" s="321"/>
      <c r="W140" s="321"/>
      <c r="X140" s="321"/>
      <c r="Y140" s="321"/>
      <c r="Z140" s="321"/>
      <c r="AA140" s="321"/>
      <c r="AB140" s="321"/>
      <c r="AC140" s="321"/>
      <c r="AD140" s="321"/>
      <c r="AE140" s="321"/>
      <c r="AF140" s="321"/>
      <c r="AG140" s="321"/>
      <c r="AH140" s="323"/>
    </row>
    <row r="141" spans="1:36" s="383" customFormat="1">
      <c r="A141" s="316">
        <f>AH141</f>
        <v>0</v>
      </c>
      <c r="B141" s="381"/>
      <c r="C141" s="379" t="str">
        <f>연결BS!B97</f>
        <v>장기종업원급여부채</v>
      </c>
      <c r="D141" s="379">
        <f>SUM(D142)</f>
        <v>173088026</v>
      </c>
      <c r="E141" s="379">
        <f>SUM(E142)</f>
        <v>205709924</v>
      </c>
      <c r="F141" s="395"/>
      <c r="G141" s="379"/>
      <c r="H141" s="379"/>
      <c r="I141" s="379"/>
      <c r="J141" s="379"/>
      <c r="K141" s="379"/>
      <c r="L141" s="379"/>
      <c r="M141" s="379"/>
      <c r="N141" s="379"/>
      <c r="O141" s="379"/>
      <c r="P141" s="379"/>
      <c r="Q141" s="379"/>
      <c r="R141" s="379"/>
      <c r="S141" s="379"/>
      <c r="T141" s="379"/>
      <c r="U141" s="379"/>
      <c r="V141" s="379"/>
      <c r="W141" s="379"/>
      <c r="X141" s="379"/>
      <c r="Y141" s="379"/>
      <c r="Z141" s="379"/>
      <c r="AA141" s="379"/>
      <c r="AB141" s="379"/>
      <c r="AC141" s="379"/>
      <c r="AD141" s="379"/>
      <c r="AE141" s="379"/>
      <c r="AF141" s="379"/>
      <c r="AG141" s="379"/>
      <c r="AH141" s="380"/>
    </row>
    <row r="142" spans="1:36" s="383" customFormat="1">
      <c r="A142" s="316">
        <f>AH142</f>
        <v>0</v>
      </c>
      <c r="B142" s="320"/>
      <c r="C142" s="321" t="str">
        <f>연결BS!B97</f>
        <v>장기종업원급여부채</v>
      </c>
      <c r="D142" s="321">
        <f>연결BS!E97</f>
        <v>173088026</v>
      </c>
      <c r="E142" s="321">
        <f>연결BS!D97</f>
        <v>205709924</v>
      </c>
      <c r="F142" s="385">
        <f t="shared" ref="F142" si="29">E142-D142</f>
        <v>32621898</v>
      </c>
      <c r="G142" s="321"/>
      <c r="H142" s="321"/>
      <c r="I142" s="321"/>
      <c r="J142" s="321" t="s">
        <v>2752</v>
      </c>
      <c r="K142" s="321">
        <v>37001898</v>
      </c>
      <c r="L142" s="377"/>
      <c r="M142" s="377" t="s">
        <v>2753</v>
      </c>
      <c r="N142" s="377">
        <v>-4380000</v>
      </c>
      <c r="O142" s="377"/>
      <c r="P142" s="321"/>
      <c r="Q142" s="321"/>
      <c r="R142" s="321"/>
      <c r="S142" s="321"/>
      <c r="T142" s="321"/>
      <c r="U142" s="321"/>
      <c r="V142" s="321"/>
      <c r="W142" s="321"/>
      <c r="X142" s="321"/>
      <c r="Y142" s="321"/>
      <c r="Z142" s="321"/>
      <c r="AA142" s="321"/>
      <c r="AB142" s="377"/>
      <c r="AC142" s="377"/>
      <c r="AD142" s="321"/>
      <c r="AE142" s="321"/>
      <c r="AF142" s="540">
        <v>0</v>
      </c>
      <c r="AG142" s="321"/>
      <c r="AH142" s="323">
        <f>-(D142-E142)+H142-K142-K143-N142+Q142-T142+W142-Z142+SUM(AC142:AC143)-SUM(AF142:AF143)</f>
        <v>0</v>
      </c>
    </row>
    <row r="143" spans="1:36" s="383" customFormat="1">
      <c r="A143" s="316"/>
      <c r="B143" s="320"/>
      <c r="C143" s="321"/>
      <c r="D143" s="321"/>
      <c r="E143" s="321"/>
      <c r="F143" s="385"/>
      <c r="G143" s="321"/>
      <c r="H143" s="321"/>
      <c r="I143" s="321"/>
      <c r="J143" s="321"/>
      <c r="K143" s="321"/>
      <c r="L143" s="321"/>
      <c r="M143" s="321"/>
      <c r="N143" s="321"/>
      <c r="O143" s="321"/>
      <c r="P143" s="321"/>
      <c r="Q143" s="321"/>
      <c r="R143" s="321"/>
      <c r="S143" s="321"/>
      <c r="T143" s="321"/>
      <c r="U143" s="321"/>
      <c r="V143" s="321"/>
      <c r="W143" s="321"/>
      <c r="X143" s="321"/>
      <c r="Y143" s="321"/>
      <c r="Z143" s="321"/>
      <c r="AA143" s="321"/>
      <c r="AB143" s="321"/>
      <c r="AC143" s="321"/>
      <c r="AD143" s="321"/>
      <c r="AE143" s="321"/>
      <c r="AF143" s="504">
        <f>ROUND(AC152*24.2%,)</f>
        <v>0</v>
      </c>
      <c r="AG143" s="321"/>
      <c r="AH143" s="323"/>
    </row>
    <row r="144" spans="1:36" s="383" customFormat="1">
      <c r="A144" s="316">
        <f t="shared" ref="A144:A149" si="30">AH144</f>
        <v>0</v>
      </c>
      <c r="B144" s="381"/>
      <c r="C144" s="379" t="str">
        <f>연결BS!B95</f>
        <v>복구충당부채</v>
      </c>
      <c r="D144" s="379">
        <f>SUM(D145)</f>
        <v>0</v>
      </c>
      <c r="E144" s="379">
        <f>SUM(E145)</f>
        <v>77758201</v>
      </c>
      <c r="F144" s="395"/>
      <c r="G144" s="379"/>
      <c r="H144" s="379"/>
      <c r="I144" s="379"/>
      <c r="J144" s="379"/>
      <c r="K144" s="379"/>
      <c r="L144" s="379"/>
      <c r="M144" s="379"/>
      <c r="N144" s="379"/>
      <c r="O144" s="379"/>
      <c r="P144" s="379"/>
      <c r="Q144" s="379"/>
      <c r="R144" s="379"/>
      <c r="S144" s="379"/>
      <c r="T144" s="379"/>
      <c r="U144" s="379"/>
      <c r="V144" s="379"/>
      <c r="W144" s="379"/>
      <c r="X144" s="379"/>
      <c r="Y144" s="379"/>
      <c r="Z144" s="379"/>
      <c r="AA144" s="379"/>
      <c r="AB144" s="379"/>
      <c r="AC144" s="379"/>
      <c r="AD144" s="379"/>
      <c r="AE144" s="379"/>
      <c r="AF144" s="379"/>
      <c r="AG144" s="379"/>
      <c r="AH144" s="380"/>
    </row>
    <row r="145" spans="1:34" s="383" customFormat="1">
      <c r="A145" s="316">
        <f t="shared" si="30"/>
        <v>0</v>
      </c>
      <c r="B145" s="320"/>
      <c r="C145" s="321" t="str">
        <f>연결BS!B95</f>
        <v>복구충당부채</v>
      </c>
      <c r="D145" s="321">
        <f>연결BS!E95</f>
        <v>0</v>
      </c>
      <c r="E145" s="321">
        <f>연결BS!D95</f>
        <v>77758201</v>
      </c>
      <c r="F145" s="385">
        <f t="shared" ref="F145" si="31">E145-D145</f>
        <v>77758201</v>
      </c>
      <c r="G145" s="321"/>
      <c r="H145" s="321"/>
      <c r="I145" s="321"/>
      <c r="J145" s="321"/>
      <c r="K145" s="321"/>
      <c r="L145" s="377"/>
      <c r="M145" s="377"/>
      <c r="N145" s="377"/>
      <c r="O145" s="377"/>
      <c r="P145" s="321"/>
      <c r="Q145" s="321"/>
      <c r="R145" s="321"/>
      <c r="S145" s="321"/>
      <c r="T145" s="321"/>
      <c r="U145" s="321"/>
      <c r="V145" s="321"/>
      <c r="W145" s="321"/>
      <c r="X145" s="321"/>
      <c r="Y145" s="321"/>
      <c r="Z145" s="321"/>
      <c r="AA145" s="321"/>
      <c r="AB145" s="321" t="s">
        <v>3852</v>
      </c>
      <c r="AC145" s="321">
        <f>-BS!N118</f>
        <v>-77758201</v>
      </c>
      <c r="AD145" s="321"/>
      <c r="AE145" s="321"/>
      <c r="AF145" s="540">
        <v>0</v>
      </c>
      <c r="AG145" s="321"/>
      <c r="AH145" s="323">
        <f>-(D145-E145)+H145-K145-N145+Q145-T145+W145-Z145+SUM(AC145:AC145)-SUM(AF145:AF145)</f>
        <v>0</v>
      </c>
    </row>
    <row r="146" spans="1:34" s="383" customFormat="1">
      <c r="A146" s="316">
        <f t="shared" si="30"/>
        <v>0</v>
      </c>
      <c r="B146" s="381"/>
      <c r="C146" s="379" t="str">
        <f>연결BS!B91</f>
        <v>장기미지급금</v>
      </c>
      <c r="D146" s="379">
        <f>SUM(D147)</f>
        <v>0</v>
      </c>
      <c r="E146" s="379">
        <f>SUM(E147)</f>
        <v>299694899</v>
      </c>
      <c r="F146" s="395"/>
      <c r="G146" s="379"/>
      <c r="H146" s="379"/>
      <c r="I146" s="379"/>
      <c r="J146" s="379"/>
      <c r="K146" s="379"/>
      <c r="L146" s="379"/>
      <c r="M146" s="379"/>
      <c r="N146" s="379"/>
      <c r="O146" s="379"/>
      <c r="P146" s="379"/>
      <c r="Q146" s="379"/>
      <c r="R146" s="379"/>
      <c r="S146" s="379"/>
      <c r="T146" s="379"/>
      <c r="U146" s="379"/>
      <c r="V146" s="379"/>
      <c r="W146" s="379"/>
      <c r="X146" s="379"/>
      <c r="Y146" s="379"/>
      <c r="Z146" s="379"/>
      <c r="AA146" s="379"/>
      <c r="AB146" s="379"/>
      <c r="AC146" s="379"/>
      <c r="AD146" s="379"/>
      <c r="AE146" s="379"/>
      <c r="AF146" s="379"/>
      <c r="AG146" s="379"/>
      <c r="AH146" s="380"/>
    </row>
    <row r="147" spans="1:34" s="383" customFormat="1">
      <c r="A147" s="316">
        <f t="shared" si="30"/>
        <v>0</v>
      </c>
      <c r="B147" s="320"/>
      <c r="C147" s="321" t="str">
        <f>연결BS!B91</f>
        <v>장기미지급금</v>
      </c>
      <c r="D147" s="321">
        <f>연결BS!E91</f>
        <v>0</v>
      </c>
      <c r="E147" s="321">
        <f>연결BS!D91</f>
        <v>299694899</v>
      </c>
      <c r="F147" s="385">
        <f t="shared" ref="F147" si="32">E147-D147</f>
        <v>299694899</v>
      </c>
      <c r="G147" s="321"/>
      <c r="H147" s="321"/>
      <c r="I147" s="321"/>
      <c r="J147" s="321"/>
      <c r="K147" s="321"/>
      <c r="L147" s="377"/>
      <c r="M147" s="377"/>
      <c r="N147" s="377"/>
      <c r="O147" s="377"/>
      <c r="P147" s="321"/>
      <c r="Q147" s="321"/>
      <c r="R147" s="321"/>
      <c r="S147" s="321"/>
      <c r="T147" s="321"/>
      <c r="U147" s="321"/>
      <c r="V147" s="321"/>
      <c r="W147" s="321"/>
      <c r="X147" s="321"/>
      <c r="Y147" s="321"/>
      <c r="Z147" s="321"/>
      <c r="AA147" s="321"/>
      <c r="AB147" s="321" t="s">
        <v>3852</v>
      </c>
      <c r="AC147" s="321">
        <f>-BS!N116-BS!N117</f>
        <v>-299694899</v>
      </c>
      <c r="AD147" s="321"/>
      <c r="AE147" s="321"/>
      <c r="AF147" s="540">
        <v>0</v>
      </c>
      <c r="AG147" s="321"/>
      <c r="AH147" s="323">
        <f>-(D147-E147)+H147-K147-N147+Q147-T147+W147-Z147+SUM(AC147:AC147)-SUM(AF147:AF147)</f>
        <v>0</v>
      </c>
    </row>
    <row r="148" spans="1:34" s="383" customFormat="1">
      <c r="A148" s="316">
        <f t="shared" si="30"/>
        <v>0</v>
      </c>
      <c r="B148" s="381"/>
      <c r="C148" s="379" t="str">
        <f>연결BS!B93</f>
        <v>이연법인세부채</v>
      </c>
      <c r="D148" s="379">
        <f>SUM(D149)</f>
        <v>8355551</v>
      </c>
      <c r="E148" s="379">
        <f>SUM(E149)</f>
        <v>2462964628</v>
      </c>
      <c r="F148" s="395"/>
      <c r="G148" s="379"/>
      <c r="H148" s="379"/>
      <c r="I148" s="379"/>
      <c r="J148" s="379"/>
      <c r="K148" s="379"/>
      <c r="L148" s="379"/>
      <c r="M148" s="379"/>
      <c r="N148" s="379"/>
      <c r="O148" s="379"/>
      <c r="P148" s="379"/>
      <c r="Q148" s="379"/>
      <c r="R148" s="379"/>
      <c r="S148" s="379"/>
      <c r="T148" s="379"/>
      <c r="U148" s="379"/>
      <c r="V148" s="379"/>
      <c r="W148" s="379"/>
      <c r="X148" s="379"/>
      <c r="Y148" s="379"/>
      <c r="Z148" s="379"/>
      <c r="AA148" s="379"/>
      <c r="AB148" s="379"/>
      <c r="AC148" s="379"/>
      <c r="AD148" s="379"/>
      <c r="AE148" s="379"/>
      <c r="AF148" s="379"/>
      <c r="AG148" s="379"/>
      <c r="AH148" s="380"/>
    </row>
    <row r="149" spans="1:34" s="383" customFormat="1">
      <c r="A149" s="316">
        <f t="shared" si="30"/>
        <v>0</v>
      </c>
      <c r="B149" s="320"/>
      <c r="C149" s="321" t="str">
        <f>연결BS!B93</f>
        <v>이연법인세부채</v>
      </c>
      <c r="D149" s="321">
        <f>연결BS!E93</f>
        <v>8355551</v>
      </c>
      <c r="E149" s="321">
        <f>연결BS!D93</f>
        <v>2462964628</v>
      </c>
      <c r="F149" s="385">
        <f t="shared" ref="F149" si="33">E149-D149</f>
        <v>2454609077</v>
      </c>
      <c r="G149" s="321"/>
      <c r="H149" s="321"/>
      <c r="I149" s="321"/>
      <c r="J149" s="329" t="s">
        <v>238</v>
      </c>
      <c r="K149" s="329">
        <v>0</v>
      </c>
      <c r="L149" s="321"/>
      <c r="M149" s="329" t="s">
        <v>554</v>
      </c>
      <c r="N149" s="329">
        <f>-(D149-E149)+H149-K149+Q149-T149+W149-Z149+SUM(AC149)-SUM(AF149)</f>
        <v>4983889</v>
      </c>
      <c r="O149" s="321"/>
      <c r="P149" s="321"/>
      <c r="Q149" s="321"/>
      <c r="R149" s="321"/>
      <c r="S149" s="321"/>
      <c r="T149" s="321"/>
      <c r="U149" s="321"/>
      <c r="V149" s="321"/>
      <c r="W149" s="321"/>
      <c r="X149" s="321"/>
      <c r="Y149" s="321"/>
      <c r="Z149" s="321"/>
      <c r="AA149" s="321"/>
      <c r="AB149" s="321" t="s">
        <v>3852</v>
      </c>
      <c r="AC149" s="321">
        <f>-RIC!I77</f>
        <v>-2449625188</v>
      </c>
      <c r="AD149" s="321"/>
      <c r="AE149" s="321" t="s">
        <v>255</v>
      </c>
      <c r="AF149" s="540">
        <f>환율변동효과!D86</f>
        <v>0</v>
      </c>
      <c r="AG149" s="321"/>
      <c r="AH149" s="323">
        <f>-(D149-E149)+H149-K149-N149+Q149-T149+W149-Z149+SUM(AC149)-SUM(AF149)</f>
        <v>0</v>
      </c>
    </row>
    <row r="150" spans="1:34" s="383" customFormat="1">
      <c r="A150" s="316">
        <f t="shared" ref="A150:A159" si="34">AH150</f>
        <v>0</v>
      </c>
      <c r="B150" s="320"/>
      <c r="C150" s="321"/>
      <c r="D150" s="321"/>
      <c r="E150" s="321"/>
      <c r="F150" s="385"/>
      <c r="G150" s="321"/>
      <c r="H150" s="321"/>
      <c r="I150" s="321"/>
      <c r="J150" s="321"/>
      <c r="K150" s="321"/>
      <c r="L150" s="321"/>
      <c r="M150" s="321"/>
      <c r="N150" s="321"/>
      <c r="O150" s="321"/>
      <c r="P150" s="321"/>
      <c r="Q150" s="321"/>
      <c r="R150" s="321"/>
      <c r="S150" s="321"/>
      <c r="T150" s="321"/>
      <c r="U150" s="321"/>
      <c r="V150" s="321"/>
      <c r="W150" s="321"/>
      <c r="X150" s="321"/>
      <c r="Y150" s="321"/>
      <c r="Z150" s="321"/>
      <c r="AA150" s="321"/>
      <c r="AB150" s="321"/>
      <c r="AC150" s="321"/>
      <c r="AD150" s="321"/>
      <c r="AE150" s="377"/>
      <c r="AF150" s="386"/>
      <c r="AG150" s="321"/>
      <c r="AH150" s="323"/>
    </row>
    <row r="151" spans="1:34" s="383" customFormat="1">
      <c r="A151" s="316">
        <f t="shared" si="34"/>
        <v>0</v>
      </c>
      <c r="B151" s="381"/>
      <c r="C151" s="379" t="str">
        <f>연결BS!B98</f>
        <v>순확정급여부채</v>
      </c>
      <c r="D151" s="379">
        <f>SUM(D152:D154)</f>
        <v>1587206234</v>
      </c>
      <c r="E151" s="379">
        <f>SUM(E152:E154)</f>
        <v>710376650</v>
      </c>
      <c r="F151" s="395"/>
      <c r="G151" s="379"/>
      <c r="H151" s="379"/>
      <c r="I151" s="379"/>
      <c r="J151" s="379"/>
      <c r="K151" s="379"/>
      <c r="L151" s="379"/>
      <c r="M151" s="379"/>
      <c r="N151" s="379"/>
      <c r="O151" s="379"/>
      <c r="P151" s="379"/>
      <c r="Q151" s="379"/>
      <c r="R151" s="379"/>
      <c r="S151" s="379"/>
      <c r="T151" s="379"/>
      <c r="U151" s="379"/>
      <c r="V151" s="379"/>
      <c r="W151" s="379"/>
      <c r="X151" s="379"/>
      <c r="Y151" s="379"/>
      <c r="Z151" s="379"/>
      <c r="AA151" s="379"/>
      <c r="AB151" s="379"/>
      <c r="AC151" s="379"/>
      <c r="AD151" s="379"/>
      <c r="AE151" s="379"/>
      <c r="AF151" s="379"/>
      <c r="AG151" s="379"/>
      <c r="AH151" s="380"/>
    </row>
    <row r="152" spans="1:34" s="383" customFormat="1">
      <c r="A152" s="316">
        <f t="shared" si="34"/>
        <v>0</v>
      </c>
      <c r="B152" s="320"/>
      <c r="C152" s="321" t="str">
        <f>연결BS!B99</f>
        <v>퇴직급여충당부채</v>
      </c>
      <c r="D152" s="385">
        <f>연결BS!E99</f>
        <v>1587206234</v>
      </c>
      <c r="E152" s="385">
        <f>연결BS!D99</f>
        <v>710376650</v>
      </c>
      <c r="F152" s="385">
        <f t="shared" ref="F152:F154" si="35">E152-D152</f>
        <v>-876829584</v>
      </c>
      <c r="G152" s="321"/>
      <c r="H152" s="321"/>
      <c r="I152" s="321"/>
      <c r="J152" s="321" t="s">
        <v>178</v>
      </c>
      <c r="K152" s="1337">
        <f>'20'!C21</f>
        <v>188019390</v>
      </c>
      <c r="L152" s="321"/>
      <c r="M152" s="321" t="s">
        <v>261</v>
      </c>
      <c r="N152" s="1337">
        <f>'20'!C13</f>
        <v>-1064848974</v>
      </c>
      <c r="O152" s="321"/>
      <c r="P152" s="321"/>
      <c r="Q152" s="321"/>
      <c r="R152" s="321"/>
      <c r="S152" s="321"/>
      <c r="T152" s="321"/>
      <c r="U152" s="321"/>
      <c r="V152" s="321"/>
      <c r="W152" s="321"/>
      <c r="X152" s="321"/>
      <c r="Y152" s="321"/>
      <c r="Z152" s="321"/>
      <c r="AA152" s="321"/>
      <c r="AB152" s="321"/>
      <c r="AC152" s="377"/>
      <c r="AD152" s="321"/>
      <c r="AE152" s="321" t="s">
        <v>553</v>
      </c>
      <c r="AF152" s="1337">
        <f>-(연결CE!F17+AC55)</f>
        <v>0</v>
      </c>
      <c r="AG152" s="321"/>
      <c r="AH152" s="323">
        <f>-(D152-E152)+H152-K152-N152+Q152-T152+W152-Z152+AC152-SUM(AF152:AF153)</f>
        <v>0</v>
      </c>
    </row>
    <row r="153" spans="1:34" s="383" customFormat="1">
      <c r="A153" s="316"/>
      <c r="B153" s="320"/>
      <c r="C153" s="321"/>
      <c r="D153" s="385"/>
      <c r="E153" s="385"/>
      <c r="F153" s="385"/>
      <c r="G153" s="321"/>
      <c r="H153" s="321"/>
      <c r="I153" s="321"/>
      <c r="J153" s="321"/>
      <c r="K153" s="321"/>
      <c r="L153" s="321"/>
      <c r="M153" s="321"/>
      <c r="N153" s="377"/>
      <c r="O153" s="321"/>
      <c r="P153" s="321"/>
      <c r="Q153" s="321"/>
      <c r="R153" s="321"/>
      <c r="S153" s="321"/>
      <c r="T153" s="321"/>
      <c r="U153" s="321"/>
      <c r="V153" s="321"/>
      <c r="W153" s="321"/>
      <c r="X153" s="321"/>
      <c r="Y153" s="321"/>
      <c r="Z153" s="321"/>
      <c r="AA153" s="321"/>
      <c r="AB153" s="321"/>
      <c r="AC153" s="377"/>
      <c r="AD153" s="321"/>
      <c r="AE153" s="321"/>
      <c r="AF153" s="321"/>
      <c r="AG153" s="321"/>
      <c r="AH153" s="323"/>
    </row>
    <row r="154" spans="1:34" s="383" customFormat="1">
      <c r="A154" s="316">
        <f t="shared" si="34"/>
        <v>0</v>
      </c>
      <c r="B154" s="320"/>
      <c r="C154" s="321" t="str">
        <f>연결BS!B100</f>
        <v>퇴직연금운용자산</v>
      </c>
      <c r="D154" s="385">
        <f>연결BS!E100</f>
        <v>0</v>
      </c>
      <c r="E154" s="385">
        <f>연결BS!D100</f>
        <v>0</v>
      </c>
      <c r="F154" s="385">
        <f t="shared" si="35"/>
        <v>0</v>
      </c>
      <c r="G154" s="321"/>
      <c r="H154" s="321"/>
      <c r="I154" s="321"/>
      <c r="J154" s="321"/>
      <c r="K154" s="321"/>
      <c r="L154" s="321"/>
      <c r="M154" s="321"/>
      <c r="N154" s="321"/>
      <c r="O154" s="321"/>
      <c r="P154" s="321"/>
      <c r="Q154" s="321"/>
      <c r="R154" s="321"/>
      <c r="S154" s="321"/>
      <c r="T154" s="321"/>
      <c r="U154" s="321"/>
      <c r="V154" s="321"/>
      <c r="W154" s="321"/>
      <c r="X154" s="321"/>
      <c r="Y154" s="321"/>
      <c r="Z154" s="321"/>
      <c r="AA154" s="321"/>
      <c r="AB154" s="321"/>
      <c r="AC154" s="321"/>
      <c r="AD154" s="321"/>
      <c r="AE154" s="321"/>
      <c r="AF154" s="321"/>
      <c r="AG154" s="321"/>
      <c r="AH154" s="323">
        <f>-(D154-E154)+H154-K154-N154+Q154-T154+W154-Z154+AC154-AF154</f>
        <v>0</v>
      </c>
    </row>
    <row r="155" spans="1:34" s="383" customFormat="1">
      <c r="A155" s="316">
        <f t="shared" si="34"/>
        <v>0</v>
      </c>
      <c r="B155" s="320"/>
      <c r="C155" s="321"/>
      <c r="D155" s="321"/>
      <c r="E155" s="321"/>
      <c r="F155" s="385"/>
      <c r="G155" s="321"/>
      <c r="H155" s="321"/>
      <c r="I155" s="321"/>
      <c r="J155" s="321"/>
      <c r="K155" s="321"/>
      <c r="L155" s="321"/>
      <c r="M155" s="321"/>
      <c r="N155" s="321"/>
      <c r="O155" s="321"/>
      <c r="P155" s="321"/>
      <c r="Q155" s="321"/>
      <c r="R155" s="321"/>
      <c r="S155" s="321"/>
      <c r="T155" s="321"/>
      <c r="U155" s="321"/>
      <c r="V155" s="321"/>
      <c r="W155" s="321"/>
      <c r="X155" s="321"/>
      <c r="Y155" s="321"/>
      <c r="Z155" s="321"/>
      <c r="AA155" s="321"/>
      <c r="AB155" s="321"/>
      <c r="AC155" s="321"/>
      <c r="AD155" s="321"/>
      <c r="AE155" s="321"/>
      <c r="AF155" s="321"/>
      <c r="AG155" s="321"/>
      <c r="AH155" s="323"/>
    </row>
    <row r="156" spans="1:34" s="382" customFormat="1">
      <c r="A156" s="316">
        <f t="shared" si="34"/>
        <v>0</v>
      </c>
      <c r="B156" s="1884" t="s">
        <v>268</v>
      </c>
      <c r="C156" s="1885"/>
      <c r="D156" s="326">
        <f>+D95+D129</f>
        <v>12936132435</v>
      </c>
      <c r="E156" s="326">
        <f>+E95+E129</f>
        <v>25936495008</v>
      </c>
      <c r="F156" s="394"/>
      <c r="G156" s="326"/>
      <c r="H156" s="326"/>
      <c r="I156" s="326"/>
      <c r="J156" s="326"/>
      <c r="K156" s="326"/>
      <c r="L156" s="326"/>
      <c r="M156" s="326"/>
      <c r="N156" s="326"/>
      <c r="O156" s="326"/>
      <c r="P156" s="326"/>
      <c r="Q156" s="326"/>
      <c r="R156" s="326"/>
      <c r="S156" s="326"/>
      <c r="T156" s="326"/>
      <c r="U156" s="326"/>
      <c r="V156" s="326"/>
      <c r="W156" s="326"/>
      <c r="X156" s="326"/>
      <c r="Y156" s="326"/>
      <c r="Z156" s="326"/>
      <c r="AA156" s="326"/>
      <c r="AB156" s="326"/>
      <c r="AC156" s="321"/>
      <c r="AD156" s="326"/>
      <c r="AE156" s="326"/>
      <c r="AF156" s="326"/>
      <c r="AG156" s="326"/>
      <c r="AH156" s="327"/>
    </row>
    <row r="157" spans="1:34" s="383" customFormat="1">
      <c r="A157" s="316">
        <f t="shared" si="34"/>
        <v>0</v>
      </c>
      <c r="B157" s="320"/>
      <c r="C157" s="321"/>
      <c r="D157" s="322" t="b">
        <f>D156=연결BS!E101</f>
        <v>1</v>
      </c>
      <c r="E157" s="322" t="b">
        <f>E156=연결BS!D101</f>
        <v>1</v>
      </c>
      <c r="F157" s="393"/>
      <c r="G157" s="321"/>
      <c r="H157" s="321"/>
      <c r="I157" s="321"/>
      <c r="J157" s="321"/>
      <c r="K157" s="321"/>
      <c r="L157" s="321"/>
      <c r="M157" s="321"/>
      <c r="N157" s="321"/>
      <c r="O157" s="321"/>
      <c r="P157" s="321"/>
      <c r="Q157" s="321"/>
      <c r="R157" s="321"/>
      <c r="S157" s="321"/>
      <c r="T157" s="321"/>
      <c r="U157" s="321"/>
      <c r="V157" s="321"/>
      <c r="W157" s="321"/>
      <c r="X157" s="321"/>
      <c r="Y157" s="321"/>
      <c r="Z157" s="321"/>
      <c r="AA157" s="321"/>
      <c r="AB157" s="321"/>
      <c r="AC157" s="321"/>
      <c r="AD157" s="321"/>
      <c r="AE157" s="321"/>
      <c r="AF157" s="321"/>
      <c r="AG157" s="321"/>
      <c r="AH157" s="323"/>
    </row>
    <row r="158" spans="1:34" s="383" customFormat="1">
      <c r="A158" s="316">
        <f t="shared" si="34"/>
        <v>0</v>
      </c>
      <c r="B158" s="320"/>
      <c r="C158" s="321"/>
      <c r="D158" s="321"/>
      <c r="E158" s="321"/>
      <c r="F158" s="385"/>
      <c r="G158" s="321"/>
      <c r="H158" s="321"/>
      <c r="I158" s="321"/>
      <c r="J158" s="321"/>
      <c r="K158" s="321"/>
      <c r="L158" s="321"/>
      <c r="M158" s="321"/>
      <c r="N158" s="321"/>
      <c r="O158" s="321"/>
      <c r="P158" s="321"/>
      <c r="Q158" s="321"/>
      <c r="R158" s="321"/>
      <c r="S158" s="321"/>
      <c r="T158" s="321"/>
      <c r="U158" s="321"/>
      <c r="V158" s="321"/>
      <c r="W158" s="321"/>
      <c r="X158" s="321"/>
      <c r="Y158" s="321"/>
      <c r="Z158" s="321"/>
      <c r="AA158" s="321"/>
      <c r="AB158" s="321"/>
      <c r="AC158" s="406"/>
      <c r="AD158" s="321"/>
      <c r="AE158" s="321"/>
      <c r="AF158" s="321"/>
      <c r="AG158" s="321"/>
      <c r="AH158" s="323"/>
    </row>
    <row r="159" spans="1:34" s="383" customFormat="1">
      <c r="A159" s="316">
        <f t="shared" si="34"/>
        <v>0</v>
      </c>
      <c r="B159" s="1882" t="s">
        <v>243</v>
      </c>
      <c r="C159" s="1883"/>
      <c r="D159" s="321">
        <f>연결BS!E115</f>
        <v>42359264881</v>
      </c>
      <c r="E159" s="321">
        <f>연결BS!D115</f>
        <v>41620994839</v>
      </c>
      <c r="F159" s="385">
        <f>E159-D159</f>
        <v>-738270042</v>
      </c>
      <c r="G159" s="321" t="s">
        <v>555</v>
      </c>
      <c r="H159" s="321">
        <v>0</v>
      </c>
      <c r="I159" s="321"/>
      <c r="J159" s="321" t="s">
        <v>2473</v>
      </c>
      <c r="K159" s="321">
        <f>연결PL!D39</f>
        <v>0</v>
      </c>
      <c r="L159" s="321"/>
      <c r="M159" s="321" t="s">
        <v>505</v>
      </c>
      <c r="N159" s="321">
        <f>H159</f>
        <v>0</v>
      </c>
      <c r="O159" s="321"/>
      <c r="P159" s="321"/>
      <c r="Q159" s="321"/>
      <c r="R159" s="321"/>
      <c r="S159" s="321"/>
      <c r="T159" s="321"/>
      <c r="U159" s="321"/>
      <c r="V159" s="321" t="s">
        <v>584</v>
      </c>
      <c r="W159" s="321">
        <v>0</v>
      </c>
      <c r="X159" s="321"/>
      <c r="Y159" s="321" t="s">
        <v>3005</v>
      </c>
      <c r="Z159" s="321">
        <f>연결CE!H20</f>
        <v>0</v>
      </c>
      <c r="AA159" s="321"/>
      <c r="AB159" s="386"/>
      <c r="AC159" s="386"/>
      <c r="AD159" s="386"/>
      <c r="AE159" s="386" t="s">
        <v>255</v>
      </c>
      <c r="AF159" s="386">
        <f>연결CE!E18</f>
        <v>11298394</v>
      </c>
      <c r="AG159" s="321"/>
      <c r="AH159" s="323">
        <f>-(D159-E159)+SUM(H159:H160)-SUM(K159:K160)-SUM(N159:N160)+Q159-T159+SUM(W159:W160)-SUM(Z159:Z160)+SUM(AC159:AC164)-SUM(AF159:AF164)</f>
        <v>0</v>
      </c>
    </row>
    <row r="160" spans="1:34" s="383" customFormat="1">
      <c r="A160" s="316"/>
      <c r="B160" s="1882" t="s">
        <v>556</v>
      </c>
      <c r="C160" s="1883"/>
      <c r="D160" s="321"/>
      <c r="E160" s="321">
        <f>연결PL!D101</f>
        <v>-867554501</v>
      </c>
      <c r="F160" s="385"/>
      <c r="G160" s="328"/>
      <c r="H160" s="321"/>
      <c r="I160" s="321"/>
      <c r="J160" s="321" t="s">
        <v>148</v>
      </c>
      <c r="K160" s="321">
        <f>E160</f>
        <v>-867554501</v>
      </c>
      <c r="L160" s="321"/>
      <c r="M160" s="321"/>
      <c r="N160" s="321"/>
      <c r="O160" s="321"/>
      <c r="P160" s="321"/>
      <c r="Q160" s="321"/>
      <c r="R160" s="321"/>
      <c r="S160" s="321"/>
      <c r="T160" s="321"/>
      <c r="U160" s="321"/>
      <c r="V160" s="321" t="s">
        <v>557</v>
      </c>
      <c r="W160" s="321"/>
      <c r="X160" s="321"/>
      <c r="Y160" s="321" t="s">
        <v>2595</v>
      </c>
      <c r="Z160" s="321">
        <f>연결CE!H21</f>
        <v>0</v>
      </c>
      <c r="AA160" s="321"/>
      <c r="AB160" s="386" t="s">
        <v>611</v>
      </c>
      <c r="AC160" s="386">
        <f>AF152</f>
        <v>0</v>
      </c>
      <c r="AD160" s="386"/>
      <c r="AE160" s="386" t="s">
        <v>2451</v>
      </c>
      <c r="AF160" s="386">
        <f>-AC55</f>
        <v>0</v>
      </c>
      <c r="AG160" s="321"/>
      <c r="AH160" s="323"/>
    </row>
    <row r="161" spans="1:37" s="383" customFormat="1">
      <c r="A161" s="316"/>
      <c r="B161" s="320"/>
      <c r="C161" s="321"/>
      <c r="D161" s="322"/>
      <c r="E161" s="322"/>
      <c r="F161" s="393"/>
      <c r="G161" s="321"/>
      <c r="H161" s="321"/>
      <c r="I161" s="321"/>
      <c r="J161" s="321"/>
      <c r="K161" s="321"/>
      <c r="L161" s="321"/>
      <c r="M161" s="321"/>
      <c r="N161" s="321"/>
      <c r="O161" s="321"/>
      <c r="P161" s="321"/>
      <c r="Q161" s="321"/>
      <c r="R161" s="321"/>
      <c r="S161" s="321"/>
      <c r="T161" s="321"/>
      <c r="U161" s="321"/>
      <c r="V161" s="321"/>
      <c r="W161" s="321"/>
      <c r="X161" s="321"/>
      <c r="Y161" s="321"/>
      <c r="Z161" s="321"/>
      <c r="AA161" s="321"/>
      <c r="AB161" s="386" t="s">
        <v>3852</v>
      </c>
      <c r="AC161" s="386">
        <v>-117986065</v>
      </c>
      <c r="AD161" s="386"/>
      <c r="AE161" s="386"/>
      <c r="AF161" s="386"/>
      <c r="AG161" s="321"/>
      <c r="AH161" s="323"/>
    </row>
    <row r="162" spans="1:37" s="383" customFormat="1">
      <c r="A162" s="316"/>
      <c r="B162" s="320"/>
      <c r="C162" s="321"/>
      <c r="D162" s="321"/>
      <c r="E162" s="321"/>
      <c r="F162" s="385"/>
      <c r="G162" s="321"/>
      <c r="H162" s="321"/>
      <c r="I162" s="321"/>
      <c r="J162" s="321"/>
      <c r="K162" s="321"/>
      <c r="L162" s="321"/>
      <c r="M162" s="321"/>
      <c r="N162" s="321"/>
      <c r="O162" s="321"/>
      <c r="P162" s="321"/>
      <c r="Q162" s="321"/>
      <c r="R162" s="321"/>
      <c r="S162" s="321"/>
      <c r="T162" s="321"/>
      <c r="U162" s="321"/>
      <c r="V162" s="321"/>
      <c r="W162" s="321"/>
      <c r="X162" s="321"/>
      <c r="Y162" s="321"/>
      <c r="Z162" s="321"/>
      <c r="AA162" s="321"/>
      <c r="AB162" s="386"/>
      <c r="AC162" s="386"/>
      <c r="AD162" s="386"/>
      <c r="AE162" s="386"/>
      <c r="AF162" s="386"/>
      <c r="AG162" s="321"/>
      <c r="AH162" s="323"/>
    </row>
    <row r="163" spans="1:37" s="383" customFormat="1">
      <c r="A163" s="316"/>
      <c r="B163" s="320"/>
      <c r="C163" s="321"/>
      <c r="D163" s="321"/>
      <c r="E163" s="321"/>
      <c r="F163" s="385"/>
      <c r="G163" s="321"/>
      <c r="H163" s="321"/>
      <c r="I163" s="321"/>
      <c r="J163" s="321"/>
      <c r="K163" s="321"/>
      <c r="L163" s="321"/>
      <c r="M163" s="321"/>
      <c r="N163" s="321"/>
      <c r="O163" s="321"/>
      <c r="P163" s="321"/>
      <c r="Q163" s="321"/>
      <c r="R163" s="321"/>
      <c r="S163" s="321"/>
      <c r="T163" s="321"/>
      <c r="U163" s="321"/>
      <c r="V163" s="321"/>
      <c r="W163" s="321"/>
      <c r="X163" s="321"/>
      <c r="Y163" s="321"/>
      <c r="Z163" s="321"/>
      <c r="AA163" s="321"/>
      <c r="AB163" s="321"/>
      <c r="AC163" s="321"/>
      <c r="AD163" s="321"/>
      <c r="AE163" s="321"/>
      <c r="AF163" s="321"/>
      <c r="AG163" s="321"/>
      <c r="AH163" s="323"/>
      <c r="AJ163" s="384"/>
    </row>
    <row r="164" spans="1:37" s="383" customFormat="1">
      <c r="A164" s="316"/>
      <c r="B164" s="320"/>
      <c r="C164" s="321"/>
      <c r="D164" s="321"/>
      <c r="E164" s="321"/>
      <c r="F164" s="385"/>
      <c r="G164" s="321"/>
      <c r="H164" s="321"/>
      <c r="I164" s="321"/>
      <c r="J164" s="321"/>
      <c r="K164" s="321"/>
      <c r="L164" s="321"/>
      <c r="M164" s="321"/>
      <c r="N164" s="321"/>
      <c r="O164" s="321"/>
      <c r="P164" s="321"/>
      <c r="Q164" s="321"/>
      <c r="R164" s="321"/>
      <c r="S164" s="321"/>
      <c r="T164" s="321"/>
      <c r="U164" s="321"/>
      <c r="V164" s="321"/>
      <c r="W164" s="321"/>
      <c r="X164" s="321"/>
      <c r="Y164" s="321"/>
      <c r="Z164" s="321"/>
      <c r="AA164" s="321"/>
      <c r="AB164" s="321"/>
      <c r="AC164" s="321"/>
      <c r="AD164" s="321"/>
      <c r="AE164" s="321"/>
      <c r="AF164" s="321"/>
      <c r="AG164" s="321"/>
      <c r="AH164" s="323"/>
    </row>
    <row r="165" spans="1:37" s="382" customFormat="1">
      <c r="A165" s="324"/>
      <c r="B165" s="1884" t="s">
        <v>507</v>
      </c>
      <c r="C165" s="1885"/>
      <c r="D165" s="326">
        <f>+D159+D156</f>
        <v>55295397316</v>
      </c>
      <c r="E165" s="326">
        <f>+E159+E156</f>
        <v>67557489847</v>
      </c>
      <c r="F165" s="394"/>
      <c r="G165" s="326"/>
      <c r="H165" s="326"/>
      <c r="I165" s="326"/>
      <c r="J165" s="326"/>
      <c r="K165" s="326"/>
      <c r="L165" s="326"/>
      <c r="M165" s="326"/>
      <c r="N165" s="326"/>
      <c r="O165" s="326"/>
      <c r="P165" s="326"/>
      <c r="Q165" s="326"/>
      <c r="R165" s="326"/>
      <c r="S165" s="326"/>
      <c r="T165" s="326"/>
      <c r="U165" s="326"/>
      <c r="V165" s="326"/>
      <c r="W165" s="326"/>
      <c r="X165" s="326"/>
      <c r="Y165" s="326"/>
      <c r="Z165" s="326"/>
      <c r="AA165" s="326"/>
      <c r="AB165" s="326"/>
      <c r="AC165" s="326"/>
      <c r="AD165" s="326"/>
      <c r="AE165" s="326"/>
      <c r="AF165" s="326"/>
      <c r="AG165" s="326"/>
      <c r="AH165" s="327"/>
      <c r="AI165" s="383"/>
      <c r="AJ165" s="383"/>
    </row>
    <row r="166" spans="1:37" s="383" customFormat="1">
      <c r="A166" s="316"/>
      <c r="B166" s="320"/>
      <c r="C166" s="321"/>
      <c r="D166" s="322" t="b">
        <f>D165=연결BS!E116</f>
        <v>1</v>
      </c>
      <c r="E166" s="322" t="b">
        <f>E165=연결BS!D116</f>
        <v>1</v>
      </c>
      <c r="F166" s="393"/>
      <c r="G166" s="321"/>
      <c r="H166" s="321"/>
      <c r="I166" s="321"/>
      <c r="J166" s="321"/>
      <c r="K166" s="321"/>
      <c r="L166" s="321"/>
      <c r="M166" s="321"/>
      <c r="N166" s="385"/>
      <c r="O166" s="321"/>
      <c r="P166" s="321"/>
      <c r="Q166" s="321"/>
      <c r="R166" s="321"/>
      <c r="S166" s="321"/>
      <c r="T166" s="321"/>
      <c r="U166" s="321"/>
      <c r="V166" s="321"/>
      <c r="W166" s="321"/>
      <c r="X166" s="321"/>
      <c r="Y166" s="321"/>
      <c r="Z166" s="321"/>
      <c r="AA166" s="321"/>
      <c r="AB166" s="321"/>
      <c r="AC166" s="321"/>
      <c r="AD166" s="321"/>
      <c r="AE166" s="321"/>
      <c r="AF166" s="321"/>
      <c r="AG166" s="321"/>
      <c r="AH166" s="323"/>
    </row>
    <row r="167" spans="1:37" s="383" customFormat="1">
      <c r="A167" s="316"/>
      <c r="B167" s="320"/>
      <c r="C167" s="321"/>
      <c r="D167" s="321"/>
      <c r="E167" s="321"/>
      <c r="F167" s="385"/>
      <c r="G167" s="321"/>
      <c r="H167" s="321"/>
      <c r="I167" s="321"/>
      <c r="J167" s="321"/>
      <c r="K167" s="321"/>
      <c r="L167" s="321"/>
      <c r="M167" s="321"/>
      <c r="N167" s="385"/>
      <c r="O167" s="321"/>
      <c r="P167" s="321"/>
      <c r="Q167" s="321"/>
      <c r="R167" s="321"/>
      <c r="S167" s="321"/>
      <c r="T167" s="321"/>
      <c r="U167" s="321"/>
      <c r="V167" s="321"/>
      <c r="W167" s="321"/>
      <c r="X167" s="321"/>
      <c r="Y167" s="321"/>
      <c r="Z167" s="321"/>
      <c r="AA167" s="321"/>
      <c r="AB167" s="321"/>
      <c r="AC167" s="321"/>
      <c r="AD167" s="321"/>
      <c r="AE167" s="321"/>
      <c r="AF167" s="321"/>
      <c r="AG167" s="321"/>
      <c r="AH167" s="323">
        <f>SUM(AH8:AH166)</f>
        <v>0</v>
      </c>
    </row>
    <row r="168" spans="1:37" s="383" customFormat="1" ht="14.25" thickBot="1">
      <c r="A168" s="316"/>
      <c r="B168" s="1886" t="s">
        <v>558</v>
      </c>
      <c r="C168" s="1887"/>
      <c r="D168" s="336">
        <f>D165-D93</f>
        <v>0</v>
      </c>
      <c r="E168" s="336">
        <f>E165-E93</f>
        <v>0</v>
      </c>
      <c r="F168" s="397"/>
      <c r="G168" s="337"/>
      <c r="H168" s="337">
        <f>SUM(H8:H167)</f>
        <v>-2007024260</v>
      </c>
      <c r="I168" s="337"/>
      <c r="J168" s="337"/>
      <c r="K168" s="337">
        <f>SUM(K8:K167)</f>
        <v>-1957570287</v>
      </c>
      <c r="L168" s="337"/>
      <c r="M168" s="337"/>
      <c r="N168" s="387">
        <f>SUM(N8:N167)</f>
        <v>8657629855</v>
      </c>
      <c r="O168" s="337"/>
      <c r="P168" s="337"/>
      <c r="Q168" s="337">
        <f>SUM(Q8:Q167)</f>
        <v>8366055414</v>
      </c>
      <c r="R168" s="337"/>
      <c r="S168" s="337"/>
      <c r="T168" s="337">
        <f>SUM(T8:T167)</f>
        <v>18208436</v>
      </c>
      <c r="U168" s="337"/>
      <c r="V168" s="337"/>
      <c r="W168" s="337">
        <f>SUM(W8:W167)</f>
        <v>359236850</v>
      </c>
      <c r="X168" s="337"/>
      <c r="Y168" s="337"/>
      <c r="Z168" s="337">
        <f>SUM(Z8:Z167)</f>
        <v>0</v>
      </c>
      <c r="AA168" s="337"/>
      <c r="AB168" s="337"/>
      <c r="AC168" s="337">
        <f>SUM(AC8:AC167)</f>
        <v>-236773302</v>
      </c>
      <c r="AD168" s="337"/>
      <c r="AE168" s="337"/>
      <c r="AF168" s="337">
        <f>SUM(AF8:AF167)</f>
        <v>-236773302</v>
      </c>
      <c r="AG168" s="337"/>
      <c r="AH168" s="323">
        <f>D168-E168+H168-K168-N168+Q168-T168+W168-Z168+AC168-AF168</f>
        <v>0</v>
      </c>
      <c r="AJ168" s="383">
        <f>연결CF!C68</f>
        <v>0</v>
      </c>
      <c r="AK168" s="383">
        <f>AJ168+AH168</f>
        <v>0</v>
      </c>
    </row>
    <row r="169" spans="1:37" s="383" customFormat="1" ht="14.25" thickTop="1">
      <c r="A169" s="316"/>
      <c r="B169" s="320"/>
      <c r="C169" s="321"/>
      <c r="D169" s="321"/>
      <c r="E169" s="321"/>
      <c r="F169" s="385"/>
      <c r="G169" s="321" t="s">
        <v>559</v>
      </c>
      <c r="H169" s="321"/>
      <c r="I169" s="321"/>
      <c r="J169" s="321" t="s">
        <v>560</v>
      </c>
      <c r="K169" s="321"/>
      <c r="L169" s="321"/>
      <c r="M169" s="321" t="s">
        <v>561</v>
      </c>
      <c r="N169" s="385"/>
      <c r="O169" s="321"/>
      <c r="P169" s="321"/>
      <c r="Q169" s="321"/>
      <c r="R169" s="321"/>
      <c r="S169" s="321"/>
      <c r="T169" s="321"/>
      <c r="U169" s="321"/>
      <c r="V169" s="321"/>
      <c r="W169" s="321"/>
      <c r="X169" s="321"/>
      <c r="Y169" s="321"/>
      <c r="Z169" s="321"/>
      <c r="AA169" s="321"/>
      <c r="AB169" s="321"/>
      <c r="AC169" s="321"/>
      <c r="AD169" s="321"/>
      <c r="AE169" s="321"/>
      <c r="AF169" s="321"/>
      <c r="AG169" s="321"/>
      <c r="AH169" s="323"/>
    </row>
    <row r="170" spans="1:37" s="383" customFormat="1">
      <c r="A170" s="316"/>
      <c r="B170" s="320"/>
      <c r="C170" s="321"/>
      <c r="D170" s="338"/>
      <c r="E170" s="338"/>
      <c r="F170" s="385"/>
      <c r="G170" s="321" t="s">
        <v>562</v>
      </c>
      <c r="H170" s="321">
        <f>H168-H171</f>
        <v>-2874578761</v>
      </c>
      <c r="I170" s="321"/>
      <c r="J170" s="339" t="s">
        <v>563</v>
      </c>
      <c r="K170" s="321">
        <f>K168-K171</f>
        <v>-1957570287</v>
      </c>
      <c r="L170" s="321"/>
      <c r="M170" s="339" t="s">
        <v>564</v>
      </c>
      <c r="N170" s="385">
        <f>N168-SUM(N171:N175)</f>
        <v>1226826854</v>
      </c>
      <c r="O170" s="321"/>
      <c r="P170" s="321"/>
      <c r="Q170" s="321"/>
      <c r="R170" s="321"/>
      <c r="S170" s="321"/>
      <c r="T170" s="321"/>
      <c r="U170" s="321"/>
      <c r="V170" s="321"/>
      <c r="W170" s="321"/>
      <c r="X170" s="321"/>
      <c r="Y170" s="321"/>
      <c r="Z170" s="321"/>
      <c r="AA170" s="321"/>
      <c r="AB170" s="321"/>
      <c r="AC170" s="321"/>
      <c r="AD170" s="321"/>
      <c r="AE170" s="321"/>
      <c r="AF170" s="321"/>
      <c r="AG170" s="321"/>
      <c r="AH170" s="323"/>
    </row>
    <row r="171" spans="1:37" s="383" customFormat="1">
      <c r="A171" s="316"/>
      <c r="B171" s="320"/>
      <c r="C171" s="321"/>
      <c r="D171" s="338"/>
      <c r="E171" s="338"/>
      <c r="F171" s="385"/>
      <c r="G171" s="321" t="s">
        <v>571</v>
      </c>
      <c r="H171" s="407">
        <f>IF(E160&lt;0,-E160,"0")</f>
        <v>867554501</v>
      </c>
      <c r="I171" s="321"/>
      <c r="J171" s="321" t="s">
        <v>502</v>
      </c>
      <c r="K171" s="321">
        <f>IF(E160&gt;0,E160,)</f>
        <v>0</v>
      </c>
      <c r="L171" s="321"/>
      <c r="M171" s="321" t="str">
        <f>M11</f>
        <v>현금및현금성자산의 증가(감소)</v>
      </c>
      <c r="N171" s="385">
        <f>N11</f>
        <v>7504788435</v>
      </c>
      <c r="O171" s="321"/>
      <c r="P171" s="321"/>
      <c r="Q171" s="321"/>
      <c r="R171" s="321"/>
      <c r="S171" s="321"/>
      <c r="T171" s="321"/>
      <c r="U171" s="321"/>
      <c r="V171" s="321"/>
      <c r="W171" s="321"/>
      <c r="X171" s="321"/>
      <c r="Y171" s="321"/>
      <c r="Z171" s="321"/>
      <c r="AA171" s="321"/>
      <c r="AB171" s="321"/>
      <c r="AC171" s="321"/>
      <c r="AD171" s="321"/>
      <c r="AE171" s="321"/>
      <c r="AF171" s="321"/>
      <c r="AG171" s="321"/>
      <c r="AH171" s="323"/>
    </row>
    <row r="172" spans="1:37" s="383" customFormat="1" ht="14.25" thickBot="1">
      <c r="A172" s="316"/>
      <c r="B172" s="340"/>
      <c r="C172" s="341"/>
      <c r="D172" s="342"/>
      <c r="E172" s="342"/>
      <c r="F172" s="388"/>
      <c r="G172" s="341"/>
      <c r="H172" s="341"/>
      <c r="I172" s="341"/>
      <c r="J172" s="341"/>
      <c r="K172" s="341"/>
      <c r="L172" s="341"/>
      <c r="M172" s="341" t="s">
        <v>504</v>
      </c>
      <c r="N172" s="388">
        <f>N21</f>
        <v>14072249</v>
      </c>
      <c r="O172" s="341"/>
      <c r="P172" s="341"/>
      <c r="Q172" s="341"/>
      <c r="R172" s="341"/>
      <c r="S172" s="341"/>
      <c r="T172" s="341"/>
      <c r="U172" s="341"/>
      <c r="V172" s="341"/>
      <c r="W172" s="341"/>
      <c r="X172" s="341"/>
      <c r="Y172" s="341"/>
      <c r="Z172" s="341"/>
      <c r="AA172" s="341"/>
      <c r="AB172" s="341"/>
      <c r="AC172" s="341"/>
      <c r="AD172" s="341"/>
      <c r="AE172" s="341"/>
      <c r="AF172" s="341"/>
      <c r="AG172" s="341"/>
      <c r="AH172" s="343"/>
    </row>
    <row r="173" spans="1:37" s="383" customFormat="1">
      <c r="A173" s="316"/>
      <c r="B173" s="316"/>
      <c r="C173" s="316"/>
      <c r="D173" s="315"/>
      <c r="E173" s="315"/>
      <c r="F173" s="389"/>
      <c r="G173" s="316"/>
      <c r="H173" s="316"/>
      <c r="I173" s="316"/>
      <c r="J173" s="316"/>
      <c r="K173" s="316"/>
      <c r="L173" s="316"/>
      <c r="M173" s="316" t="s">
        <v>551</v>
      </c>
      <c r="N173" s="389">
        <f>N102</f>
        <v>-91837405</v>
      </c>
      <c r="O173" s="316"/>
      <c r="P173" s="316"/>
      <c r="Q173" s="316"/>
      <c r="R173" s="316"/>
      <c r="S173" s="316"/>
      <c r="T173" s="316"/>
      <c r="U173" s="316"/>
      <c r="V173" s="316"/>
      <c r="W173" s="316"/>
      <c r="X173" s="316"/>
      <c r="Y173" s="316"/>
      <c r="Z173" s="316"/>
      <c r="AA173" s="316"/>
      <c r="AB173" s="316"/>
      <c r="AC173" s="316"/>
      <c r="AD173" s="316"/>
      <c r="AE173" s="316"/>
      <c r="AF173" s="316">
        <f>AF168-AC168</f>
        <v>0</v>
      </c>
      <c r="AG173" s="316"/>
      <c r="AH173" s="316"/>
    </row>
    <row r="174" spans="1:37">
      <c r="E174" s="314"/>
      <c r="F174" s="398"/>
      <c r="H174" s="314"/>
      <c r="I174" s="314"/>
      <c r="K174" s="314"/>
      <c r="M174" s="316" t="s">
        <v>262</v>
      </c>
      <c r="N174" s="389">
        <f>+N53+N108+N149+N90</f>
        <v>3779722</v>
      </c>
      <c r="AC174" s="344"/>
      <c r="AF174" s="344"/>
    </row>
    <row r="175" spans="1:37">
      <c r="C175" s="316"/>
      <c r="D175" s="316"/>
      <c r="E175" s="316"/>
      <c r="G175" s="316"/>
      <c r="I175" s="314"/>
      <c r="K175" s="314"/>
      <c r="M175" s="316" t="s">
        <v>565</v>
      </c>
      <c r="N175" s="389">
        <f>N159</f>
        <v>0</v>
      </c>
      <c r="AC175" s="344"/>
      <c r="AF175" s="316"/>
    </row>
    <row r="176" spans="1:37">
      <c r="C176" s="316"/>
      <c r="D176" s="316"/>
      <c r="E176" s="316"/>
      <c r="G176" s="316"/>
      <c r="I176" s="314"/>
      <c r="J176" s="344"/>
      <c r="K176" s="314"/>
      <c r="M176" s="316"/>
      <c r="N176" s="389"/>
      <c r="AB176" s="316" t="s">
        <v>255</v>
      </c>
      <c r="AC176" s="316">
        <f>SUMIF($AB$13:$AB$172,$AB$176,$AC$13:$AC$172)</f>
        <v>-94068779</v>
      </c>
      <c r="AD176" s="316"/>
      <c r="AE176" s="345" t="s">
        <v>255</v>
      </c>
      <c r="AF176" s="316">
        <f>SUMIF($AE$13:$AE$172,$AE$176,$AF$13:$AF$172)</f>
        <v>-378735443</v>
      </c>
      <c r="AH176" s="389">
        <f>AC176-AF176</f>
        <v>284666664</v>
      </c>
    </row>
    <row r="177" spans="3:34">
      <c r="C177" s="316"/>
      <c r="D177" s="316"/>
      <c r="E177" s="316"/>
      <c r="G177" s="316"/>
      <c r="I177" s="314"/>
      <c r="K177" s="344"/>
      <c r="M177" s="344"/>
      <c r="N177" s="389"/>
      <c r="AB177" s="316"/>
      <c r="AC177" s="316">
        <f>SUM(환율변동효과!D15:D65)</f>
        <v>-169187089</v>
      </c>
      <c r="AD177" s="316"/>
      <c r="AE177" s="316"/>
      <c r="AF177" s="316">
        <f>SUM(환율변동효과!D68:D87)</f>
        <v>-138106974</v>
      </c>
      <c r="AG177" s="316"/>
      <c r="AH177" s="389">
        <f>AC177-AF177</f>
        <v>-31080115</v>
      </c>
    </row>
    <row r="178" spans="3:34">
      <c r="C178" s="316"/>
      <c r="D178" s="316"/>
      <c r="E178" s="316"/>
      <c r="G178" s="316"/>
      <c r="I178" s="314"/>
      <c r="K178" s="344"/>
      <c r="M178" s="344"/>
      <c r="AB178" s="316"/>
      <c r="AC178" s="316"/>
      <c r="AD178" s="316"/>
      <c r="AE178" s="316"/>
      <c r="AF178" s="316"/>
      <c r="AG178" s="316"/>
      <c r="AH178" s="316"/>
    </row>
    <row r="179" spans="3:34">
      <c r="C179" s="316"/>
      <c r="D179" s="316"/>
      <c r="E179" s="316"/>
      <c r="F179" s="389" t="s">
        <v>121</v>
      </c>
      <c r="G179" s="316" t="s">
        <v>121</v>
      </c>
      <c r="H179" s="383">
        <f t="shared" ref="H179:H189" si="36">-SUMIF($G$6:$G$168,G179,$H$6:$H$168)</f>
        <v>-37603839</v>
      </c>
      <c r="I179" s="314"/>
      <c r="M179" s="314" t="s">
        <v>2479</v>
      </c>
      <c r="N179" s="316">
        <f t="shared" ref="N179:N199" si="37">SUMIF($M$6:$M$168,M179,$N$6:$N$168)</f>
        <v>7504788435</v>
      </c>
      <c r="P179" s="314" t="s">
        <v>256</v>
      </c>
      <c r="Q179" s="316">
        <f t="shared" ref="Q179:Q185" si="38">SUMIF(P$6:P$168,P179,Q$6:Q$168)</f>
        <v>0</v>
      </c>
      <c r="S179" s="314" t="s">
        <v>2495</v>
      </c>
      <c r="T179" s="316">
        <f t="shared" ref="T179:T185" si="39">SUMIF(S$6:S$168,S179,T$6:T$168)</f>
        <v>0</v>
      </c>
      <c r="V179" s="314" t="s">
        <v>2453</v>
      </c>
      <c r="W179" s="316">
        <f t="shared" ref="W179:W184" si="40">SUMIF(V$6:V$168,V179,W$6:W$168)</f>
        <v>275936850</v>
      </c>
      <c r="Y179" s="314" t="s">
        <v>2503</v>
      </c>
      <c r="Z179" s="316">
        <f>SUMIF(Y$6:Y$168,Y179,Z$6:Z$168)</f>
        <v>0</v>
      </c>
      <c r="AB179" s="316"/>
      <c r="AC179" s="316"/>
      <c r="AD179" s="316"/>
      <c r="AE179" s="316"/>
      <c r="AG179" s="316"/>
      <c r="AH179" s="316"/>
    </row>
    <row r="180" spans="3:34">
      <c r="C180" s="316"/>
      <c r="D180" s="316"/>
      <c r="E180" s="316"/>
      <c r="F180" s="389" t="s">
        <v>2474</v>
      </c>
      <c r="G180" s="316" t="s">
        <v>2474</v>
      </c>
      <c r="H180" s="383">
        <f t="shared" si="36"/>
        <v>0</v>
      </c>
      <c r="I180" s="314"/>
      <c r="K180" s="316" t="s">
        <v>1803</v>
      </c>
      <c r="M180" s="314" t="s">
        <v>2480</v>
      </c>
      <c r="N180" s="316">
        <f t="shared" si="37"/>
        <v>502587042</v>
      </c>
      <c r="P180" s="314" t="s">
        <v>3851</v>
      </c>
      <c r="Q180" s="316">
        <f t="shared" si="38"/>
        <v>7322817400</v>
      </c>
      <c r="S180" s="314" t="s">
        <v>2496</v>
      </c>
      <c r="T180" s="316">
        <f t="shared" si="39"/>
        <v>1250001</v>
      </c>
      <c r="V180" s="314" t="s">
        <v>2499</v>
      </c>
      <c r="W180" s="316">
        <f t="shared" si="40"/>
        <v>0</v>
      </c>
      <c r="Y180" s="314" t="s">
        <v>2504</v>
      </c>
      <c r="Z180" s="316">
        <f>SUMIF(Y$6:Y$168,Y180,Z$6:Z$168)</f>
        <v>0</v>
      </c>
      <c r="AB180" s="316"/>
      <c r="AC180" s="316"/>
      <c r="AD180" s="316"/>
      <c r="AE180" s="316"/>
      <c r="AF180" s="344"/>
      <c r="AG180" s="316"/>
      <c r="AH180" s="316"/>
    </row>
    <row r="181" spans="3:34">
      <c r="C181" s="316"/>
      <c r="D181" s="316"/>
      <c r="E181" s="316"/>
      <c r="F181" s="389" t="s">
        <v>2475</v>
      </c>
      <c r="G181" s="316" t="s">
        <v>2475</v>
      </c>
      <c r="H181" s="383">
        <f t="shared" si="36"/>
        <v>0</v>
      </c>
      <c r="I181" s="346"/>
      <c r="K181" s="316" t="s">
        <v>2507</v>
      </c>
      <c r="M181" s="314" t="s">
        <v>2481</v>
      </c>
      <c r="N181" s="316">
        <f t="shared" si="37"/>
        <v>14072249</v>
      </c>
      <c r="P181" s="314" t="s">
        <v>323</v>
      </c>
      <c r="Q181" s="316">
        <f t="shared" si="38"/>
        <v>0</v>
      </c>
      <c r="S181" s="314" t="s">
        <v>2497</v>
      </c>
      <c r="T181" s="316">
        <f t="shared" si="39"/>
        <v>0</v>
      </c>
      <c r="V181" s="314" t="s">
        <v>2500</v>
      </c>
      <c r="W181" s="316">
        <f t="shared" si="40"/>
        <v>83300000</v>
      </c>
      <c r="Y181" s="314" t="s">
        <v>552</v>
      </c>
      <c r="Z181" s="316">
        <f>SUMIF(Y$6:Y$168,Y181,Z$6:Z$168)</f>
        <v>0</v>
      </c>
      <c r="AB181" s="316"/>
      <c r="AC181" s="316"/>
      <c r="AD181" s="316"/>
      <c r="AE181" s="316"/>
      <c r="AF181" s="316"/>
      <c r="AG181" s="316"/>
      <c r="AH181" s="316"/>
    </row>
    <row r="182" spans="3:34">
      <c r="C182" s="316"/>
      <c r="D182" s="316"/>
      <c r="E182" s="316"/>
      <c r="F182" s="389" t="s">
        <v>133</v>
      </c>
      <c r="G182" s="316" t="s">
        <v>133</v>
      </c>
      <c r="H182" s="383">
        <f t="shared" si="36"/>
        <v>-22101454</v>
      </c>
      <c r="I182" s="347"/>
      <c r="K182" s="316" t="s">
        <v>1804</v>
      </c>
      <c r="M182" s="344" t="s">
        <v>2482</v>
      </c>
      <c r="N182" s="316">
        <f t="shared" si="37"/>
        <v>4005688</v>
      </c>
      <c r="P182" s="314" t="s">
        <v>2493</v>
      </c>
      <c r="Q182" s="316">
        <f t="shared" si="38"/>
        <v>940715535</v>
      </c>
      <c r="S182" s="314" t="s">
        <v>1815</v>
      </c>
      <c r="T182" s="316">
        <f t="shared" si="39"/>
        <v>452135</v>
      </c>
      <c r="V182" s="314" t="s">
        <v>2501</v>
      </c>
      <c r="W182" s="316">
        <f t="shared" si="40"/>
        <v>0</v>
      </c>
      <c r="Y182" s="314" t="s">
        <v>2595</v>
      </c>
      <c r="Z182" s="316">
        <f>SUMIF(Y$6:Y$168,Y182,Z$6:Z$168)</f>
        <v>0</v>
      </c>
      <c r="AC182" s="316"/>
      <c r="AE182" s="316"/>
      <c r="AF182" s="316"/>
      <c r="AG182" s="316"/>
      <c r="AH182" s="316"/>
    </row>
    <row r="183" spans="3:34">
      <c r="C183" s="316"/>
      <c r="D183" s="316"/>
      <c r="E183" s="316"/>
      <c r="F183" s="389" t="s">
        <v>363</v>
      </c>
      <c r="G183" s="316" t="s">
        <v>790</v>
      </c>
      <c r="H183" s="383">
        <f t="shared" si="36"/>
        <v>-14089</v>
      </c>
      <c r="I183" s="314"/>
      <c r="K183" s="316" t="s">
        <v>503</v>
      </c>
      <c r="M183" s="314" t="s">
        <v>503</v>
      </c>
      <c r="N183" s="316">
        <f t="shared" si="37"/>
        <v>-326232101</v>
      </c>
      <c r="P183" s="314" t="s">
        <v>548</v>
      </c>
      <c r="Q183" s="316">
        <f t="shared" si="38"/>
        <v>95882479</v>
      </c>
      <c r="S183" s="314" t="s">
        <v>1863</v>
      </c>
      <c r="T183" s="316">
        <f t="shared" si="39"/>
        <v>0</v>
      </c>
      <c r="V183" s="314" t="s">
        <v>584</v>
      </c>
      <c r="W183" s="316">
        <f t="shared" si="40"/>
        <v>0</v>
      </c>
      <c r="Y183" s="314" t="s">
        <v>598</v>
      </c>
      <c r="Z183" s="316">
        <f>SUMIF(Y$6:Y$168,Y183,Z$6:Z$168)</f>
        <v>0</v>
      </c>
      <c r="AC183" s="344"/>
      <c r="AE183" s="316"/>
      <c r="AF183" s="316"/>
      <c r="AG183" s="316"/>
      <c r="AH183" s="316"/>
    </row>
    <row r="184" spans="3:34">
      <c r="C184" s="316"/>
      <c r="D184" s="316"/>
      <c r="E184" s="316"/>
      <c r="F184" s="389" t="s">
        <v>363</v>
      </c>
      <c r="G184" s="316" t="s">
        <v>792</v>
      </c>
      <c r="H184" s="383">
        <f t="shared" si="36"/>
        <v>0</v>
      </c>
      <c r="I184" s="314"/>
      <c r="K184" s="316" t="s">
        <v>1804</v>
      </c>
      <c r="M184" s="314" t="s">
        <v>2483</v>
      </c>
      <c r="N184" s="316">
        <f t="shared" si="37"/>
        <v>1650893458</v>
      </c>
      <c r="P184" s="314" t="s">
        <v>2494</v>
      </c>
      <c r="Q184" s="316">
        <f t="shared" si="38"/>
        <v>6000000</v>
      </c>
      <c r="S184" s="314" t="s">
        <v>2498</v>
      </c>
      <c r="T184" s="316">
        <f>SUMIF(S$6:S$168,S184,T$6:T$168)</f>
        <v>15978000</v>
      </c>
      <c r="V184" s="314" t="s">
        <v>2502</v>
      </c>
      <c r="W184" s="316">
        <f t="shared" si="40"/>
        <v>0</v>
      </c>
      <c r="Z184" s="316"/>
      <c r="AC184" s="398"/>
      <c r="AG184" s="316"/>
      <c r="AH184" s="316"/>
    </row>
    <row r="185" spans="3:34">
      <c r="C185" s="316"/>
      <c r="D185" s="316"/>
      <c r="E185" s="316"/>
      <c r="F185" s="389" t="s">
        <v>363</v>
      </c>
      <c r="G185" s="316" t="s">
        <v>2476</v>
      </c>
      <c r="H185" s="383">
        <f t="shared" si="36"/>
        <v>0</v>
      </c>
      <c r="I185" s="314"/>
      <c r="K185" s="316" t="s">
        <v>1804</v>
      </c>
      <c r="M185" s="314" t="s">
        <v>2484</v>
      </c>
      <c r="N185" s="316">
        <f t="shared" si="37"/>
        <v>-1224661945</v>
      </c>
      <c r="P185" s="314" t="s">
        <v>1866</v>
      </c>
      <c r="Q185" s="316">
        <f t="shared" si="38"/>
        <v>640000</v>
      </c>
      <c r="S185" s="314" t="s">
        <v>1865</v>
      </c>
      <c r="T185" s="316">
        <f t="shared" si="39"/>
        <v>528300</v>
      </c>
      <c r="Z185" s="316"/>
      <c r="AF185" s="316"/>
    </row>
    <row r="186" spans="3:34">
      <c r="C186" s="316"/>
      <c r="D186" s="316"/>
      <c r="E186" s="316"/>
      <c r="F186" s="389" t="s">
        <v>363</v>
      </c>
      <c r="G186" s="316" t="s">
        <v>2730</v>
      </c>
      <c r="H186" s="383">
        <f t="shared" si="36"/>
        <v>0</v>
      </c>
      <c r="I186" s="314"/>
      <c r="K186" s="316" t="s">
        <v>1804</v>
      </c>
      <c r="M186" s="314" t="s">
        <v>2765</v>
      </c>
      <c r="N186" s="316">
        <f t="shared" si="37"/>
        <v>3420413</v>
      </c>
      <c r="Q186" s="344">
        <f>SUM(Q179:Q185)</f>
        <v>8366055414</v>
      </c>
      <c r="T186" s="344">
        <f>SUM(T179:T185)</f>
        <v>18208436</v>
      </c>
      <c r="W186" s="344">
        <f>SUM(W179:W184)</f>
        <v>359236850</v>
      </c>
      <c r="Z186" s="344">
        <f>SUM(Z179:Z185)</f>
        <v>0</v>
      </c>
      <c r="AC186" s="344"/>
      <c r="AF186" s="316"/>
    </row>
    <row r="187" spans="3:34">
      <c r="C187" s="316"/>
      <c r="D187" s="316"/>
      <c r="E187" s="316"/>
      <c r="F187" s="389" t="s">
        <v>3491</v>
      </c>
      <c r="G187" s="316" t="s">
        <v>3492</v>
      </c>
      <c r="H187" s="383">
        <f t="shared" si="36"/>
        <v>2067945777</v>
      </c>
      <c r="I187" s="314"/>
      <c r="K187" s="316" t="s">
        <v>2505</v>
      </c>
      <c r="M187" s="314" t="s">
        <v>2485</v>
      </c>
      <c r="N187" s="316">
        <f t="shared" si="37"/>
        <v>-1204167</v>
      </c>
      <c r="Q187" s="314" t="b">
        <f>Q186=Q168</f>
        <v>1</v>
      </c>
      <c r="T187" s="314" t="b">
        <f>T186=T168</f>
        <v>1</v>
      </c>
      <c r="W187" s="314" t="b">
        <f>W186=W168</f>
        <v>1</v>
      </c>
      <c r="Z187" s="314" t="b">
        <f>Z186=Z168</f>
        <v>1</v>
      </c>
    </row>
    <row r="188" spans="3:34">
      <c r="C188" s="316"/>
      <c r="D188" s="316"/>
      <c r="E188" s="316"/>
      <c r="F188" s="389" t="s">
        <v>122</v>
      </c>
      <c r="G188" s="316" t="s">
        <v>122</v>
      </c>
      <c r="H188" s="383">
        <f t="shared" si="36"/>
        <v>-1202135</v>
      </c>
      <c r="I188" s="314"/>
      <c r="K188" s="316" t="s">
        <v>2505</v>
      </c>
      <c r="M188" s="314" t="s">
        <v>549</v>
      </c>
      <c r="N188" s="316">
        <f t="shared" si="37"/>
        <v>0</v>
      </c>
      <c r="AC188" s="1833"/>
      <c r="AF188" s="1834">
        <f>AC188+AF173</f>
        <v>0</v>
      </c>
    </row>
    <row r="189" spans="3:34">
      <c r="C189" s="316"/>
      <c r="D189" s="316"/>
      <c r="E189" s="316"/>
      <c r="F189" s="389" t="s">
        <v>2477</v>
      </c>
      <c r="G189" s="316" t="s">
        <v>2477</v>
      </c>
      <c r="H189" s="383">
        <f t="shared" si="36"/>
        <v>0</v>
      </c>
      <c r="I189" s="314"/>
      <c r="J189" s="344">
        <f>-SUM(H179:H189)</f>
        <v>-2007024260</v>
      </c>
      <c r="K189" s="316" t="s">
        <v>2108</v>
      </c>
      <c r="M189" s="314" t="s">
        <v>2486</v>
      </c>
      <c r="N189" s="316">
        <f t="shared" si="37"/>
        <v>116569589</v>
      </c>
    </row>
    <row r="190" spans="3:34">
      <c r="F190" s="389" t="s">
        <v>127</v>
      </c>
      <c r="G190" s="314" t="s">
        <v>127</v>
      </c>
      <c r="H190" s="383">
        <f t="shared" ref="H190:H210" si="41">SUMIF($J$6:$J$168,G190,$K$6:$K$168)</f>
        <v>2</v>
      </c>
      <c r="I190" s="314"/>
      <c r="J190" s="314" t="b">
        <f>J189=H168</f>
        <v>1</v>
      </c>
      <c r="K190" s="316" t="s">
        <v>2108</v>
      </c>
      <c r="M190" s="314" t="s">
        <v>2487</v>
      </c>
      <c r="N190" s="316">
        <f t="shared" si="37"/>
        <v>-22895999</v>
      </c>
    </row>
    <row r="191" spans="3:34">
      <c r="F191" s="389" t="s">
        <v>322</v>
      </c>
      <c r="G191" s="314" t="s">
        <v>322</v>
      </c>
      <c r="H191" s="383">
        <f t="shared" si="41"/>
        <v>0</v>
      </c>
      <c r="I191" s="314"/>
      <c r="K191" s="316" t="s">
        <v>2108</v>
      </c>
      <c r="M191" s="314" t="s">
        <v>2488</v>
      </c>
      <c r="N191" s="316">
        <f t="shared" si="37"/>
        <v>1772577408</v>
      </c>
    </row>
    <row r="192" spans="3:34">
      <c r="F192" s="389" t="s">
        <v>2679</v>
      </c>
      <c r="G192" s="346" t="s">
        <v>2679</v>
      </c>
      <c r="H192" s="383">
        <f t="shared" si="41"/>
        <v>-2067945777</v>
      </c>
      <c r="I192" s="314"/>
      <c r="K192" s="316" t="s">
        <v>2506</v>
      </c>
      <c r="M192" s="314" t="s">
        <v>2489</v>
      </c>
      <c r="N192" s="316">
        <f t="shared" si="37"/>
        <v>-91837405</v>
      </c>
    </row>
    <row r="193" spans="6:14">
      <c r="F193" s="389" t="s">
        <v>174</v>
      </c>
      <c r="G193" s="346" t="s">
        <v>174</v>
      </c>
      <c r="H193" s="383">
        <f t="shared" si="41"/>
        <v>-83305712</v>
      </c>
      <c r="I193" s="314"/>
      <c r="K193" s="316" t="s">
        <v>2109</v>
      </c>
      <c r="M193" s="314" t="s">
        <v>2490</v>
      </c>
      <c r="N193" s="316">
        <f t="shared" si="37"/>
        <v>85200680</v>
      </c>
    </row>
    <row r="194" spans="6:14">
      <c r="F194" s="389" t="s">
        <v>363</v>
      </c>
      <c r="G194" s="314" t="s">
        <v>801</v>
      </c>
      <c r="H194" s="383">
        <f t="shared" si="41"/>
        <v>0</v>
      </c>
      <c r="I194" s="314"/>
      <c r="K194" s="316" t="s">
        <v>2109</v>
      </c>
      <c r="M194" s="314" t="s">
        <v>2491</v>
      </c>
      <c r="N194" s="316">
        <f t="shared" si="37"/>
        <v>-265408405</v>
      </c>
    </row>
    <row r="195" spans="6:14">
      <c r="F195" s="389" t="s">
        <v>363</v>
      </c>
      <c r="G195" s="314" t="s">
        <v>2478</v>
      </c>
      <c r="H195" s="383">
        <f t="shared" si="41"/>
        <v>102749779</v>
      </c>
      <c r="I195" s="314"/>
      <c r="K195" s="316" t="s">
        <v>2109</v>
      </c>
      <c r="M195" s="314" t="s">
        <v>2928</v>
      </c>
      <c r="N195" s="316">
        <f t="shared" si="37"/>
        <v>0</v>
      </c>
    </row>
    <row r="196" spans="6:14">
      <c r="F196" s="389" t="s">
        <v>363</v>
      </c>
      <c r="G196" s="314" t="s">
        <v>2604</v>
      </c>
      <c r="H196" s="383">
        <f t="shared" si="41"/>
        <v>18239636</v>
      </c>
      <c r="I196" s="314"/>
      <c r="K196" s="316" t="s">
        <v>2505</v>
      </c>
      <c r="M196" s="314" t="s">
        <v>2492</v>
      </c>
      <c r="N196" s="316">
        <f t="shared" si="37"/>
        <v>4983889</v>
      </c>
    </row>
    <row r="197" spans="6:14">
      <c r="F197" s="389" t="s">
        <v>363</v>
      </c>
      <c r="G197" s="314" t="s">
        <v>807</v>
      </c>
      <c r="H197" s="383">
        <f t="shared" si="41"/>
        <v>10217848</v>
      </c>
      <c r="I197" s="314"/>
      <c r="K197" s="316" t="s">
        <v>2110</v>
      </c>
      <c r="M197" s="314" t="s">
        <v>261</v>
      </c>
      <c r="N197" s="316">
        <f t="shared" si="37"/>
        <v>-1064848974</v>
      </c>
    </row>
    <row r="198" spans="6:14">
      <c r="F198" s="389" t="s">
        <v>2768</v>
      </c>
      <c r="G198" s="389" t="s">
        <v>2768</v>
      </c>
      <c r="H198" s="383">
        <f t="shared" si="41"/>
        <v>-3000000</v>
      </c>
      <c r="I198" s="314"/>
      <c r="K198" s="316" t="s">
        <v>2753</v>
      </c>
      <c r="M198" s="314" t="s">
        <v>2753</v>
      </c>
      <c r="N198" s="316">
        <f t="shared" si="37"/>
        <v>-4380000</v>
      </c>
    </row>
    <row r="199" spans="6:14">
      <c r="F199" s="389" t="s">
        <v>238</v>
      </c>
      <c r="G199" s="314" t="s">
        <v>238</v>
      </c>
      <c r="H199" s="383">
        <f t="shared" si="41"/>
        <v>4983889</v>
      </c>
      <c r="I199" s="314"/>
      <c r="M199" s="314" t="s">
        <v>505</v>
      </c>
      <c r="N199" s="316">
        <f t="shared" si="37"/>
        <v>0</v>
      </c>
    </row>
    <row r="200" spans="6:14">
      <c r="F200" s="389" t="s">
        <v>2661</v>
      </c>
      <c r="G200" s="314" t="s">
        <v>2661</v>
      </c>
      <c r="H200" s="383">
        <f t="shared" si="41"/>
        <v>0</v>
      </c>
      <c r="I200" s="314"/>
      <c r="N200" s="317">
        <f>SUM(N179:N199)</f>
        <v>8657629855</v>
      </c>
    </row>
    <row r="201" spans="6:14">
      <c r="F201" s="389" t="s">
        <v>393</v>
      </c>
      <c r="G201" s="314" t="s">
        <v>393</v>
      </c>
      <c r="H201" s="383">
        <f t="shared" si="41"/>
        <v>37001898</v>
      </c>
      <c r="I201" s="314"/>
      <c r="K201" s="314"/>
      <c r="N201" s="317" t="b">
        <f>N200=N168</f>
        <v>1</v>
      </c>
    </row>
    <row r="202" spans="6:14">
      <c r="F202" s="389" t="s">
        <v>129</v>
      </c>
      <c r="G202" s="314" t="s">
        <v>129</v>
      </c>
      <c r="H202" s="383">
        <f t="shared" si="41"/>
        <v>4825402</v>
      </c>
      <c r="I202" s="314"/>
      <c r="K202" s="314"/>
    </row>
    <row r="203" spans="6:14">
      <c r="F203" s="389" t="s">
        <v>273</v>
      </c>
      <c r="G203" s="314" t="s">
        <v>273</v>
      </c>
      <c r="H203" s="383">
        <f t="shared" si="41"/>
        <v>0</v>
      </c>
      <c r="I203" s="314"/>
      <c r="K203" s="314"/>
    </row>
    <row r="204" spans="6:14">
      <c r="F204" s="389" t="s">
        <v>176</v>
      </c>
      <c r="G204" s="314" t="s">
        <v>176</v>
      </c>
      <c r="H204" s="383">
        <f t="shared" si="41"/>
        <v>585661920</v>
      </c>
      <c r="I204" s="314"/>
      <c r="K204" s="314"/>
    </row>
    <row r="205" spans="6:14">
      <c r="F205" s="389" t="s">
        <v>177</v>
      </c>
      <c r="G205" s="314" t="s">
        <v>177</v>
      </c>
      <c r="H205" s="383">
        <f t="shared" si="41"/>
        <v>21529107</v>
      </c>
      <c r="I205" s="314"/>
      <c r="K205" s="314"/>
    </row>
    <row r="206" spans="6:14">
      <c r="F206" s="389" t="s">
        <v>179</v>
      </c>
      <c r="G206" s="314" t="s">
        <v>179</v>
      </c>
      <c r="H206" s="383">
        <f t="shared" si="41"/>
        <v>98954951</v>
      </c>
      <c r="I206" s="314"/>
      <c r="K206" s="314"/>
    </row>
    <row r="207" spans="6:14">
      <c r="F207" s="389" t="s">
        <v>178</v>
      </c>
      <c r="G207" s="314" t="s">
        <v>178</v>
      </c>
      <c r="H207" s="383">
        <f t="shared" si="41"/>
        <v>188019390</v>
      </c>
      <c r="I207" s="314"/>
      <c r="K207" s="314"/>
    </row>
    <row r="208" spans="6:14">
      <c r="F208" s="389" t="s">
        <v>756</v>
      </c>
      <c r="G208" s="314" t="s">
        <v>1983</v>
      </c>
      <c r="H208" s="383">
        <f t="shared" si="41"/>
        <v>0</v>
      </c>
      <c r="I208" s="314"/>
      <c r="J208" s="344">
        <f>SUM(H190:H210)</f>
        <v>-1957570287</v>
      </c>
      <c r="K208" s="314"/>
    </row>
    <row r="209" spans="6:11">
      <c r="F209" s="389" t="s">
        <v>148</v>
      </c>
      <c r="G209" s="314" t="s">
        <v>148</v>
      </c>
      <c r="H209" s="316">
        <f t="shared" si="41"/>
        <v>-867554501</v>
      </c>
      <c r="I209" s="314"/>
      <c r="J209" s="344">
        <f>J208-K168</f>
        <v>0</v>
      </c>
      <c r="K209" s="314"/>
    </row>
    <row r="210" spans="6:11">
      <c r="F210" s="389" t="s">
        <v>183</v>
      </c>
      <c r="G210" s="314" t="s">
        <v>2929</v>
      </c>
      <c r="H210" s="316">
        <f t="shared" si="41"/>
        <v>-7948119</v>
      </c>
      <c r="I210" s="314"/>
      <c r="K210" s="314"/>
    </row>
    <row r="211" spans="6:11">
      <c r="H211" s="314"/>
      <c r="I211" s="314"/>
      <c r="K211" s="314"/>
    </row>
    <row r="212" spans="6:11">
      <c r="H212" s="314"/>
      <c r="I212" s="314"/>
      <c r="K212" s="314"/>
    </row>
    <row r="213" spans="6:11">
      <c r="H213" s="314"/>
      <c r="I213" s="314"/>
      <c r="K213" s="314"/>
    </row>
    <row r="214" spans="6:11">
      <c r="H214" s="314"/>
      <c r="I214" s="314"/>
      <c r="K214" s="314"/>
    </row>
    <row r="215" spans="6:11">
      <c r="H215" s="314"/>
      <c r="I215" s="314"/>
      <c r="K215" s="314"/>
    </row>
    <row r="216" spans="6:11">
      <c r="H216" s="314"/>
      <c r="I216" s="314"/>
      <c r="K216" s="314"/>
    </row>
    <row r="217" spans="6:11">
      <c r="H217" s="314"/>
      <c r="I217" s="314"/>
      <c r="K217" s="314"/>
    </row>
    <row r="218" spans="6:11">
      <c r="H218" s="314"/>
      <c r="I218" s="314"/>
      <c r="K218" s="314"/>
    </row>
    <row r="219" spans="6:11">
      <c r="H219" s="314"/>
      <c r="I219" s="314"/>
      <c r="K219" s="314"/>
    </row>
    <row r="220" spans="6:11">
      <c r="H220" s="314"/>
      <c r="I220" s="314"/>
      <c r="K220" s="314"/>
    </row>
    <row r="221" spans="6:11">
      <c r="H221" s="314"/>
      <c r="I221" s="314"/>
      <c r="K221" s="314"/>
    </row>
    <row r="222" spans="6:11">
      <c r="H222" s="314"/>
      <c r="I222" s="314"/>
      <c r="K222" s="314"/>
    </row>
    <row r="223" spans="6:11">
      <c r="H223" s="314"/>
      <c r="I223" s="314"/>
      <c r="K223" s="314"/>
    </row>
    <row r="224" spans="6:11">
      <c r="H224" s="314"/>
      <c r="I224" s="314"/>
      <c r="K224" s="314"/>
    </row>
    <row r="225" spans="8:11">
      <c r="H225" s="314"/>
      <c r="I225" s="314"/>
      <c r="K225" s="314"/>
    </row>
    <row r="226" spans="8:11">
      <c r="H226" s="314"/>
      <c r="I226" s="314"/>
      <c r="K226" s="314"/>
    </row>
    <row r="227" spans="8:11">
      <c r="H227" s="314"/>
      <c r="I227" s="314"/>
      <c r="K227" s="314"/>
    </row>
    <row r="228" spans="8:11">
      <c r="H228" s="314"/>
      <c r="I228" s="314"/>
      <c r="K228" s="314"/>
    </row>
    <row r="229" spans="8:11">
      <c r="H229" s="314"/>
      <c r="I229" s="314"/>
      <c r="K229" s="314"/>
    </row>
    <row r="230" spans="8:11">
      <c r="H230" s="314"/>
      <c r="I230" s="314"/>
      <c r="K230" s="314"/>
    </row>
    <row r="231" spans="8:11">
      <c r="H231" s="314"/>
      <c r="I231" s="314"/>
      <c r="K231" s="314"/>
    </row>
    <row r="232" spans="8:11">
      <c r="H232" s="314"/>
      <c r="I232" s="314"/>
      <c r="K232" s="314"/>
    </row>
    <row r="233" spans="8:11">
      <c r="H233" s="314"/>
      <c r="I233" s="314"/>
      <c r="K233" s="314"/>
    </row>
    <row r="234" spans="8:11">
      <c r="H234" s="314"/>
      <c r="I234" s="314"/>
      <c r="K234" s="314"/>
    </row>
    <row r="235" spans="8:11">
      <c r="H235" s="314"/>
      <c r="I235" s="314"/>
      <c r="K235" s="314"/>
    </row>
    <row r="236" spans="8:11">
      <c r="H236" s="314"/>
      <c r="I236" s="314"/>
      <c r="K236" s="314"/>
    </row>
    <row r="237" spans="8:11">
      <c r="H237" s="314"/>
      <c r="I237" s="314"/>
      <c r="K237" s="314"/>
    </row>
    <row r="238" spans="8:11">
      <c r="H238" s="314"/>
      <c r="I238" s="314"/>
      <c r="K238" s="314"/>
    </row>
    <row r="239" spans="8:11">
      <c r="H239" s="314"/>
      <c r="I239" s="314"/>
      <c r="K239" s="314"/>
    </row>
    <row r="240" spans="8:11">
      <c r="H240" s="314"/>
      <c r="I240" s="314"/>
      <c r="K240" s="314"/>
    </row>
    <row r="241" spans="8:11">
      <c r="H241" s="314"/>
      <c r="I241" s="314"/>
      <c r="K241" s="314"/>
    </row>
    <row r="242" spans="8:11">
      <c r="H242" s="314"/>
      <c r="I242" s="314"/>
      <c r="K242" s="314"/>
    </row>
    <row r="243" spans="8:11">
      <c r="H243" s="314"/>
      <c r="I243" s="314"/>
      <c r="K243" s="314"/>
    </row>
    <row r="244" spans="8:11">
      <c r="H244" s="314"/>
      <c r="I244" s="314"/>
      <c r="K244" s="314"/>
    </row>
    <row r="245" spans="8:11">
      <c r="H245" s="314"/>
      <c r="I245" s="314"/>
      <c r="K245" s="314"/>
    </row>
    <row r="246" spans="8:11">
      <c r="H246" s="314"/>
      <c r="I246" s="314"/>
      <c r="K246" s="314"/>
    </row>
    <row r="247" spans="8:11">
      <c r="H247" s="314"/>
      <c r="I247" s="314"/>
      <c r="K247" s="314"/>
    </row>
    <row r="248" spans="8:11">
      <c r="H248" s="314"/>
      <c r="I248" s="314"/>
      <c r="K248" s="314"/>
    </row>
    <row r="249" spans="8:11">
      <c r="H249" s="314"/>
      <c r="I249" s="314"/>
      <c r="K249" s="314"/>
    </row>
    <row r="250" spans="8:11">
      <c r="H250" s="314"/>
      <c r="I250" s="314"/>
      <c r="K250" s="314"/>
    </row>
    <row r="251" spans="8:11">
      <c r="H251" s="314"/>
      <c r="I251" s="314"/>
      <c r="K251" s="314"/>
    </row>
    <row r="252" spans="8:11">
      <c r="H252" s="314"/>
      <c r="I252" s="314"/>
      <c r="K252" s="314"/>
    </row>
    <row r="253" spans="8:11">
      <c r="H253" s="314"/>
      <c r="I253" s="314"/>
      <c r="K253" s="314"/>
    </row>
    <row r="254" spans="8:11">
      <c r="H254" s="314"/>
      <c r="I254" s="314"/>
      <c r="K254" s="314"/>
    </row>
    <row r="255" spans="8:11">
      <c r="H255" s="314"/>
      <c r="I255" s="314"/>
      <c r="K255" s="314"/>
    </row>
    <row r="256" spans="8:11">
      <c r="H256" s="314"/>
      <c r="I256" s="314"/>
      <c r="K256" s="314"/>
    </row>
    <row r="257" spans="8:11">
      <c r="H257" s="314"/>
      <c r="I257" s="314"/>
      <c r="K257" s="314"/>
    </row>
    <row r="258" spans="8:11">
      <c r="H258" s="314"/>
      <c r="I258" s="314"/>
      <c r="K258" s="314"/>
    </row>
    <row r="259" spans="8:11">
      <c r="H259" s="314"/>
      <c r="I259" s="314"/>
      <c r="K259" s="314"/>
    </row>
    <row r="260" spans="8:11">
      <c r="H260" s="314"/>
      <c r="I260" s="314"/>
      <c r="K260" s="314"/>
    </row>
    <row r="261" spans="8:11">
      <c r="H261" s="314"/>
      <c r="I261" s="314"/>
      <c r="K261" s="314"/>
    </row>
    <row r="262" spans="8:11">
      <c r="H262" s="314"/>
      <c r="I262" s="314"/>
      <c r="K262" s="314"/>
    </row>
    <row r="263" spans="8:11">
      <c r="H263" s="314"/>
      <c r="I263" s="314"/>
      <c r="K263" s="314"/>
    </row>
    <row r="264" spans="8:11">
      <c r="H264" s="314"/>
      <c r="I264" s="314"/>
      <c r="K264" s="314"/>
    </row>
    <row r="265" spans="8:11">
      <c r="H265" s="314"/>
      <c r="I265" s="314"/>
      <c r="K265" s="314"/>
    </row>
    <row r="266" spans="8:11">
      <c r="H266" s="314"/>
      <c r="I266" s="314"/>
      <c r="K266" s="314"/>
    </row>
    <row r="267" spans="8:11">
      <c r="H267" s="314"/>
      <c r="I267" s="314"/>
      <c r="K267" s="314"/>
    </row>
    <row r="268" spans="8:11">
      <c r="H268" s="314"/>
      <c r="I268" s="314"/>
      <c r="K268" s="314"/>
    </row>
    <row r="269" spans="8:11">
      <c r="H269" s="314"/>
      <c r="I269" s="314"/>
      <c r="K269" s="314"/>
    </row>
    <row r="270" spans="8:11">
      <c r="H270" s="314"/>
      <c r="I270" s="314"/>
      <c r="K270" s="314"/>
    </row>
    <row r="271" spans="8:11">
      <c r="H271" s="314"/>
      <c r="I271" s="314"/>
      <c r="K271" s="314"/>
    </row>
    <row r="272" spans="8:11">
      <c r="H272" s="314"/>
      <c r="I272" s="314"/>
      <c r="K272" s="314"/>
    </row>
    <row r="273" spans="8:11">
      <c r="H273" s="314"/>
      <c r="I273" s="314"/>
      <c r="K273" s="314"/>
    </row>
    <row r="274" spans="8:11">
      <c r="H274" s="314"/>
      <c r="I274" s="314"/>
      <c r="K274" s="314"/>
    </row>
    <row r="275" spans="8:11">
      <c r="H275" s="314"/>
      <c r="I275" s="314"/>
      <c r="K275" s="314"/>
    </row>
    <row r="276" spans="8:11">
      <c r="H276" s="314"/>
      <c r="I276" s="314"/>
      <c r="K276" s="314"/>
    </row>
    <row r="277" spans="8:11">
      <c r="H277" s="314"/>
      <c r="I277" s="314"/>
      <c r="K277" s="314"/>
    </row>
    <row r="278" spans="8:11">
      <c r="H278" s="314"/>
      <c r="I278" s="314"/>
      <c r="K278" s="314"/>
    </row>
    <row r="279" spans="8:11">
      <c r="H279" s="314"/>
      <c r="I279" s="314"/>
      <c r="K279" s="314"/>
    </row>
    <row r="280" spans="8:11">
      <c r="H280" s="314"/>
      <c r="I280" s="314"/>
      <c r="K280" s="314"/>
    </row>
    <row r="281" spans="8:11">
      <c r="H281" s="314"/>
      <c r="I281" s="314"/>
      <c r="K281" s="314"/>
    </row>
    <row r="282" spans="8:11">
      <c r="H282" s="314"/>
      <c r="I282" s="314"/>
      <c r="K282" s="314"/>
    </row>
    <row r="283" spans="8:11">
      <c r="H283" s="314"/>
      <c r="I283" s="314"/>
      <c r="K283" s="314"/>
    </row>
    <row r="284" spans="8:11">
      <c r="H284" s="314"/>
      <c r="I284" s="314"/>
      <c r="K284" s="314"/>
    </row>
    <row r="285" spans="8:11">
      <c r="H285" s="314"/>
      <c r="I285" s="314"/>
      <c r="K285" s="314"/>
    </row>
    <row r="286" spans="8:11">
      <c r="H286" s="314"/>
      <c r="I286" s="314"/>
      <c r="K286" s="314"/>
    </row>
    <row r="287" spans="8:11">
      <c r="H287" s="314"/>
      <c r="I287" s="314"/>
      <c r="K287" s="314"/>
    </row>
    <row r="288" spans="8:11">
      <c r="H288" s="314"/>
      <c r="I288" s="314"/>
      <c r="K288" s="314"/>
    </row>
    <row r="289" spans="8:9">
      <c r="H289" s="314"/>
      <c r="I289" s="314"/>
    </row>
  </sheetData>
  <mergeCells count="10">
    <mergeCell ref="B159:C159"/>
    <mergeCell ref="B160:C160"/>
    <mergeCell ref="B165:C165"/>
    <mergeCell ref="B168:C168"/>
    <mergeCell ref="B1:C1"/>
    <mergeCell ref="B2:C2"/>
    <mergeCell ref="B3:C3"/>
    <mergeCell ref="B4:C6"/>
    <mergeCell ref="B93:C93"/>
    <mergeCell ref="B156:C156"/>
  </mergeCells>
  <phoneticPr fontId="56" type="noConversion"/>
  <conditionalFormatting sqref="A1:A1048576">
    <cfRule type="cellIs" dxfId="158" priority="56" operator="lessThan">
      <formula>0</formula>
    </cfRule>
    <cfRule type="cellIs" dxfId="157" priority="57" operator="greaterThan">
      <formula>0</formula>
    </cfRule>
  </conditionalFormatting>
  <conditionalFormatting sqref="A1:XFD1048576">
    <cfRule type="containsText" dxfId="155" priority="2" operator="containsText" text="false">
      <formula>NOT(ISERROR(SEARCH("false",A1)))</formula>
    </cfRule>
  </conditionalFormatting>
  <conditionalFormatting sqref="N154">
    <cfRule type="containsText" dxfId="154" priority="300" operator="containsText" text="false">
      <formula>NOT(ISERROR(SEARCH("false",N154)))</formula>
    </cfRule>
    <cfRule type="containsText" dxfId="153" priority="301" operator="containsText" text="false">
      <formula>NOT(ISERROR(SEARCH("false",N154)))</formula>
    </cfRule>
  </conditionalFormatting>
  <conditionalFormatting sqref="O114:AE118">
    <cfRule type="containsText" dxfId="152" priority="35" operator="containsText" text="false">
      <formula>NOT(ISERROR(SEARCH("false",O114)))</formula>
    </cfRule>
    <cfRule type="containsText" dxfId="151" priority="36" operator="containsText" text="false">
      <formula>NOT(ISERROR(SEARCH("false",O114)))</formula>
    </cfRule>
  </conditionalFormatting>
  <conditionalFormatting sqref="AH8:AH168 H173 K173 Q173 T173 W173 Z173 AF173 AH173">
    <cfRule type="cellIs" dxfId="150" priority="306" stopIfTrue="1" operator="notEqual">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 operator="containsText" id="{3C1F96FE-6123-4F1E-8E9A-599A67B8F4B6}">
            <xm:f>NOT(ISERROR(SEARCH("true",A1)))</xm:f>
            <xm:f>"true"</xm:f>
            <x14:dxf>
              <fill>
                <patternFill>
                  <bgColor theme="9" tint="0.79998168889431442"/>
                </patternFill>
              </fill>
            </x14:dxf>
          </x14:cfRule>
          <xm:sqref>A1:XFD1048576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21">
    <tabColor theme="3"/>
  </sheetPr>
  <dimension ref="A1:AF179"/>
  <sheetViews>
    <sheetView topLeftCell="B1" zoomScale="85" zoomScaleNormal="85" workbookViewId="0">
      <pane xSplit="6" ySplit="3" topLeftCell="H91" activePane="bottomRight" state="frozen"/>
      <selection activeCell="M213" sqref="M213"/>
      <selection pane="topRight" activeCell="M213" sqref="M213"/>
      <selection pane="bottomLeft" activeCell="M213" sqref="M213"/>
      <selection pane="bottomRight" activeCell="N117" sqref="N117"/>
    </sheetView>
  </sheetViews>
  <sheetFormatPr defaultColWidth="8.625" defaultRowHeight="13.5"/>
  <cols>
    <col min="1" max="1" width="8.625" style="101"/>
    <col min="2" max="4" width="2.125" style="101" customWidth="1"/>
    <col min="5" max="5" width="18.125" style="101" customWidth="1"/>
    <col min="6" max="6" width="11.125" style="101" customWidth="1"/>
    <col min="7" max="7" width="9" style="101" hidden="1" customWidth="1"/>
    <col min="8" max="8" width="17.5" style="101" hidden="1" customWidth="1"/>
    <col min="9" max="13" width="15.625" style="101" hidden="1" customWidth="1"/>
    <col min="14" max="14" width="15.625" style="101" customWidth="1"/>
    <col min="15" max="15" width="17.5" style="101" hidden="1" customWidth="1"/>
    <col min="16" max="17" width="15.625" style="101" hidden="1" customWidth="1"/>
    <col min="18" max="18" width="23.125" style="101" hidden="1" customWidth="1"/>
    <col min="19" max="23" width="15.625" style="101" hidden="1" customWidth="1"/>
    <col min="24" max="24" width="18.625" style="1118" hidden="1" customWidth="1"/>
    <col min="25" max="25" width="35.125" style="101" bestFit="1" customWidth="1"/>
    <col min="26" max="26" width="16.625" style="1118" bestFit="1" customWidth="1"/>
    <col min="27" max="27" width="15" style="101" bestFit="1" customWidth="1"/>
    <col min="28" max="28" width="18.375" style="101" bestFit="1" customWidth="1"/>
    <col min="29" max="29" width="12.125" style="101" bestFit="1" customWidth="1"/>
    <col min="30" max="30" width="8.625" style="101"/>
    <col min="31" max="31" width="15.625" style="101" bestFit="1" customWidth="1"/>
    <col min="32" max="32" width="11.875" style="1118" bestFit="1" customWidth="1"/>
    <col min="33" max="16384" width="8.625" style="101"/>
  </cols>
  <sheetData>
    <row r="1" spans="1:28" ht="17.25" customHeight="1" thickTop="1">
      <c r="A1" s="1927" t="s">
        <v>0</v>
      </c>
      <c r="B1" s="1930" t="s">
        <v>1</v>
      </c>
      <c r="C1" s="1930"/>
      <c r="D1" s="1930"/>
      <c r="E1" s="1930"/>
      <c r="F1" s="1930"/>
      <c r="G1" s="1933" t="s">
        <v>2</v>
      </c>
      <c r="H1" s="1936" t="s">
        <v>617</v>
      </c>
      <c r="I1" s="1922" t="s">
        <v>618</v>
      </c>
      <c r="J1" s="1922" t="s">
        <v>619</v>
      </c>
      <c r="K1" s="1922" t="s">
        <v>620</v>
      </c>
      <c r="L1" s="1922" t="s">
        <v>621</v>
      </c>
      <c r="M1" s="1922" t="s">
        <v>1390</v>
      </c>
      <c r="N1" s="1922" t="s">
        <v>3609</v>
      </c>
      <c r="O1" s="1919" t="s">
        <v>94</v>
      </c>
      <c r="P1" s="1925" t="s">
        <v>95</v>
      </c>
      <c r="Q1" s="1926"/>
      <c r="R1" s="1914" t="s">
        <v>96</v>
      </c>
      <c r="S1" s="1912" t="s">
        <v>97</v>
      </c>
      <c r="T1" s="1913"/>
      <c r="U1" s="1914" t="s">
        <v>98</v>
      </c>
      <c r="V1" s="1917" t="s">
        <v>99</v>
      </c>
      <c r="W1" s="1918"/>
      <c r="X1" s="1919" t="s">
        <v>100</v>
      </c>
      <c r="Y1" s="1897" t="s">
        <v>101</v>
      </c>
    </row>
    <row r="2" spans="1:28">
      <c r="A2" s="1928"/>
      <c r="B2" s="1931"/>
      <c r="C2" s="1931"/>
      <c r="D2" s="1931"/>
      <c r="E2" s="1931"/>
      <c r="F2" s="1931"/>
      <c r="G2" s="1934"/>
      <c r="H2" s="1937"/>
      <c r="I2" s="1923"/>
      <c r="J2" s="1923"/>
      <c r="K2" s="1923"/>
      <c r="L2" s="1923"/>
      <c r="M2" s="1923"/>
      <c r="N2" s="1923"/>
      <c r="O2" s="1920"/>
      <c r="P2" s="1900" t="s">
        <v>102</v>
      </c>
      <c r="Q2" s="1902" t="s">
        <v>103</v>
      </c>
      <c r="R2" s="1915"/>
      <c r="S2" s="1904" t="s">
        <v>104</v>
      </c>
      <c r="T2" s="1906" t="s">
        <v>103</v>
      </c>
      <c r="U2" s="1915"/>
      <c r="V2" s="1908" t="s">
        <v>102</v>
      </c>
      <c r="W2" s="1910" t="s">
        <v>103</v>
      </c>
      <c r="X2" s="1920"/>
      <c r="Y2" s="1898"/>
    </row>
    <row r="3" spans="1:28" ht="14.25" thickBot="1">
      <c r="A3" s="1929"/>
      <c r="B3" s="1932"/>
      <c r="C3" s="1932"/>
      <c r="D3" s="1932"/>
      <c r="E3" s="1932"/>
      <c r="F3" s="1932"/>
      <c r="G3" s="1935"/>
      <c r="H3" s="1938"/>
      <c r="I3" s="1924"/>
      <c r="J3" s="1924"/>
      <c r="K3" s="1924"/>
      <c r="L3" s="1924"/>
      <c r="M3" s="1924"/>
      <c r="N3" s="1924"/>
      <c r="O3" s="1921"/>
      <c r="P3" s="1901"/>
      <c r="Q3" s="1903"/>
      <c r="R3" s="1916"/>
      <c r="S3" s="1905"/>
      <c r="T3" s="1907"/>
      <c r="U3" s="1916"/>
      <c r="V3" s="1909"/>
      <c r="W3" s="1911"/>
      <c r="X3" s="1921"/>
      <c r="Y3" s="1899"/>
    </row>
    <row r="4" spans="1:28">
      <c r="A4" s="437">
        <v>1</v>
      </c>
      <c r="B4" s="438" t="s">
        <v>3</v>
      </c>
      <c r="C4" s="439"/>
      <c r="D4" s="440"/>
      <c r="E4" s="441"/>
      <c r="F4" s="424"/>
      <c r="G4" s="442"/>
      <c r="H4" s="649">
        <f t="shared" ref="H4:O4" si="0">H5+H39</f>
        <v>54543045905</v>
      </c>
      <c r="I4" s="649">
        <f t="shared" si="0"/>
        <v>0</v>
      </c>
      <c r="J4" s="649">
        <f t="shared" si="0"/>
        <v>2268065089</v>
      </c>
      <c r="K4" s="649">
        <f t="shared" si="0"/>
        <v>358233996</v>
      </c>
      <c r="L4" s="649">
        <f t="shared" si="0"/>
        <v>2287111</v>
      </c>
      <c r="M4" s="649">
        <f t="shared" si="0"/>
        <v>22492142</v>
      </c>
      <c r="N4" s="649">
        <f t="shared" si="0"/>
        <v>10738913487</v>
      </c>
      <c r="O4" s="650">
        <f t="shared" si="0"/>
        <v>67933037730</v>
      </c>
      <c r="P4" s="651"/>
      <c r="Q4" s="652"/>
      <c r="R4" s="650">
        <f>R5+R39</f>
        <v>71425319191</v>
      </c>
      <c r="S4" s="653"/>
      <c r="T4" s="654"/>
      <c r="U4" s="650">
        <f>U5+U39</f>
        <v>69331585038</v>
      </c>
      <c r="V4" s="655"/>
      <c r="W4" s="656"/>
      <c r="X4" s="657">
        <f>X5+X39</f>
        <v>67557489847</v>
      </c>
      <c r="Y4" s="443"/>
      <c r="AA4" s="108"/>
      <c r="AB4" s="497"/>
    </row>
    <row r="5" spans="1:28">
      <c r="A5" s="444">
        <v>2</v>
      </c>
      <c r="B5" s="445"/>
      <c r="C5" s="446" t="s">
        <v>4</v>
      </c>
      <c r="D5" s="447"/>
      <c r="E5" s="448"/>
      <c r="F5" s="431"/>
      <c r="G5" s="442"/>
      <c r="H5" s="649">
        <f t="shared" ref="H5:O5" si="1">H6+H24+H36</f>
        <v>16937363250</v>
      </c>
      <c r="I5" s="649">
        <f t="shared" si="1"/>
        <v>0</v>
      </c>
      <c r="J5" s="649">
        <f t="shared" si="1"/>
        <v>2042118015</v>
      </c>
      <c r="K5" s="649">
        <f t="shared" si="1"/>
        <v>66475063</v>
      </c>
      <c r="L5" s="649">
        <f t="shared" si="1"/>
        <v>2287111</v>
      </c>
      <c r="M5" s="649">
        <f t="shared" si="1"/>
        <v>22492142</v>
      </c>
      <c r="N5" s="649">
        <f t="shared" si="1"/>
        <v>2658778533</v>
      </c>
      <c r="O5" s="649">
        <f t="shared" si="1"/>
        <v>21729514114</v>
      </c>
      <c r="P5" s="651"/>
      <c r="Q5" s="652"/>
      <c r="R5" s="649">
        <f>R6+R24+R36</f>
        <v>21729514114</v>
      </c>
      <c r="S5" s="653"/>
      <c r="T5" s="654"/>
      <c r="U5" s="649">
        <f>U6+U24+U36</f>
        <v>19637356152</v>
      </c>
      <c r="V5" s="655"/>
      <c r="W5" s="656"/>
      <c r="X5" s="649">
        <f>X6+X24+X36</f>
        <v>19569724244</v>
      </c>
      <c r="Y5" s="443"/>
      <c r="AA5" s="108"/>
      <c r="AB5" s="497"/>
    </row>
    <row r="6" spans="1:28">
      <c r="A6" s="444">
        <v>3</v>
      </c>
      <c r="B6" s="445"/>
      <c r="C6" s="446"/>
      <c r="D6" s="447" t="s">
        <v>5</v>
      </c>
      <c r="E6" s="448"/>
      <c r="F6" s="449"/>
      <c r="G6" s="442"/>
      <c r="H6" s="658">
        <f t="shared" ref="H6:O6" si="2">SUM(H7:H23)</f>
        <v>14734753629</v>
      </c>
      <c r="I6" s="658">
        <f t="shared" si="2"/>
        <v>0</v>
      </c>
      <c r="J6" s="658">
        <f t="shared" si="2"/>
        <v>1882310421</v>
      </c>
      <c r="K6" s="658">
        <f t="shared" si="2"/>
        <v>26031396</v>
      </c>
      <c r="L6" s="658">
        <f t="shared" si="2"/>
        <v>2287111</v>
      </c>
      <c r="M6" s="658">
        <f t="shared" si="2"/>
        <v>22492142</v>
      </c>
      <c r="N6" s="658">
        <f t="shared" si="2"/>
        <v>2658778533</v>
      </c>
      <c r="O6" s="658">
        <f t="shared" si="2"/>
        <v>19326653232</v>
      </c>
      <c r="P6" s="651"/>
      <c r="Q6" s="652"/>
      <c r="R6" s="650">
        <f>SUM(R7:R23)</f>
        <v>19326653232</v>
      </c>
      <c r="S6" s="653"/>
      <c r="T6" s="654"/>
      <c r="U6" s="650">
        <f>SUM(U7:U23)</f>
        <v>17315340360</v>
      </c>
      <c r="V6" s="655"/>
      <c r="W6" s="656"/>
      <c r="X6" s="650">
        <f>SUM(X7:X23)</f>
        <v>17204566800</v>
      </c>
      <c r="Y6" s="443"/>
      <c r="AA6" s="108"/>
      <c r="AB6" s="497"/>
    </row>
    <row r="7" spans="1:28">
      <c r="A7" s="444">
        <v>4</v>
      </c>
      <c r="B7" s="445"/>
      <c r="C7" s="446"/>
      <c r="D7" s="447"/>
      <c r="E7" s="448" t="s">
        <v>6</v>
      </c>
      <c r="F7" s="431"/>
      <c r="G7" s="442" t="s">
        <v>623</v>
      </c>
      <c r="H7" s="659">
        <f>SUMIF(별도정산표!$G:$G,BS!G7,별도정산표!$E:$E)</f>
        <v>0</v>
      </c>
      <c r="I7" s="659">
        <f>SUMIF(울트라팜_FS!$A:$A,BS!G7,울트라팜_FS!$D:$D)</f>
        <v>0</v>
      </c>
      <c r="J7" s="659">
        <f>SUMIF(HK_BS!$A:$A,BS!G7,HK_BS!$K:$K)</f>
        <v>807554</v>
      </c>
      <c r="K7" s="659">
        <f>SUMIF(DHK_BS!$A:$A,BS!G7,DHK_BS!$K:$K)</f>
        <v>0</v>
      </c>
      <c r="L7" s="659">
        <f>SUMIF(상해_BS!$A:$A,BS!G7,상해_BS!$K:$K)</f>
        <v>0</v>
      </c>
      <c r="M7" s="659">
        <f>SUMIF(SG_BS!$A:$A,BS!G7,SG_BS!$K:$K)</f>
        <v>0</v>
      </c>
      <c r="N7" s="659">
        <f>SUMIF(ATGC_BS!$H:$H,BS!G7,ATGC_BS!$I:$I)</f>
        <v>0</v>
      </c>
      <c r="O7" s="660">
        <f t="shared" ref="O7:O23" si="3">SUM(H7:N7)</f>
        <v>807554</v>
      </c>
      <c r="P7" s="651">
        <f>SUMIF(RIC!D:D,BS!G7,RIC!F:F)</f>
        <v>0</v>
      </c>
      <c r="Q7" s="652">
        <f>SUMIF(RIC!G:G,BS!G7,RIC!I:I)</f>
        <v>0</v>
      </c>
      <c r="R7" s="650">
        <f>O7+P7-Q7</f>
        <v>807554</v>
      </c>
      <c r="S7" s="653">
        <f>SUMIF(RIT!H:H,BS!G7,RIT!J:J)</f>
        <v>0</v>
      </c>
      <c r="T7" s="654">
        <f>SUMIF(RIT!K:K,BS!G7,RIT!M:M)</f>
        <v>0</v>
      </c>
      <c r="U7" s="650">
        <f>R7+S7-T7</f>
        <v>807554</v>
      </c>
      <c r="V7" s="655">
        <f>SUMIF(지분법및기타!$D:$D,BS!G7,지분법및기타!$F:$F)</f>
        <v>0</v>
      </c>
      <c r="W7" s="656">
        <f>SUMIF(지분법및기타!$G:$G,BS!G7,지분법및기타!$I:$I)</f>
        <v>0</v>
      </c>
      <c r="X7" s="657">
        <f>U7+V7-W7</f>
        <v>807554</v>
      </c>
      <c r="Y7" s="443" t="s">
        <v>607</v>
      </c>
      <c r="AA7" s="108">
        <f t="shared" ref="AA7:AA9" si="4">X7-O7</f>
        <v>0</v>
      </c>
      <c r="AB7" s="497"/>
    </row>
    <row r="8" spans="1:28">
      <c r="A8" s="444">
        <v>4</v>
      </c>
      <c r="B8" s="445"/>
      <c r="C8" s="446"/>
      <c r="D8" s="447"/>
      <c r="E8" s="448" t="s">
        <v>7</v>
      </c>
      <c r="F8" s="431"/>
      <c r="G8" s="442" t="s">
        <v>624</v>
      </c>
      <c r="H8" s="659">
        <f>SUMIF(별도정산표!$G:$G,BS!G8,별도정산표!$E:$E)</f>
        <v>10968165061</v>
      </c>
      <c r="I8" s="659">
        <f>SUMIF(울트라팜_FS!$A:$A,BS!G8,울트라팜_FS!$D:$D)</f>
        <v>0</v>
      </c>
      <c r="J8" s="659">
        <f>SUMIF(HK_BS!$A:$A,BS!G8,HK_BS!$K:$K)</f>
        <v>160024453</v>
      </c>
      <c r="K8" s="659">
        <f>SUMIF(DHK_BS!$A:$A,BS!G8,DHK_BS!$K:$K)</f>
        <v>24830657</v>
      </c>
      <c r="L8" s="659">
        <f>SUMIF(상해_BS!$A:$A,BS!G8,상해_BS!$K:$K)</f>
        <v>0</v>
      </c>
      <c r="M8" s="659">
        <f>SUMIF(SG_BS!$A:$A,BS!G8,SG_BS!$K:$K)</f>
        <v>14563594</v>
      </c>
      <c r="N8" s="659">
        <f>SUMIF(ATGC_BS!$H:$H,BS!G8,ATGC_BS!$I:$I)</f>
        <v>677182600</v>
      </c>
      <c r="O8" s="660">
        <f t="shared" si="3"/>
        <v>11844766365</v>
      </c>
      <c r="P8" s="651">
        <f>SUMIF(RIC!D:D,BS!G8,RIC!F:F)</f>
        <v>0</v>
      </c>
      <c r="Q8" s="652">
        <f>SUMIF(RIC!G:G,BS!G8,RIC!I:I)</f>
        <v>0</v>
      </c>
      <c r="R8" s="650">
        <f t="shared" ref="R8:R23" si="5">O8+P8-Q8</f>
        <v>11844766365</v>
      </c>
      <c r="S8" s="653">
        <f>SUMIF(RIT!H:H,BS!G8,RIT!J:J)</f>
        <v>0</v>
      </c>
      <c r="T8" s="654">
        <f>SUMIF(RIT!K:K,BS!G8,RIT!M:M)</f>
        <v>0</v>
      </c>
      <c r="U8" s="650">
        <f t="shared" ref="U8:U23" si="6">R8+S8-T8</f>
        <v>11844766365</v>
      </c>
      <c r="V8" s="655">
        <f>SUMIF(지분법및기타!$D:$D,BS!G8,지분법및기타!$F:$F)</f>
        <v>0</v>
      </c>
      <c r="W8" s="656">
        <f>SUMIF(지분법및기타!$G:$G,BS!G8,지분법및기타!$I:$I)</f>
        <v>0</v>
      </c>
      <c r="X8" s="657">
        <f t="shared" ref="X8:X23" si="7">U8+V8-W8</f>
        <v>11844766365</v>
      </c>
      <c r="Y8" s="443" t="s">
        <v>359</v>
      </c>
      <c r="AA8" s="108">
        <f t="shared" si="4"/>
        <v>0</v>
      </c>
      <c r="AB8" s="497"/>
    </row>
    <row r="9" spans="1:28">
      <c r="A9" s="444">
        <v>4</v>
      </c>
      <c r="B9" s="445"/>
      <c r="C9" s="446"/>
      <c r="D9" s="447"/>
      <c r="E9" s="448" t="s">
        <v>626</v>
      </c>
      <c r="F9" s="431"/>
      <c r="G9" s="442" t="s">
        <v>625</v>
      </c>
      <c r="H9" s="659">
        <f>SUMIF(별도정산표!$G:$G,BS!G9,별도정산표!$E:$E)</f>
        <v>0</v>
      </c>
      <c r="I9" s="659">
        <f>SUMIF(울트라팜_FS!$A:$A,BS!G9,울트라팜_FS!$D:$D)</f>
        <v>0</v>
      </c>
      <c r="J9" s="659">
        <f>SUMIF(HK_BS!$A:$A,BS!G9,HK_BS!$K:$K)</f>
        <v>89752</v>
      </c>
      <c r="K9" s="659">
        <f>SUMIF(DHK_BS!$A:$A,BS!G9,DHK_BS!$K:$K)</f>
        <v>0</v>
      </c>
      <c r="L9" s="659">
        <f>SUMIF(상해_BS!$A:$A,BS!G9,상해_BS!$K:$K)</f>
        <v>0</v>
      </c>
      <c r="M9" s="659">
        <f>SUMIF(SG_BS!$A:$A,BS!G9,SG_BS!$K:$K)</f>
        <v>7928548</v>
      </c>
      <c r="N9" s="659">
        <f>SUMIF(ATGC_BS!$H:$H,BS!G9,ATGC_BS!$I:$I)</f>
        <v>0</v>
      </c>
      <c r="O9" s="660">
        <f t="shared" si="3"/>
        <v>8018300</v>
      </c>
      <c r="P9" s="651">
        <f>SUMIF(RIC!D:D,BS!G9,RIC!F:F)</f>
        <v>0</v>
      </c>
      <c r="Q9" s="652">
        <f>SUMIF(RIC!G:G,BS!G9,RIC!I:I)</f>
        <v>0</v>
      </c>
      <c r="R9" s="650">
        <f t="shared" si="5"/>
        <v>8018300</v>
      </c>
      <c r="S9" s="653">
        <f>SUMIF(RIT!H:H,BS!G9,RIT!J:J)</f>
        <v>0</v>
      </c>
      <c r="T9" s="654">
        <f>SUMIF(RIT!K:K,BS!G9,RIT!M:M)</f>
        <v>0</v>
      </c>
      <c r="U9" s="650">
        <f t="shared" si="6"/>
        <v>8018300</v>
      </c>
      <c r="V9" s="655">
        <f>SUMIF(지분법및기타!$D:$D,BS!G9,지분법및기타!$F:$F)</f>
        <v>0</v>
      </c>
      <c r="W9" s="656">
        <f>SUMIF(지분법및기타!$G:$G,BS!G9,지분법및기타!$I:$I)</f>
        <v>0</v>
      </c>
      <c r="X9" s="657">
        <f t="shared" si="7"/>
        <v>8018300</v>
      </c>
      <c r="Y9" s="443" t="s">
        <v>359</v>
      </c>
      <c r="AA9" s="108">
        <f t="shared" si="4"/>
        <v>0</v>
      </c>
      <c r="AB9" s="497"/>
    </row>
    <row r="10" spans="1:28">
      <c r="A10" s="444">
        <v>4</v>
      </c>
      <c r="B10" s="445"/>
      <c r="C10" s="446"/>
      <c r="D10" s="447"/>
      <c r="E10" s="448" t="s">
        <v>9</v>
      </c>
      <c r="F10" s="431"/>
      <c r="G10" s="442" t="s">
        <v>627</v>
      </c>
      <c r="H10" s="659">
        <f>SUMIF(별도정산표!$G:$G,BS!G10,별도정산표!$E:$E)</f>
        <v>0</v>
      </c>
      <c r="I10" s="659">
        <f>SUMIF(울트라팜_FS!$A:$A,BS!G10,울트라팜_FS!$D:$D)</f>
        <v>0</v>
      </c>
      <c r="J10" s="659">
        <f>SUMIF(HK_BS!$A:$A,BS!G10,HK_BS!$K:$K)</f>
        <v>0</v>
      </c>
      <c r="K10" s="659">
        <f>SUMIF(DHK_BS!$A:$A,BS!G10,DHK_BS!$K:$K)</f>
        <v>0</v>
      </c>
      <c r="L10" s="659">
        <f>SUMIF(상해_BS!$A:$A,BS!G10,상해_BS!$K:$K)</f>
        <v>0</v>
      </c>
      <c r="M10" s="659">
        <f>SUMIF(SG_BS!$A:$A,BS!G10,SG_BS!$K:$K)</f>
        <v>0</v>
      </c>
      <c r="N10" s="659">
        <f>SUMIF(ATGC_BS!$H:$H,BS!G10,ATGC_BS!$I:$I)</f>
        <v>1000000000</v>
      </c>
      <c r="O10" s="660">
        <f t="shared" si="3"/>
        <v>1000000000</v>
      </c>
      <c r="P10" s="651">
        <f>SUMIF(RIC!D:D,BS!G10,RIC!F:F)</f>
        <v>0</v>
      </c>
      <c r="Q10" s="652">
        <f>SUMIF(RIC!G:G,BS!G10,RIC!I:I)</f>
        <v>0</v>
      </c>
      <c r="R10" s="650">
        <f t="shared" si="5"/>
        <v>1000000000</v>
      </c>
      <c r="S10" s="653">
        <f>SUMIF(RIT!H:H,BS!G10,RIT!J:J)</f>
        <v>0</v>
      </c>
      <c r="T10" s="654">
        <f>SUMIF(RIT!K:K,BS!G10,RIT!M:M)</f>
        <v>0</v>
      </c>
      <c r="U10" s="650">
        <f t="shared" si="6"/>
        <v>1000000000</v>
      </c>
      <c r="V10" s="655">
        <f>SUMIF(지분법및기타!$D:$D,BS!G10,지분법및기타!$F:$F)</f>
        <v>0</v>
      </c>
      <c r="W10" s="656">
        <f>SUMIF(지분법및기타!$G:$G,BS!G10,지분법및기타!$I:$I)</f>
        <v>0</v>
      </c>
      <c r="X10" s="657">
        <f t="shared" si="7"/>
        <v>1000000000</v>
      </c>
      <c r="Y10" s="443" t="s">
        <v>8</v>
      </c>
      <c r="AA10" s="108"/>
      <c r="AB10" s="497"/>
    </row>
    <row r="11" spans="1:28">
      <c r="A11" s="444">
        <v>4</v>
      </c>
      <c r="B11" s="445"/>
      <c r="C11" s="446"/>
      <c r="D11" s="447"/>
      <c r="E11" s="448" t="s">
        <v>11</v>
      </c>
      <c r="F11" s="431"/>
      <c r="G11" s="442" t="s">
        <v>628</v>
      </c>
      <c r="H11" s="659">
        <f>SUMIF(별도정산표!$G:$G,BS!G11,별도정산표!$E:$E)</f>
        <v>1535770100</v>
      </c>
      <c r="I11" s="659">
        <f>SUMIF(울트라팜_FS!$A:$A,BS!G11,울트라팜_FS!$D:$D)</f>
        <v>0</v>
      </c>
      <c r="J11" s="659">
        <f>SUMIF(HK_BS!$A:$A,BS!G11,HK_BS!$K:$K)</f>
        <v>1710243241</v>
      </c>
      <c r="K11" s="659">
        <f>SUMIF(DHK_BS!$A:$A,BS!G11,DHK_BS!$K:$K)</f>
        <v>0</v>
      </c>
      <c r="L11" s="659">
        <f>SUMIF(상해_BS!$A:$A,BS!G11,상해_BS!$K:$K)</f>
        <v>0</v>
      </c>
      <c r="M11" s="659">
        <f>SUMIF(SG_BS!$A:$A,BS!G11,SG_BS!$K:$K)</f>
        <v>0</v>
      </c>
      <c r="N11" s="659">
        <f>SUMIF(ATGC_BS!$H:$H,BS!G11,ATGC_BS!$I:$I)</f>
        <v>0</v>
      </c>
      <c r="O11" s="660">
        <f t="shared" si="3"/>
        <v>3246013341</v>
      </c>
      <c r="P11" s="651">
        <f>SUMIF(RIC!D:D,BS!G11,RIC!F:F)</f>
        <v>0</v>
      </c>
      <c r="Q11" s="652">
        <f>SUMIF(RIC!G:G,BS!G11,RIC!I:I)</f>
        <v>0</v>
      </c>
      <c r="R11" s="650">
        <f t="shared" si="5"/>
        <v>3246013341</v>
      </c>
      <c r="S11" s="653">
        <f>SUMIF(RIT!H:H,BS!G11,RIT!J:J)</f>
        <v>0</v>
      </c>
      <c r="T11" s="654">
        <f>SUMIF(RIT!K:K,BS!G11,RIT!M:M)</f>
        <v>2036954016</v>
      </c>
      <c r="U11" s="650">
        <f t="shared" si="6"/>
        <v>1209059325</v>
      </c>
      <c r="V11" s="655">
        <f>SUMIF(지분법및기타!$D:$D,BS!G11,지분법및기타!$F:$F)</f>
        <v>42605437</v>
      </c>
      <c r="W11" s="656">
        <f>SUMIF(지분법및기타!$G:$G,BS!G11,지분법및기타!$I:$I)</f>
        <v>158374871</v>
      </c>
      <c r="X11" s="657">
        <f t="shared" si="7"/>
        <v>1093289891</v>
      </c>
      <c r="Y11" s="443" t="s">
        <v>10</v>
      </c>
      <c r="AA11" s="108">
        <f>X11-O11</f>
        <v>-2152723450</v>
      </c>
      <c r="AB11" s="497" t="s">
        <v>2698</v>
      </c>
    </row>
    <row r="12" spans="1:28">
      <c r="A12" s="444">
        <v>4</v>
      </c>
      <c r="B12" s="445"/>
      <c r="C12" s="446"/>
      <c r="D12" s="447"/>
      <c r="E12" s="448" t="s">
        <v>818</v>
      </c>
      <c r="F12" s="431"/>
      <c r="G12" s="442" t="s">
        <v>629</v>
      </c>
      <c r="H12" s="659">
        <f>SUMIF(별도정산표!$G:$G,BS!G12,별도정산표!$E:$E)</f>
        <v>-105342662</v>
      </c>
      <c r="I12" s="659">
        <f>SUMIF(울트라팜_FS!$A:$A,BS!G12,울트라팜_FS!$D:$D)</f>
        <v>0</v>
      </c>
      <c r="J12" s="659">
        <f>SUMIF(HK_BS!$A:$A,BS!G12,HK_BS!$K:$K)</f>
        <v>0</v>
      </c>
      <c r="K12" s="659">
        <f>SUMIF(DHK_BS!$A:$A,BS!G12,DHK_BS!$K:$K)</f>
        <v>0</v>
      </c>
      <c r="L12" s="659">
        <f>SUMIF(상해_BS!$A:$A,BS!G12,상해_BS!$K:$K)</f>
        <v>0</v>
      </c>
      <c r="M12" s="659">
        <f>SUMIF(SG_BS!$A:$A,BS!G12,SG_BS!$K:$K)</f>
        <v>0</v>
      </c>
      <c r="N12" s="659">
        <f>SUMIF(ATGC_BS!$H:$H,BS!G12,ATGC_BS!$I:$I)</f>
        <v>0</v>
      </c>
      <c r="O12" s="660">
        <f t="shared" si="3"/>
        <v>-105342662</v>
      </c>
      <c r="P12" s="651">
        <f>SUMIF(RIC!D:D,BS!G12,RIC!F:F)</f>
        <v>0</v>
      </c>
      <c r="Q12" s="652">
        <f>SUMIF(RIC!G:G,BS!G12,RIC!I:I)</f>
        <v>0</v>
      </c>
      <c r="R12" s="650">
        <f t="shared" si="5"/>
        <v>-105342662</v>
      </c>
      <c r="S12" s="653">
        <f>SUMIF(RIT!H:H,BS!G12,RIT!J:J)</f>
        <v>25641144</v>
      </c>
      <c r="T12" s="654">
        <f>SUMIF(RIT!K:K,BS!G12,RIT!M:M)</f>
        <v>0</v>
      </c>
      <c r="U12" s="650">
        <f t="shared" si="6"/>
        <v>-79701518</v>
      </c>
      <c r="V12" s="655">
        <f>SUMIF(지분법및기타!$D:$D,BS!G12,지분법및기타!$F:$F)</f>
        <v>0</v>
      </c>
      <c r="W12" s="656">
        <f>SUMIF(지분법및기타!$G:$G,BS!G12,지분법및기타!$I:$I)</f>
        <v>0</v>
      </c>
      <c r="X12" s="657">
        <f t="shared" si="7"/>
        <v>-79701518</v>
      </c>
      <c r="Y12" s="443" t="s">
        <v>12</v>
      </c>
      <c r="AA12" s="108">
        <f t="shared" ref="AA12" si="8">X12-O12</f>
        <v>25641144</v>
      </c>
      <c r="AB12" s="497" t="s">
        <v>2697</v>
      </c>
    </row>
    <row r="13" spans="1:28">
      <c r="A13" s="444">
        <v>4</v>
      </c>
      <c r="B13" s="445"/>
      <c r="C13" s="446"/>
      <c r="D13" s="447"/>
      <c r="E13" s="448" t="s">
        <v>15</v>
      </c>
      <c r="F13" s="431"/>
      <c r="G13" s="442" t="s">
        <v>630</v>
      </c>
      <c r="H13" s="659">
        <f>SUMIF(별도정산표!$G:$G,BS!G13,별도정산표!$E:$E)</f>
        <v>0</v>
      </c>
      <c r="I13" s="659">
        <f>SUMIF(울트라팜_FS!$A:$A,BS!G13,울트라팜_FS!$D:$D)</f>
        <v>0</v>
      </c>
      <c r="J13" s="659">
        <f>SUMIF(HK_BS!$A:$A,BS!G13,HK_BS!$K:$K)</f>
        <v>0</v>
      </c>
      <c r="K13" s="659">
        <f>SUMIF(DHK_BS!$A:$A,BS!G13,DHK_BS!$K:$K)</f>
        <v>0</v>
      </c>
      <c r="L13" s="659">
        <f>SUMIF(상해_BS!$A:$A,BS!G13,상해_BS!$K:$K)</f>
        <v>0</v>
      </c>
      <c r="M13" s="659">
        <f>SUMIF(SG_BS!$A:$A,BS!G13,SG_BS!$K:$K)</f>
        <v>0</v>
      </c>
      <c r="N13" s="659">
        <f>SUMIF(ATGC_BS!$H:$H,BS!G13,ATGC_BS!$I:$I)</f>
        <v>8344109</v>
      </c>
      <c r="O13" s="660">
        <f t="shared" si="3"/>
        <v>8344109</v>
      </c>
      <c r="P13" s="651">
        <f>SUMIF(RIC!D:D,BS!G13,RIC!F:F)</f>
        <v>0</v>
      </c>
      <c r="Q13" s="652">
        <f>SUMIF(RIC!G:G,BS!G13,RIC!I:I)</f>
        <v>0</v>
      </c>
      <c r="R13" s="650">
        <f t="shared" si="5"/>
        <v>8344109</v>
      </c>
      <c r="S13" s="653">
        <f>SUMIF(RIT!H:H,BS!G13,RIT!J:J)</f>
        <v>0</v>
      </c>
      <c r="T13" s="654">
        <f>SUMIF(RIT!K:K,BS!G13,RIT!M:M)</f>
        <v>0</v>
      </c>
      <c r="U13" s="650">
        <f t="shared" si="6"/>
        <v>8344109</v>
      </c>
      <c r="V13" s="655">
        <f>SUMIF(지분법및기타!$D:$D,BS!G13,지분법및기타!$F:$F)</f>
        <v>0</v>
      </c>
      <c r="W13" s="656">
        <f>SUMIF(지분법및기타!$G:$G,BS!G13,지분법및기타!$I:$I)</f>
        <v>0</v>
      </c>
      <c r="X13" s="657">
        <f t="shared" si="7"/>
        <v>8344109</v>
      </c>
      <c r="Y13" s="443" t="s">
        <v>15</v>
      </c>
      <c r="Z13" s="488"/>
      <c r="AA13" s="108"/>
      <c r="AB13" s="497"/>
    </row>
    <row r="14" spans="1:28">
      <c r="A14" s="444"/>
      <c r="B14" s="445"/>
      <c r="C14" s="446"/>
      <c r="D14" s="447"/>
      <c r="E14" s="510" t="s">
        <v>816</v>
      </c>
      <c r="F14" s="431"/>
      <c r="G14" s="442" t="s">
        <v>631</v>
      </c>
      <c r="H14" s="659">
        <f>SUMIF(별도정산표!$G:$G,BS!G14,별도정산표!$E:$E)</f>
        <v>0</v>
      </c>
      <c r="I14" s="659">
        <f>SUMIF(울트라팜_FS!$A:$A,BS!G14,울트라팜_FS!$D:$D)</f>
        <v>0</v>
      </c>
      <c r="J14" s="659">
        <f>SUMIF(HK_BS!$A:$A,BS!G14,HK_BS!$K:$K)</f>
        <v>0</v>
      </c>
      <c r="K14" s="659">
        <f>SUMIF(DHK_BS!$A:$A,BS!G14,DHK_BS!$K:$K)</f>
        <v>0</v>
      </c>
      <c r="L14" s="659">
        <f>SUMIF(상해_BS!$A:$A,BS!G14,상해_BS!$K:$K)</f>
        <v>0</v>
      </c>
      <c r="M14" s="659">
        <f>SUMIF(SG_BS!$A:$A,BS!G14,SG_BS!$K:$K)</f>
        <v>0</v>
      </c>
      <c r="N14" s="659">
        <f>SUMIF(ATGC_BS!$H:$H,BS!G14,ATGC_BS!$I:$I)</f>
        <v>0</v>
      </c>
      <c r="O14" s="660">
        <f t="shared" si="3"/>
        <v>0</v>
      </c>
      <c r="P14" s="651">
        <f>SUMIF(RIC!D:D,BS!G14,RIC!F:F)</f>
        <v>0</v>
      </c>
      <c r="Q14" s="652">
        <f>SUMIF(RIC!G:G,BS!G14,RIC!I:I)</f>
        <v>0</v>
      </c>
      <c r="R14" s="650">
        <f t="shared" si="5"/>
        <v>0</v>
      </c>
      <c r="S14" s="653">
        <f>SUMIF(RIT!H:H,BS!G14,RIT!J:J)</f>
        <v>0</v>
      </c>
      <c r="T14" s="654">
        <f>SUMIF(RIT!K:K,BS!G14,RIT!M:M)</f>
        <v>0</v>
      </c>
      <c r="U14" s="650">
        <f t="shared" si="6"/>
        <v>0</v>
      </c>
      <c r="V14" s="655">
        <f>SUMIF(지분법및기타!$D:$D,BS!G14,지분법및기타!$F:$F)</f>
        <v>0</v>
      </c>
      <c r="W14" s="656">
        <f>SUMIF(지분법및기타!$G:$G,BS!G14,지분법및기타!$I:$I)</f>
        <v>0</v>
      </c>
      <c r="X14" s="657">
        <f t="shared" si="7"/>
        <v>0</v>
      </c>
      <c r="Y14" s="443" t="s">
        <v>1504</v>
      </c>
      <c r="Z14" s="488"/>
      <c r="AA14" s="108"/>
      <c r="AB14" s="497"/>
    </row>
    <row r="15" spans="1:28">
      <c r="A15" s="444"/>
      <c r="B15" s="445"/>
      <c r="C15" s="446"/>
      <c r="D15" s="447"/>
      <c r="E15" s="510" t="s">
        <v>13</v>
      </c>
      <c r="F15" s="431"/>
      <c r="G15" s="442" t="s">
        <v>632</v>
      </c>
      <c r="H15" s="659">
        <f>SUMIF(별도정산표!$G:$G,BS!G15,별도정산표!$E:$E)</f>
        <v>261017572</v>
      </c>
      <c r="I15" s="659">
        <f>SUMIF(울트라팜_FS!$A:$A,BS!G15,울트라팜_FS!$D:$D)</f>
        <v>0</v>
      </c>
      <c r="J15" s="659">
        <f>SUMIF(HK_BS!$A:$A,BS!G15,HK_BS!$K:$K)</f>
        <v>0</v>
      </c>
      <c r="K15" s="659">
        <f>SUMIF(DHK_BS!$A:$A,BS!G15,DHK_BS!$K:$K)</f>
        <v>0</v>
      </c>
      <c r="L15" s="659">
        <f>SUMIF(상해_BS!$A:$A,BS!G15,상해_BS!$K:$K)</f>
        <v>0</v>
      </c>
      <c r="M15" s="659">
        <f>SUMIF(SG_BS!$A:$A,BS!G15,SG_BS!$K:$K)</f>
        <v>0</v>
      </c>
      <c r="N15" s="659">
        <f>SUMIF(ATGC_BS!$H:$H,BS!G15,ATGC_BS!$I:$I)</f>
        <v>283494990</v>
      </c>
      <c r="O15" s="660">
        <f t="shared" ref="O15" si="9">SUM(H15:N15)</f>
        <v>544512562</v>
      </c>
      <c r="P15" s="651">
        <f>SUMIF(RIC!D:D,BS!G15,RIC!F:F)</f>
        <v>0</v>
      </c>
      <c r="Q15" s="652">
        <f>SUMIF(RIC!G:G,BS!G15,RIC!I:I)</f>
        <v>0</v>
      </c>
      <c r="R15" s="650">
        <f t="shared" ref="R15" si="10">O15+P15-Q15</f>
        <v>544512562</v>
      </c>
      <c r="S15" s="653">
        <f>SUMIF(RIT!H:H,BS!G15,RIT!J:J)</f>
        <v>0</v>
      </c>
      <c r="T15" s="654">
        <f>SUMIF(RIT!K:K,BS!G15,RIT!M:M)</f>
        <v>0</v>
      </c>
      <c r="U15" s="650">
        <f t="shared" ref="U15" si="11">R15+S15-T15</f>
        <v>544512562</v>
      </c>
      <c r="V15" s="655">
        <f>SUMIF(지분법및기타!$D:$D,BS!G15,지분법및기타!$F:$F)</f>
        <v>0</v>
      </c>
      <c r="W15" s="656">
        <f>SUMIF(지분법및기타!$G:$G,BS!G15,지분법및기타!$I:$I)</f>
        <v>0</v>
      </c>
      <c r="X15" s="657">
        <f t="shared" ref="X15" si="12">U15+V15-W15</f>
        <v>544512562</v>
      </c>
      <c r="Y15" s="443" t="s">
        <v>13</v>
      </c>
      <c r="Z15" s="488"/>
      <c r="AA15" s="108">
        <f t="shared" ref="AA15:AA17" si="13">X15-O15</f>
        <v>0</v>
      </c>
      <c r="AB15" s="497"/>
    </row>
    <row r="16" spans="1:28">
      <c r="A16" s="444">
        <v>4</v>
      </c>
      <c r="B16" s="445"/>
      <c r="C16" s="446"/>
      <c r="D16" s="447"/>
      <c r="E16" s="448" t="s">
        <v>814</v>
      </c>
      <c r="F16" s="431"/>
      <c r="G16" s="442" t="s">
        <v>633</v>
      </c>
      <c r="H16" s="659">
        <f>SUMIF(별도정산표!$G:$G,BS!G16,별도정산표!$E:$E)</f>
        <v>-24139000</v>
      </c>
      <c r="I16" s="659">
        <f>SUMIF(울트라팜_FS!$A:$A,BS!G16,울트라팜_FS!$D:$D)</f>
        <v>0</v>
      </c>
      <c r="J16" s="659">
        <f>SUMIF(HK_BS!$A:$A,BS!G16,HK_BS!$K:$K)</f>
        <v>0</v>
      </c>
      <c r="K16" s="659">
        <f>SUMIF(DHK_BS!$A:$A,BS!G16,DHK_BS!$K:$K)</f>
        <v>0</v>
      </c>
      <c r="L16" s="659">
        <f>SUMIF(상해_BS!$A:$A,BS!G16,상해_BS!$K:$K)</f>
        <v>0</v>
      </c>
      <c r="M16" s="659">
        <f>SUMIF(SG_BS!$A:$A,BS!G16,SG_BS!$K:$K)</f>
        <v>0</v>
      </c>
      <c r="N16" s="659">
        <f>SUMIF(ATGC_BS!$H:$H,BS!G16,ATGC_BS!$I:$I)</f>
        <v>0</v>
      </c>
      <c r="O16" s="660">
        <f t="shared" si="3"/>
        <v>-24139000</v>
      </c>
      <c r="P16" s="651">
        <f>SUMIF(RIC!D:D,BS!G16,RIC!F:F)</f>
        <v>0</v>
      </c>
      <c r="Q16" s="652">
        <f>SUMIF(RIC!G:G,BS!G16,RIC!I:I)</f>
        <v>0</v>
      </c>
      <c r="R16" s="650">
        <f t="shared" si="5"/>
        <v>-24139000</v>
      </c>
      <c r="S16" s="653">
        <f>SUMIF(RIT!H:H,BS!G16,RIT!J:J)</f>
        <v>0</v>
      </c>
      <c r="T16" s="654">
        <f>SUMIF(RIT!K:K,BS!G16,RIT!M:M)</f>
        <v>0</v>
      </c>
      <c r="U16" s="650">
        <f t="shared" si="6"/>
        <v>-24139000</v>
      </c>
      <c r="V16" s="655">
        <f>SUMIF(지분법및기타!$D:$D,BS!G16,지분법및기타!$F:$F)</f>
        <v>0</v>
      </c>
      <c r="W16" s="656">
        <f>SUMIF(지분법및기타!$G:$G,BS!G16,지분법및기타!$I:$I)</f>
        <v>0</v>
      </c>
      <c r="X16" s="657">
        <f t="shared" si="7"/>
        <v>-24139000</v>
      </c>
      <c r="Y16" s="443" t="s">
        <v>14</v>
      </c>
      <c r="AA16" s="108">
        <f t="shared" si="13"/>
        <v>0</v>
      </c>
      <c r="AB16" s="497"/>
    </row>
    <row r="17" spans="1:32">
      <c r="A17" s="444">
        <v>4</v>
      </c>
      <c r="B17" s="445"/>
      <c r="C17" s="446"/>
      <c r="D17" s="447"/>
      <c r="E17" s="448" t="s">
        <v>16</v>
      </c>
      <c r="F17" s="431"/>
      <c r="G17" s="442" t="s">
        <v>634</v>
      </c>
      <c r="H17" s="659">
        <f>SUMIF(별도정산표!$G:$G,BS!G17,별도정산표!$E:$E)</f>
        <v>394157762</v>
      </c>
      <c r="I17" s="659">
        <f>SUMIF(울트라팜_FS!$A:$A,BS!G17,울트라팜_FS!$D:$D)</f>
        <v>0</v>
      </c>
      <c r="J17" s="659">
        <f>SUMIF(HK_BS!$A:$A,BS!G17,HK_BS!$K:$K)</f>
        <v>2538076</v>
      </c>
      <c r="K17" s="659">
        <f>SUMIF(DHK_BS!$A:$A,BS!G17,DHK_BS!$K:$K)</f>
        <v>1200739</v>
      </c>
      <c r="L17" s="659">
        <f>SUMIF(상해_BS!$A:$A,BS!G17,상해_BS!$K:$K)</f>
        <v>0</v>
      </c>
      <c r="M17" s="659">
        <f>SUMIF(SG_BS!$A:$A,BS!G17,SG_BS!$K:$K)</f>
        <v>0</v>
      </c>
      <c r="N17" s="659">
        <f>SUMIF(ATGC_BS!$H:$H,BS!G17,ATGC_BS!$I:$I)</f>
        <v>836100000</v>
      </c>
      <c r="O17" s="660">
        <f t="shared" si="3"/>
        <v>1233996577</v>
      </c>
      <c r="P17" s="651">
        <f>SUMIF(RIC!D:D,BS!G17,RIC!F:F)</f>
        <v>0</v>
      </c>
      <c r="Q17" s="652">
        <f>SUMIF(RIC!G:G,BS!G17,RIC!I:I)</f>
        <v>0</v>
      </c>
      <c r="R17" s="650">
        <f t="shared" si="5"/>
        <v>1233996577</v>
      </c>
      <c r="S17" s="653">
        <f>SUMIF(RIT!H:H,BS!G17,RIT!J:J)</f>
        <v>0</v>
      </c>
      <c r="T17" s="654">
        <f>SUMIF(RIT!K:K,BS!G17,RIT!M:M)</f>
        <v>0</v>
      </c>
      <c r="U17" s="650">
        <f t="shared" si="6"/>
        <v>1233996577</v>
      </c>
      <c r="V17" s="655">
        <f>SUMIF(지분법및기타!$D:$D,BS!G17,지분법및기타!$F:$F)</f>
        <v>0</v>
      </c>
      <c r="W17" s="656">
        <f>SUMIF(지분법및기타!$G:$G,BS!G17,지분법및기타!$I:$I)</f>
        <v>-4995874</v>
      </c>
      <c r="X17" s="657">
        <f t="shared" si="7"/>
        <v>1238992451</v>
      </c>
      <c r="Y17" s="443" t="s">
        <v>16</v>
      </c>
      <c r="AA17" s="108">
        <f t="shared" si="13"/>
        <v>4995874</v>
      </c>
      <c r="AB17" s="497"/>
    </row>
    <row r="18" spans="1:32">
      <c r="A18" s="444">
        <v>4</v>
      </c>
      <c r="B18" s="445"/>
      <c r="C18" s="446"/>
      <c r="D18" s="447"/>
      <c r="E18" s="448" t="s">
        <v>812</v>
      </c>
      <c r="F18" s="431"/>
      <c r="G18" s="442" t="s">
        <v>635</v>
      </c>
      <c r="H18" s="659">
        <f>SUMIF(별도정산표!$G:$G,BS!G18,별도정산표!$E:$E)</f>
        <v>0</v>
      </c>
      <c r="I18" s="659">
        <f>SUMIF(울트라팜_FS!$A:$A,BS!G18,울트라팜_FS!$D:$D)</f>
        <v>0</v>
      </c>
      <c r="J18" s="659">
        <f>SUMIF(HK_BS!$A:$A,BS!G18,HK_BS!$K:$K)</f>
        <v>0</v>
      </c>
      <c r="K18" s="659">
        <f>SUMIF(DHK_BS!$A:$A,BS!G18,DHK_BS!$K:$K)</f>
        <v>0</v>
      </c>
      <c r="L18" s="659">
        <f>SUMIF(상해_BS!$A:$A,BS!G18,상해_BS!$K:$K)</f>
        <v>0</v>
      </c>
      <c r="M18" s="659">
        <f>SUMIF(SG_BS!$A:$A,BS!G18,SG_BS!$K:$K)</f>
        <v>0</v>
      </c>
      <c r="N18" s="659">
        <f>SUMIF(ATGC_BS!$H:$H,BS!G18,ATGC_BS!$I:$I)</f>
        <v>-564300000</v>
      </c>
      <c r="O18" s="660">
        <f t="shared" si="3"/>
        <v>-564300000</v>
      </c>
      <c r="P18" s="651">
        <f>SUMIF(RIC!D:D,BS!G18,RIC!F:F)</f>
        <v>0</v>
      </c>
      <c r="Q18" s="652">
        <f>SUMIF(RIC!G:G,BS!G18,RIC!I:I)</f>
        <v>0</v>
      </c>
      <c r="R18" s="650">
        <f t="shared" si="5"/>
        <v>-564300000</v>
      </c>
      <c r="S18" s="653">
        <f>SUMIF(RIT!H:H,BS!G18,RIT!J:J)</f>
        <v>0</v>
      </c>
      <c r="T18" s="654">
        <f>SUMIF(RIT!K:K,BS!G18,RIT!M:M)</f>
        <v>0</v>
      </c>
      <c r="U18" s="650">
        <f t="shared" si="6"/>
        <v>-564300000</v>
      </c>
      <c r="V18" s="655">
        <f>SUMIF(지분법및기타!$D:$D,BS!G18,지분법및기타!$F:$F)</f>
        <v>0</v>
      </c>
      <c r="W18" s="656">
        <f>SUMIF(지분법및기타!$G:$G,BS!G18,지분법및기타!$I:$I)</f>
        <v>0</v>
      </c>
      <c r="X18" s="657">
        <f t="shared" si="7"/>
        <v>-564300000</v>
      </c>
      <c r="Y18" s="443" t="s">
        <v>1505</v>
      </c>
      <c r="AA18" s="108"/>
      <c r="AB18" s="497"/>
    </row>
    <row r="19" spans="1:32">
      <c r="A19" s="444">
        <v>4</v>
      </c>
      <c r="B19" s="445"/>
      <c r="C19" s="446"/>
      <c r="D19" s="447"/>
      <c r="E19" s="448" t="s">
        <v>17</v>
      </c>
      <c r="F19" s="431"/>
      <c r="G19" s="442" t="s">
        <v>636</v>
      </c>
      <c r="H19" s="659">
        <f>SUMIF(별도정산표!$G:$G,BS!G19,별도정산표!$E:$E)</f>
        <v>1698698289</v>
      </c>
      <c r="I19" s="659">
        <f>SUMIF(울트라팜_FS!$A:$A,BS!G19,울트라팜_FS!$D:$D)</f>
        <v>0</v>
      </c>
      <c r="J19" s="659">
        <f>SUMIF(HK_BS!$A:$A,BS!G19,HK_BS!$K:$K)</f>
        <v>0</v>
      </c>
      <c r="K19" s="659">
        <f>SUMIF(DHK_BS!$A:$A,BS!G19,DHK_BS!$K:$K)</f>
        <v>0</v>
      </c>
      <c r="L19" s="659">
        <f>SUMIF(상해_BS!$A:$A,BS!G19,상해_BS!$K:$K)</f>
        <v>0</v>
      </c>
      <c r="M19" s="659">
        <f>SUMIF(SG_BS!$A:$A,BS!G19,SG_BS!$K:$K)</f>
        <v>0</v>
      </c>
      <c r="N19" s="659">
        <f>SUMIF(ATGC_BS!$H:$H,BS!G19,ATGC_BS!$I:$I)</f>
        <v>0</v>
      </c>
      <c r="O19" s="660">
        <f t="shared" si="3"/>
        <v>1698698289</v>
      </c>
      <c r="P19" s="651">
        <f>SUMIF(RIC!D:D,BS!G19,RIC!F:F)</f>
        <v>0</v>
      </c>
      <c r="Q19" s="652">
        <f>SUMIF(RIC!G:G,BS!G19,RIC!I:I)</f>
        <v>0</v>
      </c>
      <c r="R19" s="650">
        <f t="shared" si="5"/>
        <v>1698698289</v>
      </c>
      <c r="S19" s="653">
        <f>SUMIF(RIT!H:H,BS!G19,RIT!J:J)</f>
        <v>0</v>
      </c>
      <c r="T19" s="654">
        <f>SUMIF(RIT!K:K,BS!G19,RIT!M:M)</f>
        <v>0</v>
      </c>
      <c r="U19" s="650">
        <f t="shared" si="6"/>
        <v>1698698289</v>
      </c>
      <c r="V19" s="655">
        <f>SUMIF(지분법및기타!$D:$D,BS!G19,지분법및기타!$F:$F)</f>
        <v>0</v>
      </c>
      <c r="W19" s="656">
        <f>SUMIF(지분법및기타!$G:$G,BS!G19,지분법및기타!$I:$I)</f>
        <v>0</v>
      </c>
      <c r="X19" s="657">
        <f t="shared" si="7"/>
        <v>1698698289</v>
      </c>
      <c r="Y19" s="443" t="s">
        <v>17</v>
      </c>
      <c r="AA19" s="108">
        <f t="shared" ref="AA19:AA20" si="14">X19-O19</f>
        <v>0</v>
      </c>
      <c r="AB19" s="497"/>
      <c r="AE19" s="1118"/>
    </row>
    <row r="20" spans="1:32">
      <c r="A20" s="444">
        <v>4</v>
      </c>
      <c r="B20" s="445"/>
      <c r="C20" s="446"/>
      <c r="D20" s="447"/>
      <c r="E20" s="448" t="s">
        <v>638</v>
      </c>
      <c r="F20" s="431"/>
      <c r="G20" s="442" t="s">
        <v>637</v>
      </c>
      <c r="H20" s="659">
        <f>SUMIF(별도정산표!$G:$G,BS!G20,별도정산표!$E:$E)</f>
        <v>0</v>
      </c>
      <c r="I20" s="659">
        <f>SUMIF(울트라팜_FS!$A:$A,BS!G20,울트라팜_FS!$D:$D)</f>
        <v>0</v>
      </c>
      <c r="J20" s="659">
        <f>SUMIF(HK_BS!$A:$A,BS!G20,HK_BS!$K:$K)</f>
        <v>0</v>
      </c>
      <c r="K20" s="659">
        <f>SUMIF(DHK_BS!$A:$A,BS!G20,DHK_BS!$K:$K)</f>
        <v>0</v>
      </c>
      <c r="L20" s="659">
        <f>SUMIF(상해_BS!$A:$A,BS!G20,상해_BS!$K:$K)</f>
        <v>0</v>
      </c>
      <c r="M20" s="659">
        <f>SUMIF(SG_BS!$A:$A,BS!G20,SG_BS!$K:$K)</f>
        <v>0</v>
      </c>
      <c r="N20" s="659">
        <f>SUMIF(ATGC_BS!$H:$H,BS!G20,ATGC_BS!$I:$I)</f>
        <v>0</v>
      </c>
      <c r="O20" s="660">
        <f t="shared" si="3"/>
        <v>0</v>
      </c>
      <c r="P20" s="651">
        <f>SUMIF(RIC!D:D,BS!G20,RIC!F:F)</f>
        <v>0</v>
      </c>
      <c r="Q20" s="652">
        <f>SUMIF(RIC!G:G,BS!G20,RIC!I:I)</f>
        <v>0</v>
      </c>
      <c r="R20" s="650">
        <f t="shared" si="5"/>
        <v>0</v>
      </c>
      <c r="S20" s="653">
        <f>SUMIF(RIT!H:H,BS!G20,RIT!J:J)</f>
        <v>0</v>
      </c>
      <c r="T20" s="654">
        <f>SUMIF(RIT!K:K,BS!G20,RIT!M:M)</f>
        <v>0</v>
      </c>
      <c r="U20" s="650">
        <f t="shared" si="6"/>
        <v>0</v>
      </c>
      <c r="V20" s="655">
        <f>SUMIF(지분법및기타!$D:$D,BS!G20,지분법및기타!$F:$F)</f>
        <v>0</v>
      </c>
      <c r="W20" s="656">
        <f>SUMIF(지분법및기타!$G:$G,BS!G20,지분법및기타!$I:$I)</f>
        <v>0</v>
      </c>
      <c r="X20" s="657">
        <f t="shared" si="7"/>
        <v>0</v>
      </c>
      <c r="Y20" s="443" t="s">
        <v>1506</v>
      </c>
      <c r="AA20" s="108">
        <f t="shared" si="14"/>
        <v>0</v>
      </c>
      <c r="AB20" s="497"/>
      <c r="AE20" s="1118"/>
    </row>
    <row r="21" spans="1:32">
      <c r="A21" s="444">
        <v>4</v>
      </c>
      <c r="B21" s="445"/>
      <c r="C21" s="446"/>
      <c r="D21" s="447"/>
      <c r="E21" s="448" t="s">
        <v>640</v>
      </c>
      <c r="F21" s="431"/>
      <c r="G21" s="442" t="s">
        <v>639</v>
      </c>
      <c r="H21" s="659">
        <f>SUMIF(별도정산표!$G:$G,BS!G21,별도정산표!$E:$E)</f>
        <v>0</v>
      </c>
      <c r="I21" s="659">
        <f>SUMIF(울트라팜_FS!$A:$A,BS!G21,울트라팜_FS!$D:$D)</f>
        <v>0</v>
      </c>
      <c r="J21" s="659">
        <f>SUMIF(HK_BS!$A:$A,BS!G21,HK_BS!$K:$K)</f>
        <v>0</v>
      </c>
      <c r="K21" s="659">
        <f>SUMIF(DHK_BS!$A:$A,BS!G21,DHK_BS!$K:$K)</f>
        <v>0</v>
      </c>
      <c r="L21" s="659">
        <f>SUMIF(상해_BS!$A:$A,BS!G21,상해_BS!$K:$K)</f>
        <v>0</v>
      </c>
      <c r="M21" s="659">
        <f>SUMIF(SG_BS!$A:$A,BS!G21,SG_BS!$K:$K)</f>
        <v>0</v>
      </c>
      <c r="N21" s="659">
        <f>SUMIF(ATGC_BS!$H:$H,BS!G21,ATGC_BS!$I:$I)</f>
        <v>415346404</v>
      </c>
      <c r="O21" s="660">
        <f t="shared" si="3"/>
        <v>415346404</v>
      </c>
      <c r="P21" s="651">
        <f>SUMIF(RIC!D:D,BS!G21,RIC!F:F)</f>
        <v>0</v>
      </c>
      <c r="Q21" s="652">
        <f>SUMIF(RIC!G:G,BS!G21,RIC!I:I)</f>
        <v>0</v>
      </c>
      <c r="R21" s="650">
        <f t="shared" si="5"/>
        <v>415346404</v>
      </c>
      <c r="S21" s="653">
        <f>SUMIF(RIT!H:H,BS!G21,RIT!J:J)</f>
        <v>0</v>
      </c>
      <c r="T21" s="654">
        <f>SUMIF(RIT!K:K,BS!G21,RIT!M:M)</f>
        <v>0</v>
      </c>
      <c r="U21" s="650">
        <f t="shared" si="6"/>
        <v>415346404</v>
      </c>
      <c r="V21" s="655">
        <f>SUMIF(지분법및기타!$D:$D,BS!G21,지분법및기타!$F:$F)</f>
        <v>0</v>
      </c>
      <c r="W21" s="656">
        <f>SUMIF(지분법및기타!$G:$G,BS!G21,지분법및기타!$I:$I)</f>
        <v>0</v>
      </c>
      <c r="X21" s="657">
        <f t="shared" si="7"/>
        <v>415346404</v>
      </c>
      <c r="Y21" s="443" t="s">
        <v>640</v>
      </c>
      <c r="AA21" s="108"/>
      <c r="AB21" s="497"/>
      <c r="AE21" s="1118"/>
    </row>
    <row r="22" spans="1:32">
      <c r="A22" s="444">
        <v>4</v>
      </c>
      <c r="B22" s="445"/>
      <c r="C22" s="446"/>
      <c r="D22" s="447"/>
      <c r="E22" s="448" t="s">
        <v>642</v>
      </c>
      <c r="F22" s="431"/>
      <c r="G22" s="442" t="s">
        <v>641</v>
      </c>
      <c r="H22" s="659">
        <f>SUMIF(별도정산표!$G:$G,BS!G22,별도정산표!$E:$E)</f>
        <v>2154280</v>
      </c>
      <c r="I22" s="659">
        <f>SUMIF(울트라팜_FS!$A:$A,BS!G22,울트라팜_FS!$D:$D)</f>
        <v>0</v>
      </c>
      <c r="J22" s="659">
        <f>SUMIF(HK_BS!$A:$A,BS!G22,HK_BS!$K:$K)</f>
        <v>8607345</v>
      </c>
      <c r="K22" s="659">
        <f>SUMIF(DHK_BS!$A:$A,BS!G22,DHK_BS!$K:$K)</f>
        <v>0</v>
      </c>
      <c r="L22" s="659">
        <f>SUMIF(상해_BS!$A:$A,BS!G22,상해_BS!$K:$K)</f>
        <v>2287111</v>
      </c>
      <c r="M22" s="659">
        <f>SUMIF(SG_BS!$A:$A,BS!G22,SG_BS!$K:$K)</f>
        <v>0</v>
      </c>
      <c r="N22" s="659">
        <f>SUMIF(ATGC_BS!$H:$H,BS!G22,ATGC_BS!$I:$I)</f>
        <v>2610430</v>
      </c>
      <c r="O22" s="660">
        <f t="shared" si="3"/>
        <v>15659166</v>
      </c>
      <c r="P22" s="651">
        <f>SUMIF(RIC!D:D,BS!G22,RIC!F:F)</f>
        <v>0</v>
      </c>
      <c r="Q22" s="652">
        <f>SUMIF(RIC!G:G,BS!G22,RIC!I:I)</f>
        <v>0</v>
      </c>
      <c r="R22" s="650">
        <f t="shared" si="5"/>
        <v>15659166</v>
      </c>
      <c r="S22" s="653">
        <f>SUMIF(RIT!H:H,BS!G22,RIT!J:J)</f>
        <v>0</v>
      </c>
      <c r="T22" s="654">
        <f>SUMIF(RIT!K:K,BS!G22,RIT!M:M)</f>
        <v>0</v>
      </c>
      <c r="U22" s="650">
        <f t="shared" si="6"/>
        <v>15659166</v>
      </c>
      <c r="V22" s="655">
        <f>SUMIF(지분법및기타!$D:$D,BS!G22,지분법및기타!$F:$F)</f>
        <v>0</v>
      </c>
      <c r="W22" s="656">
        <f>SUMIF(지분법및기타!$G:$G,BS!G22,지분법및기타!$I:$I)</f>
        <v>0</v>
      </c>
      <c r="X22" s="657">
        <f t="shared" si="7"/>
        <v>15659166</v>
      </c>
      <c r="Y22" s="443" t="s">
        <v>106</v>
      </c>
      <c r="AA22" s="108">
        <f>X22-O22</f>
        <v>0</v>
      </c>
      <c r="AB22" s="497"/>
      <c r="AE22" s="1118"/>
    </row>
    <row r="23" spans="1:32">
      <c r="A23" s="444">
        <v>4</v>
      </c>
      <c r="B23" s="445"/>
      <c r="C23" s="446"/>
      <c r="D23" s="447"/>
      <c r="E23" s="448" t="s">
        <v>2761</v>
      </c>
      <c r="F23" s="431"/>
      <c r="G23" s="544" t="s">
        <v>2855</v>
      </c>
      <c r="H23" s="659">
        <f>SUMIF(별도정산표!$G:$G,BS!G23,별도정산표!$E:$E)</f>
        <v>4272227</v>
      </c>
      <c r="I23" s="659">
        <f>SUMIF(울트라팜_FS!$A:$A,BS!G23,울트라팜_FS!$D:$D)</f>
        <v>0</v>
      </c>
      <c r="J23" s="659">
        <f>SUMIF(HK_BS!$A:$A,BS!G23,HK_BS!$K:$K)</f>
        <v>0</v>
      </c>
      <c r="K23" s="659">
        <f>SUMIF(DHK_BS!$A:$A,BS!G23,DHK_BS!$K:$K)</f>
        <v>0</v>
      </c>
      <c r="L23" s="659">
        <f>SUMIF(상해_BS!$A:$A,BS!G23,상해_BS!$K:$K)</f>
        <v>0</v>
      </c>
      <c r="M23" s="659">
        <f>SUMIF(SG_BS!$A:$A,BS!G23,SG_BS!$K:$K)</f>
        <v>0</v>
      </c>
      <c r="N23" s="659">
        <f>SUMIF(ATGC_BS!$H:$H,BS!G23,ATGC_BS!$I:$I)</f>
        <v>0</v>
      </c>
      <c r="O23" s="660">
        <f t="shared" si="3"/>
        <v>4272227</v>
      </c>
      <c r="P23" s="651">
        <f>SUMIF(RIC!D:D,BS!G23,RIC!F:F)</f>
        <v>0</v>
      </c>
      <c r="Q23" s="652">
        <f>SUMIF(RIC!G:G,BS!G23,RIC!I:I)</f>
        <v>0</v>
      </c>
      <c r="R23" s="650">
        <f t="shared" si="5"/>
        <v>4272227</v>
      </c>
      <c r="S23" s="653">
        <f>SUMIF(RIT!H:H,BS!G23,RIT!J:J)</f>
        <v>0</v>
      </c>
      <c r="T23" s="654">
        <f>SUMIF(RIT!K:K,BS!G23,RIT!M:M)</f>
        <v>0</v>
      </c>
      <c r="U23" s="650">
        <f t="shared" si="6"/>
        <v>4272227</v>
      </c>
      <c r="V23" s="655">
        <f>SUMIF(지분법및기타!$D:$D,BS!G23,지분법및기타!$F:$F)</f>
        <v>0</v>
      </c>
      <c r="W23" s="656">
        <f>SUMIF(지분법및기타!$G:$G,BS!G23,지분법및기타!$I:$I)</f>
        <v>0</v>
      </c>
      <c r="X23" s="657">
        <f t="shared" si="7"/>
        <v>4272227</v>
      </c>
      <c r="Y23" s="443" t="s">
        <v>2761</v>
      </c>
      <c r="AA23" s="108"/>
      <c r="AB23" s="497"/>
      <c r="AE23" s="1119"/>
      <c r="AF23" s="1119"/>
    </row>
    <row r="24" spans="1:32">
      <c r="A24" s="444">
        <v>3</v>
      </c>
      <c r="B24" s="445"/>
      <c r="C24" s="446"/>
      <c r="D24" s="447" t="s">
        <v>20</v>
      </c>
      <c r="E24" s="448"/>
      <c r="F24" s="431"/>
      <c r="G24" s="442"/>
      <c r="H24" s="649">
        <f t="shared" ref="H24:O24" si="15">+SUM(H25:H35)</f>
        <v>2202609621</v>
      </c>
      <c r="I24" s="649">
        <f t="shared" si="15"/>
        <v>0</v>
      </c>
      <c r="J24" s="649">
        <f t="shared" si="15"/>
        <v>141818694</v>
      </c>
      <c r="K24" s="649">
        <f t="shared" si="15"/>
        <v>0</v>
      </c>
      <c r="L24" s="649">
        <f t="shared" si="15"/>
        <v>0</v>
      </c>
      <c r="M24" s="649">
        <f t="shared" si="15"/>
        <v>0</v>
      </c>
      <c r="N24" s="649">
        <f t="shared" si="15"/>
        <v>0</v>
      </c>
      <c r="O24" s="649">
        <f t="shared" si="15"/>
        <v>2344428315</v>
      </c>
      <c r="P24" s="651"/>
      <c r="Q24" s="652"/>
      <c r="R24" s="649">
        <f>+SUM(R25:R35)</f>
        <v>2344428315</v>
      </c>
      <c r="S24" s="653"/>
      <c r="T24" s="654"/>
      <c r="U24" s="649">
        <f>+SUM(U25:U35)</f>
        <v>2263583225</v>
      </c>
      <c r="V24" s="655">
        <f>SUMIF(지분법및기타!$D:$D,BS!G24,지분법및기타!$F:$F)</f>
        <v>0</v>
      </c>
      <c r="W24" s="656">
        <f>SUMIF(지분법및기타!$G:$G,BS!G24,지분법및기타!$I:$I)</f>
        <v>0</v>
      </c>
      <c r="X24" s="649">
        <f>+SUM(X25:X35)</f>
        <v>2306724877</v>
      </c>
      <c r="Y24" s="443"/>
      <c r="Z24" s="497"/>
      <c r="AA24" s="108"/>
      <c r="AB24" s="497"/>
    </row>
    <row r="25" spans="1:32">
      <c r="A25" s="444">
        <v>4</v>
      </c>
      <c r="B25" s="445"/>
      <c r="C25" s="446"/>
      <c r="D25" s="447"/>
      <c r="E25" s="448" t="s">
        <v>23</v>
      </c>
      <c r="F25" s="431"/>
      <c r="G25" s="442" t="s">
        <v>645</v>
      </c>
      <c r="H25" s="659">
        <f>SUMIF(별도정산표!$G:$G,BS!G25,별도정산표!$E:$E)</f>
        <v>47852743</v>
      </c>
      <c r="I25" s="659">
        <f>SUMIF(울트라팜_FS!$A:$A,BS!G25,울트라팜_FS!$D:$D)</f>
        <v>0</v>
      </c>
      <c r="J25" s="659">
        <f>SUMIF(HK_BS!$A:$A,BS!G25,HK_BS!$K:$K)</f>
        <v>141818694</v>
      </c>
      <c r="K25" s="659">
        <f>SUMIF(DHK_BS!$A:$A,BS!G25,DHK_BS!$K:$K)</f>
        <v>0</v>
      </c>
      <c r="L25" s="659">
        <f>SUMIF(상해_BS!$A:$A,BS!G25,상해_BS!$K:$K)</f>
        <v>0</v>
      </c>
      <c r="M25" s="659">
        <f>SUMIF(SG_BS!$A:$A,BS!G25,SG_BS!$K:$K)</f>
        <v>0</v>
      </c>
      <c r="N25" s="659">
        <f>SUMIF(ATGC_BS!$H:$H,BS!G25,ATGC_BS!$I:$I)</f>
        <v>0</v>
      </c>
      <c r="O25" s="660">
        <f t="shared" ref="O25:O38" si="16">SUM(H25:N25)</f>
        <v>189671437</v>
      </c>
      <c r="P25" s="651">
        <f>SUMIF(RIC!D:D,BS!G25,RIC!F:F)</f>
        <v>0</v>
      </c>
      <c r="Q25" s="652">
        <f>SUMIF(RIC!G:G,BS!G25,RIC!I:I)</f>
        <v>0</v>
      </c>
      <c r="R25" s="650">
        <f t="shared" ref="R25:R38" si="17">O25+P25-Q25</f>
        <v>189671437</v>
      </c>
      <c r="S25" s="653">
        <f>SUMIF(RIT!H:H,BS!G25,RIT!J:J)</f>
        <v>1749501</v>
      </c>
      <c r="T25" s="654">
        <f>SUMIF(RIT!K:K,BS!G25,RIT!M:M)</f>
        <v>141818694</v>
      </c>
      <c r="U25" s="650">
        <f t="shared" ref="U25:U38" si="18">R25+S25-T25</f>
        <v>49602244</v>
      </c>
      <c r="V25" s="655">
        <f>SUMIF(지분법및기타!$D:$D,BS!G25,지분법및기타!$F:$F)</f>
        <v>115769431</v>
      </c>
      <c r="W25" s="656">
        <f>SUMIF(지분법및기타!$G:$G,BS!G25,지분법및기타!$I:$I)</f>
        <v>52288298</v>
      </c>
      <c r="X25" s="657">
        <f t="shared" ref="X25:X38" si="19">U25+V25-W25</f>
        <v>113083377</v>
      </c>
      <c r="Y25" s="443" t="s">
        <v>23</v>
      </c>
      <c r="AA25" s="108">
        <f t="shared" ref="AA25" si="20">X25-O25</f>
        <v>-76588060</v>
      </c>
      <c r="AB25" s="497" t="s">
        <v>2697</v>
      </c>
    </row>
    <row r="26" spans="1:32">
      <c r="A26" s="444"/>
      <c r="B26" s="445"/>
      <c r="C26" s="446"/>
      <c r="D26" s="447"/>
      <c r="E26" s="448" t="s">
        <v>644</v>
      </c>
      <c r="F26" s="431"/>
      <c r="G26" s="442" t="s">
        <v>643</v>
      </c>
      <c r="H26" s="659">
        <f>SUMIF(별도정산표!$G:$G,BS!G26,별도정산표!$E:$E)</f>
        <v>0</v>
      </c>
      <c r="I26" s="659">
        <f>SUMIF(울트라팜_FS!$A:$A,BS!G26,울트라팜_FS!$D:$D)</f>
        <v>0</v>
      </c>
      <c r="J26" s="659">
        <f>SUMIF(HK_BS!$A:$A,BS!G26,HK_BS!$K:$K)</f>
        <v>0</v>
      </c>
      <c r="K26" s="659">
        <f>SUMIF(DHK_BS!$A:$A,BS!G26,DHK_BS!$K:$K)</f>
        <v>0</v>
      </c>
      <c r="L26" s="659">
        <f>SUMIF(상해_BS!$A:$A,BS!G26,상해_BS!$K:$K)</f>
        <v>0</v>
      </c>
      <c r="M26" s="659">
        <f>SUMIF(SG_BS!$A:$A,BS!G26,SG_BS!$K:$K)</f>
        <v>0</v>
      </c>
      <c r="N26" s="659">
        <f>SUMIF(ATGC_BS!$H:$H,BS!G26,ATGC_BS!$I:$I)</f>
        <v>0</v>
      </c>
      <c r="O26" s="660">
        <f t="shared" ref="O26:O35" si="21">SUM(H26:N26)</f>
        <v>0</v>
      </c>
      <c r="P26" s="651">
        <f>SUMIF(RIC!D:D,BS!G26,RIC!F:F)</f>
        <v>0</v>
      </c>
      <c r="Q26" s="652">
        <f>SUMIF(RIC!G:G,BS!G26,RIC!I:I)</f>
        <v>0</v>
      </c>
      <c r="R26" s="650">
        <f t="shared" ref="R26:R35" si="22">O26+P26-Q26</f>
        <v>0</v>
      </c>
      <c r="S26" s="653">
        <f>SUMIF(RIT!H:H,BS!G26,RIT!J:J)</f>
        <v>0</v>
      </c>
      <c r="T26" s="654">
        <f>SUMIF(RIT!K:K,BS!G26,RIT!M:M)</f>
        <v>0</v>
      </c>
      <c r="U26" s="650">
        <f t="shared" ref="U26:U35" si="23">R26+S26-T26</f>
        <v>0</v>
      </c>
      <c r="V26" s="655">
        <f>SUMIF(지분법및기타!$D:$D,BS!G26,지분법및기타!$F:$F)</f>
        <v>0</v>
      </c>
      <c r="W26" s="656">
        <f>SUMIF(지분법및기타!$G:$G,BS!G26,지분법및기타!$I:$I)</f>
        <v>0</v>
      </c>
      <c r="X26" s="657">
        <f t="shared" ref="X26:X35" si="24">U26+V26-W26</f>
        <v>0</v>
      </c>
      <c r="Y26" s="443" t="s">
        <v>1507</v>
      </c>
      <c r="AA26" s="108"/>
      <c r="AB26" s="497"/>
    </row>
    <row r="27" spans="1:32">
      <c r="A27" s="444">
        <v>4</v>
      </c>
      <c r="B27" s="445"/>
      <c r="C27" s="446"/>
      <c r="D27" s="447"/>
      <c r="E27" s="448" t="s">
        <v>21</v>
      </c>
      <c r="F27" s="431"/>
      <c r="G27" s="442" t="s">
        <v>646</v>
      </c>
      <c r="H27" s="659">
        <f>SUMIF(별도정산표!$G:$G,BS!G27,별도정산표!$E:$E)</f>
        <v>2534717672</v>
      </c>
      <c r="I27" s="659">
        <f>SUMIF(울트라팜_FS!$A:$A,BS!G27,울트라팜_FS!$D:$D)</f>
        <v>0</v>
      </c>
      <c r="J27" s="659">
        <f>SUMIF(HK_BS!$A:$A,BS!G27,HK_BS!$K:$K)</f>
        <v>0</v>
      </c>
      <c r="K27" s="659">
        <f>SUMIF(DHK_BS!$A:$A,BS!G27,DHK_BS!$K:$K)</f>
        <v>0</v>
      </c>
      <c r="L27" s="659">
        <f>SUMIF(상해_BS!$A:$A,BS!G27,상해_BS!$K:$K)</f>
        <v>0</v>
      </c>
      <c r="M27" s="659">
        <f>SUMIF(SG_BS!$A:$A,BS!G27,SG_BS!$K:$K)</f>
        <v>0</v>
      </c>
      <c r="N27" s="659">
        <f>SUMIF(ATGC_BS!$H:$H,BS!G27,ATGC_BS!$I:$I)</f>
        <v>0</v>
      </c>
      <c r="O27" s="660">
        <f t="shared" si="21"/>
        <v>2534717672</v>
      </c>
      <c r="P27" s="651">
        <f>SUMIF(RIC!D:D,BS!G27,RIC!F:F)</f>
        <v>0</v>
      </c>
      <c r="Q27" s="652">
        <f>SUMIF(RIC!G:G,BS!G27,RIC!I:I)</f>
        <v>0</v>
      </c>
      <c r="R27" s="650">
        <f t="shared" si="22"/>
        <v>2534717672</v>
      </c>
      <c r="S27" s="653">
        <f>SUMIF(RIT!H:H,BS!G27,RIT!J:J)</f>
        <v>59224103</v>
      </c>
      <c r="T27" s="654">
        <f>SUMIF(RIT!K:K,BS!G27,RIT!M:M)</f>
        <v>0</v>
      </c>
      <c r="U27" s="650">
        <f t="shared" si="23"/>
        <v>2593941775</v>
      </c>
      <c r="V27" s="655">
        <f>SUMIF(지분법및기타!$D:$D,BS!G27,지분법및기타!$F:$F)</f>
        <v>98161994</v>
      </c>
      <c r="W27" s="656">
        <f>SUMIF(지분법및기타!$G:$G,BS!G27,지분법및기타!$I:$I)</f>
        <v>118501475</v>
      </c>
      <c r="X27" s="657">
        <f t="shared" si="24"/>
        <v>2573602294</v>
      </c>
      <c r="Y27" s="443" t="s">
        <v>21</v>
      </c>
      <c r="AA27" s="108">
        <f t="shared" ref="AA27:AA32" si="25">X27-O27</f>
        <v>38884622</v>
      </c>
      <c r="AB27" s="497" t="s">
        <v>2697</v>
      </c>
    </row>
    <row r="28" spans="1:32">
      <c r="A28" s="444"/>
      <c r="B28" s="445"/>
      <c r="C28" s="446"/>
      <c r="D28" s="447"/>
      <c r="E28" s="448" t="s">
        <v>648</v>
      </c>
      <c r="F28" s="431"/>
      <c r="G28" s="442" t="s">
        <v>647</v>
      </c>
      <c r="H28" s="659">
        <f>SUMIF(별도정산표!$G:$G,BS!G28,별도정산표!$E:$E)</f>
        <v>-827921741</v>
      </c>
      <c r="I28" s="659">
        <f>SUMIF(울트라팜_FS!$A:$A,BS!G28,울트라팜_FS!$D:$D)</f>
        <v>0</v>
      </c>
      <c r="J28" s="659">
        <f>SUMIF(HK_BS!$A:$A,BS!G28,HK_BS!$K:$K)</f>
        <v>0</v>
      </c>
      <c r="K28" s="659">
        <f>SUMIF(DHK_BS!$A:$A,BS!G28,DHK_BS!$K:$K)</f>
        <v>0</v>
      </c>
      <c r="L28" s="659">
        <f>SUMIF(상해_BS!$A:$A,BS!G28,상해_BS!$K:$K)</f>
        <v>0</v>
      </c>
      <c r="M28" s="659">
        <f>SUMIF(SG_BS!$A:$A,BS!G28,SG_BS!$K:$K)</f>
        <v>0</v>
      </c>
      <c r="N28" s="659">
        <f>SUMIF(ATGC_BS!$H:$H,BS!G28,ATGC_BS!$I:$I)</f>
        <v>0</v>
      </c>
      <c r="O28" s="660">
        <f t="shared" si="21"/>
        <v>-827921741</v>
      </c>
      <c r="P28" s="651">
        <f>SUMIF(RIC!D:D,BS!G28,RIC!F:F)</f>
        <v>0</v>
      </c>
      <c r="Q28" s="652">
        <f>SUMIF(RIC!G:G,BS!G28,RIC!I:I)</f>
        <v>0</v>
      </c>
      <c r="R28" s="650">
        <f t="shared" si="22"/>
        <v>-827921741</v>
      </c>
      <c r="S28" s="653">
        <f>SUMIF(RIT!H:H,BS!G28,RIT!J:J)</f>
        <v>0</v>
      </c>
      <c r="T28" s="654">
        <f>SUMIF(RIT!K:K,BS!G28,RIT!M:M)</f>
        <v>0</v>
      </c>
      <c r="U28" s="650">
        <f t="shared" si="23"/>
        <v>-827921741</v>
      </c>
      <c r="V28" s="655">
        <f>SUMIF(지분법및기타!$D:$D,BS!G28,지분법및기타!$F:$F)</f>
        <v>0</v>
      </c>
      <c r="W28" s="656">
        <f>SUMIF(지분법및기타!$G:$G,BS!G28,지분법및기타!$I:$I)</f>
        <v>0</v>
      </c>
      <c r="X28" s="657">
        <f t="shared" si="24"/>
        <v>-827921741</v>
      </c>
      <c r="Y28" s="443" t="s">
        <v>1508</v>
      </c>
      <c r="AA28" s="108">
        <f t="shared" si="25"/>
        <v>0</v>
      </c>
      <c r="AB28" s="497"/>
    </row>
    <row r="29" spans="1:32">
      <c r="A29" s="444">
        <v>4</v>
      </c>
      <c r="B29" s="445"/>
      <c r="C29" s="446"/>
      <c r="D29" s="447"/>
      <c r="E29" s="448" t="s">
        <v>24</v>
      </c>
      <c r="F29" s="431"/>
      <c r="G29" s="442" t="s">
        <v>649</v>
      </c>
      <c r="H29" s="659">
        <f>SUMIF(별도정산표!$G:$G,BS!G29,별도정산표!$E:$E)</f>
        <v>464851515</v>
      </c>
      <c r="I29" s="659">
        <f>울트라팜_FS!C16+울트라팜_FS!C19</f>
        <v>0</v>
      </c>
      <c r="J29" s="659">
        <f>SUMIF(HK_BS!$A:$A,BS!G29,HK_BS!$K:$K)</f>
        <v>0</v>
      </c>
      <c r="K29" s="659">
        <f>SUMIF(DHK_BS!$A:$A,BS!G29,DHK_BS!$K:$K)</f>
        <v>0</v>
      </c>
      <c r="L29" s="659">
        <f>SUMIF(상해_BS!$A:$A,BS!G29,상해_BS!$K:$K)</f>
        <v>0</v>
      </c>
      <c r="M29" s="659">
        <f>SUMIF(SG_BS!$A:$A,BS!G29,SG_BS!$K:$K)</f>
        <v>0</v>
      </c>
      <c r="N29" s="659">
        <f>SUMIF(ATGC_BS!$H:$H,BS!G29,ATGC_BS!$I:$I)</f>
        <v>22402866</v>
      </c>
      <c r="O29" s="660">
        <f t="shared" si="21"/>
        <v>487254381</v>
      </c>
      <c r="P29" s="651">
        <f>SUMIF(RIC!D:D,BS!G29,RIC!F:F)</f>
        <v>0</v>
      </c>
      <c r="Q29" s="652">
        <f>SUMIF(RIC!G:G,BS!G29,RIC!I:I)</f>
        <v>0</v>
      </c>
      <c r="R29" s="650">
        <f t="shared" si="22"/>
        <v>487254381</v>
      </c>
      <c r="S29" s="653">
        <f>SUMIF(RIT!H:H,BS!G29,RIT!J:J)</f>
        <v>0</v>
      </c>
      <c r="T29" s="654">
        <f>SUMIF(RIT!K:K,BS!G29,RIT!M:M)</f>
        <v>0</v>
      </c>
      <c r="U29" s="650">
        <f t="shared" si="23"/>
        <v>487254381</v>
      </c>
      <c r="V29" s="655">
        <f>SUMIF(지분법및기타!$D:$D,BS!G29,지분법및기타!$F:$F)</f>
        <v>0</v>
      </c>
      <c r="W29" s="656">
        <f>SUMIF(지분법및기타!$G:$G,BS!G29,지분법및기타!$I:$I)</f>
        <v>0</v>
      </c>
      <c r="X29" s="657">
        <f t="shared" si="24"/>
        <v>487254381</v>
      </c>
      <c r="Y29" s="443" t="s">
        <v>24</v>
      </c>
      <c r="AA29" s="108">
        <f t="shared" si="25"/>
        <v>0</v>
      </c>
      <c r="AB29" s="497"/>
    </row>
    <row r="30" spans="1:32">
      <c r="A30" s="444">
        <v>4</v>
      </c>
      <c r="B30" s="445"/>
      <c r="C30" s="446"/>
      <c r="D30" s="447"/>
      <c r="E30" s="448" t="s">
        <v>651</v>
      </c>
      <c r="F30" s="431"/>
      <c r="G30" s="442" t="s">
        <v>650</v>
      </c>
      <c r="H30" s="659">
        <f>SUMIF(별도정산표!$G:$G,BS!G30,별도정산표!$E:$E)</f>
        <v>-44697318</v>
      </c>
      <c r="I30" s="659">
        <f>-울트라팜_FS!C17-울트라팜_FS!C20</f>
        <v>0</v>
      </c>
      <c r="J30" s="659">
        <f>SUMIF(HK_BS!$A:$A,BS!G30,HK_BS!$K:$K)</f>
        <v>0</v>
      </c>
      <c r="K30" s="659">
        <f>SUMIF(DHK_BS!$A:$A,BS!G30,DHK_BS!$K:$K)</f>
        <v>0</v>
      </c>
      <c r="L30" s="659">
        <f>SUMIF(상해_BS!$A:$A,BS!G30,상해_BS!$K:$K)</f>
        <v>0</v>
      </c>
      <c r="M30" s="659">
        <f>SUMIF(SG_BS!$A:$A,BS!G30,SG_BS!$K:$K)</f>
        <v>0</v>
      </c>
      <c r="N30" s="659">
        <f>SUMIF(ATGC_BS!$H:$H,BS!G30,ATGC_BS!$I:$I)</f>
        <v>-22402866</v>
      </c>
      <c r="O30" s="660">
        <f t="shared" si="21"/>
        <v>-67100184</v>
      </c>
      <c r="P30" s="651">
        <f>SUMIF(RIC!D:D,BS!G30,RIC!F:F)</f>
        <v>0</v>
      </c>
      <c r="Q30" s="652">
        <f>SUMIF(RIC!G:G,BS!G30,RIC!I:I)</f>
        <v>0</v>
      </c>
      <c r="R30" s="650">
        <f t="shared" si="22"/>
        <v>-67100184</v>
      </c>
      <c r="S30" s="653">
        <f>SUMIF(RIT!H:H,BS!G30,RIT!J:J)</f>
        <v>0</v>
      </c>
      <c r="T30" s="654">
        <f>SUMIF(RIT!K:K,BS!G30,RIT!M:M)</f>
        <v>0</v>
      </c>
      <c r="U30" s="650">
        <f t="shared" si="23"/>
        <v>-67100184</v>
      </c>
      <c r="V30" s="655">
        <f>SUMIF(지분법및기타!$D:$D,BS!G30,지분법및기타!$F:$F)</f>
        <v>0</v>
      </c>
      <c r="W30" s="656">
        <f>SUMIF(지분법및기타!$G:$G,BS!G30,지분법및기타!$I:$I)</f>
        <v>0</v>
      </c>
      <c r="X30" s="657">
        <f t="shared" si="24"/>
        <v>-67100184</v>
      </c>
      <c r="Y30" s="443" t="s">
        <v>1509</v>
      </c>
      <c r="AA30" s="108">
        <f t="shared" si="25"/>
        <v>0</v>
      </c>
      <c r="AB30" s="497"/>
    </row>
    <row r="31" spans="1:32">
      <c r="A31" s="444"/>
      <c r="B31" s="445"/>
      <c r="C31" s="446"/>
      <c r="D31" s="447"/>
      <c r="E31" s="448" t="s">
        <v>1372</v>
      </c>
      <c r="F31" s="431"/>
      <c r="G31" s="442" t="s">
        <v>1368</v>
      </c>
      <c r="H31" s="659">
        <f>SUMIF(별도정산표!$G:$G,BS!G31,별도정산표!$E:$E)</f>
        <v>48405072</v>
      </c>
      <c r="I31" s="659">
        <v>0</v>
      </c>
      <c r="J31" s="659">
        <f>SUMIF(HK_BS!$A:$A,BS!G31,HK_BS!$K:$K)</f>
        <v>0</v>
      </c>
      <c r="K31" s="659">
        <f>SUMIF(DHK_BS!$A:$A,BS!G31,DHK_BS!$K:$K)</f>
        <v>0</v>
      </c>
      <c r="L31" s="659">
        <f>SUMIF(상해_BS!$A:$A,BS!G31,상해_BS!$K:$K)</f>
        <v>0</v>
      </c>
      <c r="M31" s="659">
        <f>SUMIF(SG_BS!$A:$A,BS!G31,SG_BS!$K:$K)</f>
        <v>0</v>
      </c>
      <c r="N31" s="659">
        <f>SUMIF(ATGC_BS!$H:$H,BS!G31,ATGC_BS!$I:$I)</f>
        <v>0</v>
      </c>
      <c r="O31" s="660">
        <f t="shared" ref="O31:O32" si="26">SUM(H31:N31)</f>
        <v>48405072</v>
      </c>
      <c r="P31" s="651">
        <f>SUMIF(RIC!D:D,BS!G31,RIC!F:F)</f>
        <v>0</v>
      </c>
      <c r="Q31" s="652">
        <f>SUMIF(RIC!G:G,BS!G31,RIC!I:I)</f>
        <v>0</v>
      </c>
      <c r="R31" s="650">
        <f t="shared" ref="R31:R32" si="27">O31+P31-Q31</f>
        <v>48405072</v>
      </c>
      <c r="S31" s="653">
        <f>SUMIF(RIT!H:H,BS!G31,RIT!J:J)</f>
        <v>0</v>
      </c>
      <c r="T31" s="654">
        <f>SUMIF(RIT!K:K,BS!G31,RIT!M:M)</f>
        <v>0</v>
      </c>
      <c r="U31" s="650">
        <f t="shared" ref="U31:U32" si="28">R31+S31-T31</f>
        <v>48405072</v>
      </c>
      <c r="V31" s="655">
        <f>SUMIF(지분법및기타!$D:$D,BS!G31,지분법및기타!$F:$F)</f>
        <v>0</v>
      </c>
      <c r="W31" s="656">
        <f>SUMIF(지분법및기타!$G:$G,BS!G31,지분법및기타!$I:$I)</f>
        <v>0</v>
      </c>
      <c r="X31" s="657">
        <f t="shared" ref="X31:X32" si="29">U31+V31-W31</f>
        <v>48405072</v>
      </c>
      <c r="Y31" s="443" t="s">
        <v>1373</v>
      </c>
      <c r="AA31" s="108">
        <f t="shared" si="25"/>
        <v>0</v>
      </c>
      <c r="AB31" s="497"/>
    </row>
    <row r="32" spans="1:32">
      <c r="A32" s="444"/>
      <c r="B32" s="445"/>
      <c r="C32" s="446"/>
      <c r="D32" s="447"/>
      <c r="E32" s="448" t="s">
        <v>1374</v>
      </c>
      <c r="F32" s="431"/>
      <c r="G32" s="442" t="s">
        <v>1370</v>
      </c>
      <c r="H32" s="659">
        <f>SUMIF(별도정산표!$G:$G,BS!G32,별도정산표!$E:$E)</f>
        <v>-20598322</v>
      </c>
      <c r="I32" s="659"/>
      <c r="J32" s="659">
        <f>SUMIF(HK_BS!$A:$A,BS!G32,HK_BS!$K:$K)</f>
        <v>0</v>
      </c>
      <c r="K32" s="659">
        <f>SUMIF(DHK_BS!$A:$A,BS!G32,DHK_BS!$K:$K)</f>
        <v>0</v>
      </c>
      <c r="L32" s="659">
        <f>SUMIF(상해_BS!$A:$A,BS!G32,상해_BS!$K:$K)</f>
        <v>0</v>
      </c>
      <c r="M32" s="659">
        <f>SUMIF(SG_BS!$A:$A,BS!G32,SG_BS!$K:$K)</f>
        <v>0</v>
      </c>
      <c r="N32" s="659">
        <f>SUMIF(ATGC_BS!$H:$H,BS!G32,ATGC_BS!$I:$I)</f>
        <v>0</v>
      </c>
      <c r="O32" s="660">
        <f t="shared" si="26"/>
        <v>-20598322</v>
      </c>
      <c r="P32" s="651">
        <f>SUMIF(RIC!D:D,BS!G32,RIC!F:F)</f>
        <v>0</v>
      </c>
      <c r="Q32" s="652">
        <f>SUMIF(RIC!G:G,BS!G32,RIC!I:I)</f>
        <v>0</v>
      </c>
      <c r="R32" s="650">
        <f t="shared" si="27"/>
        <v>-20598322</v>
      </c>
      <c r="S32" s="653">
        <f>SUMIF(RIT!H:H,BS!G32,RIT!J:J)</f>
        <v>0</v>
      </c>
      <c r="T32" s="654">
        <f>SUMIF(RIT!K:K,BS!G32,RIT!M:M)</f>
        <v>0</v>
      </c>
      <c r="U32" s="650">
        <f t="shared" si="28"/>
        <v>-20598322</v>
      </c>
      <c r="V32" s="655">
        <f>SUMIF(지분법및기타!$D:$D,BS!G32,지분법및기타!$F:$F)</f>
        <v>0</v>
      </c>
      <c r="W32" s="656">
        <f>SUMIF(지분법및기타!$G:$G,BS!G32,지분법및기타!$I:$I)</f>
        <v>0</v>
      </c>
      <c r="X32" s="657">
        <f t="shared" si="29"/>
        <v>-20598322</v>
      </c>
      <c r="Y32" s="443" t="s">
        <v>1510</v>
      </c>
      <c r="AA32" s="108">
        <f t="shared" si="25"/>
        <v>0</v>
      </c>
      <c r="AB32" s="497"/>
    </row>
    <row r="33" spans="1:32">
      <c r="A33" s="444"/>
      <c r="B33" s="445"/>
      <c r="C33" s="446"/>
      <c r="D33" s="447"/>
      <c r="E33" s="448" t="s">
        <v>22</v>
      </c>
      <c r="F33" s="431"/>
      <c r="G33" s="442" t="s">
        <v>652</v>
      </c>
      <c r="H33" s="659">
        <f>SUMIF(별도정산표!$G:$G,BS!G33,별도정산표!$E:$E)</f>
        <v>0</v>
      </c>
      <c r="I33" s="659">
        <f>SUMIF(울트라팜_FS!$A:$A,BS!G33,울트라팜_FS!$D:$D)</f>
        <v>0</v>
      </c>
      <c r="J33" s="659">
        <f>SUMIF(HK_BS!$A:$A,BS!G33,HK_BS!$K:$K)</f>
        <v>0</v>
      </c>
      <c r="K33" s="659">
        <f>SUMIF(DHK_BS!$A:$A,BS!G33,DHK_BS!$K:$K)</f>
        <v>0</v>
      </c>
      <c r="L33" s="659">
        <f>SUMIF(상해_BS!$A:$A,BS!G33,상해_BS!$K:$K)</f>
        <v>0</v>
      </c>
      <c r="M33" s="659">
        <f>SUMIF(SG_BS!$A:$A,BS!G33,SG_BS!$K:$K)</f>
        <v>0</v>
      </c>
      <c r="N33" s="659">
        <f>SUMIF(ATGC_BS!$H:$H,BS!G33,ATGC_BS!$I:$I)</f>
        <v>1451631047</v>
      </c>
      <c r="O33" s="660">
        <f t="shared" si="21"/>
        <v>1451631047</v>
      </c>
      <c r="P33" s="651">
        <f>SUMIF(RIC!D:D,BS!G33,RIC!F:F)</f>
        <v>0</v>
      </c>
      <c r="Q33" s="652">
        <f>SUMIF(RIC!G:G,BS!G33,RIC!I:I)</f>
        <v>0</v>
      </c>
      <c r="R33" s="650">
        <f t="shared" si="22"/>
        <v>1451631047</v>
      </c>
      <c r="S33" s="653">
        <f>SUMIF(RIT!H:H,BS!G33,RIT!J:J)</f>
        <v>0</v>
      </c>
      <c r="T33" s="654">
        <f>SUMIF(RIT!K:K,BS!G33,RIT!M:M)</f>
        <v>0</v>
      </c>
      <c r="U33" s="650">
        <f t="shared" si="23"/>
        <v>1451631047</v>
      </c>
      <c r="V33" s="655">
        <f>SUMIF(지분법및기타!$D:$D,BS!G33,지분법및기타!$F:$F)</f>
        <v>0</v>
      </c>
      <c r="W33" s="656">
        <f>SUMIF(지분법및기타!$G:$G,BS!G33,지분법및기타!$I:$I)</f>
        <v>0</v>
      </c>
      <c r="X33" s="657">
        <f t="shared" si="24"/>
        <v>1451631047</v>
      </c>
      <c r="Y33" s="443" t="s">
        <v>22</v>
      </c>
      <c r="AA33" s="108"/>
      <c r="AB33" s="497"/>
    </row>
    <row r="34" spans="1:32">
      <c r="A34" s="444"/>
      <c r="B34" s="445"/>
      <c r="C34" s="446"/>
      <c r="D34" s="447"/>
      <c r="E34" s="448" t="s">
        <v>3756</v>
      </c>
      <c r="F34" s="431"/>
      <c r="G34" s="442">
        <v>15800</v>
      </c>
      <c r="H34" s="659">
        <f>SUMIF(별도정산표!$G:$G,BS!G34,별도정산표!$E:$E)</f>
        <v>0</v>
      </c>
      <c r="I34" s="659">
        <f>SUMIF(울트라팜_FS!$A:$A,BS!G34,울트라팜_FS!$D:$D)</f>
        <v>0</v>
      </c>
      <c r="J34" s="659">
        <f>SUMIF(HK_BS!$A:$A,BS!G34,HK_BS!$K:$K)</f>
        <v>0</v>
      </c>
      <c r="K34" s="659">
        <f>SUMIF(DHK_BS!$A:$A,BS!G34,DHK_BS!$K:$K)</f>
        <v>0</v>
      </c>
      <c r="L34" s="659">
        <f>SUMIF(상해_BS!$A:$A,BS!G34,상해_BS!$K:$K)</f>
        <v>0</v>
      </c>
      <c r="M34" s="659">
        <f>SUMIF(SG_BS!$A:$A,BS!G34,SG_BS!$K:$K)</f>
        <v>0</v>
      </c>
      <c r="N34" s="659">
        <f>SUMIF(ATGC_BS!$H:$H,BS!G34,ATGC_BS!$I:$I)</f>
        <v>-1451631047</v>
      </c>
      <c r="O34" s="660">
        <f t="shared" si="21"/>
        <v>-1451631047</v>
      </c>
      <c r="P34" s="651">
        <f>SUMIF(RIC!D:D,BS!G34,RIC!F:F)</f>
        <v>0</v>
      </c>
      <c r="Q34" s="652">
        <f>SUMIF(RIC!G:G,BS!G34,RIC!I:I)</f>
        <v>0</v>
      </c>
      <c r="R34" s="650">
        <f t="shared" si="22"/>
        <v>-1451631047</v>
      </c>
      <c r="S34" s="653">
        <f>SUMIF(RIT!H:H,BS!G34,RIT!J:J)</f>
        <v>0</v>
      </c>
      <c r="T34" s="654">
        <f>SUMIF(RIT!K:K,BS!G34,RIT!M:M)</f>
        <v>0</v>
      </c>
      <c r="U34" s="650">
        <f t="shared" si="23"/>
        <v>-1451631047</v>
      </c>
      <c r="V34" s="655">
        <f>SUMIF(지분법및기타!$D:$D,BS!G34,지분법및기타!$F:$F)</f>
        <v>0</v>
      </c>
      <c r="W34" s="656">
        <f>SUMIF(지분법및기타!$G:$G,BS!G34,지분법및기타!$I:$I)</f>
        <v>0</v>
      </c>
      <c r="X34" s="657">
        <f t="shared" si="24"/>
        <v>-1451631047</v>
      </c>
      <c r="Y34" s="443" t="s">
        <v>3757</v>
      </c>
      <c r="AA34" s="108"/>
      <c r="AB34" s="497"/>
    </row>
    <row r="35" spans="1:32">
      <c r="A35" s="444"/>
      <c r="B35" s="445"/>
      <c r="C35" s="446"/>
      <c r="D35" s="447"/>
      <c r="E35" s="448" t="s">
        <v>823</v>
      </c>
      <c r="F35" s="431"/>
      <c r="G35" s="442"/>
      <c r="H35" s="659">
        <f>SUMIF(별도정산표!$G:$G,BS!G35,별도정산표!$E:$E)</f>
        <v>0</v>
      </c>
      <c r="I35" s="659">
        <f>SUMIF(울트라팜_FS!$A:$A,BS!G35,울트라팜_FS!$D:$D)</f>
        <v>0</v>
      </c>
      <c r="J35" s="659">
        <f>SUMIF(HK_BS!$A:$A,BS!G35,HK_BS!$K:$K)</f>
        <v>0</v>
      </c>
      <c r="K35" s="659">
        <f>SUMIF(DHK_BS!$A:$A,BS!G35,DHK_BS!$K:$K)</f>
        <v>0</v>
      </c>
      <c r="L35" s="659">
        <f>SUMIF(상해_BS!$A:$A,BS!G35,상해_BS!$K:$K)</f>
        <v>0</v>
      </c>
      <c r="M35" s="659">
        <f>SUMIF(SG_BS!$A:$A,BS!G35,SG_BS!$K:$K)</f>
        <v>0</v>
      </c>
      <c r="N35" s="659">
        <f>SUMIF(ATGC_BS!$H:$H,BS!G35,ATGC_BS!$I:$I)</f>
        <v>0</v>
      </c>
      <c r="O35" s="660">
        <f t="shared" si="21"/>
        <v>0</v>
      </c>
      <c r="P35" s="651">
        <f>SUMIF(RIC!D:D,BS!G35,RIC!F:F)</f>
        <v>0</v>
      </c>
      <c r="Q35" s="652">
        <f>SUMIF(RIC!G:G,BS!G35,RIC!I:I)</f>
        <v>0</v>
      </c>
      <c r="R35" s="650">
        <f t="shared" si="22"/>
        <v>0</v>
      </c>
      <c r="S35" s="653">
        <f>SUMIF(RIT!H:H,BS!G35,RIT!J:J)</f>
        <v>0</v>
      </c>
      <c r="T35" s="654">
        <f>SUMIF(RIT!K:K,BS!G35,RIT!M:M)</f>
        <v>0</v>
      </c>
      <c r="U35" s="650">
        <f t="shared" si="23"/>
        <v>0</v>
      </c>
      <c r="V35" s="655">
        <f>SUMIF(지분법및기타!$D:$D,BS!G35,지분법및기타!$F:$F)</f>
        <v>0</v>
      </c>
      <c r="W35" s="656">
        <f>SUMIF(지분법및기타!$G:$G,BS!G35,지분법및기타!$I:$I)</f>
        <v>0</v>
      </c>
      <c r="X35" s="657">
        <f t="shared" si="24"/>
        <v>0</v>
      </c>
      <c r="Y35" s="443"/>
      <c r="AA35" s="108"/>
      <c r="AB35" s="497"/>
    </row>
    <row r="36" spans="1:32">
      <c r="A36" s="444">
        <v>3</v>
      </c>
      <c r="B36" s="445"/>
      <c r="C36" s="446"/>
      <c r="D36" s="447" t="s">
        <v>244</v>
      </c>
      <c r="E36" s="448"/>
      <c r="F36" s="431"/>
      <c r="G36" s="442"/>
      <c r="H36" s="658">
        <f>SUM(H37:H38)</f>
        <v>0</v>
      </c>
      <c r="I36" s="658">
        <f t="shared" ref="I36:N36" si="30">SUM(I37:I38)</f>
        <v>0</v>
      </c>
      <c r="J36" s="658">
        <f t="shared" si="30"/>
        <v>17988900</v>
      </c>
      <c r="K36" s="658">
        <f t="shared" si="30"/>
        <v>40443667</v>
      </c>
      <c r="L36" s="658">
        <f t="shared" si="30"/>
        <v>0</v>
      </c>
      <c r="M36" s="658">
        <f t="shared" si="30"/>
        <v>0</v>
      </c>
      <c r="N36" s="658">
        <f t="shared" si="30"/>
        <v>0</v>
      </c>
      <c r="O36" s="661">
        <f>SUM(O37:O38)</f>
        <v>58432567</v>
      </c>
      <c r="P36" s="651"/>
      <c r="Q36" s="652"/>
      <c r="R36" s="650">
        <f>R37+R38</f>
        <v>58432567</v>
      </c>
      <c r="S36" s="653"/>
      <c r="T36" s="654"/>
      <c r="U36" s="650">
        <f>U37+U38</f>
        <v>58432567</v>
      </c>
      <c r="V36" s="655">
        <f>SUMIF(지분법및기타!$D:$D,BS!G36,지분법및기타!$F:$F)</f>
        <v>0</v>
      </c>
      <c r="W36" s="656">
        <f>SUMIF(지분법및기타!$G:$G,BS!G36,지분법및기타!$I:$I)</f>
        <v>0</v>
      </c>
      <c r="X36" s="650">
        <f>X37+X38</f>
        <v>58432567</v>
      </c>
      <c r="Y36" s="443"/>
      <c r="AA36" s="108"/>
      <c r="AB36" s="497"/>
    </row>
    <row r="37" spans="1:32">
      <c r="A37" s="444"/>
      <c r="B37" s="445"/>
      <c r="C37" s="446"/>
      <c r="D37" s="447"/>
      <c r="E37" s="448" t="s">
        <v>2508</v>
      </c>
      <c r="F37" s="431"/>
      <c r="G37" s="442" t="s">
        <v>2509</v>
      </c>
      <c r="H37" s="659">
        <f>SUMIF(별도정산표!$G:$G,BS!G37,별도정산표!$E:$E)</f>
        <v>0</v>
      </c>
      <c r="I37" s="659">
        <f>SUMIF(울트라팜_FS!$A:$A,BS!G37,울트라팜_FS!$D:$D)</f>
        <v>0</v>
      </c>
      <c r="J37" s="659">
        <f>SUMIF(HK_BS!$A:$A,BS!G37,HK_BS!$K:$K)</f>
        <v>17988900</v>
      </c>
      <c r="K37" s="659">
        <f>SUMIF(DHK_BS!$A:$A,BS!G37,DHK_BS!$K:$K)</f>
        <v>40443667</v>
      </c>
      <c r="L37" s="659">
        <f>SUMIF(상해_BS!$A:$A,BS!G37,상해_BS!$K:$K)</f>
        <v>0</v>
      </c>
      <c r="M37" s="659">
        <f>SUMIF(SG_BS!$A:$A,BS!G37,SG_BS!$K:$K)</f>
        <v>0</v>
      </c>
      <c r="N37" s="659">
        <f>SUMIF(ATGC_BS!$H:$H,BS!G37,ATGC_BS!$I:$I)</f>
        <v>0</v>
      </c>
      <c r="O37" s="660">
        <f t="shared" si="16"/>
        <v>58432567</v>
      </c>
      <c r="P37" s="651">
        <f>SUMIF(RIC!D:D,BS!G37,RIC!F:F)</f>
        <v>0</v>
      </c>
      <c r="Q37" s="652">
        <f>SUMIF(RIC!G:G,BS!G37,RIC!I:I)</f>
        <v>0</v>
      </c>
      <c r="R37" s="650">
        <f t="shared" si="17"/>
        <v>58432567</v>
      </c>
      <c r="S37" s="653">
        <f>SUMIF(RIT!H:H,BS!G37,RIT!J:J)</f>
        <v>0</v>
      </c>
      <c r="T37" s="654">
        <f>SUMIF(RIT!K:K,BS!G37,RIT!M:M)</f>
        <v>0</v>
      </c>
      <c r="U37" s="650">
        <f t="shared" si="18"/>
        <v>58432567</v>
      </c>
      <c r="V37" s="655">
        <f>SUMIF(지분법및기타!$D:$D,BS!G37,지분법및기타!$F:$F)</f>
        <v>0</v>
      </c>
      <c r="W37" s="656">
        <f>SUMIF(지분법및기타!$G:$G,BS!G37,지분법및기타!$I:$I)</f>
        <v>0</v>
      </c>
      <c r="X37" s="657">
        <f t="shared" si="19"/>
        <v>58432567</v>
      </c>
      <c r="Y37" s="443" t="s">
        <v>2508</v>
      </c>
      <c r="AA37" s="108">
        <f t="shared" ref="AA37" si="31">X37-O37</f>
        <v>0</v>
      </c>
      <c r="AB37" s="497"/>
    </row>
    <row r="38" spans="1:32">
      <c r="A38" s="444"/>
      <c r="B38" s="445"/>
      <c r="C38" s="446"/>
      <c r="D38" s="447"/>
      <c r="E38" s="448" t="s">
        <v>823</v>
      </c>
      <c r="F38" s="431"/>
      <c r="G38" s="442"/>
      <c r="H38" s="659">
        <f>SUMIF(별도정산표!$G:$G,BS!G38,별도정산표!$E:$E)</f>
        <v>0</v>
      </c>
      <c r="I38" s="659">
        <f>SUMIF(울트라팜_FS!$A:$A,BS!G38,울트라팜_FS!$D:$D)</f>
        <v>0</v>
      </c>
      <c r="J38" s="659">
        <f>SUMIF(HK_BS!$A:$A,BS!G38,HK_BS!$K:$K)</f>
        <v>0</v>
      </c>
      <c r="K38" s="659">
        <f>SUMIF(DHK_BS!$A:$A,BS!G38,DHK_BS!$K:$K)</f>
        <v>0</v>
      </c>
      <c r="L38" s="659">
        <f>SUMIF(상해_BS!$A:$A,BS!G38,상해_BS!$K:$K)</f>
        <v>0</v>
      </c>
      <c r="M38" s="659">
        <f>SUMIF(SG_BS!$A:$A,BS!G38,SG_BS!$K:$K)</f>
        <v>0</v>
      </c>
      <c r="N38" s="659">
        <f>SUMIF(ATGC_BS!$H:$H,BS!G38,ATGC_BS!$I:$I)</f>
        <v>0</v>
      </c>
      <c r="O38" s="660">
        <f t="shared" si="16"/>
        <v>0</v>
      </c>
      <c r="P38" s="651">
        <f>SUMIF(RIC!D:D,BS!G38,RIC!F:F)</f>
        <v>0</v>
      </c>
      <c r="Q38" s="652">
        <f>SUMIF(RIC!G:G,BS!G38,RIC!I:I)</f>
        <v>0</v>
      </c>
      <c r="R38" s="650">
        <f t="shared" si="17"/>
        <v>0</v>
      </c>
      <c r="S38" s="653">
        <f>SUMIF(RIT!H:H,BS!G38,RIT!J:J)</f>
        <v>0</v>
      </c>
      <c r="T38" s="654">
        <f>SUMIF(RIT!K:K,BS!G38,RIT!M:M)</f>
        <v>0</v>
      </c>
      <c r="U38" s="650">
        <f t="shared" si="18"/>
        <v>0</v>
      </c>
      <c r="V38" s="655">
        <f>SUMIF(지분법및기타!$D:$D,BS!G38,지분법및기타!$F:$F)</f>
        <v>0</v>
      </c>
      <c r="W38" s="656">
        <f>SUMIF(지분법및기타!$G:$G,BS!G38,지분법및기타!$I:$I)</f>
        <v>0</v>
      </c>
      <c r="X38" s="657">
        <f t="shared" si="19"/>
        <v>0</v>
      </c>
      <c r="Y38" s="443"/>
      <c r="AA38" s="108"/>
      <c r="AB38" s="497"/>
    </row>
    <row r="39" spans="1:32">
      <c r="A39" s="444">
        <v>2</v>
      </c>
      <c r="B39" s="445"/>
      <c r="C39" s="446" t="s">
        <v>25</v>
      </c>
      <c r="D39" s="447"/>
      <c r="E39" s="448"/>
      <c r="F39" s="431"/>
      <c r="G39" s="442"/>
      <c r="H39" s="649">
        <f>H43+H48+H68+H77+H84+H40</f>
        <v>37605682655</v>
      </c>
      <c r="I39" s="649">
        <f t="shared" ref="I39:N39" si="32">I43+I48+I68+I77+I84</f>
        <v>0</v>
      </c>
      <c r="J39" s="649">
        <f t="shared" si="32"/>
        <v>225947074</v>
      </c>
      <c r="K39" s="649">
        <f t="shared" si="32"/>
        <v>291758933</v>
      </c>
      <c r="L39" s="649">
        <f t="shared" si="32"/>
        <v>0</v>
      </c>
      <c r="M39" s="649">
        <f t="shared" si="32"/>
        <v>0</v>
      </c>
      <c r="N39" s="649">
        <f t="shared" si="32"/>
        <v>8080134954</v>
      </c>
      <c r="O39" s="650">
        <f>O43+O48+O68+O77+O84+O40</f>
        <v>46203523616</v>
      </c>
      <c r="P39" s="651"/>
      <c r="Q39" s="652"/>
      <c r="R39" s="650">
        <f>R43+R48+R68+R77+R84+R40</f>
        <v>49695805077</v>
      </c>
      <c r="S39" s="653"/>
      <c r="T39" s="654"/>
      <c r="U39" s="650">
        <f>U43+U48+U68+U77+U84+U40</f>
        <v>49694228886</v>
      </c>
      <c r="V39" s="655">
        <f>SUMIF(지분법및기타!$D:$D,BS!G39,지분법및기타!$F:$F)</f>
        <v>0</v>
      </c>
      <c r="W39" s="656">
        <f>SUMIF(지분법및기타!$G:$G,BS!G39,지분법및기타!$I:$I)</f>
        <v>0</v>
      </c>
      <c r="X39" s="650">
        <f>X43+X48+X68+X77+X84+X40</f>
        <v>47987765603</v>
      </c>
      <c r="Y39" s="443"/>
      <c r="AA39" s="108"/>
      <c r="AB39" s="497"/>
    </row>
    <row r="40" spans="1:32">
      <c r="A40" s="444">
        <v>3</v>
      </c>
      <c r="B40" s="445"/>
      <c r="C40" s="446"/>
      <c r="D40" s="447" t="s">
        <v>245</v>
      </c>
      <c r="E40" s="448"/>
      <c r="F40" s="431"/>
      <c r="G40" s="442"/>
      <c r="H40" s="649">
        <f t="shared" ref="H40:O40" si="33">SUM(H41:H42)</f>
        <v>0</v>
      </c>
      <c r="I40" s="649">
        <f t="shared" si="33"/>
        <v>0</v>
      </c>
      <c r="J40" s="649">
        <f t="shared" si="33"/>
        <v>0</v>
      </c>
      <c r="K40" s="649">
        <f t="shared" si="33"/>
        <v>0</v>
      </c>
      <c r="L40" s="649">
        <f t="shared" si="33"/>
        <v>0</v>
      </c>
      <c r="M40" s="649">
        <f t="shared" si="33"/>
        <v>0</v>
      </c>
      <c r="N40" s="649">
        <f t="shared" si="33"/>
        <v>0</v>
      </c>
      <c r="O40" s="650">
        <f t="shared" si="33"/>
        <v>0</v>
      </c>
      <c r="P40" s="651"/>
      <c r="Q40" s="652"/>
      <c r="R40" s="650">
        <f>SUM(R41:R42)</f>
        <v>0</v>
      </c>
      <c r="S40" s="653"/>
      <c r="T40" s="654"/>
      <c r="U40" s="650">
        <f>SUM(U41:U42)</f>
        <v>0</v>
      </c>
      <c r="V40" s="655">
        <f>SUMIF(지분법및기타!$D:$D,BS!G40,지분법및기타!$F:$F)</f>
        <v>0</v>
      </c>
      <c r="W40" s="656">
        <f>SUMIF(지분법및기타!$G:$G,BS!G40,지분법및기타!$I:$I)</f>
        <v>0</v>
      </c>
      <c r="X40" s="650">
        <f>SUM(X41:X42)</f>
        <v>0</v>
      </c>
      <c r="Y40" s="443"/>
      <c r="AA40" s="108"/>
      <c r="AB40" s="497"/>
    </row>
    <row r="41" spans="1:32">
      <c r="A41" s="444">
        <v>4</v>
      </c>
      <c r="B41" s="445"/>
      <c r="C41" s="446"/>
      <c r="D41" s="447"/>
      <c r="E41" s="448" t="s">
        <v>823</v>
      </c>
      <c r="F41" s="431"/>
      <c r="G41" s="442"/>
      <c r="H41" s="659">
        <f>SUMIF(별도정산표!$G:$G,BS!G41,별도정산표!$E:$E)</f>
        <v>0</v>
      </c>
      <c r="I41" s="659">
        <f>SUMIF(울트라팜_FS!$A:$A,BS!G41,울트라팜_FS!$D:$D)</f>
        <v>0</v>
      </c>
      <c r="J41" s="659">
        <f>SUMIF(HK_BS!$A:$A,BS!G41,HK_BS!$K:$K)</f>
        <v>0</v>
      </c>
      <c r="K41" s="659">
        <f>SUMIF(DHK_BS!$A:$A,BS!G41,DHK_BS!$K:$K)</f>
        <v>0</v>
      </c>
      <c r="L41" s="659">
        <f>SUMIF(상해_BS!$A:$A,BS!G41,상해_BS!$K:$K)</f>
        <v>0</v>
      </c>
      <c r="M41" s="659">
        <f>SUMIF(SG_BS!$A:$A,BS!G41,SG_BS!$K:$K)</f>
        <v>0</v>
      </c>
      <c r="N41" s="659">
        <f>SUMIF(ATGC_BS!$H:$H,BS!G41,ATGC_BS!$I:$I)</f>
        <v>0</v>
      </c>
      <c r="O41" s="660">
        <f t="shared" ref="O41:O42" si="34">SUM(H41:N41)</f>
        <v>0</v>
      </c>
      <c r="P41" s="651">
        <f>SUMIF(RIC!D:D,BS!G41,RIC!F:F)</f>
        <v>0</v>
      </c>
      <c r="Q41" s="652">
        <f>SUMIF(RIC!G:G,BS!G41,RIC!I:I)</f>
        <v>0</v>
      </c>
      <c r="R41" s="650">
        <f t="shared" ref="R41" si="35">O41+P41-Q41</f>
        <v>0</v>
      </c>
      <c r="S41" s="653">
        <f>SUMIF(RIT!H:H,BS!G41,RIT!J:J)</f>
        <v>0</v>
      </c>
      <c r="T41" s="654">
        <f>SUMIF(RIT!K:K,BS!G41,RIT!M:M)</f>
        <v>0</v>
      </c>
      <c r="U41" s="650">
        <f t="shared" ref="U41:U42" si="36">R41+S41-T41</f>
        <v>0</v>
      </c>
      <c r="V41" s="655">
        <f>SUMIF(지분법및기타!$D:$D,BS!G41,지분법및기타!$F:$F)</f>
        <v>0</v>
      </c>
      <c r="W41" s="656">
        <f>SUMIF(지분법및기타!$G:$G,BS!G41,지분법및기타!$I:$I)</f>
        <v>0</v>
      </c>
      <c r="X41" s="650">
        <f t="shared" ref="X41:X42" si="37">U41+V41-W41</f>
        <v>0</v>
      </c>
      <c r="Y41" s="443"/>
      <c r="AA41" s="108"/>
      <c r="AB41" s="497"/>
    </row>
    <row r="42" spans="1:32">
      <c r="A42" s="444"/>
      <c r="B42" s="445"/>
      <c r="C42" s="446"/>
      <c r="D42" s="447"/>
      <c r="E42" s="448" t="s">
        <v>823</v>
      </c>
      <c r="F42" s="431"/>
      <c r="G42" s="442"/>
      <c r="H42" s="659">
        <f>SUMIF(별도정산표!$G:$G,BS!G42,별도정산표!$E:$E)</f>
        <v>0</v>
      </c>
      <c r="I42" s="659">
        <f>SUMIF(울트라팜_FS!$A:$A,BS!G42,울트라팜_FS!$D:$D)</f>
        <v>0</v>
      </c>
      <c r="J42" s="659">
        <f>SUMIF(HK_BS!$A:$A,BS!G42,HK_BS!$K:$K)</f>
        <v>0</v>
      </c>
      <c r="K42" s="659">
        <f>SUMIF(DHK_BS!$A:$A,BS!G42,DHK_BS!$K:$K)</f>
        <v>0</v>
      </c>
      <c r="L42" s="659">
        <f>SUMIF(상해_BS!$A:$A,BS!G42,상해_BS!$K:$K)</f>
        <v>0</v>
      </c>
      <c r="M42" s="659">
        <f>SUMIF(SG_BS!$A:$A,BS!G42,SG_BS!$K:$K)</f>
        <v>0</v>
      </c>
      <c r="N42" s="659">
        <f>SUMIF(ATGC_BS!$H:$H,BS!G42,ATGC_BS!$I:$I)</f>
        <v>0</v>
      </c>
      <c r="O42" s="660">
        <f t="shared" si="34"/>
        <v>0</v>
      </c>
      <c r="P42" s="651">
        <f>SUMIF(RIC!D:D,BS!G42,RIC!F:F)</f>
        <v>0</v>
      </c>
      <c r="Q42" s="652">
        <f>SUMIF(RIC!G:G,BS!G42,RIC!I:I)</f>
        <v>0</v>
      </c>
      <c r="R42" s="650">
        <f t="shared" ref="R42" si="38">O42+P42-Q42</f>
        <v>0</v>
      </c>
      <c r="S42" s="653">
        <f>SUMIF(RIT!H:H,BS!G42,RIT!J:J)</f>
        <v>0</v>
      </c>
      <c r="T42" s="654">
        <f>SUMIF(RIT!K:K,BS!G42,RIT!M:M)</f>
        <v>0</v>
      </c>
      <c r="U42" s="650">
        <f t="shared" si="36"/>
        <v>0</v>
      </c>
      <c r="V42" s="655">
        <f>SUMIF(지분법및기타!$D:$D,BS!G42,지분법및기타!$F:$F)</f>
        <v>0</v>
      </c>
      <c r="W42" s="656">
        <f>SUMIF(지분법및기타!$G:$G,BS!G42,지분법및기타!$I:$I)</f>
        <v>0</v>
      </c>
      <c r="X42" s="650">
        <f t="shared" si="37"/>
        <v>0</v>
      </c>
      <c r="Y42" s="443"/>
      <c r="AA42" s="108"/>
      <c r="AB42" s="497"/>
    </row>
    <row r="43" spans="1:32">
      <c r="A43" s="444">
        <v>3</v>
      </c>
      <c r="B43" s="445"/>
      <c r="C43" s="446"/>
      <c r="D43" s="447" t="s">
        <v>26</v>
      </c>
      <c r="E43" s="448"/>
      <c r="F43" s="431"/>
      <c r="G43" s="442"/>
      <c r="H43" s="649">
        <f>SUM(H44:H47)</f>
        <v>25520890121</v>
      </c>
      <c r="I43" s="649">
        <f t="shared" ref="I43:O43" si="39">SUM(I44:I47)</f>
        <v>0</v>
      </c>
      <c r="J43" s="649">
        <f t="shared" si="39"/>
        <v>196600000</v>
      </c>
      <c r="K43" s="649">
        <f t="shared" si="39"/>
        <v>0</v>
      </c>
      <c r="L43" s="649">
        <f t="shared" si="39"/>
        <v>0</v>
      </c>
      <c r="M43" s="649">
        <f t="shared" si="39"/>
        <v>0</v>
      </c>
      <c r="N43" s="649">
        <f t="shared" si="39"/>
        <v>0</v>
      </c>
      <c r="O43" s="649">
        <f t="shared" si="39"/>
        <v>25717490121</v>
      </c>
      <c r="P43" s="651"/>
      <c r="Q43" s="652"/>
      <c r="R43" s="649">
        <f>SUM(R44:R47)</f>
        <v>1879128223</v>
      </c>
      <c r="S43" s="653"/>
      <c r="T43" s="654"/>
      <c r="U43" s="649">
        <f>SUM(U44:U47)</f>
        <v>1879128223</v>
      </c>
      <c r="V43" s="655">
        <f>SUMIF(지분법및기타!$D:$D,BS!G43,지분법및기타!$F:$F)</f>
        <v>0</v>
      </c>
      <c r="W43" s="656">
        <f>SUMIF(지분법및기타!$G:$G,BS!G43,지분법및기타!$I:$I)</f>
        <v>0</v>
      </c>
      <c r="X43" s="649">
        <f>SUM(X44:X47)</f>
        <v>172664940</v>
      </c>
      <c r="Y43" s="443"/>
      <c r="AA43" s="108">
        <f t="shared" ref="AA43:AA44" si="40">X43-O43</f>
        <v>-25544825181</v>
      </c>
      <c r="AB43" s="497" t="s">
        <v>2699</v>
      </c>
    </row>
    <row r="44" spans="1:32">
      <c r="A44" s="444">
        <v>4</v>
      </c>
      <c r="B44" s="445"/>
      <c r="C44" s="446"/>
      <c r="D44" s="447"/>
      <c r="E44" s="448" t="s">
        <v>1511</v>
      </c>
      <c r="F44" s="431"/>
      <c r="G44" s="442" t="s">
        <v>2857</v>
      </c>
      <c r="H44" s="659">
        <f>SUMIF(별도정산표!$G:$G,BS!G44,별도정산표!$E:$E)</f>
        <v>172664940</v>
      </c>
      <c r="I44" s="659">
        <f>SUMIF(울트라팜_FS!$A:$A,BS!G44,울트라팜_FS!$D:$D)</f>
        <v>0</v>
      </c>
      <c r="J44" s="659">
        <f>SUMIF(HK_BS!$A:$A,BS!G44,HK_BS!$K:$K)</f>
        <v>0</v>
      </c>
      <c r="K44" s="659">
        <f>SUMIF(DHK_BS!$A:$A,BS!G44,DHK_BS!$K:$K)</f>
        <v>0</v>
      </c>
      <c r="L44" s="659">
        <f>SUMIF(상해_BS!$A:$A,BS!G44,상해_BS!$K:$K)</f>
        <v>0</v>
      </c>
      <c r="M44" s="659">
        <f>SUMIF(SG_BS!$A:$A,BS!G44,SG_BS!$K:$K)</f>
        <v>0</v>
      </c>
      <c r="N44" s="659">
        <f>SUMIF(ATGC_BS!$H:$H,BS!G44,ATGC_BS!$I:$I)</f>
        <v>0</v>
      </c>
      <c r="O44" s="650">
        <f t="shared" ref="O44:O47" si="41">SUM(H44:N44)</f>
        <v>172664940</v>
      </c>
      <c r="P44" s="651">
        <f>SUMIF(RIC!D:D,BS!G44,RIC!F:F)</f>
        <v>0</v>
      </c>
      <c r="Q44" s="652">
        <f>SUMIF(RIC!G:G,BS!G44,RIC!I:I)</f>
        <v>0</v>
      </c>
      <c r="R44" s="650">
        <f t="shared" ref="R44:R47" si="42">O44+P44-Q44</f>
        <v>172664940</v>
      </c>
      <c r="S44" s="653">
        <f>SUMIF(RIT!H:H,BS!G44,RIT!J:J)</f>
        <v>0</v>
      </c>
      <c r="T44" s="654">
        <f>SUMIF(RIT!K:K,BS!G44,RIT!M:M)</f>
        <v>0</v>
      </c>
      <c r="U44" s="650">
        <f t="shared" ref="U44:U47" si="43">R44+S44-T44</f>
        <v>172664940</v>
      </c>
      <c r="V44" s="655">
        <f>SUMIF(지분법및기타!$D:$D,BS!G44,지분법및기타!$F:$F)</f>
        <v>0</v>
      </c>
      <c r="W44" s="656">
        <f>SUMIF(지분법및기타!$G:$G,BS!G44,지분법및기타!$I:$I)</f>
        <v>0</v>
      </c>
      <c r="X44" s="650">
        <f t="shared" ref="X44:X47" si="44">U44+V44-W44</f>
        <v>172664940</v>
      </c>
      <c r="Y44" s="443" t="s">
        <v>1511</v>
      </c>
      <c r="AA44" s="108">
        <f t="shared" si="40"/>
        <v>0</v>
      </c>
      <c r="AB44" s="497"/>
    </row>
    <row r="45" spans="1:32">
      <c r="A45" s="444">
        <v>4</v>
      </c>
      <c r="B45" s="445"/>
      <c r="C45" s="446"/>
      <c r="D45" s="447"/>
      <c r="E45" s="448" t="s">
        <v>904</v>
      </c>
      <c r="F45" s="431"/>
      <c r="G45" s="544" t="s">
        <v>2652</v>
      </c>
      <c r="H45" s="659">
        <f>SUMIF(별도정산표!$G:$G,BS!G45,별도정산표!$E:$E)</f>
        <v>25348225181</v>
      </c>
      <c r="I45" s="659">
        <f>SUMIF(울트라팜_FS!$A:$A,BS!G45,울트라팜_FS!$D:$D)</f>
        <v>0</v>
      </c>
      <c r="J45" s="659">
        <f>SUMIF(HK_BS!$A:$A,BS!G45,HK_BS!$K:$K)</f>
        <v>196600000</v>
      </c>
      <c r="K45" s="659">
        <f>SUMIF(DHK_BS!$A:$A,BS!G45,DHK_BS!$K:$K)</f>
        <v>0</v>
      </c>
      <c r="L45" s="659">
        <f>SUMIF(상해_BS!$A:$A,BS!G45,상해_BS!$K:$K)</f>
        <v>0</v>
      </c>
      <c r="M45" s="659">
        <f>SUMIF(SG_BS!$A:$A,BS!G45,SG_BS!$K:$K)</f>
        <v>0</v>
      </c>
      <c r="N45" s="659">
        <f>SUMIF(ATGC_BS!$H:$H,BS!G45,ATGC_BS!$I:$I)</f>
        <v>0</v>
      </c>
      <c r="O45" s="650">
        <f t="shared" si="41"/>
        <v>25544825181</v>
      </c>
      <c r="P45" s="651">
        <f>SUMIF(RIC!D:D,BS!G45,RIC!F:F)</f>
        <v>398237023</v>
      </c>
      <c r="Q45" s="652">
        <f>SUMIF(RIC!G:G,BS!G45,RIC!I:I)</f>
        <v>26304544698</v>
      </c>
      <c r="R45" s="650">
        <f t="shared" si="42"/>
        <v>-361482494</v>
      </c>
      <c r="S45" s="653">
        <f>SUMIF(RIT!H:H,BS!G45,RIT!J:J)</f>
        <v>0</v>
      </c>
      <c r="T45" s="654">
        <f>SUMIF(RIT!K:K,BS!G45,RIT!M:M)</f>
        <v>0</v>
      </c>
      <c r="U45" s="650">
        <f t="shared" si="43"/>
        <v>-361482494</v>
      </c>
      <c r="V45" s="655">
        <f>SUMIF(지분법및기타!$D:$D,BS!G45,지분법및기타!$F:$F)</f>
        <v>361482494</v>
      </c>
      <c r="W45" s="656">
        <f>SUMIF(지분법및기타!$G:$G,BS!G45,지분법및기타!$I:$I)</f>
        <v>0</v>
      </c>
      <c r="X45" s="650">
        <f t="shared" si="44"/>
        <v>0</v>
      </c>
      <c r="Y45" s="443" t="s">
        <v>904</v>
      </c>
      <c r="AA45" s="108"/>
      <c r="AB45" s="497"/>
      <c r="AC45" s="498"/>
      <c r="AF45" s="101"/>
    </row>
    <row r="46" spans="1:32">
      <c r="A46" s="444"/>
      <c r="B46" s="445"/>
      <c r="C46" s="446"/>
      <c r="D46" s="447"/>
      <c r="E46" s="448" t="s">
        <v>905</v>
      </c>
      <c r="F46" s="431"/>
      <c r="G46" s="544" t="s">
        <v>908</v>
      </c>
      <c r="H46" s="659">
        <f>SUMIF(별도정산표!$G:$G,BS!G46,별도정산표!$E:$E)</f>
        <v>0</v>
      </c>
      <c r="I46" s="659">
        <f>SUMIF(울트라팜_FS!$A:$A,BS!G46,울트라팜_FS!$D:$D)</f>
        <v>0</v>
      </c>
      <c r="J46" s="659">
        <f>SUMIF(HK_BS!$A:$A,BS!G46,HK_BS!$K:$K)</f>
        <v>0</v>
      </c>
      <c r="K46" s="659">
        <f>SUMIF(DHK_BS!$A:$A,BS!G46,DHK_BS!$K:$K)</f>
        <v>0</v>
      </c>
      <c r="L46" s="659">
        <f>SUMIF(상해_BS!$A:$A,BS!G46,상해_BS!$K:$K)</f>
        <v>0</v>
      </c>
      <c r="M46" s="659">
        <f>SUMIF(SG_BS!$A:$A,BS!G46,SG_BS!$K:$K)</f>
        <v>0</v>
      </c>
      <c r="N46" s="659">
        <f>SUMIF(ATGC_BS!$H:$H,BS!G46,ATGC_BS!$I:$I)</f>
        <v>0</v>
      </c>
      <c r="O46" s="650">
        <f t="shared" si="41"/>
        <v>0</v>
      </c>
      <c r="P46" s="651">
        <f>SUMIF(RIC!D:D,BS!G46,RIC!F:F)</f>
        <v>2067945777</v>
      </c>
      <c r="Q46" s="652">
        <f>SUMIF(RIC!G:G,BS!G46,RIC!I:I)</f>
        <v>0</v>
      </c>
      <c r="R46" s="650">
        <f t="shared" si="42"/>
        <v>2067945777</v>
      </c>
      <c r="S46" s="653"/>
      <c r="T46" s="654"/>
      <c r="U46" s="650">
        <f t="shared" si="43"/>
        <v>2067945777</v>
      </c>
      <c r="V46" s="655">
        <f>SUMIF(지분법및기타!$D:$D,BS!G46,지분법및기타!$F:$F)</f>
        <v>78288846</v>
      </c>
      <c r="W46" s="656">
        <f>SUMIF(지분법및기타!$G:$G,BS!G46,지분법및기타!$I:$I)</f>
        <v>2146234623</v>
      </c>
      <c r="X46" s="650">
        <f t="shared" si="44"/>
        <v>0</v>
      </c>
      <c r="Y46" s="443" t="s">
        <v>905</v>
      </c>
      <c r="AA46" s="108"/>
      <c r="AB46" s="497"/>
      <c r="AF46" s="101"/>
    </row>
    <row r="47" spans="1:32">
      <c r="A47" s="444">
        <v>4</v>
      </c>
      <c r="B47" s="445"/>
      <c r="C47" s="446"/>
      <c r="D47" s="447"/>
      <c r="E47" s="448" t="s">
        <v>823</v>
      </c>
      <c r="F47" s="431"/>
      <c r="G47" s="442"/>
      <c r="H47" s="659">
        <f>SUMIF(별도정산표!$G:$G,BS!G47,별도정산표!$E:$E)</f>
        <v>0</v>
      </c>
      <c r="I47" s="659">
        <f>SUMIF(울트라팜_FS!$A:$A,BS!G47,울트라팜_FS!$D:$D)</f>
        <v>0</v>
      </c>
      <c r="J47" s="659">
        <f>SUMIF(HK_BS!$A:$A,BS!G47,HK_BS!$K:$K)</f>
        <v>0</v>
      </c>
      <c r="K47" s="659">
        <f>SUMIF(DHK_BS!$A:$A,BS!G47,DHK_BS!$K:$K)</f>
        <v>0</v>
      </c>
      <c r="L47" s="659">
        <f>SUMIF(상해_BS!$A:$A,BS!G47,상해_BS!$K:$K)</f>
        <v>0</v>
      </c>
      <c r="M47" s="659">
        <f>SUMIF(SG_BS!$A:$A,BS!G47,SG_BS!$K:$K)</f>
        <v>0</v>
      </c>
      <c r="N47" s="659">
        <f>SUMIF(ATGC_BS!$H:$H,BS!G47,ATGC_BS!$I:$I)</f>
        <v>0</v>
      </c>
      <c r="O47" s="650">
        <f t="shared" si="41"/>
        <v>0</v>
      </c>
      <c r="P47" s="651">
        <f>SUMIF(RIC!D:D,BS!G47,RIC!F:F)</f>
        <v>0</v>
      </c>
      <c r="Q47" s="652">
        <f>SUMIF(RIC!G:G,BS!G47,RIC!I:I)</f>
        <v>0</v>
      </c>
      <c r="R47" s="650">
        <f t="shared" si="42"/>
        <v>0</v>
      </c>
      <c r="S47" s="653">
        <f>SUMIF(RIT!H:H,BS!G47,RIT!J:J)</f>
        <v>0</v>
      </c>
      <c r="T47" s="654">
        <f>SUMIF(RIT!K:K,BS!G47,RIT!M:M)</f>
        <v>0</v>
      </c>
      <c r="U47" s="650">
        <f t="shared" si="43"/>
        <v>0</v>
      </c>
      <c r="V47" s="655">
        <f>SUMIF(지분법및기타!$D:$D,BS!G47,지분법및기타!$F:$F)</f>
        <v>0</v>
      </c>
      <c r="W47" s="656">
        <f>SUMIF(지분법및기타!$G:$G,BS!G47,지분법및기타!$I:$I)</f>
        <v>0</v>
      </c>
      <c r="X47" s="650">
        <f t="shared" si="44"/>
        <v>0</v>
      </c>
      <c r="Y47" s="443"/>
      <c r="AA47" s="108"/>
      <c r="AB47" s="497"/>
      <c r="AF47" s="101"/>
    </row>
    <row r="48" spans="1:32">
      <c r="A48" s="444">
        <v>3</v>
      </c>
      <c r="B48" s="445"/>
      <c r="C48" s="446"/>
      <c r="D48" s="447" t="s">
        <v>27</v>
      </c>
      <c r="E48" s="448"/>
      <c r="F48" s="431"/>
      <c r="G48" s="442"/>
      <c r="H48" s="649">
        <f t="shared" ref="H48:O48" si="45">SUM(H49:H67)</f>
        <v>9018883065</v>
      </c>
      <c r="I48" s="649">
        <f t="shared" si="45"/>
        <v>0</v>
      </c>
      <c r="J48" s="649">
        <f t="shared" si="45"/>
        <v>29347074</v>
      </c>
      <c r="K48" s="649">
        <f t="shared" si="45"/>
        <v>291758933</v>
      </c>
      <c r="L48" s="649">
        <f t="shared" si="45"/>
        <v>0</v>
      </c>
      <c r="M48" s="649">
        <f t="shared" si="45"/>
        <v>0</v>
      </c>
      <c r="N48" s="649">
        <f t="shared" si="45"/>
        <v>1539612650</v>
      </c>
      <c r="O48" s="649">
        <f t="shared" si="45"/>
        <v>10879601722</v>
      </c>
      <c r="P48" s="651"/>
      <c r="Q48" s="652"/>
      <c r="R48" s="649">
        <f t="shared" ref="R48" si="46">SUM(R49:R67)</f>
        <v>10879601722</v>
      </c>
      <c r="S48" s="653"/>
      <c r="T48" s="654"/>
      <c r="U48" s="649">
        <f t="shared" ref="U48" si="47">SUM(U49:U67)</f>
        <v>10878025531</v>
      </c>
      <c r="V48" s="655">
        <f>SUMIF(지분법및기타!$D:$D,BS!G48,지분법및기타!$F:$F)</f>
        <v>0</v>
      </c>
      <c r="W48" s="656">
        <f>SUMIF(지분법및기타!$G:$G,BS!G48,지분법및기타!$I:$I)</f>
        <v>0</v>
      </c>
      <c r="X48" s="649">
        <f>SUM(X49:X67)</f>
        <v>10878025531</v>
      </c>
      <c r="Y48" s="443"/>
      <c r="AA48" s="108">
        <f t="shared" ref="AA48:AA61" si="48">X48-O48</f>
        <v>-1576191</v>
      </c>
      <c r="AB48" s="497"/>
      <c r="AF48" s="101"/>
    </row>
    <row r="49" spans="1:32">
      <c r="A49" s="444">
        <v>4</v>
      </c>
      <c r="B49" s="445"/>
      <c r="C49" s="446"/>
      <c r="D49" s="447"/>
      <c r="E49" s="448" t="s">
        <v>2533</v>
      </c>
      <c r="F49" s="431"/>
      <c r="G49" s="442" t="s">
        <v>2512</v>
      </c>
      <c r="H49" s="659">
        <f>SUMIF(별도정산표!$G:$G,BS!G49,별도정산표!$E:$E)</f>
        <v>1115280040</v>
      </c>
      <c r="I49" s="659">
        <f>울트라팜_FS!C24</f>
        <v>0</v>
      </c>
      <c r="J49" s="659">
        <f>SUMIF(HK_BS!$A:$A,BS!G49,HK_BS!$K:$K)</f>
        <v>0</v>
      </c>
      <c r="K49" s="659">
        <f>SUMIF(DHK_BS!$A:$A,BS!G49,DHK_BS!$K:$K)</f>
        <v>0</v>
      </c>
      <c r="L49" s="659">
        <f>SUMIF(상해_BS!$A:$A,BS!G49,상해_BS!$K:$K)</f>
        <v>0</v>
      </c>
      <c r="M49" s="659">
        <f>SUMIF(SG_BS!$A:$A,BS!G49,SG_BS!$K:$K)</f>
        <v>0</v>
      </c>
      <c r="N49" s="659">
        <f>SUMIF(ATGC_BS!$H:$H,BS!G49,ATGC_BS!$I:$I)</f>
        <v>0</v>
      </c>
      <c r="O49" s="650">
        <f t="shared" ref="O49:O67" si="49">SUM(H49:N49)</f>
        <v>1115280040</v>
      </c>
      <c r="P49" s="651">
        <f>SUMIF(RIC!D:D,BS!G49,RIC!F:F)</f>
        <v>0</v>
      </c>
      <c r="Q49" s="652">
        <f>SUMIF(RIC!G:G,BS!G49,RIC!I:I)</f>
        <v>0</v>
      </c>
      <c r="R49" s="650">
        <f t="shared" ref="R49:R67" si="50">O49+P49-Q49</f>
        <v>1115280040</v>
      </c>
      <c r="S49" s="653">
        <f>SUMIF(RIT!H:H,BS!G49,RIT!J:J)</f>
        <v>0</v>
      </c>
      <c r="T49" s="654">
        <f>SUMIF(RIT!K:K,BS!G49,RIT!M:M)</f>
        <v>0</v>
      </c>
      <c r="U49" s="650">
        <f t="shared" ref="U49:U67" si="51">R49+S49-T49</f>
        <v>1115280040</v>
      </c>
      <c r="V49" s="655">
        <f>SUMIF(지분법및기타!$D:$D,BS!G49,지분법및기타!$F:$F)</f>
        <v>0</v>
      </c>
      <c r="W49" s="656">
        <f>SUMIF(지분법및기타!$G:$G,BS!G49,지분법및기타!$I:$I)</f>
        <v>0</v>
      </c>
      <c r="X49" s="650">
        <f t="shared" ref="X49:X67" si="52">U49+V49-W49</f>
        <v>1115280040</v>
      </c>
      <c r="Y49" s="443" t="s">
        <v>2575</v>
      </c>
      <c r="AA49" s="108">
        <f t="shared" si="48"/>
        <v>0</v>
      </c>
      <c r="AB49" s="497"/>
      <c r="AF49" s="101"/>
    </row>
    <row r="50" spans="1:32">
      <c r="A50" s="444"/>
      <c r="B50" s="445"/>
      <c r="C50" s="446"/>
      <c r="D50" s="447"/>
      <c r="E50" s="448" t="s">
        <v>2862</v>
      </c>
      <c r="F50" s="431"/>
      <c r="G50" s="544" t="s">
        <v>2865</v>
      </c>
      <c r="H50" s="659">
        <f>SUMIF(별도정산표!$G:$G,BS!G50,별도정산표!$E:$E)</f>
        <v>2832428420</v>
      </c>
      <c r="I50" s="659">
        <f>울트라팜_FS!C25</f>
        <v>0</v>
      </c>
      <c r="J50" s="659">
        <f>SUMIF(HK_BS!$A:$A,BS!G50,HK_BS!$K:$K)</f>
        <v>0</v>
      </c>
      <c r="K50" s="659">
        <f>SUMIF(DHK_BS!$A:$A,BS!G50,DHK_BS!$K:$K)</f>
        <v>0</v>
      </c>
      <c r="L50" s="659">
        <f>SUMIF(상해_BS!$A:$A,BS!G50,상해_BS!$K:$K)</f>
        <v>0</v>
      </c>
      <c r="M50" s="659">
        <f>SUMIF(SG_BS!$A:$A,BS!G50,SG_BS!$K:$K)</f>
        <v>0</v>
      </c>
      <c r="N50" s="659">
        <f>SUMIF(ATGC_BS!$H:$H,BS!G50,ATGC_BS!$I:$I)</f>
        <v>0</v>
      </c>
      <c r="O50" s="650">
        <f t="shared" ref="O50:O51" si="53">SUM(H50:N50)</f>
        <v>2832428420</v>
      </c>
      <c r="P50" s="651">
        <f>SUMIF(RIC!D:D,BS!G50,RIC!F:F)</f>
        <v>0</v>
      </c>
      <c r="Q50" s="652">
        <f>SUMIF(RIC!G:G,BS!G50,RIC!I:I)</f>
        <v>0</v>
      </c>
      <c r="R50" s="650">
        <f t="shared" ref="R50:R51" si="54">O50+P50-Q50</f>
        <v>2832428420</v>
      </c>
      <c r="S50" s="653">
        <f>SUMIF(RIT!H:H,BS!G50,RIT!J:J)</f>
        <v>0</v>
      </c>
      <c r="T50" s="654">
        <f>SUMIF(RIT!K:K,BS!G50,RIT!M:M)</f>
        <v>0</v>
      </c>
      <c r="U50" s="650">
        <f t="shared" ref="U50:U51" si="55">R50+S50-T50</f>
        <v>2832428420</v>
      </c>
      <c r="V50" s="655">
        <f>SUMIF(지분법및기타!$D:$D,BS!G50,지분법및기타!$F:$F)</f>
        <v>0</v>
      </c>
      <c r="W50" s="656">
        <f>SUMIF(지분법및기타!$G:$G,BS!G50,지분법및기타!$I:$I)</f>
        <v>0</v>
      </c>
      <c r="X50" s="650">
        <f t="shared" ref="X50:X51" si="56">U50+V50-W50</f>
        <v>2832428420</v>
      </c>
      <c r="Y50" s="443" t="s">
        <v>2862</v>
      </c>
      <c r="AA50" s="108"/>
      <c r="AB50" s="497"/>
      <c r="AF50" s="101"/>
    </row>
    <row r="51" spans="1:32">
      <c r="A51" s="444"/>
      <c r="B51" s="445"/>
      <c r="C51" s="446"/>
      <c r="D51" s="447"/>
      <c r="E51" s="448" t="s">
        <v>2863</v>
      </c>
      <c r="F51" s="431"/>
      <c r="G51" s="544" t="s">
        <v>2866</v>
      </c>
      <c r="H51" s="659">
        <f>SUMIF(별도정산표!$G:$G,BS!G51,별도정산표!$E:$E)</f>
        <v>-61959374</v>
      </c>
      <c r="I51" s="659">
        <f>울트라팜_FS!C26</f>
        <v>0</v>
      </c>
      <c r="J51" s="659">
        <f>SUMIF(HK_BS!$A:$A,BS!G51,HK_BS!$K:$K)</f>
        <v>0</v>
      </c>
      <c r="K51" s="659">
        <f>SUMIF(DHK_BS!$A:$A,BS!G51,DHK_BS!$K:$K)</f>
        <v>0</v>
      </c>
      <c r="L51" s="659">
        <f>SUMIF(상해_BS!$A:$A,BS!G51,상해_BS!$K:$K)</f>
        <v>0</v>
      </c>
      <c r="M51" s="659">
        <f>SUMIF(SG_BS!$A:$A,BS!G51,SG_BS!$K:$K)</f>
        <v>0</v>
      </c>
      <c r="N51" s="659">
        <f>SUMIF(ATGC_BS!$H:$H,BS!G51,ATGC_BS!$I:$I)</f>
        <v>0</v>
      </c>
      <c r="O51" s="650">
        <f t="shared" si="53"/>
        <v>-61959374</v>
      </c>
      <c r="P51" s="651">
        <f>SUMIF(RIC!D:D,BS!G51,RIC!F:F)</f>
        <v>0</v>
      </c>
      <c r="Q51" s="652">
        <f>SUMIF(RIC!G:G,BS!G51,RIC!I:I)</f>
        <v>0</v>
      </c>
      <c r="R51" s="650">
        <f t="shared" si="54"/>
        <v>-61959374</v>
      </c>
      <c r="S51" s="653">
        <f>SUMIF(RIT!H:H,BS!G51,RIT!J:J)</f>
        <v>0</v>
      </c>
      <c r="T51" s="654">
        <f>SUMIF(RIT!K:K,BS!G51,RIT!M:M)</f>
        <v>0</v>
      </c>
      <c r="U51" s="650">
        <f t="shared" si="55"/>
        <v>-61959374</v>
      </c>
      <c r="V51" s="655">
        <f>SUMIF(지분법및기타!$D:$D,BS!G51,지분법및기타!$F:$F)</f>
        <v>0</v>
      </c>
      <c r="W51" s="656">
        <f>SUMIF(지분법및기타!$G:$G,BS!G51,지분법및기타!$I:$I)</f>
        <v>0</v>
      </c>
      <c r="X51" s="650">
        <f t="shared" si="56"/>
        <v>-61959374</v>
      </c>
      <c r="Y51" s="443" t="s">
        <v>2864</v>
      </c>
      <c r="AA51" s="108"/>
      <c r="AB51" s="497"/>
      <c r="AF51" s="101"/>
    </row>
    <row r="52" spans="1:32">
      <c r="A52" s="444"/>
      <c r="B52" s="445"/>
      <c r="C52" s="446"/>
      <c r="D52" s="447"/>
      <c r="E52" s="448" t="s">
        <v>31</v>
      </c>
      <c r="F52" s="431"/>
      <c r="G52" s="442" t="s">
        <v>655</v>
      </c>
      <c r="H52" s="659">
        <f>SUMIF(별도정산표!$G:$G,BS!G52,별도정산표!$E:$E)</f>
        <v>2674264961</v>
      </c>
      <c r="I52" s="659">
        <f>울트라팜_FS!C25</f>
        <v>0</v>
      </c>
      <c r="J52" s="659">
        <f>SUMIF(HK_BS!$A:$A,BS!G52,HK_BS!$K:$K)</f>
        <v>0</v>
      </c>
      <c r="K52" s="659">
        <f>SUMIF(DHK_BS!$A:$A,BS!G52,DHK_BS!$K:$K)</f>
        <v>0</v>
      </c>
      <c r="L52" s="659">
        <f>SUMIF(상해_BS!$A:$A,BS!G52,상해_BS!$K:$K)</f>
        <v>0</v>
      </c>
      <c r="M52" s="659">
        <f>SUMIF(SG_BS!$A:$A,BS!G52,SG_BS!$K:$K)</f>
        <v>0</v>
      </c>
      <c r="N52" s="659">
        <f>SUMIF(ATGC_BS!$H:$H,BS!G52,ATGC_BS!$I:$I)</f>
        <v>2205763514</v>
      </c>
      <c r="O52" s="650">
        <f t="shared" si="49"/>
        <v>4880028475</v>
      </c>
      <c r="P52" s="651"/>
      <c r="Q52" s="966"/>
      <c r="R52" s="650">
        <f t="shared" si="50"/>
        <v>4880028475</v>
      </c>
      <c r="S52" s="653"/>
      <c r="T52" s="967"/>
      <c r="U52" s="650">
        <f t="shared" si="51"/>
        <v>4880028475</v>
      </c>
      <c r="V52" s="655"/>
      <c r="W52" s="968"/>
      <c r="X52" s="650">
        <f t="shared" si="52"/>
        <v>4880028475</v>
      </c>
      <c r="Y52" s="443" t="s">
        <v>2576</v>
      </c>
      <c r="AA52" s="108">
        <f t="shared" si="48"/>
        <v>0</v>
      </c>
      <c r="AB52" s="497"/>
      <c r="AF52" s="101"/>
    </row>
    <row r="53" spans="1:32">
      <c r="A53" s="444"/>
      <c r="B53" s="445"/>
      <c r="C53" s="446"/>
      <c r="D53" s="447"/>
      <c r="E53" s="448" t="s">
        <v>657</v>
      </c>
      <c r="F53" s="431"/>
      <c r="G53" s="442" t="s">
        <v>656</v>
      </c>
      <c r="H53" s="659">
        <f>SUMIF(별도정산표!$G:$G,BS!G53,별도정산표!$E:$E)</f>
        <v>-1323604760</v>
      </c>
      <c r="I53" s="659">
        <f>울트라팜_FS!C26</f>
        <v>0</v>
      </c>
      <c r="J53" s="659">
        <f>SUMIF(HK_BS!$A:$A,BS!G53,HK_BS!$K:$K)</f>
        <v>0</v>
      </c>
      <c r="K53" s="659">
        <f>SUMIF(DHK_BS!$A:$A,BS!G53,DHK_BS!$K:$K)</f>
        <v>0</v>
      </c>
      <c r="L53" s="659">
        <f>SUMIF(상해_BS!$A:$A,BS!G53,상해_BS!$K:$K)</f>
        <v>0</v>
      </c>
      <c r="M53" s="659">
        <f>SUMIF(SG_BS!$A:$A,BS!G53,SG_BS!$K:$K)</f>
        <v>0</v>
      </c>
      <c r="N53" s="659">
        <f>SUMIF(ATGC_BS!$H:$H,BS!G53,ATGC_BS!$I:$I)</f>
        <v>-1673360452</v>
      </c>
      <c r="O53" s="650">
        <f t="shared" si="49"/>
        <v>-2996965212</v>
      </c>
      <c r="P53" s="651"/>
      <c r="Q53" s="966"/>
      <c r="R53" s="650">
        <f t="shared" si="50"/>
        <v>-2996965212</v>
      </c>
      <c r="S53" s="653"/>
      <c r="T53" s="967"/>
      <c r="U53" s="650">
        <f t="shared" si="51"/>
        <v>-2996965212</v>
      </c>
      <c r="V53" s="655"/>
      <c r="W53" s="968"/>
      <c r="X53" s="650">
        <f t="shared" si="52"/>
        <v>-2996965212</v>
      </c>
      <c r="Y53" s="443" t="s">
        <v>1521</v>
      </c>
      <c r="AA53" s="108">
        <f t="shared" si="48"/>
        <v>0</v>
      </c>
      <c r="AB53" s="497"/>
      <c r="AF53" s="101"/>
    </row>
    <row r="54" spans="1:32">
      <c r="A54" s="444">
        <v>4</v>
      </c>
      <c r="B54" s="445"/>
      <c r="C54" s="446"/>
      <c r="D54" s="447"/>
      <c r="E54" s="448" t="s">
        <v>33</v>
      </c>
      <c r="F54" s="431"/>
      <c r="G54" s="442" t="s">
        <v>658</v>
      </c>
      <c r="H54" s="659">
        <f>SUMIF(별도정산표!$G:$G,BS!G54,별도정산표!$E:$E)</f>
        <v>7974819</v>
      </c>
      <c r="I54" s="659">
        <f>울트라팜_FS!C26</f>
        <v>0</v>
      </c>
      <c r="J54" s="659">
        <f>SUMIF(HK_BS!$A:$A,BS!G54,HK_BS!$K:$K)</f>
        <v>0</v>
      </c>
      <c r="K54" s="659">
        <f>SUMIF(DHK_BS!$A:$A,BS!G54,DHK_BS!$K:$K)</f>
        <v>0</v>
      </c>
      <c r="L54" s="659">
        <f>SUMIF(상해_BS!$A:$A,BS!G54,상해_BS!$K:$K)</f>
        <v>0</v>
      </c>
      <c r="M54" s="659">
        <f>SUMIF(SG_BS!$A:$A,BS!G54,SG_BS!$K:$K)</f>
        <v>0</v>
      </c>
      <c r="N54" s="659">
        <f>SUMIF(ATGC_BS!$H:$H,BS!G54,ATGC_BS!$I:$I)</f>
        <v>0</v>
      </c>
      <c r="O54" s="650">
        <f t="shared" si="49"/>
        <v>7974819</v>
      </c>
      <c r="P54" s="651">
        <f>SUMIF(RIC!D:D,BS!G54,RIC!F:F)</f>
        <v>0</v>
      </c>
      <c r="Q54" s="652">
        <f>SUMIF(RIC!G:G,BS!G54,RIC!I:I)</f>
        <v>0</v>
      </c>
      <c r="R54" s="650">
        <f t="shared" si="50"/>
        <v>7974819</v>
      </c>
      <c r="S54" s="653">
        <f>SUMIF(RIT!H:H,BS!G54,RIT!J:J)</f>
        <v>0</v>
      </c>
      <c r="T54" s="654">
        <f>SUMIF(RIT!K:K,BS!G54,RIT!M:M)</f>
        <v>0</v>
      </c>
      <c r="U54" s="650">
        <f t="shared" si="51"/>
        <v>7974819</v>
      </c>
      <c r="V54" s="655">
        <f>SUMIF(지분법및기타!$D:$D,BS!G54,지분법및기타!$F:$F)</f>
        <v>0</v>
      </c>
      <c r="W54" s="656">
        <f>SUMIF(지분법및기타!$G:$G,BS!G54,지분법및기타!$I:$I)</f>
        <v>0</v>
      </c>
      <c r="X54" s="650">
        <f t="shared" si="52"/>
        <v>7974819</v>
      </c>
      <c r="Y54" s="443" t="s">
        <v>33</v>
      </c>
      <c r="AA54" s="108">
        <f t="shared" si="48"/>
        <v>0</v>
      </c>
      <c r="AB54" s="497"/>
      <c r="AF54" s="101"/>
    </row>
    <row r="55" spans="1:32">
      <c r="A55" s="444">
        <v>4</v>
      </c>
      <c r="B55" s="445"/>
      <c r="C55" s="446"/>
      <c r="D55" s="447"/>
      <c r="E55" s="448" t="s">
        <v>660</v>
      </c>
      <c r="F55" s="431"/>
      <c r="G55" s="442" t="s">
        <v>659</v>
      </c>
      <c r="H55" s="659">
        <f>SUMIF(별도정산표!$G:$G,BS!G55,별도정산표!$E:$E)</f>
        <v>-7972819</v>
      </c>
      <c r="I55" s="659">
        <f>-울트라팜_FS!C27</f>
        <v>0</v>
      </c>
      <c r="J55" s="659">
        <f>SUMIF(HK_BS!$A:$A,BS!G55,HK_BS!$K:$K)</f>
        <v>0</v>
      </c>
      <c r="K55" s="659">
        <f>SUMIF(DHK_BS!$A:$A,BS!G55,DHK_BS!$K:$K)</f>
        <v>0</v>
      </c>
      <c r="L55" s="659">
        <f>SUMIF(상해_BS!$A:$A,BS!G55,상해_BS!$K:$K)</f>
        <v>0</v>
      </c>
      <c r="M55" s="659">
        <f>SUMIF(SG_BS!$A:$A,BS!G55,SG_BS!$K:$K)</f>
        <v>0</v>
      </c>
      <c r="N55" s="659">
        <f>SUMIF(ATGC_BS!$H:$H,BS!G55,ATGC_BS!$I:$I)</f>
        <v>0</v>
      </c>
      <c r="O55" s="650">
        <f t="shared" si="49"/>
        <v>-7972819</v>
      </c>
      <c r="P55" s="651">
        <f>SUMIF(RIC!D:D,BS!G55,RIC!F:F)</f>
        <v>0</v>
      </c>
      <c r="Q55" s="652">
        <f>SUMIF(RIC!G:G,BS!G55,RIC!I:I)</f>
        <v>0</v>
      </c>
      <c r="R55" s="650">
        <f t="shared" si="50"/>
        <v>-7972819</v>
      </c>
      <c r="S55" s="653">
        <f>SUMIF(RIT!H:H,BS!G55,RIT!J:J)</f>
        <v>0</v>
      </c>
      <c r="T55" s="654">
        <f>SUMIF(RIT!K:K,BS!G55,RIT!M:M)</f>
        <v>0</v>
      </c>
      <c r="U55" s="650">
        <f t="shared" si="51"/>
        <v>-7972819</v>
      </c>
      <c r="V55" s="655">
        <f>SUMIF(지분법및기타!$D:$D,BS!G55,지분법및기타!$F:$F)</f>
        <v>0</v>
      </c>
      <c r="W55" s="656">
        <f>SUMIF(지분법및기타!$G:$G,BS!G55,지분법및기타!$I:$I)</f>
        <v>0</v>
      </c>
      <c r="X55" s="650">
        <f t="shared" si="52"/>
        <v>-7972819</v>
      </c>
      <c r="Y55" s="443" t="s">
        <v>1512</v>
      </c>
      <c r="AA55" s="108">
        <f t="shared" si="48"/>
        <v>0</v>
      </c>
      <c r="AB55" s="497"/>
      <c r="AF55" s="101"/>
    </row>
    <row r="56" spans="1:32">
      <c r="A56" s="444">
        <v>4</v>
      </c>
      <c r="B56" s="445"/>
      <c r="C56" s="446"/>
      <c r="D56" s="447"/>
      <c r="E56" s="448" t="s">
        <v>662</v>
      </c>
      <c r="F56" s="431"/>
      <c r="G56" s="442" t="s">
        <v>661</v>
      </c>
      <c r="H56" s="659">
        <f>SUMIF(별도정산표!$G:$G,BS!G56,별도정산표!$E:$E)</f>
        <v>131100000</v>
      </c>
      <c r="I56" s="659">
        <v>0</v>
      </c>
      <c r="J56" s="659">
        <f>SUMIF(HK_BS!$A:$A,BS!G56,HK_BS!$K:$K)</f>
        <v>0</v>
      </c>
      <c r="K56" s="659">
        <f>SUMIF(DHK_BS!$A:$A,BS!G56,DHK_BS!$K:$K)</f>
        <v>0</v>
      </c>
      <c r="L56" s="659">
        <f>SUMIF(상해_BS!$A:$A,BS!G56,상해_BS!$K:$K)</f>
        <v>0</v>
      </c>
      <c r="M56" s="659">
        <f>SUMIF(SG_BS!$A:$A,BS!G56,SG_BS!$K:$K)</f>
        <v>0</v>
      </c>
      <c r="N56" s="659">
        <f>SUMIF(ATGC_BS!$H:$H,BS!G56,ATGC_BS!$I:$I)</f>
        <v>0</v>
      </c>
      <c r="O56" s="650">
        <f t="shared" si="49"/>
        <v>131100000</v>
      </c>
      <c r="P56" s="651">
        <f>SUMIF(RIC!D:D,BS!G56,RIC!F:F)</f>
        <v>0</v>
      </c>
      <c r="Q56" s="652">
        <f>SUMIF(RIC!G:G,BS!G56,RIC!I:I)</f>
        <v>0</v>
      </c>
      <c r="R56" s="650">
        <f t="shared" si="50"/>
        <v>131100000</v>
      </c>
      <c r="S56" s="653">
        <f>SUMIF(RIT!H:H,BS!G56,RIT!J:J)</f>
        <v>0</v>
      </c>
      <c r="T56" s="654">
        <f>SUMIF(RIT!K:K,BS!G56,RIT!M:M)</f>
        <v>0</v>
      </c>
      <c r="U56" s="650">
        <f t="shared" si="51"/>
        <v>131100000</v>
      </c>
      <c r="V56" s="655">
        <f>SUMIF(지분법및기타!$D:$D,BS!G56,지분법및기타!$F:$F)</f>
        <v>0</v>
      </c>
      <c r="W56" s="656">
        <f>SUMIF(지분법및기타!$G:$G,BS!G56,지분법및기타!$I:$I)</f>
        <v>0</v>
      </c>
      <c r="X56" s="650">
        <f t="shared" si="52"/>
        <v>131100000</v>
      </c>
      <c r="Y56" s="443" t="s">
        <v>662</v>
      </c>
      <c r="AA56" s="108">
        <f t="shared" si="48"/>
        <v>0</v>
      </c>
      <c r="AB56" s="497"/>
      <c r="AF56" s="101"/>
    </row>
    <row r="57" spans="1:32">
      <c r="A57" s="444">
        <v>4</v>
      </c>
      <c r="B57" s="445"/>
      <c r="C57" s="446"/>
      <c r="D57" s="447"/>
      <c r="E57" s="448" t="s">
        <v>664</v>
      </c>
      <c r="F57" s="431"/>
      <c r="G57" s="442" t="s">
        <v>663</v>
      </c>
      <c r="H57" s="659">
        <f>SUMIF(별도정산표!$G:$G,BS!G57,별도정산표!$E:$E)</f>
        <v>-67838194</v>
      </c>
      <c r="I57" s="659">
        <v>0</v>
      </c>
      <c r="J57" s="659">
        <f>SUMIF(HK_BS!$A:$A,BS!G57,HK_BS!$K:$K)</f>
        <v>0</v>
      </c>
      <c r="K57" s="659">
        <f>SUMIF(DHK_BS!$A:$A,BS!G57,DHK_BS!$K:$K)</f>
        <v>0</v>
      </c>
      <c r="L57" s="659">
        <f>SUMIF(상해_BS!$A:$A,BS!G57,상해_BS!$K:$K)</f>
        <v>0</v>
      </c>
      <c r="M57" s="659">
        <f>SUMIF(SG_BS!$A:$A,BS!G57,SG_BS!$K:$K)</f>
        <v>0</v>
      </c>
      <c r="N57" s="659">
        <f>SUMIF(ATGC_BS!$H:$H,BS!G57,ATGC_BS!$I:$I)</f>
        <v>0</v>
      </c>
      <c r="O57" s="650">
        <f t="shared" si="49"/>
        <v>-67838194</v>
      </c>
      <c r="P57" s="651">
        <f>SUMIF(RIC!D:D,BS!G57,RIC!F:F)</f>
        <v>0</v>
      </c>
      <c r="Q57" s="652">
        <f>SUMIF(RIC!G:G,BS!G57,RIC!I:I)</f>
        <v>0</v>
      </c>
      <c r="R57" s="650">
        <f t="shared" si="50"/>
        <v>-67838194</v>
      </c>
      <c r="S57" s="653">
        <f>SUMIF(RIT!H:H,BS!G57,RIT!J:J)</f>
        <v>0</v>
      </c>
      <c r="T57" s="654">
        <f>SUMIF(RIT!K:K,BS!G57,RIT!M:M)</f>
        <v>0</v>
      </c>
      <c r="U57" s="650">
        <f t="shared" si="51"/>
        <v>-67838194</v>
      </c>
      <c r="V57" s="655">
        <f>SUMIF(지분법및기타!$D:$D,BS!G57,지분법및기타!$F:$F)</f>
        <v>0</v>
      </c>
      <c r="W57" s="656">
        <f>SUMIF(지분법및기타!$G:$G,BS!G57,지분법및기타!$I:$I)</f>
        <v>0</v>
      </c>
      <c r="X57" s="650">
        <f t="shared" si="52"/>
        <v>-67838194</v>
      </c>
      <c r="Y57" s="443" t="s">
        <v>1519</v>
      </c>
      <c r="AA57" s="108">
        <f t="shared" si="48"/>
        <v>0</v>
      </c>
      <c r="AB57" s="497"/>
      <c r="AF57" s="101"/>
    </row>
    <row r="58" spans="1:32">
      <c r="A58" s="444">
        <v>4</v>
      </c>
      <c r="B58" s="445"/>
      <c r="C58" s="446"/>
      <c r="D58" s="447"/>
      <c r="E58" s="448" t="s">
        <v>32</v>
      </c>
      <c r="F58" s="431"/>
      <c r="G58" s="442" t="s">
        <v>665</v>
      </c>
      <c r="H58" s="659">
        <f>SUMIF(별도정산표!$G:$G,BS!G58,별도정산표!$E:$E)</f>
        <v>368187065</v>
      </c>
      <c r="I58" s="659">
        <f>울트라팜_FS!C28</f>
        <v>0</v>
      </c>
      <c r="J58" s="659">
        <f>SUMIF(HK_BS!$A:$A,BS!G58,HK_BS!$K:$K)</f>
        <v>54274031</v>
      </c>
      <c r="K58" s="659">
        <f>SUMIF(DHK_BS!$A:$A,BS!G58,DHK_BS!$K:$K)</f>
        <v>174153610</v>
      </c>
      <c r="L58" s="659">
        <f>SUMIF(상해_BS!$A:$A,BS!G58,상해_BS!$K:$K)</f>
        <v>0</v>
      </c>
      <c r="M58" s="659">
        <f>SUMIF(SG_BS!$A:$A,BS!G58,SG_BS!$K:$K)</f>
        <v>0</v>
      </c>
      <c r="N58" s="659">
        <f>SUMIF(ATGC_BS!$H:$H,BS!G58,ATGC_BS!$I:$I)</f>
        <v>927664055</v>
      </c>
      <c r="O58" s="650">
        <f t="shared" si="49"/>
        <v>1524278761</v>
      </c>
      <c r="P58" s="651">
        <f>SUMIF(RIC!D:D,BS!G58,RIC!F:F)</f>
        <v>0</v>
      </c>
      <c r="Q58" s="652">
        <f>SUMIF(RIC!G:G,BS!G58,RIC!I:I)</f>
        <v>0</v>
      </c>
      <c r="R58" s="650">
        <f t="shared" si="50"/>
        <v>1524278761</v>
      </c>
      <c r="S58" s="653">
        <f>SUMIF(RIT!H:H,BS!G58,RIT!J:J)</f>
        <v>10761784</v>
      </c>
      <c r="T58" s="654">
        <f>SUMIF(RIT!K:K,BS!G58,RIT!M:M)</f>
        <v>0</v>
      </c>
      <c r="U58" s="650">
        <f t="shared" si="51"/>
        <v>1535040545</v>
      </c>
      <c r="V58" s="655">
        <f>SUMIF(지분법및기타!$D:$D,BS!G58,지분법및기타!$F:$F)</f>
        <v>0</v>
      </c>
      <c r="W58" s="656">
        <f>SUMIF(지분법및기타!$G:$G,BS!G58,지분법및기타!$I:$I)</f>
        <v>0</v>
      </c>
      <c r="X58" s="650">
        <f t="shared" si="52"/>
        <v>1535040545</v>
      </c>
      <c r="Y58" s="443" t="s">
        <v>874</v>
      </c>
      <c r="AA58" s="108">
        <f t="shared" si="48"/>
        <v>10761784</v>
      </c>
      <c r="AB58" s="497"/>
      <c r="AF58" s="101"/>
    </row>
    <row r="59" spans="1:32">
      <c r="A59" s="444">
        <v>4</v>
      </c>
      <c r="B59" s="445"/>
      <c r="C59" s="446"/>
      <c r="D59" s="447"/>
      <c r="E59" s="448" t="s">
        <v>667</v>
      </c>
      <c r="F59" s="431"/>
      <c r="G59" s="442" t="s">
        <v>666</v>
      </c>
      <c r="H59" s="659">
        <f>SUMIF(별도정산표!$G:$G,BS!G59,별도정산표!$E:$E)</f>
        <v>-189699106</v>
      </c>
      <c r="I59" s="659">
        <f>-울트라팜_FS!C29</f>
        <v>0</v>
      </c>
      <c r="J59" s="659">
        <f>SUMIF(HK_BS!$A:$A,BS!G59,HK_BS!$K:$K)</f>
        <v>-29069140</v>
      </c>
      <c r="K59" s="659">
        <f>SUMIF(DHK_BS!$A:$A,BS!G59,DHK_BS!$K:$K)</f>
        <v>-79783760</v>
      </c>
      <c r="L59" s="659">
        <f>SUMIF(상해_BS!$A:$A,BS!G59,상해_BS!$K:$K)</f>
        <v>0</v>
      </c>
      <c r="M59" s="659">
        <f>SUMIF(SG_BS!$A:$A,BS!G59,SG_BS!$K:$K)</f>
        <v>0</v>
      </c>
      <c r="N59" s="659">
        <f>SUMIF(ATGC_BS!$H:$H,BS!G59,ATGC_BS!$I:$I)</f>
        <v>-910698842</v>
      </c>
      <c r="O59" s="650">
        <f t="shared" si="49"/>
        <v>-1209250848</v>
      </c>
      <c r="P59" s="651">
        <f>SUMIF(RIC!D:D,BS!G59,RIC!F:F)</f>
        <v>0</v>
      </c>
      <c r="Q59" s="652">
        <f>SUMIF(RIC!G:G,BS!G59,RIC!I:I)</f>
        <v>0</v>
      </c>
      <c r="R59" s="650">
        <f t="shared" si="50"/>
        <v>-1209250848</v>
      </c>
      <c r="S59" s="653">
        <f>SUMIF(RIT!H:H,BS!G59,RIT!J:J)</f>
        <v>0</v>
      </c>
      <c r="T59" s="654">
        <f>SUMIF(RIT!K:K,BS!G59,RIT!M:M)</f>
        <v>12337975</v>
      </c>
      <c r="U59" s="650">
        <f t="shared" si="51"/>
        <v>-1221588823</v>
      </c>
      <c r="V59" s="655">
        <f>SUMIF(지분법및기타!$D:$D,BS!G59,지분법및기타!$F:$F)</f>
        <v>0</v>
      </c>
      <c r="W59" s="656">
        <f>SUMIF(지분법및기타!$G:$G,BS!G59,지분법및기타!$I:$I)</f>
        <v>0</v>
      </c>
      <c r="X59" s="650">
        <f t="shared" si="52"/>
        <v>-1221588823</v>
      </c>
      <c r="Y59" s="443" t="s">
        <v>1517</v>
      </c>
      <c r="AA59" s="108">
        <f t="shared" si="48"/>
        <v>-12337975</v>
      </c>
      <c r="AB59" s="497"/>
      <c r="AF59" s="101"/>
    </row>
    <row r="60" spans="1:32">
      <c r="A60" s="444">
        <v>4</v>
      </c>
      <c r="B60" s="445"/>
      <c r="C60" s="446"/>
      <c r="D60" s="447"/>
      <c r="E60" s="448" t="s">
        <v>669</v>
      </c>
      <c r="F60" s="431"/>
      <c r="G60" s="442" t="s">
        <v>668</v>
      </c>
      <c r="H60" s="659">
        <f>SUMIF(별도정산표!$G:$G,BS!G60,별도정산표!$E:$E)</f>
        <v>131819200</v>
      </c>
      <c r="I60" s="659">
        <f>울트라팜_FS!C30+울트라팜_FS!C34</f>
        <v>0</v>
      </c>
      <c r="J60" s="659">
        <f>SUMIF(HK_BS!$A:$A,BS!G60,HK_BS!$K:$K)</f>
        <v>9910105</v>
      </c>
      <c r="K60" s="659">
        <f>SUMIF(DHK_BS!$A:$A,BS!G60,DHK_BS!$K:$K)</f>
        <v>409212118</v>
      </c>
      <c r="L60" s="659">
        <f>SUMIF(상해_BS!$A:$A,BS!G60,상해_BS!$K:$K)</f>
        <v>0</v>
      </c>
      <c r="M60" s="659">
        <f>SUMIF(SG_BS!$A:$A,BS!G60,SG_BS!$K:$K)</f>
        <v>0</v>
      </c>
      <c r="N60" s="659">
        <f>SUMIF(ATGC_BS!$H:$H,BS!G60,ATGC_BS!$I:$I)</f>
        <v>0</v>
      </c>
      <c r="O60" s="650">
        <f t="shared" si="49"/>
        <v>550941423</v>
      </c>
      <c r="P60" s="651">
        <f>SUMIF(RIC!D:D,BS!G60,RIC!F:F)</f>
        <v>0</v>
      </c>
      <c r="Q60" s="652">
        <f>SUMIF(RIC!G:G,BS!G60,RIC!I:I)</f>
        <v>0</v>
      </c>
      <c r="R60" s="650">
        <f t="shared" si="50"/>
        <v>550941423</v>
      </c>
      <c r="S60" s="653">
        <f>SUMIF(RIT!H:H,BS!G60,RIT!J:J)</f>
        <v>0</v>
      </c>
      <c r="T60" s="654">
        <f>SUMIF(RIT!K:K,BS!G60,RIT!M:M)</f>
        <v>0</v>
      </c>
      <c r="U60" s="650">
        <f t="shared" si="51"/>
        <v>550941423</v>
      </c>
      <c r="V60" s="655">
        <f>SUMIF(지분법및기타!$D:$D,BS!G60,지분법및기타!$F:$F)</f>
        <v>0</v>
      </c>
      <c r="W60" s="656">
        <f>SUMIF(지분법및기타!$G:$G,BS!G60,지분법및기타!$I:$I)</f>
        <v>0</v>
      </c>
      <c r="X60" s="650">
        <f t="shared" si="52"/>
        <v>550941423</v>
      </c>
      <c r="Y60" s="443" t="s">
        <v>669</v>
      </c>
      <c r="AA60" s="108">
        <f t="shared" si="48"/>
        <v>0</v>
      </c>
      <c r="AB60" s="497"/>
      <c r="AF60" s="101"/>
    </row>
    <row r="61" spans="1:32">
      <c r="A61" s="444">
        <v>4</v>
      </c>
      <c r="B61" s="445"/>
      <c r="C61" s="446"/>
      <c r="D61" s="447"/>
      <c r="E61" s="448" t="s">
        <v>671</v>
      </c>
      <c r="F61" s="431"/>
      <c r="G61" s="442" t="s">
        <v>670</v>
      </c>
      <c r="H61" s="659">
        <f>SUMIF(별도정산표!$G:$G,BS!G61,별도정산표!$E:$E)</f>
        <v>-131811200</v>
      </c>
      <c r="I61" s="659">
        <f>-(울트라팜_FS!C31+울트라팜_FS!C35)</f>
        <v>0</v>
      </c>
      <c r="J61" s="659">
        <f>SUMIF(HK_BS!$A:$A,BS!G61,HK_BS!$K:$K)</f>
        <v>-5767922</v>
      </c>
      <c r="K61" s="659">
        <f>SUMIF(DHK_BS!$A:$A,BS!G61,DHK_BS!$K:$K)</f>
        <v>-211823035</v>
      </c>
      <c r="L61" s="659">
        <f>SUMIF(상해_BS!$A:$A,BS!G61,상해_BS!$K:$K)</f>
        <v>0</v>
      </c>
      <c r="M61" s="659">
        <f>SUMIF(SG_BS!$A:$A,BS!G61,SG_BS!$K:$K)</f>
        <v>0</v>
      </c>
      <c r="N61" s="659">
        <f>SUMIF(ATGC_BS!$H:$H,BS!G61,ATGC_BS!$I:$I)</f>
        <v>0</v>
      </c>
      <c r="O61" s="650">
        <f t="shared" si="49"/>
        <v>-349402157</v>
      </c>
      <c r="P61" s="651">
        <f>SUMIF(RIC!D:D,BS!G61,RIC!F:F)</f>
        <v>0</v>
      </c>
      <c r="Q61" s="652">
        <f>SUMIF(RIC!G:G,BS!G61,RIC!I:I)</f>
        <v>0</v>
      </c>
      <c r="R61" s="650">
        <f t="shared" si="50"/>
        <v>-349402157</v>
      </c>
      <c r="S61" s="653">
        <f>SUMIF(RIT!H:H,BS!G61,RIT!J:J)</f>
        <v>0</v>
      </c>
      <c r="T61" s="654">
        <f>SUMIF(RIT!K:K,BS!G61,RIT!M:M)</f>
        <v>0</v>
      </c>
      <c r="U61" s="650">
        <f t="shared" si="51"/>
        <v>-349402157</v>
      </c>
      <c r="V61" s="655">
        <f>SUMIF(지분법및기타!$D:$D,BS!G61,지분법및기타!$F:$F)</f>
        <v>0</v>
      </c>
      <c r="W61" s="656">
        <f>SUMIF(지분법및기타!$G:$G,BS!G61,지분법및기타!$I:$I)</f>
        <v>0</v>
      </c>
      <c r="X61" s="650">
        <f t="shared" si="52"/>
        <v>-349402157</v>
      </c>
      <c r="Y61" s="443" t="s">
        <v>1515</v>
      </c>
      <c r="AA61" s="108">
        <f t="shared" si="48"/>
        <v>0</v>
      </c>
      <c r="AB61" s="497"/>
      <c r="AF61" s="101"/>
    </row>
    <row r="62" spans="1:32">
      <c r="A62" s="444"/>
      <c r="B62" s="445"/>
      <c r="C62" s="446"/>
      <c r="D62" s="447"/>
      <c r="E62" s="448" t="s">
        <v>1366</v>
      </c>
      <c r="F62" s="431"/>
      <c r="G62" s="964" t="s">
        <v>2517</v>
      </c>
      <c r="H62" s="659">
        <f>SUMIF(별도정산표!$G:$G,BS!G62,별도정산표!$E:$E)</f>
        <v>972487904</v>
      </c>
      <c r="I62" s="965"/>
      <c r="J62" s="659">
        <f>SUMIF(HK_BS!$A:$A,BS!G62,HK_BS!$K:$K)</f>
        <v>0</v>
      </c>
      <c r="K62" s="659">
        <f>SUMIF(DHK_BS!$A:$A,BS!G62,DHK_BS!$K:$K)</f>
        <v>0</v>
      </c>
      <c r="L62" s="659">
        <f>SUMIF(상해_BS!$A:$A,BS!G62,상해_BS!$K:$K)</f>
        <v>0</v>
      </c>
      <c r="M62" s="659">
        <f>SUMIF(SG_BS!$A:$A,BS!G62,SG_BS!$K:$K)</f>
        <v>0</v>
      </c>
      <c r="N62" s="659">
        <f>SUMIF(ATGC_BS!$H:$H,BS!G62,ATGC_BS!$I:$I)</f>
        <v>661480300</v>
      </c>
      <c r="O62" s="650">
        <f t="shared" si="49"/>
        <v>1633968204</v>
      </c>
      <c r="P62" s="651"/>
      <c r="Q62" s="966"/>
      <c r="R62" s="650">
        <f t="shared" ref="R62:R63" si="57">O62+P62-Q62</f>
        <v>1633968204</v>
      </c>
      <c r="S62" s="653">
        <f>SUMIF(RIT!H:H,BS!G62,RIT!J:J)</f>
        <v>0</v>
      </c>
      <c r="T62" s="654">
        <f>SUMIF(RIT!K:K,BS!G62,RIT!M:M)</f>
        <v>0</v>
      </c>
      <c r="U62" s="650">
        <f t="shared" ref="U62:U63" si="58">R62+S62-T62</f>
        <v>1633968204</v>
      </c>
      <c r="V62" s="655">
        <f>SUMIF(지분법및기타!$D:$D,BS!G62,지분법및기타!$F:$F)</f>
        <v>0</v>
      </c>
      <c r="W62" s="656">
        <f>SUMIF(지분법및기타!$G:$G,BS!G62,지분법및기타!$I:$I)</f>
        <v>0</v>
      </c>
      <c r="X62" s="650">
        <f t="shared" ref="X62:X63" si="59">U62+V62-W62</f>
        <v>1633968204</v>
      </c>
      <c r="Y62" s="443" t="s">
        <v>2571</v>
      </c>
      <c r="AA62" s="108"/>
      <c r="AB62" s="497"/>
      <c r="AF62" s="101"/>
    </row>
    <row r="63" spans="1:32">
      <c r="A63" s="444"/>
      <c r="B63" s="445"/>
      <c r="C63" s="446"/>
      <c r="D63" s="447"/>
      <c r="E63" s="448" t="s">
        <v>237</v>
      </c>
      <c r="F63" s="431"/>
      <c r="G63" s="964" t="s">
        <v>2519</v>
      </c>
      <c r="H63" s="659">
        <f>SUMIF(별도정산표!$G:$G,BS!G63,별도정산표!$E:$E)</f>
        <v>-169400862</v>
      </c>
      <c r="I63" s="965"/>
      <c r="J63" s="659">
        <f>SUMIF(HK_BS!$A:$A,BS!G63,HK_BS!$K:$K)</f>
        <v>0</v>
      </c>
      <c r="K63" s="659">
        <f>SUMIF(DHK_BS!$A:$A,BS!G63,DHK_BS!$K:$K)</f>
        <v>0</v>
      </c>
      <c r="L63" s="659">
        <f>SUMIF(상해_BS!$A:$A,BS!G63,상해_BS!$K:$K)</f>
        <v>0</v>
      </c>
      <c r="M63" s="659">
        <f>SUMIF(SG_BS!$A:$A,BS!G63,SG_BS!$K:$K)</f>
        <v>0</v>
      </c>
      <c r="N63" s="659">
        <f>SUMIF(ATGC_BS!$H:$H,BS!G63,ATGC_BS!$I:$I)</f>
        <v>-628405785</v>
      </c>
      <c r="O63" s="650">
        <f t="shared" si="49"/>
        <v>-797806647</v>
      </c>
      <c r="P63" s="651"/>
      <c r="Q63" s="966"/>
      <c r="R63" s="650">
        <f t="shared" si="57"/>
        <v>-797806647</v>
      </c>
      <c r="S63" s="653">
        <f>SUMIF(RIT!H:H,BS!G63,RIT!J:J)</f>
        <v>0</v>
      </c>
      <c r="T63" s="654">
        <f>SUMIF(RIT!K:K,BS!G63,RIT!M:M)</f>
        <v>0</v>
      </c>
      <c r="U63" s="650">
        <f t="shared" si="58"/>
        <v>-797806647</v>
      </c>
      <c r="V63" s="655">
        <f>SUMIF(지분법및기타!$D:$D,BS!G63,지분법및기타!$F:$F)</f>
        <v>0</v>
      </c>
      <c r="W63" s="656">
        <f>SUMIF(지분법및기타!$G:$G,BS!G63,지분법및기타!$I:$I)</f>
        <v>0</v>
      </c>
      <c r="X63" s="650">
        <f t="shared" si="59"/>
        <v>-797806647</v>
      </c>
      <c r="Y63" s="443" t="s">
        <v>2573</v>
      </c>
      <c r="AA63" s="108"/>
      <c r="AB63" s="497"/>
      <c r="AF63" s="101"/>
    </row>
    <row r="64" spans="1:32">
      <c r="A64" s="444">
        <v>4</v>
      </c>
      <c r="B64" s="445"/>
      <c r="C64" s="446"/>
      <c r="D64" s="447"/>
      <c r="E64" s="448" t="s">
        <v>346</v>
      </c>
      <c r="F64" s="431"/>
      <c r="G64" s="442" t="s">
        <v>672</v>
      </c>
      <c r="H64" s="659">
        <f>SUMIF(별도정산표!$G:$G,BS!G64,별도정산표!$E:$E)</f>
        <v>1731999794</v>
      </c>
      <c r="I64" s="659">
        <f>울트라팜_FS!C32</f>
        <v>0</v>
      </c>
      <c r="J64" s="659">
        <f>SUMIF(HK_BS!$A:$A,BS!G64,HK_BS!$K:$K)</f>
        <v>0</v>
      </c>
      <c r="K64" s="659">
        <f>SUMIF(DHK_BS!$A:$A,BS!G64,DHK_BS!$K:$K)</f>
        <v>0</v>
      </c>
      <c r="L64" s="659">
        <f>SUMIF(상해_BS!$A:$A,BS!G64,상해_BS!$K:$K)</f>
        <v>0</v>
      </c>
      <c r="M64" s="659">
        <f>SUMIF(SG_BS!$A:$A,BS!G64,SG_BS!$K:$K)</f>
        <v>0</v>
      </c>
      <c r="N64" s="659">
        <f>SUMIF(ATGC_BS!$H:$H,BS!G64,ATGC_BS!$I:$I)</f>
        <v>3117259299</v>
      </c>
      <c r="O64" s="650">
        <f t="shared" si="49"/>
        <v>4849259093</v>
      </c>
      <c r="P64" s="651">
        <f>SUMIF(RIC!D:D,BS!G64,RIC!F:F)</f>
        <v>0</v>
      </c>
      <c r="Q64" s="652">
        <f>SUMIF(RIC!G:G,BS!G64,RIC!I:I)</f>
        <v>0</v>
      </c>
      <c r="R64" s="650">
        <f t="shared" si="50"/>
        <v>4849259093</v>
      </c>
      <c r="S64" s="653">
        <f>SUMIF(RIT!H:H,BS!G64,RIT!J:J)</f>
        <v>0</v>
      </c>
      <c r="T64" s="654">
        <f>SUMIF(RIT!K:K,BS!G64,RIT!M:M)</f>
        <v>0</v>
      </c>
      <c r="U64" s="650">
        <f t="shared" si="51"/>
        <v>4849259093</v>
      </c>
      <c r="V64" s="655">
        <f>SUMIF(지분법및기타!$D:$D,BS!G64,지분법및기타!$F:$F)</f>
        <v>0</v>
      </c>
      <c r="W64" s="656">
        <f>SUMIF(지분법및기타!$G:$G,BS!G64,지분법및기타!$I:$I)</f>
        <v>0</v>
      </c>
      <c r="X64" s="650">
        <f t="shared" si="52"/>
        <v>4849259093</v>
      </c>
      <c r="Y64" s="443" t="s">
        <v>346</v>
      </c>
      <c r="AA64" s="108">
        <f t="shared" ref="AA64:AA66" si="60">X64-O64</f>
        <v>0</v>
      </c>
      <c r="AB64" s="497"/>
      <c r="AF64" s="101"/>
    </row>
    <row r="65" spans="1:32">
      <c r="A65" s="444">
        <v>4</v>
      </c>
      <c r="B65" s="445"/>
      <c r="C65" s="446"/>
      <c r="D65" s="447"/>
      <c r="E65" s="448" t="s">
        <v>674</v>
      </c>
      <c r="F65" s="431"/>
      <c r="G65" s="442" t="s">
        <v>673</v>
      </c>
      <c r="H65" s="659">
        <f>SUMIF(별도정산표!$G:$G,BS!G65,별도정산표!$E:$E)</f>
        <v>-370585998</v>
      </c>
      <c r="I65" s="659">
        <f>-울트라팜_FS!C33</f>
        <v>0</v>
      </c>
      <c r="J65" s="659">
        <f>SUMIF(HK_BS!$A:$A,BS!G65,HK_BS!$K:$K)</f>
        <v>0</v>
      </c>
      <c r="K65" s="659">
        <f>SUMIF(DHK_BS!$A:$A,BS!G65,DHK_BS!$K:$K)</f>
        <v>0</v>
      </c>
      <c r="L65" s="659">
        <f>SUMIF(상해_BS!$A:$A,BS!G65,상해_BS!$K:$K)</f>
        <v>0</v>
      </c>
      <c r="M65" s="659">
        <f>SUMIF(SG_BS!$A:$A,BS!G65,SG_BS!$K:$K)</f>
        <v>0</v>
      </c>
      <c r="N65" s="659">
        <f>SUMIF(ATGC_BS!$H:$H,BS!G65,ATGC_BS!$I:$I)</f>
        <v>-2160089439</v>
      </c>
      <c r="O65" s="650">
        <f t="shared" si="49"/>
        <v>-2530675437</v>
      </c>
      <c r="P65" s="651">
        <f>SUMIF(RIC!D:D,BS!G65,RIC!F:F)</f>
        <v>0</v>
      </c>
      <c r="Q65" s="652">
        <f>SUMIF(RIC!G:G,BS!G65,RIC!I:I)</f>
        <v>0</v>
      </c>
      <c r="R65" s="650">
        <f t="shared" si="50"/>
        <v>-2530675437</v>
      </c>
      <c r="S65" s="653">
        <f>SUMIF(RIT!H:H,BS!G65,RIT!J:J)</f>
        <v>0</v>
      </c>
      <c r="T65" s="654">
        <f>SUMIF(RIT!K:K,BS!G65,RIT!M:M)</f>
        <v>0</v>
      </c>
      <c r="U65" s="650">
        <f t="shared" si="51"/>
        <v>-2530675437</v>
      </c>
      <c r="V65" s="655">
        <f>SUMIF(지분법및기타!$D:$D,BS!G65,지분법및기타!$F:$F)</f>
        <v>0</v>
      </c>
      <c r="W65" s="656">
        <f>SUMIF(지분법및기타!$G:$G,BS!G65,지분법및기타!$I:$I)</f>
        <v>0</v>
      </c>
      <c r="X65" s="650">
        <f t="shared" si="52"/>
        <v>-2530675437</v>
      </c>
      <c r="Y65" s="443" t="s">
        <v>1513</v>
      </c>
      <c r="AA65" s="108">
        <f t="shared" si="60"/>
        <v>0</v>
      </c>
      <c r="AB65" s="497"/>
      <c r="AF65" s="101"/>
    </row>
    <row r="66" spans="1:32">
      <c r="A66" s="444">
        <v>4</v>
      </c>
      <c r="B66" s="445"/>
      <c r="C66" s="446"/>
      <c r="D66" s="447"/>
      <c r="E66" s="448" t="s">
        <v>2534</v>
      </c>
      <c r="F66" s="431"/>
      <c r="G66" s="442" t="s">
        <v>2515</v>
      </c>
      <c r="H66" s="659">
        <f>SUMIF(별도정산표!$G:$G,BS!G66,별도정산표!$E:$E)</f>
        <v>1376213175</v>
      </c>
      <c r="I66" s="659">
        <f>SUMIF(울트라팜_FS!$A:$A,BS!G66,울트라팜_FS!$D:$D)</f>
        <v>0</v>
      </c>
      <c r="J66" s="659">
        <f>SUMIF(HK_BS!$A:$A,BS!G66,HK_BS!$K:$K)</f>
        <v>0</v>
      </c>
      <c r="K66" s="659">
        <f>SUMIF(DHK_BS!$A:$A,BS!G66,DHK_BS!$K:$K)</f>
        <v>0</v>
      </c>
      <c r="L66" s="659">
        <f>SUMIF(상해_BS!$A:$A,BS!G66,상해_BS!$K:$K)</f>
        <v>0</v>
      </c>
      <c r="M66" s="659">
        <f>SUMIF(SG_BS!$A:$A,BS!G66,SG_BS!$K:$K)</f>
        <v>0</v>
      </c>
      <c r="N66" s="659">
        <f>SUMIF(ATGC_BS!$H:$H,BS!G66,ATGC_BS!$I:$I)</f>
        <v>0</v>
      </c>
      <c r="O66" s="650">
        <f t="shared" si="49"/>
        <v>1376213175</v>
      </c>
      <c r="P66" s="651">
        <f>SUMIF(RIC!D:D,BS!G66,RIC!F:F)</f>
        <v>0</v>
      </c>
      <c r="Q66" s="652">
        <f>SUMIF(RIC!G:G,BS!G66,RIC!I:I)</f>
        <v>0</v>
      </c>
      <c r="R66" s="650">
        <f t="shared" si="50"/>
        <v>1376213175</v>
      </c>
      <c r="S66" s="653">
        <f>SUMIF(RIT!H:H,BS!G66,RIT!J:J)</f>
        <v>0</v>
      </c>
      <c r="T66" s="654">
        <f>SUMIF(RIT!K:K,BS!G66,RIT!M:M)</f>
        <v>0</v>
      </c>
      <c r="U66" s="650">
        <f t="shared" si="51"/>
        <v>1376213175</v>
      </c>
      <c r="V66" s="655">
        <f>SUMIF(지분법및기타!$D:$D,BS!G66,지분법및기타!$F:$F)</f>
        <v>0</v>
      </c>
      <c r="W66" s="656">
        <f>SUMIF(지분법및기타!$G:$G,BS!G66,지분법및기타!$I:$I)</f>
        <v>0</v>
      </c>
      <c r="X66" s="650">
        <f t="shared" si="52"/>
        <v>1376213175</v>
      </c>
      <c r="Y66" s="443" t="s">
        <v>34</v>
      </c>
      <c r="AA66" s="108">
        <f t="shared" si="60"/>
        <v>0</v>
      </c>
      <c r="AB66" s="497"/>
      <c r="AF66" s="101"/>
    </row>
    <row r="67" spans="1:32">
      <c r="A67" s="444">
        <v>4</v>
      </c>
      <c r="B67" s="445"/>
      <c r="C67" s="446"/>
      <c r="D67" s="447"/>
      <c r="E67" s="448" t="s">
        <v>823</v>
      </c>
      <c r="F67" s="431"/>
      <c r="G67" s="442"/>
      <c r="H67" s="659">
        <f>SUMIF(별도정산표!$G:$G,BS!G67,별도정산표!$E:$E)</f>
        <v>0</v>
      </c>
      <c r="I67" s="659">
        <f>SUMIF(울트라팜_FS!$A:$A,BS!G67,울트라팜_FS!$D:$D)</f>
        <v>0</v>
      </c>
      <c r="J67" s="659">
        <f>SUMIF(HK_BS!$A:$A,BS!G67,HK_BS!$K:$K)</f>
        <v>0</v>
      </c>
      <c r="K67" s="659">
        <f>SUMIF(DHK_BS!$A:$A,BS!G67,DHK_BS!$K:$K)</f>
        <v>0</v>
      </c>
      <c r="L67" s="659">
        <f>SUMIF(상해_BS!$A:$A,BS!G67,상해_BS!$K:$K)</f>
        <v>0</v>
      </c>
      <c r="M67" s="659">
        <f>SUMIF(SG_BS!$A:$A,BS!G67,SG_BS!$K:$K)</f>
        <v>0</v>
      </c>
      <c r="N67" s="659">
        <f>SUMIF(ATGC_BS!$H:$H,BS!G67,ATGC_BS!$I:$I)</f>
        <v>0</v>
      </c>
      <c r="O67" s="650">
        <f t="shared" si="49"/>
        <v>0</v>
      </c>
      <c r="P67" s="651">
        <f>SUMIF(RIC!D:D,BS!G67,RIC!F:F)</f>
        <v>0</v>
      </c>
      <c r="Q67" s="652">
        <f>SUMIF(RIC!G:G,BS!G67,RIC!I:I)</f>
        <v>0</v>
      </c>
      <c r="R67" s="650">
        <f t="shared" si="50"/>
        <v>0</v>
      </c>
      <c r="S67" s="653">
        <f>SUMIF(RIT!H:H,BS!G67,RIT!J:J)</f>
        <v>0</v>
      </c>
      <c r="T67" s="654">
        <f>SUMIF(RIT!K:K,BS!G67,RIT!M:M)</f>
        <v>0</v>
      </c>
      <c r="U67" s="650">
        <f t="shared" si="51"/>
        <v>0</v>
      </c>
      <c r="V67" s="655">
        <f>SUMIF(지분법및기타!$D:$D,BS!G67,지분법및기타!$F:$F)</f>
        <v>0</v>
      </c>
      <c r="W67" s="656">
        <f>SUMIF(지분법및기타!$G:$G,BS!G67,지분법및기타!$I:$I)</f>
        <v>0</v>
      </c>
      <c r="X67" s="650">
        <f t="shared" si="52"/>
        <v>0</v>
      </c>
      <c r="Y67" s="443"/>
      <c r="AA67" s="108"/>
      <c r="AB67" s="497"/>
      <c r="AF67" s="101"/>
    </row>
    <row r="68" spans="1:32">
      <c r="A68" s="444">
        <v>3</v>
      </c>
      <c r="B68" s="445"/>
      <c r="C68" s="446"/>
      <c r="D68" s="447" t="s">
        <v>35</v>
      </c>
      <c r="E68" s="448"/>
      <c r="F68" s="431"/>
      <c r="G68" s="442"/>
      <c r="H68" s="649">
        <f>SUM(H69:H76)</f>
        <v>124722122</v>
      </c>
      <c r="I68" s="649">
        <f t="shared" ref="I68:X68" si="61">SUM(I69:I76)</f>
        <v>0</v>
      </c>
      <c r="J68" s="649">
        <f t="shared" si="61"/>
        <v>0</v>
      </c>
      <c r="K68" s="649">
        <f>SUM(K69:K76)</f>
        <v>0</v>
      </c>
      <c r="L68" s="649">
        <f>SUM(L69:L76)</f>
        <v>0</v>
      </c>
      <c r="M68" s="649">
        <f>SUM(M69:M76)</f>
        <v>0</v>
      </c>
      <c r="N68" s="649">
        <f>SUM(N69:N76)</f>
        <v>5744689888</v>
      </c>
      <c r="O68" s="650">
        <f t="shared" si="61"/>
        <v>5869412010</v>
      </c>
      <c r="P68" s="651"/>
      <c r="Q68" s="652"/>
      <c r="R68" s="650">
        <f t="shared" si="61"/>
        <v>33200055369</v>
      </c>
      <c r="S68" s="653"/>
      <c r="T68" s="654"/>
      <c r="U68" s="650">
        <f t="shared" si="61"/>
        <v>33200055369</v>
      </c>
      <c r="V68" s="655">
        <f>SUMIF(지분법및기타!$D:$D,BS!G68,지분법및기타!$F:$F)</f>
        <v>0</v>
      </c>
      <c r="W68" s="656">
        <f>SUMIF(지분법및기타!$G:$G,BS!G68,지분법및기타!$I:$I)</f>
        <v>0</v>
      </c>
      <c r="X68" s="650">
        <f t="shared" si="61"/>
        <v>33200055369</v>
      </c>
      <c r="Y68" s="443"/>
      <c r="AA68" s="108">
        <f t="shared" ref="AA68:AA72" si="62">X68-O68</f>
        <v>27330643359</v>
      </c>
      <c r="AB68" s="497"/>
      <c r="AF68" s="101"/>
    </row>
    <row r="69" spans="1:32">
      <c r="A69" s="444">
        <v>4</v>
      </c>
      <c r="B69" s="445"/>
      <c r="C69" s="446"/>
      <c r="D69" s="447"/>
      <c r="E69" s="448" t="s">
        <v>37</v>
      </c>
      <c r="F69" s="431"/>
      <c r="G69" s="442" t="s">
        <v>675</v>
      </c>
      <c r="H69" s="659">
        <f>SUMIF(별도정산표!$G:$G,BS!G69,별도정산표!$E:$E)</f>
        <v>49108768</v>
      </c>
      <c r="I69" s="659">
        <f>SUMIF(울트라팜_FS!$A:$A,BS!G69,울트라팜_FS!$D:$D)</f>
        <v>0</v>
      </c>
      <c r="J69" s="659">
        <f>SUMIF(HK_BS!$A:$A,BS!G69,HK_BS!$K:$K)</f>
        <v>0</v>
      </c>
      <c r="K69" s="659">
        <f>SUMIF(DHK_BS!$A:$A,BS!G69,DHK_BS!$K:$K)</f>
        <v>0</v>
      </c>
      <c r="L69" s="659">
        <f>SUMIF(상해_BS!$A:$A,BS!G69,상해_BS!$K:$K)</f>
        <v>0</v>
      </c>
      <c r="M69" s="659">
        <f>SUMIF(SG_BS!$A:$A,BS!G69,SG_BS!$K:$K)</f>
        <v>0</v>
      </c>
      <c r="N69" s="659">
        <f>SUMIF(ATGC_BS!$H:$H,BS!G69,ATGC_BS!$I:$I)</f>
        <v>10409738</v>
      </c>
      <c r="O69" s="650">
        <f t="shared" ref="O69:O76" si="63">SUM(H69:N69)</f>
        <v>59518506</v>
      </c>
      <c r="P69" s="651">
        <f>SUMIF(RIC!D:D,BS!G69,RIC!F:F)</f>
        <v>4653260562</v>
      </c>
      <c r="Q69" s="652">
        <f>SUMIF(RIC!G:G,BS!G69,RIC!I:I)</f>
        <v>0</v>
      </c>
      <c r="R69" s="650">
        <f t="shared" ref="R69:R76" si="64">O69+P69-Q69</f>
        <v>4712779068</v>
      </c>
      <c r="S69" s="653">
        <f>SUMIF(RIT!H:H,BS!G69,RIT!J:J)</f>
        <v>0</v>
      </c>
      <c r="T69" s="654">
        <f>SUMIF(RIT!K:K,BS!G69,RIT!M:M)</f>
        <v>0</v>
      </c>
      <c r="U69" s="650">
        <f t="shared" ref="U69:U76" si="65">R69+S69-T69</f>
        <v>4712779068</v>
      </c>
      <c r="V69" s="655">
        <f>SUMIF(지분법및기타!$D:$D,BS!G69,지분법및기타!$F:$F)</f>
        <v>0</v>
      </c>
      <c r="W69" s="656">
        <f>SUMIF(지분법및기타!$G:$G,BS!G69,지분법및기타!$I:$I)</f>
        <v>0</v>
      </c>
      <c r="X69" s="650">
        <f t="shared" ref="X69:X76" si="66">U69+V69-W69</f>
        <v>4712779068</v>
      </c>
      <c r="Y69" s="443" t="s">
        <v>37</v>
      </c>
      <c r="AA69" s="108">
        <f t="shared" si="62"/>
        <v>4653260562</v>
      </c>
      <c r="AB69" s="497"/>
      <c r="AF69" s="101"/>
    </row>
    <row r="70" spans="1:32">
      <c r="A70" s="444">
        <v>4</v>
      </c>
      <c r="B70" s="445"/>
      <c r="C70" s="446"/>
      <c r="D70" s="447"/>
      <c r="E70" s="448" t="s">
        <v>38</v>
      </c>
      <c r="F70" s="431"/>
      <c r="G70" s="442" t="s">
        <v>676</v>
      </c>
      <c r="H70" s="659">
        <f>SUMIF(별도정산표!$G:$G,BS!G70,별도정산표!$E:$E)</f>
        <v>23719703</v>
      </c>
      <c r="I70" s="659">
        <f>SUMIF(울트라팜_FS!$A:$A,BS!G70,울트라팜_FS!$D:$D)</f>
        <v>0</v>
      </c>
      <c r="J70" s="659">
        <f>SUMIF(HK_BS!$A:$A,BS!G70,HK_BS!$K:$K)</f>
        <v>0</v>
      </c>
      <c r="K70" s="659">
        <f>SUMIF(DHK_BS!$A:$A,BS!G70,DHK_BS!$K:$K)</f>
        <v>0</v>
      </c>
      <c r="L70" s="659">
        <f>SUMIF(상해_BS!$A:$A,BS!G70,상해_BS!$K:$K)</f>
        <v>0</v>
      </c>
      <c r="M70" s="659">
        <f>SUMIF(SG_BS!$A:$A,BS!G70,SG_BS!$K:$K)</f>
        <v>0</v>
      </c>
      <c r="N70" s="659">
        <f>SUMIF(ATGC_BS!$H:$H,BS!G70,ATGC_BS!$I:$I)</f>
        <v>0</v>
      </c>
      <c r="O70" s="650">
        <f t="shared" si="63"/>
        <v>23719703</v>
      </c>
      <c r="P70" s="651">
        <f>SUMIF(RIC!D:D,BS!G70,RIC!F:F)</f>
        <v>384243995</v>
      </c>
      <c r="Q70" s="652">
        <f>SUMIF(RIC!G:G,BS!G70,RIC!I:I)</f>
        <v>0</v>
      </c>
      <c r="R70" s="650">
        <f t="shared" si="64"/>
        <v>407963698</v>
      </c>
      <c r="S70" s="653">
        <f>SUMIF(RIT!H:H,BS!G70,RIT!J:J)</f>
        <v>0</v>
      </c>
      <c r="T70" s="654">
        <f>SUMIF(RIT!K:K,BS!G70,RIT!M:M)</f>
        <v>0</v>
      </c>
      <c r="U70" s="650">
        <f t="shared" si="65"/>
        <v>407963698</v>
      </c>
      <c r="V70" s="655">
        <f>SUMIF(지분법및기타!$D:$D,BS!G70,지분법및기타!$F:$F)</f>
        <v>0</v>
      </c>
      <c r="W70" s="656">
        <f>SUMIF(지분법및기타!$G:$G,BS!G70,지분법및기타!$I:$I)</f>
        <v>0</v>
      </c>
      <c r="X70" s="650">
        <f t="shared" si="66"/>
        <v>407963698</v>
      </c>
      <c r="Y70" s="443" t="s">
        <v>38</v>
      </c>
      <c r="AA70" s="108">
        <f t="shared" si="62"/>
        <v>384243995</v>
      </c>
      <c r="AB70" s="497"/>
      <c r="AF70" s="101"/>
    </row>
    <row r="71" spans="1:32">
      <c r="A71" s="444">
        <v>4</v>
      </c>
      <c r="B71" s="445"/>
      <c r="C71" s="446"/>
      <c r="D71" s="447"/>
      <c r="E71" s="448" t="s">
        <v>40</v>
      </c>
      <c r="F71" s="431"/>
      <c r="G71" s="442" t="s">
        <v>677</v>
      </c>
      <c r="H71" s="659">
        <f>SUMIF(별도정산표!$G:$G,BS!G71,별도정산표!$E:$E)</f>
        <v>0</v>
      </c>
      <c r="I71" s="659">
        <f>SUMIF(울트라팜_FS!$A:$A,BS!G71,울트라팜_FS!$D:$D)</f>
        <v>0</v>
      </c>
      <c r="J71" s="659">
        <f>SUMIF(HK_BS!$A:$A,BS!G71,HK_BS!$K:$K)</f>
        <v>0</v>
      </c>
      <c r="K71" s="659">
        <f>SUMIF(DHK_BS!$A:$A,BS!G71,DHK_BS!$K:$K)</f>
        <v>0</v>
      </c>
      <c r="L71" s="659">
        <f>SUMIF(상해_BS!$A:$A,BS!G71,상해_BS!$K:$K)</f>
        <v>0</v>
      </c>
      <c r="M71" s="659">
        <f>SUMIF(SG_BS!$A:$A,BS!G71,SG_BS!$K:$K)</f>
        <v>0</v>
      </c>
      <c r="N71" s="659">
        <f>SUMIF(ATGC_BS!$H:$H,BS!G71,ATGC_BS!$I:$I)</f>
        <v>5628405039</v>
      </c>
      <c r="O71" s="650">
        <f t="shared" si="63"/>
        <v>5628405039</v>
      </c>
      <c r="P71" s="651">
        <f>SUMIF(RIC!D:D,BS!G71,RIC!F:F)</f>
        <v>0</v>
      </c>
      <c r="Q71" s="652">
        <f>SUMIF(RIC!G:G,BS!G71,RIC!I:I)</f>
        <v>0</v>
      </c>
      <c r="R71" s="650">
        <f t="shared" si="64"/>
        <v>5628405039</v>
      </c>
      <c r="S71" s="653">
        <f>SUMIF(RIT!H:H,BS!G71,RIT!J:J)</f>
        <v>0</v>
      </c>
      <c r="T71" s="654">
        <f>SUMIF(RIT!K:K,BS!G71,RIT!M:M)</f>
        <v>0</v>
      </c>
      <c r="U71" s="650">
        <f t="shared" si="65"/>
        <v>5628405039</v>
      </c>
      <c r="V71" s="655">
        <f>SUMIF(지분법및기타!$D:$D,BS!G71,지분법및기타!$F:$F)</f>
        <v>0</v>
      </c>
      <c r="W71" s="656">
        <f>SUMIF(지분법및기타!$G:$G,BS!G71,지분법및기타!$I:$I)</f>
        <v>0</v>
      </c>
      <c r="X71" s="657">
        <f t="shared" si="66"/>
        <v>5628405039</v>
      </c>
      <c r="Y71" s="443" t="s">
        <v>1662</v>
      </c>
      <c r="AA71" s="108">
        <f t="shared" si="62"/>
        <v>0</v>
      </c>
      <c r="AB71" s="497"/>
      <c r="AF71" s="101"/>
    </row>
    <row r="72" spans="1:32">
      <c r="A72" s="444">
        <v>4</v>
      </c>
      <c r="B72" s="445"/>
      <c r="C72" s="446"/>
      <c r="D72" s="447"/>
      <c r="E72" s="448" t="s">
        <v>41</v>
      </c>
      <c r="F72" s="431"/>
      <c r="G72" s="442" t="s">
        <v>678</v>
      </c>
      <c r="H72" s="659">
        <f>SUMIF(별도정산표!$G:$G,BS!G72,별도정산표!$E:$E)</f>
        <v>51893651</v>
      </c>
      <c r="I72" s="659">
        <f>SUMIF(울트라팜_FS!$A:$A,BS!G72,울트라팜_FS!$D:$D)</f>
        <v>0</v>
      </c>
      <c r="J72" s="659">
        <f>SUMIF(HK_BS!$A:$A,BS!G72,HK_BS!$K:$K)</f>
        <v>0</v>
      </c>
      <c r="K72" s="659">
        <f>SUMIF(DHK_BS!$A:$A,BS!G72,DHK_BS!$K:$K)</f>
        <v>0</v>
      </c>
      <c r="L72" s="659">
        <f>SUMIF(상해_BS!$A:$A,BS!G72,상해_BS!$K:$K)</f>
        <v>0</v>
      </c>
      <c r="M72" s="659">
        <f>SUMIF(SG_BS!$A:$A,BS!G72,SG_BS!$K:$K)</f>
        <v>0</v>
      </c>
      <c r="N72" s="659">
        <f>SUMIF(ATGC_BS!$H:$H,BS!G72,ATGC_BS!$I:$I)</f>
        <v>21223133</v>
      </c>
      <c r="O72" s="650">
        <f t="shared" si="63"/>
        <v>73116784</v>
      </c>
      <c r="P72" s="651">
        <f>SUMIF(RIC!D:D,BS!G72,RIC!F:F)</f>
        <v>0</v>
      </c>
      <c r="Q72" s="652">
        <f>SUMIF(RIC!G:G,BS!G72,RIC!I:I)</f>
        <v>0</v>
      </c>
      <c r="R72" s="650">
        <f t="shared" si="64"/>
        <v>73116784</v>
      </c>
      <c r="S72" s="653">
        <f>SUMIF(RIT!H:H,BS!G72,RIT!J:J)</f>
        <v>0</v>
      </c>
      <c r="T72" s="654">
        <f>SUMIF(RIT!K:K,BS!G72,RIT!M:M)</f>
        <v>0</v>
      </c>
      <c r="U72" s="650">
        <f t="shared" si="65"/>
        <v>73116784</v>
      </c>
      <c r="V72" s="655">
        <f>SUMIF(지분법및기타!$D:$D,BS!G72,지분법및기타!$F:$F)</f>
        <v>0</v>
      </c>
      <c r="W72" s="656">
        <f>SUMIF(지분법및기타!$G:$G,BS!G72,지분법및기타!$I:$I)</f>
        <v>0</v>
      </c>
      <c r="X72" s="657">
        <f t="shared" si="66"/>
        <v>73116784</v>
      </c>
      <c r="Y72" s="443" t="s">
        <v>41</v>
      </c>
      <c r="AA72" s="108">
        <f t="shared" si="62"/>
        <v>0</v>
      </c>
      <c r="AB72" s="497"/>
      <c r="AF72" s="101"/>
    </row>
    <row r="73" spans="1:32">
      <c r="A73" s="444">
        <v>4</v>
      </c>
      <c r="B73" s="445"/>
      <c r="C73" s="446"/>
      <c r="D73" s="447"/>
      <c r="E73" s="448" t="s">
        <v>39</v>
      </c>
      <c r="F73" s="431"/>
      <c r="G73" s="544" t="s">
        <v>1523</v>
      </c>
      <c r="H73" s="659">
        <f>SUMIF(별도정산표!$G:$G,BS!G73,별도정산표!$E:$E)</f>
        <v>0</v>
      </c>
      <c r="I73" s="659">
        <f>SUMIF(울트라팜_FS!$A:$A,BS!G73,울트라팜_FS!$D:$D)</f>
        <v>0</v>
      </c>
      <c r="J73" s="659">
        <f>SUMIF(HK_BS!$A:$A,BS!G73,HK_BS!$K:$K)</f>
        <v>0</v>
      </c>
      <c r="K73" s="659">
        <f>SUMIF(DHK_BS!$A:$A,BS!G73,DHK_BS!$K:$K)</f>
        <v>0</v>
      </c>
      <c r="L73" s="659">
        <f>SUMIF(상해_BS!$A:$A,BS!G73,상해_BS!$K:$K)</f>
        <v>0</v>
      </c>
      <c r="M73" s="659">
        <f>SUMIF(SG_BS!$A:$A,BS!G73,SG_BS!$K:$K)</f>
        <v>0</v>
      </c>
      <c r="N73" s="659">
        <f>SUMIF(ATGC_BS!$H:$H,BS!G73,ATGC_BS!$I:$I)</f>
        <v>0</v>
      </c>
      <c r="O73" s="650">
        <f t="shared" si="63"/>
        <v>0</v>
      </c>
      <c r="P73" s="651">
        <f>SUMIF(RIC!D:D,BS!G73,RIC!F:F)</f>
        <v>16195983360</v>
      </c>
      <c r="Q73" s="652">
        <f>SUMIF(RIC!G:G,BS!G73,RIC!I:I)</f>
        <v>0</v>
      </c>
      <c r="R73" s="650">
        <f t="shared" si="64"/>
        <v>16195983360</v>
      </c>
      <c r="S73" s="653">
        <f>SUMIF(RIT!H:H,BS!G73,RIT!J:J)</f>
        <v>0</v>
      </c>
      <c r="T73" s="654">
        <f>SUMIF(RIT!K:K,BS!G73,RIT!M:M)</f>
        <v>0</v>
      </c>
      <c r="U73" s="650">
        <f t="shared" si="65"/>
        <v>16195983360</v>
      </c>
      <c r="V73" s="655">
        <f>SUMIF(지분법및기타!$D:$D,BS!G73,지분법및기타!$F:$F)</f>
        <v>0</v>
      </c>
      <c r="W73" s="656">
        <f>SUMIF(지분법및기타!$G:$G,BS!G73,지분법및기타!$I:$I)</f>
        <v>0</v>
      </c>
      <c r="X73" s="649">
        <f t="shared" si="66"/>
        <v>16195983360</v>
      </c>
      <c r="Y73" s="443" t="s">
        <v>39</v>
      </c>
      <c r="AA73" s="108"/>
      <c r="AB73" s="497"/>
      <c r="AF73" s="101"/>
    </row>
    <row r="74" spans="1:32">
      <c r="A74" s="444"/>
      <c r="B74" s="445"/>
      <c r="C74" s="446"/>
      <c r="D74" s="447"/>
      <c r="E74" s="448" t="s">
        <v>3759</v>
      </c>
      <c r="F74" s="431"/>
      <c r="G74" s="544" t="s">
        <v>3764</v>
      </c>
      <c r="H74" s="659">
        <f>SUMIF(별도정산표!$G:$G,BS!G74,별도정산표!$E:$E)</f>
        <v>0</v>
      </c>
      <c r="I74" s="659">
        <f>SUMIF(울트라팜_FS!$A:$A,BS!G74,울트라팜_FS!$D:$D)</f>
        <v>0</v>
      </c>
      <c r="J74" s="659">
        <f>SUMIF(HK_BS!$A:$A,BS!G74,HK_BS!$K:$K)</f>
        <v>0</v>
      </c>
      <c r="K74" s="659">
        <f>SUMIF(DHK_BS!$A:$A,BS!G74,DHK_BS!$K:$K)</f>
        <v>0</v>
      </c>
      <c r="L74" s="659">
        <f>SUMIF(상해_BS!$A:$A,BS!G74,상해_BS!$K:$K)</f>
        <v>0</v>
      </c>
      <c r="M74" s="659">
        <f>SUMIF(SG_BS!$A:$A,BS!G74,SG_BS!$K:$K)</f>
        <v>0</v>
      </c>
      <c r="N74" s="659">
        <f>SUMIF(ATGC_BS!$H:$H,BS!G74,ATGC_BS!$I:$I)</f>
        <v>46357920</v>
      </c>
      <c r="O74" s="650">
        <f t="shared" ref="O74:O75" si="67">SUM(H74:N74)</f>
        <v>46357920</v>
      </c>
      <c r="P74" s="651">
        <f>SUMIF(RIC!D:D,BS!G74,RIC!F:F)</f>
        <v>0</v>
      </c>
      <c r="Q74" s="652">
        <f>SUMIF(RIC!G:G,BS!G74,RIC!I:I)</f>
        <v>0</v>
      </c>
      <c r="R74" s="650">
        <f t="shared" ref="R74:R75" si="68">O74+P74-Q74</f>
        <v>46357920</v>
      </c>
      <c r="S74" s="653">
        <f>SUMIF(RIT!H:H,BS!G74,RIT!J:J)</f>
        <v>0</v>
      </c>
      <c r="T74" s="654">
        <f>SUMIF(RIT!K:K,BS!G74,RIT!M:M)</f>
        <v>0</v>
      </c>
      <c r="U74" s="650">
        <f t="shared" ref="U74:U75" si="69">R74+S74-T74</f>
        <v>46357920</v>
      </c>
      <c r="V74" s="655">
        <f>SUMIF(지분법및기타!$D:$D,BS!G74,지분법및기타!$F:$F)</f>
        <v>0</v>
      </c>
      <c r="W74" s="656">
        <f>SUMIF(지분법및기타!$G:$G,BS!G74,지분법및기타!$I:$I)</f>
        <v>0</v>
      </c>
      <c r="X74" s="649">
        <f t="shared" ref="X74:X75" si="70">U74+V74-W74</f>
        <v>46357920</v>
      </c>
      <c r="Y74" s="443" t="s">
        <v>3760</v>
      </c>
      <c r="AA74" s="108"/>
      <c r="AB74" s="497"/>
      <c r="AF74" s="101"/>
    </row>
    <row r="75" spans="1:32">
      <c r="A75" s="444"/>
      <c r="B75" s="445"/>
      <c r="C75" s="446"/>
      <c r="D75" s="447"/>
      <c r="E75" s="448" t="s">
        <v>3761</v>
      </c>
      <c r="F75" s="431"/>
      <c r="G75" s="544" t="s">
        <v>3766</v>
      </c>
      <c r="H75" s="659">
        <f>SUMIF(별도정산표!$G:$G,BS!G75,별도정산표!$E:$E)</f>
        <v>0</v>
      </c>
      <c r="I75" s="659">
        <f>SUMIF(울트라팜_FS!$A:$A,BS!G75,울트라팜_FS!$D:$D)</f>
        <v>0</v>
      </c>
      <c r="J75" s="659">
        <f>SUMIF(HK_BS!$A:$A,BS!G75,HK_BS!$K:$K)</f>
        <v>0</v>
      </c>
      <c r="K75" s="659">
        <f>SUMIF(DHK_BS!$A:$A,BS!G75,DHK_BS!$K:$K)</f>
        <v>0</v>
      </c>
      <c r="L75" s="659">
        <f>SUMIF(상해_BS!$A:$A,BS!G75,상해_BS!$K:$K)</f>
        <v>0</v>
      </c>
      <c r="M75" s="659">
        <f>SUMIF(SG_BS!$A:$A,BS!G75,SG_BS!$K:$K)</f>
        <v>0</v>
      </c>
      <c r="N75" s="659">
        <f>SUMIF(ATGC_BS!$H:$H,BS!G75,ATGC_BS!$I:$I)</f>
        <v>38294058</v>
      </c>
      <c r="O75" s="650">
        <f t="shared" si="67"/>
        <v>38294058</v>
      </c>
      <c r="P75" s="651">
        <f>SUMIF(RIC!D:D,BS!G75,RIC!F:F)</f>
        <v>0</v>
      </c>
      <c r="Q75" s="652">
        <f>SUMIF(RIC!G:G,BS!G75,RIC!I:I)</f>
        <v>0</v>
      </c>
      <c r="R75" s="650">
        <f t="shared" si="68"/>
        <v>38294058</v>
      </c>
      <c r="S75" s="653">
        <f>SUMIF(RIT!H:H,BS!G75,RIT!J:J)</f>
        <v>0</v>
      </c>
      <c r="T75" s="654">
        <f>SUMIF(RIT!K:K,BS!G75,RIT!M:M)</f>
        <v>0</v>
      </c>
      <c r="U75" s="650">
        <f t="shared" si="69"/>
        <v>38294058</v>
      </c>
      <c r="V75" s="655">
        <f>SUMIF(지분법및기타!$D:$D,BS!G75,지분법및기타!$F:$F)</f>
        <v>0</v>
      </c>
      <c r="W75" s="656">
        <f>SUMIF(지분법및기타!$G:$G,BS!G75,지분법및기타!$I:$I)</f>
        <v>0</v>
      </c>
      <c r="X75" s="649">
        <f t="shared" si="70"/>
        <v>38294058</v>
      </c>
      <c r="Y75" s="443" t="s">
        <v>3762</v>
      </c>
      <c r="AA75" s="108"/>
      <c r="AB75" s="497"/>
      <c r="AF75" s="101"/>
    </row>
    <row r="76" spans="1:32">
      <c r="A76" s="444"/>
      <c r="B76" s="445"/>
      <c r="C76" s="446"/>
      <c r="D76" s="447"/>
      <c r="E76" s="448" t="s">
        <v>3836</v>
      </c>
      <c r="F76" s="431"/>
      <c r="G76" s="442" t="s">
        <v>3837</v>
      </c>
      <c r="H76" s="659">
        <f>SUMIF(별도정산표!$G:$G,BS!G76,별도정산표!$E:$E)</f>
        <v>0</v>
      </c>
      <c r="I76" s="659">
        <f>SUMIF(울트라팜_FS!$A:$A,BS!G76,울트라팜_FS!$D:$D)</f>
        <v>0</v>
      </c>
      <c r="J76" s="659">
        <f>SUMIF(HK_BS!$A:$A,BS!G76,HK_BS!$K:$K)</f>
        <v>0</v>
      </c>
      <c r="K76" s="659">
        <f>SUMIF(DHK_BS!$A:$A,BS!G76,DHK_BS!$K:$K)</f>
        <v>0</v>
      </c>
      <c r="L76" s="659">
        <f>SUMIF(상해_BS!$A:$A,BS!G76,상해_BS!$K:$K)</f>
        <v>0</v>
      </c>
      <c r="M76" s="659">
        <f>SUMIF(SG_BS!$A:$A,BS!G76,SG_BS!$K:$K)</f>
        <v>0</v>
      </c>
      <c r="N76" s="659">
        <f>SUMIF(ATGC_BS!$H:$H,BS!G76,ATGC_BS!$I:$I)</f>
        <v>0</v>
      </c>
      <c r="O76" s="650">
        <f t="shared" si="63"/>
        <v>0</v>
      </c>
      <c r="P76" s="651">
        <f>SUMIF(RIC!D:D,BS!G76,RIC!F:F)</f>
        <v>6097155442</v>
      </c>
      <c r="Q76" s="652">
        <f>SUMIF(RIC!G:G,BS!G76,RIC!I:I)</f>
        <v>0</v>
      </c>
      <c r="R76" s="650">
        <f t="shared" si="64"/>
        <v>6097155442</v>
      </c>
      <c r="S76" s="653">
        <f>SUMIF(RIT!H:H,BS!G76,RIT!J:J)</f>
        <v>0</v>
      </c>
      <c r="T76" s="654">
        <f>SUMIF(RIT!K:K,BS!G76,RIT!M:M)</f>
        <v>0</v>
      </c>
      <c r="U76" s="650">
        <f t="shared" si="65"/>
        <v>6097155442</v>
      </c>
      <c r="V76" s="655">
        <f>SUMIF(지분법및기타!$D:$D,BS!G76,지분법및기타!$F:$F)</f>
        <v>0</v>
      </c>
      <c r="W76" s="656">
        <f>SUMIF(지분법및기타!$G:$G,BS!G76,지분법및기타!$I:$I)</f>
        <v>0</v>
      </c>
      <c r="X76" s="657">
        <f t="shared" si="66"/>
        <v>6097155442</v>
      </c>
      <c r="Y76" s="443" t="s">
        <v>3835</v>
      </c>
      <c r="AA76" s="108"/>
      <c r="AB76" s="497"/>
      <c r="AF76" s="101"/>
    </row>
    <row r="77" spans="1:32">
      <c r="A77" s="444">
        <v>3</v>
      </c>
      <c r="B77" s="445"/>
      <c r="C77" s="446"/>
      <c r="D77" s="447" t="s">
        <v>42</v>
      </c>
      <c r="E77" s="448"/>
      <c r="F77" s="431"/>
      <c r="G77" s="442"/>
      <c r="H77" s="649">
        <f t="shared" ref="H77:O77" si="71">+SUM(H78:H83)</f>
        <v>2941187347</v>
      </c>
      <c r="I77" s="649">
        <f t="shared" si="71"/>
        <v>0</v>
      </c>
      <c r="J77" s="649">
        <f t="shared" si="71"/>
        <v>0</v>
      </c>
      <c r="K77" s="649">
        <f t="shared" si="71"/>
        <v>0</v>
      </c>
      <c r="L77" s="649">
        <f t="shared" si="71"/>
        <v>0</v>
      </c>
      <c r="M77" s="649">
        <f t="shared" si="71"/>
        <v>0</v>
      </c>
      <c r="N77" s="649">
        <f t="shared" si="71"/>
        <v>795832416</v>
      </c>
      <c r="O77" s="649">
        <f t="shared" si="71"/>
        <v>3737019763</v>
      </c>
      <c r="P77" s="651"/>
      <c r="Q77" s="652"/>
      <c r="R77" s="649">
        <f>+SUM(R78:R83)</f>
        <v>3737019763</v>
      </c>
      <c r="S77" s="653"/>
      <c r="T77" s="654"/>
      <c r="U77" s="649">
        <f>+SUM(U78:U83)</f>
        <v>3737019763</v>
      </c>
      <c r="V77" s="655">
        <f>SUMIF(지분법및기타!$D:$D,BS!G77,지분법및기타!$F:$F)</f>
        <v>0</v>
      </c>
      <c r="W77" s="656">
        <f>SUMIF(지분법및기타!$G:$G,BS!G77,지분법및기타!$I:$I)</f>
        <v>0</v>
      </c>
      <c r="X77" s="649">
        <f>+SUM(X78:X83)</f>
        <v>3737019763</v>
      </c>
      <c r="Y77" s="443"/>
      <c r="AA77" s="108">
        <f t="shared" ref="AA77:AA83" si="72">X77-O77</f>
        <v>0</v>
      </c>
      <c r="AB77" s="497"/>
    </row>
    <row r="78" spans="1:32">
      <c r="A78" s="444">
        <v>4</v>
      </c>
      <c r="B78" s="445"/>
      <c r="C78" s="446"/>
      <c r="D78" s="447"/>
      <c r="E78" s="448" t="s">
        <v>43</v>
      </c>
      <c r="F78" s="431"/>
      <c r="G78" s="442" t="s">
        <v>679</v>
      </c>
      <c r="H78" s="659">
        <f>SUMIF(별도정산표!$G:$G,BS!G78,별도정산표!$E:$E)</f>
        <v>403800000</v>
      </c>
      <c r="I78" s="659">
        <f>SUMIF(울트라팜_FS!$A:$A,BS!G78,울트라팜_FS!$D:$D)</f>
        <v>0</v>
      </c>
      <c r="J78" s="659">
        <f>SUMIF(HK_BS!$A:$A,BS!G78,HK_BS!$K:$K)</f>
        <v>0</v>
      </c>
      <c r="K78" s="659">
        <f>SUMIF(DHK_BS!$A:$A,BS!G78,DHK_BS!$K:$K)</f>
        <v>0</v>
      </c>
      <c r="L78" s="659">
        <f>SUMIF(상해_BS!$A:$A,BS!G78,상해_BS!$K:$K)</f>
        <v>0</v>
      </c>
      <c r="M78" s="659">
        <f>SUMIF(SG_BS!$A:$A,BS!G78,SG_BS!$K:$K)</f>
        <v>0</v>
      </c>
      <c r="N78" s="659">
        <f>SUMIF(ATGC_BS!$H:$H,BS!G78,ATGC_BS!$I:$I)</f>
        <v>400000000</v>
      </c>
      <c r="O78" s="650">
        <f t="shared" ref="O78:O83" si="73">SUM(H78:N78)</f>
        <v>803800000</v>
      </c>
      <c r="P78" s="651">
        <f>SUMIF(RIC!D:D,BS!G78,RIC!F:F)</f>
        <v>0</v>
      </c>
      <c r="Q78" s="652">
        <f>SUMIF(RIC!G:G,BS!G78,RIC!I:I)</f>
        <v>0</v>
      </c>
      <c r="R78" s="650">
        <f t="shared" ref="R78:R83" si="74">O78+P78-Q78</f>
        <v>803800000</v>
      </c>
      <c r="S78" s="653">
        <f>SUMIF(RIT!H:H,BS!G78,RIT!J:J)</f>
        <v>0</v>
      </c>
      <c r="T78" s="654">
        <f>SUMIF(RIT!K:K,BS!G78,RIT!M:M)</f>
        <v>0</v>
      </c>
      <c r="U78" s="650">
        <f t="shared" ref="U78:U83" si="75">R78+S78-T78</f>
        <v>803800000</v>
      </c>
      <c r="V78" s="655">
        <f>SUMIF(지분법및기타!$D:$D,BS!G78,지분법및기타!$F:$F)</f>
        <v>0</v>
      </c>
      <c r="W78" s="656">
        <f>SUMIF(지분법및기타!$G:$G,BS!G78,지분법및기타!$I:$I)</f>
        <v>0</v>
      </c>
      <c r="X78" s="657">
        <f t="shared" ref="X78:X83" si="76">U78+V78-W78</f>
        <v>803800000</v>
      </c>
      <c r="Y78" s="443" t="s">
        <v>43</v>
      </c>
      <c r="AA78" s="108">
        <f t="shared" si="72"/>
        <v>0</v>
      </c>
      <c r="AB78" s="497"/>
    </row>
    <row r="79" spans="1:32">
      <c r="A79" s="444">
        <v>4</v>
      </c>
      <c r="B79" s="445"/>
      <c r="C79" s="446"/>
      <c r="D79" s="447"/>
      <c r="E79" s="448" t="s">
        <v>44</v>
      </c>
      <c r="F79" s="431"/>
      <c r="G79" s="442" t="s">
        <v>680</v>
      </c>
      <c r="H79" s="659">
        <f>SUMIF(별도정산표!$G:$G,BS!G79,별도정산표!$E:$E)</f>
        <v>10135870</v>
      </c>
      <c r="I79" s="659">
        <f>SUMIF(울트라팜_FS!$A:$A,BS!G79,울트라팜_FS!$D:$D)</f>
        <v>0</v>
      </c>
      <c r="J79" s="659">
        <f>SUMIF(HK_BS!$A:$A,BS!G79,HK_BS!$K:$K)</f>
        <v>0</v>
      </c>
      <c r="K79" s="659">
        <f>SUMIF(DHK_BS!$A:$A,BS!G79,DHK_BS!$K:$K)</f>
        <v>0</v>
      </c>
      <c r="L79" s="659">
        <f>SUMIF(상해_BS!$A:$A,BS!G79,상해_BS!$K:$K)</f>
        <v>0</v>
      </c>
      <c r="M79" s="659">
        <f>SUMIF(SG_BS!$A:$A,BS!G79,SG_BS!$K:$K)</f>
        <v>0</v>
      </c>
      <c r="N79" s="659">
        <f>SUMIF(ATGC_BS!$H:$H,BS!G79,ATGC_BS!$I:$I)</f>
        <v>9725000</v>
      </c>
      <c r="O79" s="650">
        <f t="shared" ref="O79" si="77">SUM(H79:N79)</f>
        <v>19860870</v>
      </c>
      <c r="P79" s="651">
        <f>SUMIF(RIC!D:D,BS!G79,RIC!F:F)</f>
        <v>0</v>
      </c>
      <c r="Q79" s="652">
        <f>SUMIF(RIC!G:G,BS!G79,RIC!I:I)</f>
        <v>0</v>
      </c>
      <c r="R79" s="650">
        <f t="shared" ref="R79" si="78">O79+P79-Q79</f>
        <v>19860870</v>
      </c>
      <c r="S79" s="653">
        <f>SUMIF(RIT!H:H,BS!G79,RIT!J:J)</f>
        <v>0</v>
      </c>
      <c r="T79" s="654">
        <f>SUMIF(RIT!K:K,BS!G79,RIT!M:M)</f>
        <v>0</v>
      </c>
      <c r="U79" s="650">
        <f t="shared" ref="U79" si="79">R79+S79-T79</f>
        <v>19860870</v>
      </c>
      <c r="V79" s="655">
        <f>SUMIF(지분법및기타!$D:$D,BS!G79,지분법및기타!$F:$F)</f>
        <v>0</v>
      </c>
      <c r="W79" s="656">
        <f>SUMIF(지분법및기타!$G:$G,BS!G79,지분법및기타!$I:$I)</f>
        <v>0</v>
      </c>
      <c r="X79" s="657">
        <f t="shared" ref="X79" si="80">U79+V79-W79</f>
        <v>19860870</v>
      </c>
      <c r="Y79" s="443" t="s">
        <v>44</v>
      </c>
      <c r="AA79" s="108">
        <f t="shared" si="72"/>
        <v>0</v>
      </c>
      <c r="AB79" s="497"/>
    </row>
    <row r="80" spans="1:32">
      <c r="A80" s="444"/>
      <c r="B80" s="445"/>
      <c r="C80" s="446"/>
      <c r="D80" s="447"/>
      <c r="E80" s="448" t="s">
        <v>3770</v>
      </c>
      <c r="F80" s="431"/>
      <c r="G80" s="442">
        <v>19100</v>
      </c>
      <c r="H80" s="659">
        <f>SUMIF(별도정산표!$G:$G,BS!G80,별도정산표!$E:$E)</f>
        <v>0</v>
      </c>
      <c r="I80" s="659">
        <f>SUMIF(울트라팜_FS!$A:$A,BS!G80,울트라팜_FS!$D:$D)</f>
        <v>0</v>
      </c>
      <c r="J80" s="659">
        <f>SUMIF(HK_BS!$A:$A,BS!G80,HK_BS!$K:$K)</f>
        <v>0</v>
      </c>
      <c r="K80" s="659">
        <f>SUMIF(DHK_BS!$A:$A,BS!G80,DHK_BS!$K:$K)</f>
        <v>0</v>
      </c>
      <c r="L80" s="659">
        <f>SUMIF(상해_BS!$A:$A,BS!G80,상해_BS!$K:$K)</f>
        <v>0</v>
      </c>
      <c r="M80" s="659">
        <f>SUMIF(SG_BS!$A:$A,BS!G80,SG_BS!$K:$K)</f>
        <v>0</v>
      </c>
      <c r="N80" s="659">
        <f>SUMIF(ATGC_BS!$H:$H,BS!G80,ATGC_BS!$I:$I)</f>
        <v>-1736084</v>
      </c>
      <c r="O80" s="650">
        <f t="shared" ref="O80" si="81">SUM(H80:N80)</f>
        <v>-1736084</v>
      </c>
      <c r="P80" s="651">
        <f>SUMIF(RIC!D:D,BS!G80,RIC!F:F)</f>
        <v>0</v>
      </c>
      <c r="Q80" s="652">
        <f>SUMIF(RIC!G:G,BS!G80,RIC!I:I)</f>
        <v>0</v>
      </c>
      <c r="R80" s="650">
        <f t="shared" ref="R80" si="82">O80+P80-Q80</f>
        <v>-1736084</v>
      </c>
      <c r="S80" s="653">
        <f>SUMIF(RIT!H:H,BS!G80,RIT!J:J)</f>
        <v>0</v>
      </c>
      <c r="T80" s="654">
        <f>SUMIF(RIT!K:K,BS!G80,RIT!M:M)</f>
        <v>0</v>
      </c>
      <c r="U80" s="650">
        <f t="shared" ref="U80" si="83">R80+S80-T80</f>
        <v>-1736084</v>
      </c>
      <c r="V80" s="655">
        <f>SUMIF(지분법및기타!$D:$D,BS!G80,지분법및기타!$F:$F)</f>
        <v>0</v>
      </c>
      <c r="W80" s="656">
        <f>SUMIF(지분법및기타!$G:$G,BS!G80,지분법및기타!$I:$I)</f>
        <v>0</v>
      </c>
      <c r="X80" s="657">
        <f t="shared" ref="X80" si="84">U80+V80-W80</f>
        <v>-1736084</v>
      </c>
      <c r="Y80" s="443" t="s">
        <v>44</v>
      </c>
      <c r="AA80" s="108"/>
      <c r="AB80" s="497"/>
    </row>
    <row r="81" spans="1:32">
      <c r="A81" s="444"/>
      <c r="B81" s="445"/>
      <c r="C81" s="446"/>
      <c r="D81" s="447"/>
      <c r="E81" s="448" t="s">
        <v>3771</v>
      </c>
      <c r="F81" s="431"/>
      <c r="G81" s="442">
        <v>19200</v>
      </c>
      <c r="H81" s="659">
        <f>SUMIF(별도정산표!$G:$G,BS!G81,별도정산표!$E:$E)</f>
        <v>0</v>
      </c>
      <c r="I81" s="659">
        <f>SUMIF(울트라팜_FS!$A:$A,BS!G81,울트라팜_FS!$D:$D)</f>
        <v>0</v>
      </c>
      <c r="J81" s="659">
        <f>SUMIF(HK_BS!$A:$A,BS!G81,HK_BS!$K:$K)</f>
        <v>0</v>
      </c>
      <c r="K81" s="659">
        <f>SUMIF(DHK_BS!$A:$A,BS!G81,DHK_BS!$K:$K)</f>
        <v>0</v>
      </c>
      <c r="L81" s="659">
        <f>SUMIF(상해_BS!$A:$A,BS!G81,상해_BS!$K:$K)</f>
        <v>0</v>
      </c>
      <c r="M81" s="659">
        <f>SUMIF(SG_BS!$A:$A,BS!G81,SG_BS!$K:$K)</f>
        <v>0</v>
      </c>
      <c r="N81" s="659">
        <f>SUMIF(ATGC_BS!$H:$H,BS!G81,ATGC_BS!$I:$I)</f>
        <v>466873197</v>
      </c>
      <c r="O81" s="650">
        <f t="shared" ref="O81" si="85">SUM(H81:N81)</f>
        <v>466873197</v>
      </c>
      <c r="P81" s="651">
        <f>SUMIF(RIC!D:D,BS!G81,RIC!F:F)</f>
        <v>0</v>
      </c>
      <c r="Q81" s="652">
        <f>SUMIF(RIC!G:G,BS!G81,RIC!I:I)</f>
        <v>0</v>
      </c>
      <c r="R81" s="650">
        <f t="shared" ref="R81" si="86">O81+P81-Q81</f>
        <v>466873197</v>
      </c>
      <c r="S81" s="653">
        <f>SUMIF(RIT!H:H,BS!G81,RIT!J:J)</f>
        <v>0</v>
      </c>
      <c r="T81" s="654">
        <f>SUMIF(RIT!K:K,BS!G81,RIT!M:M)</f>
        <v>0</v>
      </c>
      <c r="U81" s="650">
        <f t="shared" ref="U81" si="87">R81+S81-T81</f>
        <v>466873197</v>
      </c>
      <c r="V81" s="655">
        <f>SUMIF(지분법및기타!$D:$D,BS!G81,지분법및기타!$F:$F)</f>
        <v>0</v>
      </c>
      <c r="W81" s="656">
        <f>SUMIF(지분법및기타!$G:$G,BS!G81,지분법및기타!$I:$I)</f>
        <v>0</v>
      </c>
      <c r="X81" s="657">
        <f t="shared" ref="X81" si="88">U81+V81-W81</f>
        <v>466873197</v>
      </c>
      <c r="Y81" s="443" t="s">
        <v>3771</v>
      </c>
      <c r="AA81" s="108"/>
      <c r="AB81" s="497"/>
    </row>
    <row r="82" spans="1:32">
      <c r="A82" s="444">
        <v>4</v>
      </c>
      <c r="B82" s="445"/>
      <c r="C82" s="446"/>
      <c r="D82" s="447"/>
      <c r="E82" s="448" t="s">
        <v>19</v>
      </c>
      <c r="F82" s="431"/>
      <c r="G82" s="544" t="s">
        <v>2867</v>
      </c>
      <c r="H82" s="659">
        <f>SUMIF(별도정산표!$G:$G,BS!G82,별도정산표!$E:$E)</f>
        <v>2555104971</v>
      </c>
      <c r="I82" s="659">
        <f>SUMIF(울트라팜_FS!$A:$A,BS!G82,울트라팜_FS!$D:$D)</f>
        <v>0</v>
      </c>
      <c r="J82" s="659">
        <f>SUMIF(HK_BS!$A:$A,BS!G82,HK_BS!$K:$K)</f>
        <v>0</v>
      </c>
      <c r="K82" s="659">
        <f>SUMIF(DHK_BS!$A:$A,BS!G82,DHK_BS!$K:$K)</f>
        <v>0</v>
      </c>
      <c r="L82" s="659">
        <f>SUMIF(상해_BS!$A:$A,BS!G82,상해_BS!$K:$K)</f>
        <v>0</v>
      </c>
      <c r="M82" s="659">
        <f>SUMIF(SG_BS!$A:$A,BS!G82,SG_BS!$K:$K)</f>
        <v>0</v>
      </c>
      <c r="N82" s="659">
        <f>SUMIF(ATGC_BS!$H:$H,BS!G82,ATGC_BS!$I:$I)</f>
        <v>0</v>
      </c>
      <c r="O82" s="650">
        <f t="shared" si="73"/>
        <v>2555104971</v>
      </c>
      <c r="P82" s="651">
        <f>SUMIF(RIC!D:D,BS!G82,RIC!F:F)</f>
        <v>0</v>
      </c>
      <c r="Q82" s="652">
        <f>SUMIF(RIC!G:G,BS!G82,RIC!I:I)</f>
        <v>0</v>
      </c>
      <c r="R82" s="650">
        <f t="shared" si="74"/>
        <v>2555104971</v>
      </c>
      <c r="S82" s="653">
        <f>SUMIF(RIT!H:H,BS!G82,RIT!J:J)</f>
        <v>0</v>
      </c>
      <c r="T82" s="654">
        <f>SUMIF(RIT!K:K,BS!G82,RIT!M:M)</f>
        <v>0</v>
      </c>
      <c r="U82" s="650">
        <f t="shared" si="75"/>
        <v>2555104971</v>
      </c>
      <c r="V82" s="655">
        <f>SUMIF(지분법및기타!$D:$D,BS!G82,지분법및기타!$F:$F)</f>
        <v>0</v>
      </c>
      <c r="W82" s="656">
        <f>SUMIF(지분법및기타!$G:$G,BS!G82,지분법및기타!$I:$I)</f>
        <v>0</v>
      </c>
      <c r="X82" s="657">
        <f t="shared" si="76"/>
        <v>2555104971</v>
      </c>
      <c r="Y82" s="443" t="s">
        <v>19</v>
      </c>
      <c r="AA82" s="108">
        <f t="shared" si="72"/>
        <v>0</v>
      </c>
      <c r="AB82" s="497"/>
    </row>
    <row r="83" spans="1:32">
      <c r="A83" s="444">
        <v>4</v>
      </c>
      <c r="B83" s="445"/>
      <c r="C83" s="446"/>
      <c r="D83" s="447"/>
      <c r="E83" s="448" t="s">
        <v>2654</v>
      </c>
      <c r="F83" s="431"/>
      <c r="G83" s="442" t="s">
        <v>2653</v>
      </c>
      <c r="H83" s="659">
        <f>SUMIF(별도정산표!$G:$G,BS!G83,별도정산표!$E:$E)</f>
        <v>-27853494</v>
      </c>
      <c r="I83" s="659">
        <f>SUMIF(울트라팜_FS!$A:$A,BS!G83,울트라팜_FS!$D:$D)</f>
        <v>0</v>
      </c>
      <c r="J83" s="659">
        <f>SUMIF(HK_BS!$A:$A,BS!G83,HK_BS!$K:$K)</f>
        <v>0</v>
      </c>
      <c r="K83" s="659">
        <f>SUMIF(DHK_BS!$A:$A,BS!G83,DHK_BS!$K:$K)</f>
        <v>0</v>
      </c>
      <c r="L83" s="659">
        <f>SUMIF(상해_BS!$A:$A,BS!G83,상해_BS!$K:$K)</f>
        <v>0</v>
      </c>
      <c r="M83" s="659">
        <f>SUMIF(SG_BS!$A:$A,BS!G83,SG_BS!$K:$K)</f>
        <v>0</v>
      </c>
      <c r="N83" s="659">
        <f>SUMIF(ATGC_BS!$H:$H,BS!G83,ATGC_BS!$I:$I)</f>
        <v>-79029697</v>
      </c>
      <c r="O83" s="650">
        <f t="shared" si="73"/>
        <v>-106883191</v>
      </c>
      <c r="P83" s="651">
        <f>SUMIF(RIC!D:D,BS!G83,RIC!F:F)</f>
        <v>0</v>
      </c>
      <c r="Q83" s="652">
        <f>SUMIF(RIC!G:G,BS!G83,RIC!I:I)</f>
        <v>0</v>
      </c>
      <c r="R83" s="650">
        <f t="shared" si="74"/>
        <v>-106883191</v>
      </c>
      <c r="S83" s="653">
        <f>SUMIF(RIT!H:H,BS!G83,RIT!J:J)</f>
        <v>0</v>
      </c>
      <c r="T83" s="654">
        <f>SUMIF(RIT!K:K,BS!G83,RIT!M:M)</f>
        <v>0</v>
      </c>
      <c r="U83" s="650">
        <f t="shared" si="75"/>
        <v>-106883191</v>
      </c>
      <c r="V83" s="655">
        <f>SUMIF(지분법및기타!$D:$D,BS!G83,지분법및기타!$F:$F)</f>
        <v>0</v>
      </c>
      <c r="W83" s="656">
        <f>SUMIF(지분법및기타!$G:$G,BS!G83,지분법및기타!$I:$I)</f>
        <v>0</v>
      </c>
      <c r="X83" s="657">
        <f t="shared" si="76"/>
        <v>-106883191</v>
      </c>
      <c r="Y83" s="443" t="s">
        <v>43</v>
      </c>
      <c r="AA83" s="108">
        <f t="shared" si="72"/>
        <v>0</v>
      </c>
      <c r="AB83" s="497"/>
    </row>
    <row r="84" spans="1:32">
      <c r="A84" s="444">
        <v>3</v>
      </c>
      <c r="B84" s="445"/>
      <c r="C84" s="446"/>
      <c r="D84" s="447" t="s">
        <v>45</v>
      </c>
      <c r="E84" s="448"/>
      <c r="F84" s="431"/>
      <c r="G84" s="442"/>
      <c r="H84" s="649">
        <f t="shared" ref="H84:O84" si="89">H85+H86+H87</f>
        <v>0</v>
      </c>
      <c r="I84" s="649">
        <f t="shared" si="89"/>
        <v>0</v>
      </c>
      <c r="J84" s="649">
        <f t="shared" si="89"/>
        <v>0</v>
      </c>
      <c r="K84" s="649">
        <f t="shared" si="89"/>
        <v>0</v>
      </c>
      <c r="L84" s="649">
        <f t="shared" si="89"/>
        <v>0</v>
      </c>
      <c r="M84" s="649">
        <f t="shared" ref="M84" si="90">M85+M86+M87</f>
        <v>0</v>
      </c>
      <c r="N84" s="649">
        <f t="shared" si="89"/>
        <v>0</v>
      </c>
      <c r="O84" s="650">
        <f t="shared" si="89"/>
        <v>0</v>
      </c>
      <c r="P84" s="651"/>
      <c r="Q84" s="652"/>
      <c r="R84" s="650">
        <f t="shared" ref="R84" si="91">R85+R86+R87</f>
        <v>0</v>
      </c>
      <c r="S84" s="653"/>
      <c r="T84" s="654"/>
      <c r="U84" s="650">
        <f t="shared" ref="U84" si="92">U85+U86+U87</f>
        <v>0</v>
      </c>
      <c r="V84" s="655">
        <f>SUMIF(지분법및기타!$D:$D,BS!G84,지분법및기타!$F:$F)</f>
        <v>0</v>
      </c>
      <c r="W84" s="656">
        <f>SUMIF(지분법및기타!$G:$G,BS!G84,지분법및기타!$I:$I)</f>
        <v>0</v>
      </c>
      <c r="X84" s="650">
        <f t="shared" ref="X84" si="93">X85+X86+X87</f>
        <v>0</v>
      </c>
      <c r="Y84" s="443"/>
      <c r="AA84" s="108"/>
      <c r="AB84" s="497"/>
    </row>
    <row r="85" spans="1:32">
      <c r="A85" s="444">
        <v>4</v>
      </c>
      <c r="B85" s="445"/>
      <c r="C85" s="446"/>
      <c r="D85" s="447"/>
      <c r="E85" s="448" t="s">
        <v>28</v>
      </c>
      <c r="F85" s="431"/>
      <c r="G85" s="442"/>
      <c r="H85" s="659">
        <f>SUMIF(별도정산표!$G:$G,BS!G85,별도정산표!$E:$E)</f>
        <v>0</v>
      </c>
      <c r="I85" s="659">
        <f>SUMIF(울트라팜_FS!$A:$A,BS!G85,울트라팜_FS!$D:$D)</f>
        <v>0</v>
      </c>
      <c r="J85" s="659">
        <f>SUMIF(HK_BS!$A:$A,BS!G85,HK_BS!$K:$K)</f>
        <v>0</v>
      </c>
      <c r="K85" s="659">
        <f>SUMIF(DHK_BS!$A:$A,BS!G85,DHK_BS!$K:$K)</f>
        <v>0</v>
      </c>
      <c r="L85" s="659">
        <f>SUMIF(상해_BS!$A:$A,BS!G85,상해_BS!$K:$K)</f>
        <v>0</v>
      </c>
      <c r="M85" s="659">
        <f>SUMIF(SG_BS!$A:$A,BS!G85,SG_BS!$K:$K)</f>
        <v>0</v>
      </c>
      <c r="N85" s="659">
        <f>SUMIF(ATGC_BS!$H:$H,BS!G85,ATGC_BS!$I:$I)</f>
        <v>0</v>
      </c>
      <c r="O85" s="650">
        <f>SUM(H85:N85)</f>
        <v>0</v>
      </c>
      <c r="P85" s="651">
        <f>SUMIF(RIC!D:D,BS!G85,RIC!F:F)</f>
        <v>0</v>
      </c>
      <c r="Q85" s="652">
        <f>SUMIF(RIC!G:G,BS!G85,RIC!I:I)</f>
        <v>0</v>
      </c>
      <c r="R85" s="650">
        <f>O85+P85-Q85</f>
        <v>0</v>
      </c>
      <c r="S85" s="653">
        <f>SUMIF(RIT!H:H,BS!G85,RIT!J:J)</f>
        <v>0</v>
      </c>
      <c r="T85" s="654">
        <f>SUMIF(RIT!K:K,BS!G85,RIT!M:M)</f>
        <v>0</v>
      </c>
      <c r="U85" s="650">
        <f>R85+S85-T85</f>
        <v>0</v>
      </c>
      <c r="V85" s="655">
        <f>SUMIF(지분법및기타!$D:$D,BS!G85,지분법및기타!$F:$F)</f>
        <v>0</v>
      </c>
      <c r="W85" s="656">
        <f>SUMIF(지분법및기타!$G:$G,BS!G85,지분법및기타!$I:$I)</f>
        <v>0</v>
      </c>
      <c r="X85" s="649">
        <f>U85+V85-W85</f>
        <v>0</v>
      </c>
      <c r="Y85" s="443" t="s">
        <v>1524</v>
      </c>
      <c r="AA85" s="108"/>
      <c r="AB85" s="497"/>
    </row>
    <row r="86" spans="1:32">
      <c r="A86" s="444">
        <v>4</v>
      </c>
      <c r="B86" s="445"/>
      <c r="C86" s="446"/>
      <c r="D86" s="447"/>
      <c r="E86" s="448" t="s">
        <v>29</v>
      </c>
      <c r="F86" s="431"/>
      <c r="G86" s="442"/>
      <c r="H86" s="659">
        <f>SUMIF(별도정산표!$G:$G,BS!G86,별도정산표!$E:$E)</f>
        <v>0</v>
      </c>
      <c r="I86" s="659">
        <f>SUMIF(울트라팜_FS!$A:$A,BS!G86,울트라팜_FS!$D:$D)</f>
        <v>0</v>
      </c>
      <c r="J86" s="659">
        <f>SUMIF(HK_BS!$A:$A,BS!G86,HK_BS!$K:$K)</f>
        <v>0</v>
      </c>
      <c r="K86" s="659">
        <f>SUMIF(DHK_BS!$A:$A,BS!G86,DHK_BS!$K:$K)</f>
        <v>0</v>
      </c>
      <c r="L86" s="659">
        <f>SUMIF(상해_BS!$A:$A,BS!G86,상해_BS!$K:$K)</f>
        <v>0</v>
      </c>
      <c r="M86" s="659">
        <f>SUMIF(SG_BS!$A:$A,BS!G86,SG_BS!$K:$K)</f>
        <v>0</v>
      </c>
      <c r="N86" s="659">
        <f>SUMIF(ATGC_BS!$H:$H,BS!G86,ATGC_BS!$I:$I)</f>
        <v>0</v>
      </c>
      <c r="O86" s="650">
        <f>SUM(H86:N86)</f>
        <v>0</v>
      </c>
      <c r="P86" s="651">
        <f>SUMIF(RIC!D:D,BS!G86,RIC!F:F)</f>
        <v>0</v>
      </c>
      <c r="Q86" s="652">
        <f>SUMIF(RIC!G:G,BS!G86,RIC!I:I)</f>
        <v>0</v>
      </c>
      <c r="R86" s="650">
        <f>O86+P86-Q86</f>
        <v>0</v>
      </c>
      <c r="S86" s="653">
        <f>SUMIF(RIT!H:H,BS!G86,RIT!J:J)</f>
        <v>0</v>
      </c>
      <c r="T86" s="654">
        <f>SUMIF(RIT!K:K,BS!G86,RIT!M:M)</f>
        <v>0</v>
      </c>
      <c r="U86" s="650">
        <f>R86+S86-T86</f>
        <v>0</v>
      </c>
      <c r="V86" s="655">
        <f>SUMIF(지분법및기타!$D:$D,BS!G86,지분법및기타!$F:$F)</f>
        <v>0</v>
      </c>
      <c r="W86" s="656">
        <f>SUMIF(지분법및기타!$G:$G,BS!G86,지분법및기타!$I:$I)</f>
        <v>0</v>
      </c>
      <c r="X86" s="649">
        <f>U86+V86-W86</f>
        <v>0</v>
      </c>
      <c r="Y86" s="443" t="s">
        <v>1525</v>
      </c>
      <c r="AA86" s="108"/>
      <c r="AB86" s="497"/>
    </row>
    <row r="87" spans="1:32">
      <c r="A87" s="444">
        <v>4</v>
      </c>
      <c r="B87" s="445"/>
      <c r="C87" s="446"/>
      <c r="D87" s="447"/>
      <c r="E87" s="448" t="s">
        <v>30</v>
      </c>
      <c r="F87" s="431"/>
      <c r="G87" s="442"/>
      <c r="H87" s="659">
        <f>SUMIF(별도정산표!$G:$G,BS!G87,별도정산표!$E:$E)</f>
        <v>0</v>
      </c>
      <c r="I87" s="659">
        <f>SUMIF(울트라팜_FS!$A:$A,BS!G87,울트라팜_FS!$D:$D)</f>
        <v>0</v>
      </c>
      <c r="J87" s="659">
        <f>SUMIF(HK_BS!$A:$A,BS!G87,HK_BS!$K:$K)</f>
        <v>0</v>
      </c>
      <c r="K87" s="659">
        <f>SUMIF(DHK_BS!$A:$A,BS!G87,DHK_BS!$K:$K)</f>
        <v>0</v>
      </c>
      <c r="L87" s="659">
        <f>SUMIF(상해_BS!$A:$A,BS!G87,상해_BS!$K:$K)</f>
        <v>0</v>
      </c>
      <c r="M87" s="659">
        <f>SUMIF(SG_BS!$A:$A,BS!G87,SG_BS!$K:$K)</f>
        <v>0</v>
      </c>
      <c r="N87" s="659">
        <f>SUMIF(ATGC_BS!$H:$H,BS!G87,ATGC_BS!$I:$I)</f>
        <v>0</v>
      </c>
      <c r="O87" s="650">
        <f>SUM(H87:N87)</f>
        <v>0</v>
      </c>
      <c r="P87" s="651">
        <f>SUMIF(RIC!D:D,BS!G87,RIC!F:F)</f>
        <v>0</v>
      </c>
      <c r="Q87" s="652">
        <f>SUMIF(RIC!G:G,BS!G87,RIC!I:I)</f>
        <v>0</v>
      </c>
      <c r="R87" s="650">
        <f>O87+P87-Q87</f>
        <v>0</v>
      </c>
      <c r="S87" s="653">
        <f>SUMIF(RIT!H:H,BS!G87,RIT!J:J)</f>
        <v>0</v>
      </c>
      <c r="T87" s="654">
        <f>SUMIF(RIT!K:K,BS!G87,RIT!M:M)</f>
        <v>0</v>
      </c>
      <c r="U87" s="650">
        <f>R87+S87-T87</f>
        <v>0</v>
      </c>
      <c r="V87" s="655">
        <f>SUMIF(지분법및기타!$D:$D,BS!G87,지분법및기타!$F:$F)</f>
        <v>0</v>
      </c>
      <c r="W87" s="656">
        <f>SUMIF(지분법및기타!$G:$G,BS!G87,지분법및기타!$I:$I)</f>
        <v>0</v>
      </c>
      <c r="X87" s="649">
        <f>U87+V87-W87</f>
        <v>0</v>
      </c>
      <c r="Y87" s="443" t="s">
        <v>1526</v>
      </c>
      <c r="AA87" s="108"/>
      <c r="AB87" s="497"/>
    </row>
    <row r="88" spans="1:32">
      <c r="A88" s="444">
        <v>1</v>
      </c>
      <c r="B88" s="445" t="s">
        <v>46</v>
      </c>
      <c r="C88" s="446"/>
      <c r="D88" s="447"/>
      <c r="E88" s="448"/>
      <c r="F88" s="431"/>
      <c r="G88" s="442"/>
      <c r="H88" s="649">
        <f t="shared" ref="H88:O88" si="94">H89+H106</f>
        <v>12842260610</v>
      </c>
      <c r="I88" s="649">
        <f t="shared" si="94"/>
        <v>0</v>
      </c>
      <c r="J88" s="649">
        <f t="shared" si="94"/>
        <v>516057216</v>
      </c>
      <c r="K88" s="649">
        <f t="shared" si="94"/>
        <v>1649671107</v>
      </c>
      <c r="L88" s="649">
        <f t="shared" si="94"/>
        <v>0</v>
      </c>
      <c r="M88" s="649">
        <f t="shared" si="94"/>
        <v>0</v>
      </c>
      <c r="N88" s="649">
        <f t="shared" si="94"/>
        <v>10501946093</v>
      </c>
      <c r="O88" s="650">
        <f t="shared" si="94"/>
        <v>25509935026</v>
      </c>
      <c r="P88" s="651"/>
      <c r="Q88" s="652"/>
      <c r="R88" s="650">
        <f>R89+R106</f>
        <v>27959560214</v>
      </c>
      <c r="S88" s="653"/>
      <c r="T88" s="654"/>
      <c r="U88" s="650">
        <f>U89+U106</f>
        <v>25935945638</v>
      </c>
      <c r="V88" s="655">
        <f>SUMIF(지분법및기타!$D:$D,BS!G88,지분법및기타!$F:$F)</f>
        <v>0</v>
      </c>
      <c r="W88" s="656">
        <f>SUMIF(지분법및기타!$G:$G,BS!G88,지분법및기타!$I:$I)</f>
        <v>0</v>
      </c>
      <c r="X88" s="657">
        <f>X89+X106</f>
        <v>25936495008</v>
      </c>
      <c r="Y88" s="443"/>
      <c r="AA88" s="108"/>
      <c r="AB88" s="497"/>
    </row>
    <row r="89" spans="1:32">
      <c r="A89" s="444">
        <v>2</v>
      </c>
      <c r="B89" s="445"/>
      <c r="C89" s="446" t="s">
        <v>47</v>
      </c>
      <c r="D89" s="447"/>
      <c r="E89" s="448"/>
      <c r="F89" s="431"/>
      <c r="G89" s="442"/>
      <c r="H89" s="649">
        <f t="shared" ref="H89:O89" si="95">H90</f>
        <v>7026815912</v>
      </c>
      <c r="I89" s="649">
        <f t="shared" si="95"/>
        <v>0</v>
      </c>
      <c r="J89" s="649">
        <f t="shared" si="95"/>
        <v>516057216</v>
      </c>
      <c r="K89" s="649">
        <f t="shared" si="95"/>
        <v>1649671107</v>
      </c>
      <c r="L89" s="649">
        <f t="shared" si="95"/>
        <v>0</v>
      </c>
      <c r="M89" s="649">
        <f t="shared" si="95"/>
        <v>0</v>
      </c>
      <c r="N89" s="649">
        <f t="shared" si="95"/>
        <v>9388591014</v>
      </c>
      <c r="O89" s="650">
        <f t="shared" si="95"/>
        <v>18581135249</v>
      </c>
      <c r="P89" s="651"/>
      <c r="Q89" s="652"/>
      <c r="R89" s="650">
        <f>R90</f>
        <v>18581135249</v>
      </c>
      <c r="S89" s="653"/>
      <c r="T89" s="654"/>
      <c r="U89" s="650">
        <f>U90</f>
        <v>16544181233</v>
      </c>
      <c r="V89" s="655">
        <f>SUMIF(지분법및기타!$D:$D,BS!G89,지분법및기타!$F:$F)</f>
        <v>0</v>
      </c>
      <c r="W89" s="656">
        <f>SUMIF(지분법및기타!$G:$G,BS!G89,지분법및기타!$I:$I)</f>
        <v>0</v>
      </c>
      <c r="X89" s="657">
        <f>X90</f>
        <v>16544730603</v>
      </c>
      <c r="Y89" s="443"/>
      <c r="AA89" s="108"/>
      <c r="AB89" s="497"/>
    </row>
    <row r="90" spans="1:32">
      <c r="A90" s="444">
        <v>3</v>
      </c>
      <c r="B90" s="445"/>
      <c r="C90" s="446"/>
      <c r="D90" s="447" t="s">
        <v>47</v>
      </c>
      <c r="E90" s="448"/>
      <c r="F90" s="431"/>
      <c r="G90" s="442"/>
      <c r="H90" s="650">
        <f>SUM(H91:H105)</f>
        <v>7026815912</v>
      </c>
      <c r="I90" s="649">
        <f t="shared" ref="I90:O90" si="96">SUM(I91:I105)</f>
        <v>0</v>
      </c>
      <c r="J90" s="649">
        <f t="shared" si="96"/>
        <v>516057216</v>
      </c>
      <c r="K90" s="649">
        <f t="shared" si="96"/>
        <v>1649671107</v>
      </c>
      <c r="L90" s="649">
        <f t="shared" si="96"/>
        <v>0</v>
      </c>
      <c r="M90" s="649">
        <f t="shared" si="96"/>
        <v>0</v>
      </c>
      <c r="N90" s="649">
        <f t="shared" si="96"/>
        <v>9388591014</v>
      </c>
      <c r="O90" s="650">
        <f t="shared" si="96"/>
        <v>18581135249</v>
      </c>
      <c r="P90" s="651"/>
      <c r="Q90" s="652"/>
      <c r="R90" s="650">
        <f t="shared" ref="R90" si="97">SUM(R91:R105)</f>
        <v>18581135249</v>
      </c>
      <c r="S90" s="653"/>
      <c r="T90" s="654"/>
      <c r="U90" s="650">
        <f t="shared" ref="U90" si="98">SUM(U91:U105)</f>
        <v>16544181233</v>
      </c>
      <c r="V90" s="655">
        <f>SUMIF(지분법및기타!$D:$D,BS!G90,지분법및기타!$F:$F)</f>
        <v>0</v>
      </c>
      <c r="W90" s="656">
        <f>SUMIF(지분법및기타!$G:$G,BS!G90,지분법및기타!$I:$I)</f>
        <v>0</v>
      </c>
      <c r="X90" s="650">
        <f>X91+X92+X93+X94+X95+X97+X98+X99+X100+X101+X102+X103+X105+X104+X96</f>
        <v>16544730603</v>
      </c>
      <c r="Y90" s="443"/>
      <c r="AA90" s="108"/>
      <c r="AB90" s="497"/>
    </row>
    <row r="91" spans="1:32">
      <c r="A91" s="444">
        <v>4</v>
      </c>
      <c r="B91" s="445"/>
      <c r="C91" s="446"/>
      <c r="D91" s="447"/>
      <c r="E91" s="448" t="s">
        <v>49</v>
      </c>
      <c r="F91" s="431"/>
      <c r="G91" s="442" t="s">
        <v>681</v>
      </c>
      <c r="H91" s="659">
        <f>SUMIF(별도정산표!$G:$G,BS!G91,별도정산표!$E:$E)</f>
        <v>299203820</v>
      </c>
      <c r="I91" s="659">
        <f>SUMIF(울트라팜_FS!$A:$A,BS!G91,울트라팜_FS!$D:$D)</f>
        <v>0</v>
      </c>
      <c r="J91" s="659">
        <f>SUMIF(HK_BS!$A:$A,BS!G91,HK_BS!$K:$K)</f>
        <v>396013554</v>
      </c>
      <c r="K91" s="659">
        <f>SUMIF(DHK_BS!$A:$A,BS!G91,DHK_BS!$K:$K)</f>
        <v>1640356199</v>
      </c>
      <c r="L91" s="659">
        <f>SUMIF(상해_BS!$A:$A,BS!G91,상해_BS!$K:$K)</f>
        <v>0</v>
      </c>
      <c r="M91" s="659">
        <f>SUMIF(SG_BS!$A:$A,BS!G91,SG_BS!$K:$K)</f>
        <v>0</v>
      </c>
      <c r="N91" s="659">
        <f>SUMIF(ATGC_BS!$H:$H,BS!G91,ATGC_BS!$I:$I)</f>
        <v>0</v>
      </c>
      <c r="O91" s="650">
        <f t="shared" ref="O91:O105" si="99">SUM(H91:N91)</f>
        <v>2335573573</v>
      </c>
      <c r="P91" s="651">
        <f>SUMIF(RIC!D:D,BS!G91,RIC!F:F)</f>
        <v>0</v>
      </c>
      <c r="Q91" s="652">
        <f>SUMIF(RIC!G:G,BS!G91,RIC!I:I)</f>
        <v>0</v>
      </c>
      <c r="R91" s="650">
        <f>O91+Q91-P91</f>
        <v>2335573573</v>
      </c>
      <c r="S91" s="653">
        <f>SUMIF(RIT!H:H,BS!G91,RIT!J:J)</f>
        <v>2036954016</v>
      </c>
      <c r="T91" s="654">
        <f>SUMIF(RIT!K:K,BS!G91,RIT!M:M)</f>
        <v>0</v>
      </c>
      <c r="U91" s="650">
        <f>R91+T91-S91</f>
        <v>298619557</v>
      </c>
      <c r="V91" s="655">
        <f>SUMIF(지분법및기타!$D:$D,BS!G91,지분법및기타!$F:$F)</f>
        <v>0</v>
      </c>
      <c r="W91" s="656">
        <f>SUMIF(지분법및기타!$G:$G,BS!G91,지분법및기타!$I:$I)</f>
        <v>549370</v>
      </c>
      <c r="X91" s="657">
        <f>U91+W91-V91</f>
        <v>299168927</v>
      </c>
      <c r="Y91" s="443" t="s">
        <v>48</v>
      </c>
      <c r="AA91" s="108">
        <f t="shared" ref="AA91:AA93" si="100">X91-O91</f>
        <v>-2036404646</v>
      </c>
      <c r="AB91" s="497" t="s">
        <v>2697</v>
      </c>
      <c r="AF91" s="101"/>
    </row>
    <row r="92" spans="1:32">
      <c r="A92" s="444">
        <v>4</v>
      </c>
      <c r="B92" s="445"/>
      <c r="C92" s="446"/>
      <c r="D92" s="447"/>
      <c r="E92" s="448" t="s">
        <v>51</v>
      </c>
      <c r="F92" s="431"/>
      <c r="G92" s="442" t="s">
        <v>682</v>
      </c>
      <c r="H92" s="659">
        <f>SUMIF(별도정산표!$G:$G,BS!G92,별도정산표!$E:$E)</f>
        <v>207639910</v>
      </c>
      <c r="I92" s="659">
        <f>SUMIF(울트라팜_FS!$A:$A,BS!G92,울트라팜_FS!$D:$D)</f>
        <v>0</v>
      </c>
      <c r="J92" s="659">
        <f>SUMIF(HK_BS!$A:$A,BS!G92,HK_BS!$K:$K)</f>
        <v>0</v>
      </c>
      <c r="K92" s="659">
        <f>SUMIF(DHK_BS!$A:$A,BS!G92,DHK_BS!$K:$K)</f>
        <v>0</v>
      </c>
      <c r="L92" s="659">
        <f>SUMIF(상해_BS!$A:$A,BS!G92,상해_BS!$K:$K)</f>
        <v>0</v>
      </c>
      <c r="M92" s="659">
        <f>SUMIF(SG_BS!$A:$A,BS!G92,SG_BS!$K:$K)</f>
        <v>0</v>
      </c>
      <c r="N92" s="659">
        <f>SUMIF(ATGC_BS!$H:$H,BS!G92,ATGC_BS!$I:$I)</f>
        <v>4135910170</v>
      </c>
      <c r="O92" s="650">
        <f t="shared" si="99"/>
        <v>4343550080</v>
      </c>
      <c r="P92" s="651">
        <f>SUMIF(RIC!D:D,BS!G92,RIC!F:F)</f>
        <v>0</v>
      </c>
      <c r="Q92" s="652">
        <f>SUMIF(RIC!G:G,BS!G92,RIC!I:I)</f>
        <v>0</v>
      </c>
      <c r="R92" s="650">
        <f t="shared" ref="R92:R105" si="101">O92+Q92-P92</f>
        <v>4343550080</v>
      </c>
      <c r="S92" s="653">
        <f>SUMIF(RIT!H:H,BS!G92,RIT!J:J)</f>
        <v>0</v>
      </c>
      <c r="T92" s="654">
        <f>SUMIF(RIT!K:K,BS!G92,RIT!M:M)</f>
        <v>0</v>
      </c>
      <c r="U92" s="650">
        <f t="shared" ref="U92:U105" si="102">R92+T92-S92</f>
        <v>4343550080</v>
      </c>
      <c r="V92" s="655">
        <f>SUMIF(지분법및기타!$D:$D,BS!G92,지분법및기타!$F:$F)</f>
        <v>0</v>
      </c>
      <c r="W92" s="656">
        <f>SUMIF(지분법및기타!$G:$G,BS!G92,지분법및기타!$I:$I)</f>
        <v>0</v>
      </c>
      <c r="X92" s="657">
        <f t="shared" ref="X92:X105" si="103">U92+W92-V92</f>
        <v>4343550080</v>
      </c>
      <c r="Y92" s="443" t="s">
        <v>51</v>
      </c>
      <c r="AA92" s="108">
        <f t="shared" si="100"/>
        <v>0</v>
      </c>
      <c r="AB92" s="497"/>
      <c r="AF92" s="101"/>
    </row>
    <row r="93" spans="1:32">
      <c r="A93" s="444">
        <v>4</v>
      </c>
      <c r="B93" s="445"/>
      <c r="C93" s="446"/>
      <c r="D93" s="447"/>
      <c r="E93" s="448" t="s">
        <v>53</v>
      </c>
      <c r="F93" s="431"/>
      <c r="G93" s="442" t="s">
        <v>683</v>
      </c>
      <c r="H93" s="659">
        <f>SUMIF(별도정산표!$G:$G,BS!G93,별도정산표!$E:$E)</f>
        <v>85200680</v>
      </c>
      <c r="I93" s="659">
        <f>SUMIF(울트라팜_FS!$A:$A,BS!G93,울트라팜_FS!$D:$D)</f>
        <v>0</v>
      </c>
      <c r="J93" s="659">
        <f>SUMIF(HK_BS!$A:$A,BS!G93,HK_BS!$K:$K)</f>
        <v>0</v>
      </c>
      <c r="K93" s="659">
        <f>SUMIF(DHK_BS!$A:$A,BS!G93,DHK_BS!$K:$K)</f>
        <v>0</v>
      </c>
      <c r="L93" s="659">
        <f>SUMIF(상해_BS!$A:$A,BS!G93,상해_BS!$K:$K)</f>
        <v>0</v>
      </c>
      <c r="M93" s="659">
        <f>SUMIF(SG_BS!$A:$A,BS!G93,SG_BS!$K:$K)</f>
        <v>0</v>
      </c>
      <c r="N93" s="659">
        <f>SUMIF(ATGC_BS!$H:$H,BS!G93,ATGC_BS!$I:$I)</f>
        <v>0</v>
      </c>
      <c r="O93" s="650">
        <f t="shared" si="99"/>
        <v>85200680</v>
      </c>
      <c r="P93" s="651">
        <f>SUMIF(RIC!D:D,BS!G93,RIC!F:F)</f>
        <v>0</v>
      </c>
      <c r="Q93" s="652">
        <f>SUMIF(RIC!G:G,BS!G93,RIC!I:I)</f>
        <v>0</v>
      </c>
      <c r="R93" s="650">
        <f t="shared" si="101"/>
        <v>85200680</v>
      </c>
      <c r="S93" s="653">
        <f>SUMIF(RIT!H:H,BS!G93,RIT!J:J)</f>
        <v>0</v>
      </c>
      <c r="T93" s="654">
        <f>SUMIF(RIT!K:K,BS!G93,RIT!M:M)</f>
        <v>0</v>
      </c>
      <c r="U93" s="650">
        <f t="shared" si="102"/>
        <v>85200680</v>
      </c>
      <c r="V93" s="655">
        <f>SUMIF(지분법및기타!$D:$D,BS!G93,지분법및기타!$F:$F)</f>
        <v>0</v>
      </c>
      <c r="W93" s="656">
        <f>SUMIF(지분법및기타!$G:$G,BS!G93,지분법및기타!$I:$I)</f>
        <v>0</v>
      </c>
      <c r="X93" s="657">
        <f t="shared" si="103"/>
        <v>85200680</v>
      </c>
      <c r="Y93" s="443" t="s">
        <v>53</v>
      </c>
      <c r="AA93" s="108">
        <f t="shared" si="100"/>
        <v>0</v>
      </c>
      <c r="AB93" s="497"/>
      <c r="AF93" s="101"/>
    </row>
    <row r="94" spans="1:32">
      <c r="A94" s="444">
        <v>4</v>
      </c>
      <c r="B94" s="445"/>
      <c r="C94" s="446"/>
      <c r="D94" s="447"/>
      <c r="E94" s="448" t="s">
        <v>369</v>
      </c>
      <c r="F94" s="431"/>
      <c r="G94" s="442" t="s">
        <v>684</v>
      </c>
      <c r="H94" s="659">
        <f>SUMIF(별도정산표!$G:$G,BS!G94,별도정산표!$E:$E)</f>
        <v>0</v>
      </c>
      <c r="I94" s="659">
        <f>SUMIF(울트라팜_FS!$A:$A,BS!G94,울트라팜_FS!$D:$D)</f>
        <v>0</v>
      </c>
      <c r="J94" s="659">
        <f>SUMIF(HK_BS!$A:$A,BS!G94,HK_BS!$K:$K)</f>
        <v>0</v>
      </c>
      <c r="K94" s="659">
        <f>SUMIF(DHK_BS!$A:$A,BS!G94,DHK_BS!$K:$K)</f>
        <v>0</v>
      </c>
      <c r="L94" s="659">
        <f>SUMIF(상해_BS!$A:$A,BS!G94,상해_BS!$K:$K)</f>
        <v>0</v>
      </c>
      <c r="M94" s="659">
        <f>SUMIF(SG_BS!$A:$A,BS!G94,SG_BS!$K:$K)</f>
        <v>0</v>
      </c>
      <c r="N94" s="659">
        <f>SUMIF(ATGC_BS!$H:$H,BS!G94,ATGC_BS!$I:$I)</f>
        <v>0</v>
      </c>
      <c r="O94" s="650">
        <f t="shared" si="99"/>
        <v>0</v>
      </c>
      <c r="P94" s="651">
        <f>SUMIF(RIC!D:D,BS!G94,RIC!F:F)</f>
        <v>0</v>
      </c>
      <c r="Q94" s="652">
        <f>SUMIF(RIC!G:G,BS!G94,RIC!I:I)</f>
        <v>0</v>
      </c>
      <c r="R94" s="650">
        <f t="shared" si="101"/>
        <v>0</v>
      </c>
      <c r="S94" s="653">
        <f>SUMIF(RIT!H:H,BS!G94,RIT!J:J)</f>
        <v>0</v>
      </c>
      <c r="T94" s="654">
        <f>SUMIF(RIT!K:K,BS!G94,RIT!M:M)</f>
        <v>0</v>
      </c>
      <c r="U94" s="650">
        <f t="shared" si="102"/>
        <v>0</v>
      </c>
      <c r="V94" s="655">
        <f>SUMIF(지분법및기타!$D:$D,BS!G94,지분법및기타!$F:$F)</f>
        <v>0</v>
      </c>
      <c r="W94" s="656">
        <f>SUMIF(지분법및기타!$G:$G,BS!G94,지분법및기타!$I:$I)</f>
        <v>0</v>
      </c>
      <c r="X94" s="657">
        <f t="shared" si="103"/>
        <v>0</v>
      </c>
      <c r="Y94" s="443" t="s">
        <v>1528</v>
      </c>
      <c r="AA94" s="108"/>
      <c r="AB94" s="497"/>
      <c r="AF94" s="101"/>
    </row>
    <row r="95" spans="1:32">
      <c r="A95" s="444">
        <v>4</v>
      </c>
      <c r="B95" s="445"/>
      <c r="C95" s="446"/>
      <c r="D95" s="447"/>
      <c r="E95" s="448" t="s">
        <v>52</v>
      </c>
      <c r="F95" s="431"/>
      <c r="G95" s="442" t="s">
        <v>685</v>
      </c>
      <c r="H95" s="659">
        <f>SUMIF(별도정산표!$G:$G,BS!G95,별도정산표!$E:$E)</f>
        <v>2215528322</v>
      </c>
      <c r="I95" s="659">
        <f>SUMIF(울트라팜_FS!$A:$A,BS!G95,울트라팜_FS!$D:$D)</f>
        <v>0</v>
      </c>
      <c r="J95" s="659">
        <f>SUMIF(HK_BS!$A:$A,BS!G95,HK_BS!$K:$K)</f>
        <v>65471929</v>
      </c>
      <c r="K95" s="659">
        <f>SUMIF(DHK_BS!$A:$A,BS!G95,DHK_BS!$K:$K)</f>
        <v>173008</v>
      </c>
      <c r="L95" s="659">
        <f>SUMIF(상해_BS!$A:$A,BS!G95,상해_BS!$K:$K)</f>
        <v>0</v>
      </c>
      <c r="M95" s="659">
        <f>SUMIF(SG_BS!$A:$A,BS!G95,SG_BS!$K:$K)</f>
        <v>0</v>
      </c>
      <c r="N95" s="659">
        <f>SUMIF(ATGC_BS!$H:$H,BS!G95,ATGC_BS!$I:$I)</f>
        <v>4747430895</v>
      </c>
      <c r="O95" s="650">
        <f t="shared" si="99"/>
        <v>7028604154</v>
      </c>
      <c r="P95" s="651">
        <f>SUMIF(RIC!D:D,BS!G95,RIC!F:F)</f>
        <v>0</v>
      </c>
      <c r="Q95" s="652">
        <f>SUMIF(RIC!G:G,BS!G95,RIC!I:I)</f>
        <v>0</v>
      </c>
      <c r="R95" s="650">
        <f t="shared" si="101"/>
        <v>7028604154</v>
      </c>
      <c r="S95" s="653">
        <f>SUMIF(RIT!H:H,BS!G95,RIT!J:J)</f>
        <v>0</v>
      </c>
      <c r="T95" s="654">
        <f>SUMIF(RIT!K:K,BS!G95,RIT!M:M)</f>
        <v>0</v>
      </c>
      <c r="U95" s="650">
        <f t="shared" si="102"/>
        <v>7028604154</v>
      </c>
      <c r="V95" s="655">
        <f>SUMIF(지분법및기타!$D:$D,BS!G95,지분법및기타!$F:$F)</f>
        <v>104971922</v>
      </c>
      <c r="W95" s="656">
        <f>SUMIF(지분법및기타!$G:$G,BS!G95,지분법및기타!$I:$I)</f>
        <v>104971922</v>
      </c>
      <c r="X95" s="657">
        <f t="shared" si="103"/>
        <v>7028604154</v>
      </c>
      <c r="Y95" s="443" t="s">
        <v>52</v>
      </c>
      <c r="AA95" s="108">
        <f t="shared" ref="AA95:AA98" si="104">X95-O95</f>
        <v>0</v>
      </c>
      <c r="AB95" s="497"/>
      <c r="AF95" s="101"/>
    </row>
    <row r="96" spans="1:32">
      <c r="A96" s="444"/>
      <c r="B96" s="445"/>
      <c r="C96" s="446"/>
      <c r="D96" s="447"/>
      <c r="E96" s="448" t="s">
        <v>242</v>
      </c>
      <c r="F96" s="431"/>
      <c r="G96" s="544" t="s">
        <v>910</v>
      </c>
      <c r="H96" s="659">
        <f>SUMIF(별도정산표!$G:$G,BS!G96,별도정산표!$E:$E)</f>
        <v>9395003</v>
      </c>
      <c r="I96" s="659">
        <f>SUMIF(울트라팜_FS!$A:$A,BS!G96,울트라팜_FS!$D:$D)</f>
        <v>0</v>
      </c>
      <c r="J96" s="659">
        <f>SUMIF(HK_BS!$A:$A,BS!G96,HK_BS!$K:$K)</f>
        <v>0</v>
      </c>
      <c r="K96" s="659">
        <f>SUMIF(DHK_BS!$A:$A,BS!G96,DHK_BS!$K:$K)</f>
        <v>0</v>
      </c>
      <c r="L96" s="659">
        <f>SUMIF(상해_BS!$A:$A,BS!G96,상해_BS!$K:$K)</f>
        <v>0</v>
      </c>
      <c r="M96" s="659">
        <f>SUMIF(SG_BS!$A:$A,BS!G96,SG_BS!$K:$K)</f>
        <v>0</v>
      </c>
      <c r="N96" s="659">
        <f>SUMIF(ATGC_BS!$H:$H,BS!G96,ATGC_BS!$I:$I)</f>
        <v>0</v>
      </c>
      <c r="O96" s="650">
        <f t="shared" ref="O96" si="105">SUM(H96:N96)</f>
        <v>9395003</v>
      </c>
      <c r="P96" s="651">
        <f>SUMIF(RIC!D:D,BS!G96,RIC!F:F)</f>
        <v>0</v>
      </c>
      <c r="Q96" s="652">
        <f>SUMIF(RIC!G:G,BS!G96,RIC!I:I)</f>
        <v>0</v>
      </c>
      <c r="R96" s="650">
        <f t="shared" ref="R96" si="106">O96+Q96-P96</f>
        <v>9395003</v>
      </c>
      <c r="S96" s="653">
        <f>SUMIF(RIT!H:H,BS!G96,RIT!J:J)</f>
        <v>0</v>
      </c>
      <c r="T96" s="654">
        <f>SUMIF(RIT!K:K,BS!G96,RIT!M:M)</f>
        <v>0</v>
      </c>
      <c r="U96" s="650">
        <f t="shared" ref="U96" si="107">R96+T96-S96</f>
        <v>9395003</v>
      </c>
      <c r="V96" s="655">
        <f>SUMIF(지분법및기타!$D:$D,BS!G96,지분법및기타!$F:$F)</f>
        <v>0</v>
      </c>
      <c r="W96" s="656">
        <f>SUMIF(지분법및기타!$G:$G,BS!G96,지분법및기타!$I:$I)</f>
        <v>0</v>
      </c>
      <c r="X96" s="657">
        <f t="shared" ref="X96" si="108">U96+W96-V96</f>
        <v>9395003</v>
      </c>
      <c r="Y96" s="443" t="s">
        <v>183</v>
      </c>
      <c r="AA96" s="108">
        <f t="shared" si="104"/>
        <v>0</v>
      </c>
      <c r="AB96" s="497"/>
      <c r="AF96" s="101"/>
    </row>
    <row r="97" spans="1:32">
      <c r="A97" s="444">
        <v>4</v>
      </c>
      <c r="B97" s="445"/>
      <c r="C97" s="446"/>
      <c r="D97" s="447"/>
      <c r="E97" s="448" t="s">
        <v>50</v>
      </c>
      <c r="F97" s="431"/>
      <c r="G97" s="442" t="s">
        <v>686</v>
      </c>
      <c r="H97" s="659">
        <f>SUMIF(별도정산표!$G:$G,BS!G97,별도정산표!$E:$E)</f>
        <v>1120000000</v>
      </c>
      <c r="I97" s="659">
        <f>SUMIF(울트라팜_FS!$A:$A,BS!G97,울트라팜_FS!$D:$D)</f>
        <v>0</v>
      </c>
      <c r="J97" s="659">
        <f>SUMIF(HK_BS!$A:$A,BS!G97,HK_BS!$K:$K)</f>
        <v>0</v>
      </c>
      <c r="K97" s="659">
        <f>SUMIF(DHK_BS!$A:$A,BS!G97,DHK_BS!$K:$K)</f>
        <v>0</v>
      </c>
      <c r="L97" s="659">
        <f>SUMIF(상해_BS!$A:$A,BS!G97,상해_BS!$K:$K)</f>
        <v>0</v>
      </c>
      <c r="M97" s="659">
        <f>SUMIF(SG_BS!$A:$A,BS!G97,SG_BS!$K:$K)</f>
        <v>0</v>
      </c>
      <c r="N97" s="659">
        <f>SUMIF(ATGC_BS!$H:$H,BS!G97,ATGC_BS!$I:$I)</f>
        <v>0</v>
      </c>
      <c r="O97" s="650">
        <f t="shared" si="99"/>
        <v>1120000000</v>
      </c>
      <c r="P97" s="651">
        <f>SUMIF(RIC!D:D,BS!G97,RIC!F:F)</f>
        <v>0</v>
      </c>
      <c r="Q97" s="652">
        <f>SUMIF(RIC!G:G,BS!G97,RIC!I:I)</f>
        <v>0</v>
      </c>
      <c r="R97" s="650">
        <f t="shared" si="101"/>
        <v>1120000000</v>
      </c>
      <c r="S97" s="653">
        <f>SUMIF(RIT!H:H,BS!G97,RIT!J:J)</f>
        <v>0</v>
      </c>
      <c r="T97" s="654">
        <f>SUMIF(RIT!K:K,BS!G97,RIT!M:M)</f>
        <v>0</v>
      </c>
      <c r="U97" s="650">
        <f t="shared" si="102"/>
        <v>1120000000</v>
      </c>
      <c r="V97" s="655">
        <f>SUMIF(지분법및기타!$D:$D,BS!G97,지분법및기타!$F:$F)</f>
        <v>0</v>
      </c>
      <c r="W97" s="656">
        <f>SUMIF(지분법및기타!$G:$G,BS!G97,지분법및기타!$I:$I)</f>
        <v>0</v>
      </c>
      <c r="X97" s="657">
        <f t="shared" si="103"/>
        <v>1120000000</v>
      </c>
      <c r="Y97" s="443" t="s">
        <v>50</v>
      </c>
      <c r="AA97" s="108">
        <f t="shared" si="104"/>
        <v>0</v>
      </c>
      <c r="AB97" s="497"/>
      <c r="AF97" s="101"/>
    </row>
    <row r="98" spans="1:32">
      <c r="A98" s="444">
        <v>4</v>
      </c>
      <c r="B98" s="445"/>
      <c r="C98" s="446"/>
      <c r="D98" s="447"/>
      <c r="E98" s="448" t="s">
        <v>54</v>
      </c>
      <c r="F98" s="431"/>
      <c r="G98" s="442" t="s">
        <v>687</v>
      </c>
      <c r="H98" s="659">
        <f>SUMIF(별도정산표!$G:$G,BS!G98,별도정산표!$E:$E)</f>
        <v>2552781060</v>
      </c>
      <c r="I98" s="659">
        <f>SUMIF(울트라팜_FS!$A:$A,BS!G98,울트라팜_FS!$D:$D)</f>
        <v>0</v>
      </c>
      <c r="J98" s="659">
        <f>SUMIF(HK_BS!$A:$A,BS!G98,HK_BS!$K:$K)</f>
        <v>54571733</v>
      </c>
      <c r="K98" s="659">
        <f>SUMIF(DHK_BS!$A:$A,BS!G98,DHK_BS!$K:$K)</f>
        <v>9141900</v>
      </c>
      <c r="L98" s="659">
        <f>SUMIF(상해_BS!$A:$A,BS!G98,상해_BS!$K:$K)</f>
        <v>0</v>
      </c>
      <c r="M98" s="659">
        <f>SUMIF(SG_BS!$A:$A,BS!G98,SG_BS!$K:$K)</f>
        <v>0</v>
      </c>
      <c r="N98" s="659">
        <f>SUMIF(ATGC_BS!$H:$H,BS!G98,ATGC_BS!$I:$I)</f>
        <v>143171601</v>
      </c>
      <c r="O98" s="650">
        <f t="shared" si="99"/>
        <v>2759666294</v>
      </c>
      <c r="P98" s="651">
        <f>SUMIF(RIC!D:D,BS!G98,RIC!F:F)</f>
        <v>0</v>
      </c>
      <c r="Q98" s="652">
        <f>SUMIF(RIC!G:G,BS!G98,RIC!I:I)</f>
        <v>0</v>
      </c>
      <c r="R98" s="650">
        <f t="shared" si="101"/>
        <v>2759666294</v>
      </c>
      <c r="S98" s="653">
        <f>SUMIF(RIT!H:H,BS!G98,RIT!J:J)</f>
        <v>0</v>
      </c>
      <c r="T98" s="654">
        <f>SUMIF(RIT!K:K,BS!G98,RIT!M:M)</f>
        <v>0</v>
      </c>
      <c r="U98" s="650">
        <f t="shared" si="102"/>
        <v>2759666294</v>
      </c>
      <c r="V98" s="655">
        <f>SUMIF(지분법및기타!$D:$D,BS!G98,지분법및기타!$F:$F)</f>
        <v>0</v>
      </c>
      <c r="W98" s="656">
        <f>SUMIF(지분법및기타!$G:$G,BS!G98,지분법및기타!$I:$I)</f>
        <v>0</v>
      </c>
      <c r="X98" s="657">
        <f t="shared" si="103"/>
        <v>2759666294</v>
      </c>
      <c r="Y98" s="443" t="s">
        <v>54</v>
      </c>
      <c r="AA98" s="108">
        <f t="shared" si="104"/>
        <v>0</v>
      </c>
      <c r="AB98" s="497"/>
      <c r="AF98" s="101"/>
    </row>
    <row r="99" spans="1:32">
      <c r="A99" s="444">
        <v>4</v>
      </c>
      <c r="B99" s="445"/>
      <c r="C99" s="446"/>
      <c r="D99" s="447"/>
      <c r="E99" s="448" t="s">
        <v>689</v>
      </c>
      <c r="F99" s="431"/>
      <c r="G99" s="442" t="s">
        <v>688</v>
      </c>
      <c r="H99" s="659">
        <f>SUMIF(별도정산표!$G:$G,BS!G99,별도정산표!$E:$E)</f>
        <v>0</v>
      </c>
      <c r="I99" s="659">
        <f>SUMIF(울트라팜_FS!$A:$A,BS!G99,울트라팜_FS!$D:$D)</f>
        <v>0</v>
      </c>
      <c r="J99" s="659">
        <f>SUMIF(HK_BS!$A:$A,BS!G99,HK_BS!$K:$K)</f>
        <v>0</v>
      </c>
      <c r="K99" s="659">
        <f>SUMIF(DHK_BS!$A:$A,BS!G99,DHK_BS!$K:$K)</f>
        <v>0</v>
      </c>
      <c r="L99" s="659">
        <f>SUMIF(상해_BS!$A:$A,BS!G99,상해_BS!$K:$K)</f>
        <v>0</v>
      </c>
      <c r="M99" s="659">
        <f>SUMIF(SG_BS!$A:$A,BS!G99,SG_BS!$K:$K)</f>
        <v>0</v>
      </c>
      <c r="N99" s="659">
        <f>SUMIF(ATGC_BS!$H:$H,BS!G99,ATGC_BS!$I:$I)</f>
        <v>0</v>
      </c>
      <c r="O99" s="650">
        <f t="shared" si="99"/>
        <v>0</v>
      </c>
      <c r="P99" s="651">
        <f>SUMIF(RIC!D:D,BS!G99,RIC!F:F)</f>
        <v>0</v>
      </c>
      <c r="Q99" s="652">
        <f>SUMIF(RIC!G:G,BS!G99,RIC!I:I)</f>
        <v>0</v>
      </c>
      <c r="R99" s="650">
        <f t="shared" si="101"/>
        <v>0</v>
      </c>
      <c r="S99" s="653">
        <f>SUMIF(RIT!H:H,BS!G99,RIT!J:J)</f>
        <v>0</v>
      </c>
      <c r="T99" s="654">
        <f>SUMIF(RIT!K:K,BS!G99,RIT!M:M)</f>
        <v>0</v>
      </c>
      <c r="U99" s="650">
        <f t="shared" si="102"/>
        <v>0</v>
      </c>
      <c r="V99" s="655">
        <f>SUMIF(지분법및기타!$D:$D,BS!G99,지분법및기타!$F:$F)</f>
        <v>0</v>
      </c>
      <c r="W99" s="656">
        <f>SUMIF(지분법및기타!$G:$G,BS!G99,지분법및기타!$I:$I)</f>
        <v>0</v>
      </c>
      <c r="X99" s="657">
        <f t="shared" si="103"/>
        <v>0</v>
      </c>
      <c r="Y99" s="443" t="s">
        <v>1529</v>
      </c>
      <c r="AA99" s="108"/>
      <c r="AB99" s="497"/>
      <c r="AF99" s="101"/>
    </row>
    <row r="100" spans="1:32">
      <c r="A100" s="444">
        <v>4</v>
      </c>
      <c r="B100" s="445"/>
      <c r="C100" s="446"/>
      <c r="D100" s="447"/>
      <c r="E100" s="448" t="s">
        <v>691</v>
      </c>
      <c r="F100" s="431"/>
      <c r="G100" s="442" t="s">
        <v>690</v>
      </c>
      <c r="H100" s="659">
        <f>SUMIF(별도정산표!$G:$G,BS!G100,별도정산표!$E:$E)</f>
        <v>0</v>
      </c>
      <c r="I100" s="659">
        <f>SUMIF(울트라팜_FS!$A:$A,BS!G100,울트라팜_FS!$D:$D)</f>
        <v>0</v>
      </c>
      <c r="J100" s="659">
        <f>SUMIF(HK_BS!$A:$A,BS!G100,HK_BS!$K:$K)</f>
        <v>0</v>
      </c>
      <c r="K100" s="659">
        <f>SUMIF(DHK_BS!$A:$A,BS!G100,DHK_BS!$K:$K)</f>
        <v>0</v>
      </c>
      <c r="L100" s="659">
        <f>SUMIF(상해_BS!$A:$A,BS!G100,상해_BS!$K:$K)</f>
        <v>0</v>
      </c>
      <c r="M100" s="659">
        <f>SUMIF(SG_BS!$A:$A,BS!G100,SG_BS!$K:$K)</f>
        <v>0</v>
      </c>
      <c r="N100" s="659">
        <f>SUMIF(ATGC_BS!$H:$H,BS!G100,ATGC_BS!$I:$I)</f>
        <v>0</v>
      </c>
      <c r="O100" s="650">
        <f t="shared" si="99"/>
        <v>0</v>
      </c>
      <c r="P100" s="651">
        <f>SUMIF(RIC!D:D,BS!G100,RIC!F:F)</f>
        <v>0</v>
      </c>
      <c r="Q100" s="652">
        <f>SUMIF(RIC!G:G,BS!G100,RIC!I:I)</f>
        <v>0</v>
      </c>
      <c r="R100" s="650">
        <f t="shared" si="101"/>
        <v>0</v>
      </c>
      <c r="S100" s="653">
        <f>SUMIF(RIT!H:H,BS!G100,RIT!J:J)</f>
        <v>0</v>
      </c>
      <c r="T100" s="654">
        <f>SUMIF(RIT!K:K,BS!G100,RIT!M:M)</f>
        <v>0</v>
      </c>
      <c r="U100" s="650">
        <f t="shared" si="102"/>
        <v>0</v>
      </c>
      <c r="V100" s="655">
        <f>SUMIF(지분법및기타!$D:$D,BS!G100,지분법및기타!$F:$F)</f>
        <v>0</v>
      </c>
      <c r="W100" s="656">
        <f>SUMIF(지분법및기타!$G:$G,BS!G100,지분법및기타!$I:$I)</f>
        <v>0</v>
      </c>
      <c r="X100" s="657">
        <f t="shared" si="103"/>
        <v>0</v>
      </c>
      <c r="Y100" s="443" t="s">
        <v>1849</v>
      </c>
      <c r="AA100" s="108"/>
      <c r="AB100" s="497"/>
      <c r="AF100" s="101"/>
    </row>
    <row r="101" spans="1:32">
      <c r="A101" s="444">
        <v>4</v>
      </c>
      <c r="B101" s="445"/>
      <c r="C101" s="446"/>
      <c r="D101" s="447"/>
      <c r="E101" s="448" t="s">
        <v>55</v>
      </c>
      <c r="F101" s="431"/>
      <c r="G101" s="442" t="s">
        <v>692</v>
      </c>
      <c r="H101" s="659">
        <f>SUMIF(별도정산표!$G:$G,BS!G101,별도정산표!$E:$E)</f>
        <v>0</v>
      </c>
      <c r="I101" s="659">
        <f>SUMIF(울트라팜_FS!$A:$A,BS!G101,울트라팜_FS!$D:$D)</f>
        <v>0</v>
      </c>
      <c r="J101" s="659">
        <f>SUMIF(HK_BS!$A:$A,BS!G101,HK_BS!$K:$K)</f>
        <v>0</v>
      </c>
      <c r="K101" s="659">
        <f>SUMIF(DHK_BS!$A:$A,BS!G101,DHK_BS!$K:$K)</f>
        <v>0</v>
      </c>
      <c r="L101" s="659">
        <f>SUMIF(상해_BS!$A:$A,BS!G101,상해_BS!$K:$K)</f>
        <v>0</v>
      </c>
      <c r="M101" s="659">
        <f>SUMIF(SG_BS!$A:$A,BS!G101,SG_BS!$K:$K)</f>
        <v>0</v>
      </c>
      <c r="N101" s="659">
        <f>SUMIF(ATGC_BS!$H:$H,BS!G101,ATGC_BS!$I:$I)</f>
        <v>0</v>
      </c>
      <c r="O101" s="650">
        <f t="shared" si="99"/>
        <v>0</v>
      </c>
      <c r="P101" s="651">
        <f>SUMIF(RIC!D:D,BS!G101,RIC!F:F)</f>
        <v>0</v>
      </c>
      <c r="Q101" s="652">
        <f>SUMIF(RIC!G:G,BS!G101,RIC!I:I)</f>
        <v>0</v>
      </c>
      <c r="R101" s="650">
        <f t="shared" si="101"/>
        <v>0</v>
      </c>
      <c r="S101" s="653">
        <f>SUMIF(RIT!H:H,BS!G101,RIT!J:J)</f>
        <v>0</v>
      </c>
      <c r="T101" s="654">
        <f>SUMIF(RIT!K:K,BS!G101,RIT!M:M)</f>
        <v>0</v>
      </c>
      <c r="U101" s="650">
        <f t="shared" si="102"/>
        <v>0</v>
      </c>
      <c r="V101" s="655">
        <f>SUMIF(지분법및기타!$D:$D,BS!G101,지분법및기타!$F:$F)</f>
        <v>0</v>
      </c>
      <c r="W101" s="656">
        <f>SUMIF(지분법및기타!$G:$G,BS!G101,지분법및기타!$I:$I)</f>
        <v>0</v>
      </c>
      <c r="X101" s="657">
        <f>U101+W101-V101</f>
        <v>0</v>
      </c>
      <c r="Y101" s="443" t="s">
        <v>55</v>
      </c>
      <c r="AA101" s="108">
        <f t="shared" ref="AA101:AA102" si="109">X101-O101</f>
        <v>0</v>
      </c>
      <c r="AB101" s="497"/>
      <c r="AF101" s="101"/>
    </row>
    <row r="102" spans="1:32">
      <c r="A102" s="444">
        <v>4</v>
      </c>
      <c r="B102" s="445"/>
      <c r="C102" s="446"/>
      <c r="D102" s="447"/>
      <c r="E102" s="448" t="s">
        <v>694</v>
      </c>
      <c r="F102" s="431"/>
      <c r="G102" s="442" t="s">
        <v>693</v>
      </c>
      <c r="H102" s="659">
        <f>SUMIF(별도정산표!$G:$G,BS!G102,별도정산표!$E:$E)</f>
        <v>537067117</v>
      </c>
      <c r="I102" s="659">
        <f>SUMIF(울트라팜_FS!$A:$A,BS!G102,울트라팜_FS!$D:$D)</f>
        <v>0</v>
      </c>
      <c r="J102" s="659">
        <f>SUMIF(HK_BS!$A:$A,BS!G102,HK_BS!$K:$K)</f>
        <v>0</v>
      </c>
      <c r="K102" s="659">
        <f>SUMIF(DHK_BS!$A:$A,BS!G102,DHK_BS!$K:$K)</f>
        <v>0</v>
      </c>
      <c r="L102" s="659">
        <f>SUMIF(상해_BS!$A:$A,BS!G102,상해_BS!$K:$K)</f>
        <v>0</v>
      </c>
      <c r="M102" s="659">
        <f>SUMIF(SG_BS!$A:$A,BS!G102,SG_BS!$K:$K)</f>
        <v>0</v>
      </c>
      <c r="N102" s="659">
        <f>SUMIF(ATGC_BS!$H:$H,BS!G102,ATGC_BS!$I:$I)</f>
        <v>362078348</v>
      </c>
      <c r="O102" s="650">
        <f t="shared" si="99"/>
        <v>899145465</v>
      </c>
      <c r="P102" s="651">
        <f>SUMIF(RIC!D:D,BS!G102,RIC!F:F)</f>
        <v>0</v>
      </c>
      <c r="Q102" s="652">
        <f>SUMIF(RIC!G:G,BS!G102,RIC!I:I)</f>
        <v>0</v>
      </c>
      <c r="R102" s="650">
        <f t="shared" si="101"/>
        <v>899145465</v>
      </c>
      <c r="S102" s="653">
        <f>SUMIF(RIT!H:H,BS!G102,RIT!J:J)</f>
        <v>0</v>
      </c>
      <c r="T102" s="654">
        <f>SUMIF(RIT!K:K,BS!G102,RIT!M:M)</f>
        <v>0</v>
      </c>
      <c r="U102" s="650">
        <f t="shared" si="102"/>
        <v>899145465</v>
      </c>
      <c r="V102" s="655">
        <f>SUMIF(지분법및기타!$D:$D,BS!G102,지분법및기타!$F:$F)</f>
        <v>0</v>
      </c>
      <c r="W102" s="656">
        <f>SUMIF(지분법및기타!$G:$G,BS!G102,지분법및기타!$I:$I)</f>
        <v>0</v>
      </c>
      <c r="X102" s="657">
        <f t="shared" si="103"/>
        <v>899145465</v>
      </c>
      <c r="Y102" s="443" t="s">
        <v>694</v>
      </c>
      <c r="AA102" s="108">
        <f t="shared" si="109"/>
        <v>0</v>
      </c>
      <c r="AB102" s="497"/>
      <c r="AF102" s="101"/>
    </row>
    <row r="103" spans="1:32">
      <c r="A103" s="444">
        <v>4</v>
      </c>
      <c r="B103" s="445"/>
      <c r="C103" s="446"/>
      <c r="D103" s="447"/>
      <c r="E103" s="448" t="s">
        <v>824</v>
      </c>
      <c r="F103" s="431"/>
      <c r="G103" s="442"/>
      <c r="H103" s="659">
        <f>SUMIF(별도정산표!$G:$G,BS!G103,별도정산표!$E:$E)</f>
        <v>0</v>
      </c>
      <c r="I103" s="659">
        <f>SUMIF(울트라팜_FS!$A:$A,BS!G103,울트라팜_FS!$D:$D)</f>
        <v>0</v>
      </c>
      <c r="J103" s="659">
        <f>SUMIF(HK_BS!$A:$A,BS!G103,HK_BS!$K:$K)</f>
        <v>0</v>
      </c>
      <c r="K103" s="659">
        <f>SUMIF(DHK_BS!$A:$A,BS!G103,DHK_BS!$K:$K)</f>
        <v>0</v>
      </c>
      <c r="L103" s="659">
        <f>SUMIF(상해_BS!$A:$A,BS!G103,상해_BS!$K:$K)</f>
        <v>0</v>
      </c>
      <c r="M103" s="659">
        <f>SUMIF(SG_BS!$A:$A,BS!G103,SG_BS!$K:$K)</f>
        <v>0</v>
      </c>
      <c r="N103" s="659">
        <f>SUMIF(ATGC_BS!$H:$H,BS!G103,ATGC_BS!$I:$I)</f>
        <v>0</v>
      </c>
      <c r="O103" s="650">
        <f t="shared" si="99"/>
        <v>0</v>
      </c>
      <c r="P103" s="651">
        <f>SUMIF(RIC!D:D,BS!G103,RIC!F:F)</f>
        <v>0</v>
      </c>
      <c r="Q103" s="652">
        <f>SUMIF(RIC!G:G,BS!G103,RIC!I:I)</f>
        <v>0</v>
      </c>
      <c r="R103" s="650">
        <f t="shared" si="101"/>
        <v>0</v>
      </c>
      <c r="S103" s="653">
        <f>SUMIF(RIT!H:H,BS!G103,RIT!J:J)</f>
        <v>0</v>
      </c>
      <c r="T103" s="654">
        <f>SUMIF(RIT!K:K,BS!G103,RIT!M:M)</f>
        <v>0</v>
      </c>
      <c r="U103" s="650">
        <f t="shared" si="102"/>
        <v>0</v>
      </c>
      <c r="V103" s="655">
        <f>SUMIF(지분법및기타!$D:$D,BS!G103,지분법및기타!$F:$F)</f>
        <v>0</v>
      </c>
      <c r="W103" s="656">
        <f>SUMIF(지분법및기타!$G:$G,BS!G103,지분법및기타!$I:$I)</f>
        <v>0</v>
      </c>
      <c r="X103" s="657">
        <f t="shared" si="103"/>
        <v>0</v>
      </c>
      <c r="Y103" s="443"/>
      <c r="AA103" s="108"/>
      <c r="AB103" s="497"/>
    </row>
    <row r="104" spans="1:32">
      <c r="A104" s="444">
        <v>4</v>
      </c>
      <c r="B104" s="445"/>
      <c r="C104" s="446"/>
      <c r="D104" s="447"/>
      <c r="E104" s="448" t="s">
        <v>823</v>
      </c>
      <c r="F104" s="431"/>
      <c r="G104" s="442"/>
      <c r="H104" s="659">
        <f>SUMIF(별도정산표!$G:$G,BS!G104,별도정산표!$E:$E)</f>
        <v>0</v>
      </c>
      <c r="I104" s="659">
        <f>SUMIF(울트라팜_FS!$A:$A,BS!G104,울트라팜_FS!$D:$D)</f>
        <v>0</v>
      </c>
      <c r="J104" s="659">
        <f>SUMIF(HK_BS!$A:$A,BS!G104,HK_BS!$K:$K)</f>
        <v>0</v>
      </c>
      <c r="K104" s="659">
        <f>SUMIF(DHK_BS!$A:$A,BS!G104,DHK_BS!$K:$K)</f>
        <v>0</v>
      </c>
      <c r="L104" s="659">
        <f>SUMIF(상해_BS!$A:$A,BS!G104,상해_BS!$K:$K)</f>
        <v>0</v>
      </c>
      <c r="M104" s="659">
        <f>SUMIF(SG_BS!$A:$A,BS!G104,SG_BS!$K:$K)</f>
        <v>0</v>
      </c>
      <c r="N104" s="659">
        <f>SUMIF(ATGC_BS!$H:$H,BS!G104,ATGC_BS!$I:$I)</f>
        <v>0</v>
      </c>
      <c r="O104" s="650">
        <f t="shared" si="99"/>
        <v>0</v>
      </c>
      <c r="P104" s="651">
        <f>SUMIF(RIC!D:D,BS!G104,RIC!F:F)</f>
        <v>0</v>
      </c>
      <c r="Q104" s="652">
        <f>SUMIF(RIC!G:G,BS!G104,RIC!I:I)</f>
        <v>0</v>
      </c>
      <c r="R104" s="650">
        <f t="shared" si="101"/>
        <v>0</v>
      </c>
      <c r="S104" s="653">
        <f>SUMIF(RIT!H:H,BS!G104,RIT!J:J)</f>
        <v>0</v>
      </c>
      <c r="T104" s="654">
        <f>SUMIF(RIT!K:K,BS!G104,RIT!M:M)</f>
        <v>0</v>
      </c>
      <c r="U104" s="650">
        <f t="shared" si="102"/>
        <v>0</v>
      </c>
      <c r="V104" s="655">
        <f>SUMIF(지분법및기타!$D:$D,BS!G104,지분법및기타!$F:$F)</f>
        <v>0</v>
      </c>
      <c r="W104" s="656">
        <f>SUMIF(지분법및기타!$G:$G,BS!G104,지분법및기타!$I:$I)</f>
        <v>0</v>
      </c>
      <c r="X104" s="657">
        <f t="shared" si="103"/>
        <v>0</v>
      </c>
      <c r="Y104" s="443"/>
      <c r="AA104" s="108"/>
      <c r="AB104" s="497"/>
    </row>
    <row r="105" spans="1:32">
      <c r="A105" s="444">
        <v>4</v>
      </c>
      <c r="B105" s="445"/>
      <c r="C105" s="446"/>
      <c r="D105" s="447"/>
      <c r="E105" s="448" t="s">
        <v>823</v>
      </c>
      <c r="F105" s="431"/>
      <c r="G105" s="442"/>
      <c r="H105" s="659">
        <f>SUMIF(별도정산표!$G:$G,BS!G105,별도정산표!$E:$E)</f>
        <v>0</v>
      </c>
      <c r="I105" s="659">
        <f>SUMIF(울트라팜_FS!$A:$A,BS!G105,울트라팜_FS!$D:$D)</f>
        <v>0</v>
      </c>
      <c r="J105" s="659">
        <f>SUMIF(HK_BS!$A:$A,BS!G105,HK_BS!$K:$K)</f>
        <v>0</v>
      </c>
      <c r="K105" s="659">
        <f>SUMIF(DHK_BS!$A:$A,BS!G105,DHK_BS!$K:$K)</f>
        <v>0</v>
      </c>
      <c r="L105" s="659">
        <f>SUMIF(상해_BS!$A:$A,BS!G105,상해_BS!$K:$K)</f>
        <v>0</v>
      </c>
      <c r="M105" s="659">
        <f>SUMIF(SG_BS!$A:$A,BS!G105,SG_BS!$K:$K)</f>
        <v>0</v>
      </c>
      <c r="N105" s="659">
        <f>SUMIF(ATGC_BS!$H:$H,BS!G105,ATGC_BS!$I:$I)</f>
        <v>0</v>
      </c>
      <c r="O105" s="650">
        <f t="shared" si="99"/>
        <v>0</v>
      </c>
      <c r="P105" s="651">
        <f>SUMIF(RIC!D:D,BS!G105,RIC!F:F)</f>
        <v>0</v>
      </c>
      <c r="Q105" s="652">
        <f>SUMIF(RIC!G:G,BS!G105,RIC!I:I)</f>
        <v>0</v>
      </c>
      <c r="R105" s="650">
        <f t="shared" si="101"/>
        <v>0</v>
      </c>
      <c r="S105" s="653">
        <f>SUMIF(RIT!H:H,BS!G105,RIT!J:J)</f>
        <v>0</v>
      </c>
      <c r="T105" s="654">
        <f>SUMIF(RIT!K:K,BS!G105,RIT!M:M)</f>
        <v>0</v>
      </c>
      <c r="U105" s="650">
        <f t="shared" si="102"/>
        <v>0</v>
      </c>
      <c r="V105" s="655">
        <f>SUMIF(지분법및기타!$D:$D,BS!G105,지분법및기타!$F:$F)</f>
        <v>0</v>
      </c>
      <c r="W105" s="656">
        <f>SUMIF(지분법및기타!$G:$G,BS!G105,지분법및기타!$I:$I)</f>
        <v>0</v>
      </c>
      <c r="X105" s="657">
        <f t="shared" si="103"/>
        <v>0</v>
      </c>
      <c r="Y105" s="443"/>
      <c r="AA105" s="108"/>
      <c r="AB105" s="497"/>
    </row>
    <row r="106" spans="1:32">
      <c r="A106" s="444">
        <v>2</v>
      </c>
      <c r="B106" s="445"/>
      <c r="C106" s="446" t="s">
        <v>56</v>
      </c>
      <c r="D106" s="447"/>
      <c r="E106" s="448"/>
      <c r="F106" s="431"/>
      <c r="G106" s="442"/>
      <c r="H106" s="649">
        <f t="shared" ref="H106:O106" si="110">H107</f>
        <v>5815444698</v>
      </c>
      <c r="I106" s="649">
        <f t="shared" si="110"/>
        <v>0</v>
      </c>
      <c r="J106" s="649">
        <f t="shared" si="110"/>
        <v>0</v>
      </c>
      <c r="K106" s="649">
        <f t="shared" si="110"/>
        <v>0</v>
      </c>
      <c r="L106" s="649">
        <f t="shared" si="110"/>
        <v>0</v>
      </c>
      <c r="M106" s="649">
        <f t="shared" si="110"/>
        <v>0</v>
      </c>
      <c r="N106" s="649">
        <f t="shared" si="110"/>
        <v>1113355079</v>
      </c>
      <c r="O106" s="650">
        <f t="shared" si="110"/>
        <v>6928799777</v>
      </c>
      <c r="P106" s="651"/>
      <c r="Q106" s="652"/>
      <c r="R106" s="650">
        <f>R107</f>
        <v>9378424965</v>
      </c>
      <c r="S106" s="653"/>
      <c r="T106" s="654"/>
      <c r="U106" s="650">
        <f>U107</f>
        <v>9391764405</v>
      </c>
      <c r="V106" s="655">
        <f>SUMIF(지분법및기타!$D:$D,BS!G106,지분법및기타!$F:$F)</f>
        <v>0</v>
      </c>
      <c r="W106" s="656">
        <f>SUMIF(지분법및기타!$G:$G,BS!G106,지분법및기타!$I:$I)</f>
        <v>0</v>
      </c>
      <c r="X106" s="657">
        <f>X107</f>
        <v>9391764405</v>
      </c>
      <c r="Y106" s="443"/>
      <c r="AA106" s="108"/>
      <c r="AB106" s="497"/>
    </row>
    <row r="107" spans="1:32">
      <c r="A107" s="444">
        <v>3</v>
      </c>
      <c r="B107" s="445"/>
      <c r="C107" s="446"/>
      <c r="D107" s="447" t="s">
        <v>56</v>
      </c>
      <c r="E107" s="448"/>
      <c r="F107" s="431"/>
      <c r="G107" s="442"/>
      <c r="H107" s="649">
        <f t="shared" ref="H107:M107" si="111">SUM(H108:H119)</f>
        <v>5815444698</v>
      </c>
      <c r="I107" s="649">
        <f t="shared" si="111"/>
        <v>0</v>
      </c>
      <c r="J107" s="649">
        <f t="shared" si="111"/>
        <v>0</v>
      </c>
      <c r="K107" s="649">
        <f t="shared" si="111"/>
        <v>0</v>
      </c>
      <c r="L107" s="649">
        <f t="shared" si="111"/>
        <v>0</v>
      </c>
      <c r="M107" s="649">
        <f t="shared" si="111"/>
        <v>0</v>
      </c>
      <c r="N107" s="649">
        <f>SUM(N108:N119)</f>
        <v>1113355079</v>
      </c>
      <c r="O107" s="649">
        <f>SUM(O108:O119)</f>
        <v>6928799777</v>
      </c>
      <c r="P107" s="651"/>
      <c r="Q107" s="652"/>
      <c r="R107" s="649">
        <f>SUM(R108:R119)</f>
        <v>9378424965</v>
      </c>
      <c r="S107" s="653"/>
      <c r="T107" s="654"/>
      <c r="U107" s="649">
        <f>SUM(U108:U119)</f>
        <v>9391764405</v>
      </c>
      <c r="V107" s="655">
        <f>SUMIF(지분법및기타!$D:$D,BS!G107,지분법및기타!$F:$F)</f>
        <v>0</v>
      </c>
      <c r="W107" s="656">
        <f>SUMIF(지분법및기타!$G:$G,BS!G107,지분법및기타!$I:$I)</f>
        <v>0</v>
      </c>
      <c r="X107" s="649">
        <f>SUM(X108:X119)</f>
        <v>9391764405</v>
      </c>
      <c r="Y107" s="443"/>
      <c r="AA107" s="108"/>
      <c r="AB107" s="497"/>
    </row>
    <row r="108" spans="1:32">
      <c r="A108" s="444">
        <v>4</v>
      </c>
      <c r="B108" s="445"/>
      <c r="C108" s="446"/>
      <c r="D108" s="447"/>
      <c r="E108" s="448" t="s">
        <v>57</v>
      </c>
      <c r="F108" s="431"/>
      <c r="G108" s="442" t="s">
        <v>695</v>
      </c>
      <c r="H108" s="659">
        <f>SUMIF(별도정산표!$G:$G,BS!G108,별도정산표!$E:$E)</f>
        <v>4100000000</v>
      </c>
      <c r="I108" s="659">
        <f>SUMIF(울트라팜_FS!$A:$A,BS!G108,울트라팜_FS!$D:$D)</f>
        <v>0</v>
      </c>
      <c r="J108" s="659">
        <f>SUMIF(HK_BS!$A:$A,BS!G108,HK_BS!$K:$K)</f>
        <v>0</v>
      </c>
      <c r="K108" s="659">
        <f>SUMIF(DHK_BS!$A:$A,BS!G108,DHK_BS!$K:$K)</f>
        <v>0</v>
      </c>
      <c r="L108" s="659">
        <f>SUMIF(상해_BS!$A:$A,BS!G108,상해_BS!$K:$K)</f>
        <v>0</v>
      </c>
      <c r="M108" s="659">
        <f>SUMIF(SG_BS!$A:$A,BS!G108,SG_BS!$K:$K)</f>
        <v>0</v>
      </c>
      <c r="N108" s="659">
        <f>SUMIF(ATGC_BS!$H:$H,BS!G108,ATGC_BS!$I:$I)</f>
        <v>0</v>
      </c>
      <c r="O108" s="650">
        <f t="shared" ref="O108:O119" si="112">SUM(H108:N108)</f>
        <v>4100000000</v>
      </c>
      <c r="P108" s="651">
        <f>SUMIF(RIC!D:D,BS!G108,RIC!F:F)</f>
        <v>0</v>
      </c>
      <c r="Q108" s="652">
        <f>SUMIF(RIC!G:G,BS!G108,RIC!I:I)</f>
        <v>0</v>
      </c>
      <c r="R108" s="650">
        <f t="shared" ref="R108:R119" si="113">O108+Q108-P108</f>
        <v>4100000000</v>
      </c>
      <c r="S108" s="653">
        <f>SUMIF(RIT!H:H,BS!G108,RIT!J:J)</f>
        <v>0</v>
      </c>
      <c r="T108" s="654">
        <f>SUMIF(RIT!K:K,BS!G108,RIT!M:M)</f>
        <v>0</v>
      </c>
      <c r="U108" s="650">
        <f t="shared" ref="U108:U119" si="114">R108+T108-S108</f>
        <v>4100000000</v>
      </c>
      <c r="V108" s="655">
        <f>SUMIF(지분법및기타!$D:$D,BS!G108,지분법및기타!$F:$F)</f>
        <v>0</v>
      </c>
      <c r="W108" s="656">
        <f>SUMIF(지분법및기타!$G:$G,BS!G108,지분법및기타!$I:$I)</f>
        <v>0</v>
      </c>
      <c r="X108" s="657">
        <f t="shared" ref="X108:X119" si="115">U108+W108-V108</f>
        <v>4100000000</v>
      </c>
      <c r="Y108" s="443" t="s">
        <v>57</v>
      </c>
      <c r="AA108" s="108">
        <f t="shared" ref="AA108:AA109" si="116">X108-O108</f>
        <v>0</v>
      </c>
      <c r="AB108" s="497"/>
    </row>
    <row r="109" spans="1:32">
      <c r="A109" s="444">
        <v>4</v>
      </c>
      <c r="B109" s="445"/>
      <c r="C109" s="446"/>
      <c r="D109" s="447"/>
      <c r="E109" s="448" t="s">
        <v>59</v>
      </c>
      <c r="F109" s="431"/>
      <c r="G109" s="442" t="s">
        <v>696</v>
      </c>
      <c r="H109" s="659">
        <f>SUMIF(별도정산표!$G:$G,BS!G109,별도정산표!$E:$E)</f>
        <v>710376650</v>
      </c>
      <c r="I109" s="659">
        <f>SUMIF(울트라팜_FS!$A:$A,BS!G109,울트라팜_FS!$D:$D)</f>
        <v>0</v>
      </c>
      <c r="J109" s="659">
        <f>SUMIF(HK_BS!$A:$A,BS!G109,HK_BS!$K:$K)</f>
        <v>0</v>
      </c>
      <c r="K109" s="659">
        <f>SUMIF(DHK_BS!$A:$A,BS!G109,DHK_BS!$K:$K)</f>
        <v>0</v>
      </c>
      <c r="L109" s="659">
        <f>SUMIF(상해_BS!$A:$A,BS!G109,상해_BS!$K:$K)</f>
        <v>0</v>
      </c>
      <c r="M109" s="659">
        <f>SUMIF(SG_BS!$A:$A,BS!G109,SG_BS!$K:$K)</f>
        <v>0</v>
      </c>
      <c r="N109" s="659">
        <f>SUMIF(ATGC_BS!$H:$H,BS!G109,ATGC_BS!$I:$I)</f>
        <v>0</v>
      </c>
      <c r="O109" s="650">
        <f t="shared" si="112"/>
        <v>710376650</v>
      </c>
      <c r="P109" s="651">
        <f>SUMIF(RIC!D:D,BS!G109,RIC!F:F)</f>
        <v>0</v>
      </c>
      <c r="Q109" s="652">
        <f>SUMIF(RIC!G:G,BS!G109,RIC!I:I)</f>
        <v>0</v>
      </c>
      <c r="R109" s="650">
        <f t="shared" si="113"/>
        <v>710376650</v>
      </c>
      <c r="S109" s="653">
        <f>SUMIF(RIT!H:H,BS!G109,RIT!J:J)</f>
        <v>0</v>
      </c>
      <c r="T109" s="654">
        <f>SUMIF(RIT!K:K,BS!G109,RIT!M:M)</f>
        <v>0</v>
      </c>
      <c r="U109" s="650">
        <f t="shared" si="114"/>
        <v>710376650</v>
      </c>
      <c r="V109" s="655">
        <f>SUMIF(지분법및기타!$D:$D,BS!G109,지분법및기타!$F:$F)</f>
        <v>0</v>
      </c>
      <c r="W109" s="656">
        <f>SUMIF(지분법및기타!$G:$G,BS!G109,지분법및기타!$I:$I)</f>
        <v>0</v>
      </c>
      <c r="X109" s="657">
        <f t="shared" si="115"/>
        <v>710376650</v>
      </c>
      <c r="Y109" s="443" t="s">
        <v>885</v>
      </c>
      <c r="AA109" s="108">
        <f t="shared" si="116"/>
        <v>0</v>
      </c>
      <c r="AB109" s="497"/>
    </row>
    <row r="110" spans="1:32">
      <c r="A110" s="444">
        <v>4</v>
      </c>
      <c r="B110" s="445"/>
      <c r="C110" s="446"/>
      <c r="D110" s="447"/>
      <c r="E110" s="448" t="s">
        <v>698</v>
      </c>
      <c r="F110" s="431"/>
      <c r="G110" s="442" t="s">
        <v>697</v>
      </c>
      <c r="H110" s="659">
        <f>SUMIF(별도정산표!$G:$G,BS!G110,별도정산표!$E:$E)</f>
        <v>0</v>
      </c>
      <c r="I110" s="659">
        <f>SUMIF(울트라팜_FS!$A:$A,BS!G110,울트라팜_FS!$D:$D)</f>
        <v>0</v>
      </c>
      <c r="J110" s="659">
        <f>SUMIF(HK_BS!$A:$A,BS!G110,HK_BS!$K:$K)</f>
        <v>0</v>
      </c>
      <c r="K110" s="659">
        <f>SUMIF(DHK_BS!$A:$A,BS!G110,DHK_BS!$K:$K)</f>
        <v>0</v>
      </c>
      <c r="L110" s="659">
        <f>SUMIF(상해_BS!$A:$A,BS!G110,상해_BS!$K:$K)</f>
        <v>0</v>
      </c>
      <c r="M110" s="659">
        <f>SUMIF(SG_BS!$A:$A,BS!G110,SG_BS!$K:$K)</f>
        <v>0</v>
      </c>
      <c r="N110" s="659">
        <f>SUMIF(ATGC_BS!$H:$H,BS!G110,ATGC_BS!$I:$I)</f>
        <v>0</v>
      </c>
      <c r="O110" s="650">
        <f t="shared" si="112"/>
        <v>0</v>
      </c>
      <c r="P110" s="651">
        <f>SUMIF(RIC!D:D,BS!G110,RIC!F:F)</f>
        <v>0</v>
      </c>
      <c r="Q110" s="652">
        <f>SUMIF(RIC!G:G,BS!G110,RIC!I:I)</f>
        <v>0</v>
      </c>
      <c r="R110" s="650">
        <f t="shared" si="113"/>
        <v>0</v>
      </c>
      <c r="S110" s="653">
        <f>SUMIF(RIT!H:H,BS!G110,RIT!J:J)</f>
        <v>0</v>
      </c>
      <c r="T110" s="654">
        <f>SUMIF(RIT!K:K,BS!G110,RIT!M:M)</f>
        <v>0</v>
      </c>
      <c r="U110" s="650">
        <f t="shared" si="114"/>
        <v>0</v>
      </c>
      <c r="V110" s="655">
        <f>SUMIF(지분법및기타!$D:$D,BS!G110,지분법및기타!$F:$F)</f>
        <v>0</v>
      </c>
      <c r="W110" s="656">
        <f>SUMIF(지분법및기타!$G:$G,BS!G110,지분법및기타!$I:$I)</f>
        <v>0</v>
      </c>
      <c r="X110" s="657">
        <f t="shared" si="115"/>
        <v>0</v>
      </c>
      <c r="Y110" s="443" t="s">
        <v>698</v>
      </c>
      <c r="AA110" s="108"/>
      <c r="AB110" s="497"/>
    </row>
    <row r="111" spans="1:32">
      <c r="A111" s="444">
        <v>4</v>
      </c>
      <c r="B111" s="445"/>
      <c r="C111" s="446"/>
      <c r="D111" s="447"/>
      <c r="E111" s="448" t="s">
        <v>700</v>
      </c>
      <c r="F111" s="431"/>
      <c r="G111" s="442" t="s">
        <v>699</v>
      </c>
      <c r="H111" s="659">
        <f>SUMIF(별도정산표!$G:$G,BS!G111,별도정산표!$E:$E)</f>
        <v>0</v>
      </c>
      <c r="I111" s="659">
        <f>SUMIF(울트라팜_FS!$A:$A,BS!G111,울트라팜_FS!$D:$D)</f>
        <v>0</v>
      </c>
      <c r="J111" s="659">
        <f>SUMIF(HK_BS!$A:$A,BS!G111,HK_BS!$K:$K)</f>
        <v>0</v>
      </c>
      <c r="K111" s="659">
        <f>SUMIF(DHK_BS!$A:$A,BS!G111,DHK_BS!$K:$K)</f>
        <v>0</v>
      </c>
      <c r="L111" s="659">
        <f>SUMIF(상해_BS!$A:$A,BS!G111,상해_BS!$K:$K)</f>
        <v>0</v>
      </c>
      <c r="M111" s="659">
        <f>SUMIF(SG_BS!$A:$A,BS!G111,SG_BS!$K:$K)</f>
        <v>0</v>
      </c>
      <c r="N111" s="659">
        <f>SUMIF(ATGC_BS!$H:$H,BS!G111,ATGC_BS!$I:$I)</f>
        <v>0</v>
      </c>
      <c r="O111" s="650">
        <f t="shared" si="112"/>
        <v>0</v>
      </c>
      <c r="P111" s="651">
        <f>SUMIF(RIC!D:D,BS!G111,RIC!F:F)</f>
        <v>0</v>
      </c>
      <c r="Q111" s="652">
        <f>SUMIF(RIC!G:G,BS!G111,RIC!I:I)</f>
        <v>0</v>
      </c>
      <c r="R111" s="650">
        <f t="shared" si="113"/>
        <v>0</v>
      </c>
      <c r="S111" s="653">
        <f>SUMIF(RIT!H:H,BS!G111,RIT!J:J)</f>
        <v>0</v>
      </c>
      <c r="T111" s="654">
        <f>SUMIF(RIT!K:K,BS!G111,RIT!M:M)</f>
        <v>0</v>
      </c>
      <c r="U111" s="650">
        <f t="shared" si="114"/>
        <v>0</v>
      </c>
      <c r="V111" s="655">
        <f>SUMIF(지분법및기타!$D:$D,BS!G111,지분법및기타!$F:$F)</f>
        <v>0</v>
      </c>
      <c r="W111" s="656">
        <f>SUMIF(지분법및기타!$G:$G,BS!G111,지분법및기타!$I:$I)</f>
        <v>0</v>
      </c>
      <c r="X111" s="657">
        <f t="shared" si="115"/>
        <v>0</v>
      </c>
      <c r="Y111" s="443" t="s">
        <v>700</v>
      </c>
      <c r="AA111" s="108"/>
      <c r="AB111" s="497"/>
    </row>
    <row r="112" spans="1:32">
      <c r="A112" s="444">
        <v>4</v>
      </c>
      <c r="B112" s="445"/>
      <c r="C112" s="446"/>
      <c r="D112" s="447"/>
      <c r="E112" s="448" t="s">
        <v>702</v>
      </c>
      <c r="F112" s="431"/>
      <c r="G112" s="442" t="s">
        <v>701</v>
      </c>
      <c r="H112" s="659">
        <f>SUMIF(별도정산표!$G:$G,BS!G112,별도정산표!$E:$E)</f>
        <v>0</v>
      </c>
      <c r="I112" s="659">
        <f>SUMIF(울트라팜_FS!$A:$A,BS!G112,울트라팜_FS!$D:$D)</f>
        <v>0</v>
      </c>
      <c r="J112" s="659">
        <f>SUMIF(HK_BS!$A:$A,BS!G112,HK_BS!$K:$K)</f>
        <v>0</v>
      </c>
      <c r="K112" s="659">
        <f>SUMIF(DHK_BS!$A:$A,BS!G112,DHK_BS!$K:$K)</f>
        <v>0</v>
      </c>
      <c r="L112" s="659">
        <f>SUMIF(상해_BS!$A:$A,BS!G112,상해_BS!$K:$K)</f>
        <v>0</v>
      </c>
      <c r="M112" s="659">
        <f>SUMIF(SG_BS!$A:$A,BS!G112,SG_BS!$K:$K)</f>
        <v>0</v>
      </c>
      <c r="N112" s="659">
        <f>SUMIF(ATGC_BS!$H:$H,BS!G112,ATGC_BS!$I:$I)</f>
        <v>0</v>
      </c>
      <c r="O112" s="650">
        <f t="shared" si="112"/>
        <v>0</v>
      </c>
      <c r="P112" s="651">
        <f>SUMIF(RIC!D:D,BS!G112,RIC!F:F)</f>
        <v>0</v>
      </c>
      <c r="Q112" s="652">
        <f>SUMIF(RIC!G:G,BS!G112,RIC!I:I)</f>
        <v>0</v>
      </c>
      <c r="R112" s="650">
        <f t="shared" si="113"/>
        <v>0</v>
      </c>
      <c r="S112" s="653">
        <f>SUMIF(RIT!H:H,BS!G112,RIT!J:J)</f>
        <v>0</v>
      </c>
      <c r="T112" s="654">
        <f>SUMIF(RIT!K:K,BS!G112,RIT!M:M)</f>
        <v>0</v>
      </c>
      <c r="U112" s="650">
        <f t="shared" si="114"/>
        <v>0</v>
      </c>
      <c r="V112" s="655">
        <f>SUMIF(지분법및기타!$D:$D,BS!G112,지분법및기타!$F:$F)</f>
        <v>0</v>
      </c>
      <c r="W112" s="656">
        <f>SUMIF(지분법및기타!$G:$G,BS!G112,지분법및기타!$I:$I)</f>
        <v>0</v>
      </c>
      <c r="X112" s="657">
        <f t="shared" si="115"/>
        <v>0</v>
      </c>
      <c r="Y112" s="443" t="s">
        <v>702</v>
      </c>
      <c r="AA112" s="108"/>
      <c r="AB112" s="497"/>
    </row>
    <row r="113" spans="1:32">
      <c r="A113" s="444">
        <v>4</v>
      </c>
      <c r="B113" s="445"/>
      <c r="C113" s="446"/>
      <c r="D113" s="447"/>
      <c r="E113" s="448" t="s">
        <v>590</v>
      </c>
      <c r="F113" s="431"/>
      <c r="G113" s="442" t="s">
        <v>703</v>
      </c>
      <c r="H113" s="659">
        <f>SUMIF(별도정산표!$G:$G,BS!G113,별도정산표!$E:$E)</f>
        <v>799358124</v>
      </c>
      <c r="I113" s="659">
        <f>SUMIF(울트라팜_FS!$A:$A,BS!G113,울트라팜_FS!$D:$D)</f>
        <v>0</v>
      </c>
      <c r="J113" s="659">
        <f>SUMIF(HK_BS!$A:$A,BS!G113,HK_BS!$K:$K)</f>
        <v>0</v>
      </c>
      <c r="K113" s="659">
        <f>SUMIF(DHK_BS!$A:$A,BS!G113,DHK_BS!$K:$K)</f>
        <v>0</v>
      </c>
      <c r="L113" s="659">
        <f>SUMIF(상해_BS!$A:$A,BS!G113,상해_BS!$K:$K)</f>
        <v>0</v>
      </c>
      <c r="M113" s="659">
        <f>SUMIF(SG_BS!$A:$A,BS!G113,SG_BS!$K:$K)</f>
        <v>0</v>
      </c>
      <c r="N113" s="659">
        <f>SUMIF(ATGC_BS!$H:$H,BS!G113,ATGC_BS!$I:$I)</f>
        <v>735901979</v>
      </c>
      <c r="O113" s="650">
        <f t="shared" si="112"/>
        <v>1535260103</v>
      </c>
      <c r="P113" s="651">
        <f>SUMIF(RIC!D:D,BS!G113,RIC!F:F)</f>
        <v>0</v>
      </c>
      <c r="Q113" s="652">
        <f>SUMIF(RIC!G:G,BS!G113,RIC!I:I)</f>
        <v>0</v>
      </c>
      <c r="R113" s="650">
        <f t="shared" si="113"/>
        <v>1535260103</v>
      </c>
      <c r="S113" s="653">
        <f>SUMIF(RIT!H:H,BS!G113,RIT!J:J)</f>
        <v>0</v>
      </c>
      <c r="T113" s="654">
        <f>SUMIF(RIT!K:K,BS!G113,RIT!M:M)</f>
        <v>0</v>
      </c>
      <c r="U113" s="650">
        <f t="shared" si="114"/>
        <v>1535260103</v>
      </c>
      <c r="V113" s="655">
        <f>SUMIF(지분법및기타!$D:$D,BS!G113,지분법및기타!$F:$F)</f>
        <v>0</v>
      </c>
      <c r="W113" s="656">
        <f>SUMIF(지분법및기타!$G:$G,BS!G113,지분법및기타!$I:$I)</f>
        <v>0</v>
      </c>
      <c r="X113" s="657">
        <f t="shared" si="115"/>
        <v>1535260103</v>
      </c>
      <c r="Y113" s="443" t="s">
        <v>590</v>
      </c>
      <c r="AA113" s="108">
        <f t="shared" ref="AA113:AA115" si="117">X113-O113</f>
        <v>0</v>
      </c>
      <c r="AB113" s="497"/>
    </row>
    <row r="114" spans="1:32">
      <c r="A114" s="444">
        <v>4</v>
      </c>
      <c r="B114" s="445"/>
      <c r="C114" s="446"/>
      <c r="D114" s="447"/>
      <c r="E114" s="448" t="s">
        <v>2655</v>
      </c>
      <c r="F114" s="431"/>
      <c r="G114" s="544" t="s">
        <v>2440</v>
      </c>
      <c r="H114" s="659">
        <f>SUMIF(별도정산표!$G:$G,BS!G114,별도정산표!$E:$E)</f>
        <v>205709924</v>
      </c>
      <c r="I114" s="659">
        <f>SUMIF(울트라팜_FS!$A:$A,BS!G114,울트라팜_FS!$D:$D)</f>
        <v>0</v>
      </c>
      <c r="J114" s="659">
        <f>SUMIF(HK_BS!$A:$A,BS!G114,HK_BS!$K:$K)</f>
        <v>0</v>
      </c>
      <c r="K114" s="659">
        <f>SUMIF(DHK_BS!$A:$A,BS!G114,DHK_BS!$K:$K)</f>
        <v>0</v>
      </c>
      <c r="L114" s="659">
        <f>SUMIF(상해_BS!$A:$A,BS!G114,상해_BS!$K:$K)</f>
        <v>0</v>
      </c>
      <c r="M114" s="659">
        <f>SUMIF(SG_BS!$A:$A,BS!G114,SG_BS!$K:$K)</f>
        <v>0</v>
      </c>
      <c r="N114" s="659">
        <f>SUMIF(ATGC_BS!$H:$H,BS!G114,ATGC_BS!$I:$I)</f>
        <v>0</v>
      </c>
      <c r="O114" s="650">
        <f t="shared" si="112"/>
        <v>205709924</v>
      </c>
      <c r="P114" s="651">
        <f>SUMIF(RIC!D:D,BS!G114,RIC!F:F)</f>
        <v>0</v>
      </c>
      <c r="Q114" s="652">
        <f>SUMIF(RIC!G:G,BS!G114,RIC!I:I)</f>
        <v>0</v>
      </c>
      <c r="R114" s="650">
        <f t="shared" si="113"/>
        <v>205709924</v>
      </c>
      <c r="S114" s="653">
        <f>SUMIF(RIT!H:H,BS!G114,RIT!J:J)</f>
        <v>0</v>
      </c>
      <c r="T114" s="654">
        <f>SUMIF(RIT!K:K,BS!G114,RIT!M:M)</f>
        <v>0</v>
      </c>
      <c r="U114" s="650">
        <f t="shared" si="114"/>
        <v>205709924</v>
      </c>
      <c r="V114" s="655">
        <f>SUMIF(지분법및기타!$D:$D,BS!G114,지분법및기타!$F:$F)</f>
        <v>7625559</v>
      </c>
      <c r="W114" s="656">
        <f>SUMIF(지분법및기타!$G:$G,BS!G114,지분법및기타!$I:$I)</f>
        <v>7625559</v>
      </c>
      <c r="X114" s="657">
        <f t="shared" si="115"/>
        <v>205709924</v>
      </c>
      <c r="Y114" s="443" t="s">
        <v>2663</v>
      </c>
      <c r="AA114" s="108">
        <f t="shared" si="117"/>
        <v>0</v>
      </c>
      <c r="AB114" s="497"/>
    </row>
    <row r="115" spans="1:32">
      <c r="A115" s="444">
        <v>4</v>
      </c>
      <c r="B115" s="445"/>
      <c r="C115" s="446"/>
      <c r="D115" s="447"/>
      <c r="E115" s="448" t="s">
        <v>506</v>
      </c>
      <c r="F115" s="431"/>
      <c r="G115" s="442" t="s">
        <v>2656</v>
      </c>
      <c r="H115" s="659">
        <f>SUMIF(별도정산표!$G:$G,BS!G115,별도정산표!$E:$E)</f>
        <v>0</v>
      </c>
      <c r="I115" s="659">
        <f>SUMIF(울트라팜_FS!$A:$A,BS!G115,울트라팜_FS!$D:$D)</f>
        <v>0</v>
      </c>
      <c r="J115" s="659">
        <f>SUMIF(HK_BS!$A:$A,BS!G115,HK_BS!$K:$K)</f>
        <v>0</v>
      </c>
      <c r="K115" s="659">
        <f>SUMIF(DHK_BS!$A:$A,BS!G115,DHK_BS!$K:$K)</f>
        <v>0</v>
      </c>
      <c r="L115" s="659">
        <f>SUMIF(상해_BS!$A:$A,BS!G115,상해_BS!$K:$K)</f>
        <v>0</v>
      </c>
      <c r="M115" s="659">
        <f>SUMIF(SG_BS!$A:$A,BS!G115,SG_BS!$K:$K)</f>
        <v>0</v>
      </c>
      <c r="N115" s="659">
        <f>SUMIF(ATGC_BS!$H:$H,BS!G115,ATGC_BS!$I:$I)</f>
        <v>0</v>
      </c>
      <c r="O115" s="650">
        <f t="shared" si="112"/>
        <v>0</v>
      </c>
      <c r="P115" s="651">
        <f>SUMIF(RIC!D:D,BS!G115,RIC!F:F)</f>
        <v>0</v>
      </c>
      <c r="Q115" s="652">
        <f>SUMIF(RIC!G:G,BS!G115,RIC!I:I)</f>
        <v>2449625188</v>
      </c>
      <c r="R115" s="650">
        <f t="shared" si="113"/>
        <v>2449625188</v>
      </c>
      <c r="S115" s="653">
        <f>SUMIF(RIT!H:H,BS!G115,RIT!J:J)</f>
        <v>0</v>
      </c>
      <c r="T115" s="654">
        <f>SUMIF(RIT!K:K,BS!G115,RIT!M:M)</f>
        <v>13339440</v>
      </c>
      <c r="U115" s="650">
        <f t="shared" si="114"/>
        <v>2462964628</v>
      </c>
      <c r="V115" s="655">
        <f>SUMIF(지분법및기타!$D:$D,BS!G115,지분법및기타!$F:$F)</f>
        <v>0</v>
      </c>
      <c r="W115" s="656">
        <f>SUMIF(지분법및기타!$G:$G,BS!G115,지분법및기타!$I:$I)</f>
        <v>0</v>
      </c>
      <c r="X115" s="657">
        <f t="shared" si="115"/>
        <v>2462964628</v>
      </c>
      <c r="Y115" s="443" t="s">
        <v>506</v>
      </c>
      <c r="AA115" s="108">
        <f t="shared" si="117"/>
        <v>2462964628</v>
      </c>
      <c r="AB115" s="497" t="s">
        <v>2700</v>
      </c>
      <c r="AF115" s="101"/>
    </row>
    <row r="116" spans="1:32">
      <c r="A116" s="444"/>
      <c r="B116" s="445"/>
      <c r="C116" s="446"/>
      <c r="D116" s="447"/>
      <c r="E116" s="448" t="s">
        <v>3776</v>
      </c>
      <c r="F116" s="431"/>
      <c r="G116" s="964" t="s">
        <v>3782</v>
      </c>
      <c r="H116" s="659">
        <f>SUMIF(별도정산표!$G:$G,BS!G116,별도정산표!$E:$E)</f>
        <v>0</v>
      </c>
      <c r="I116" s="659">
        <f>SUMIF(울트라팜_FS!$A:$A,BS!G116,울트라팜_FS!$D:$D)</f>
        <v>0</v>
      </c>
      <c r="J116" s="659">
        <f>SUMIF(HK_BS!$A:$A,BS!G116,HK_BS!$K:$K)</f>
        <v>0</v>
      </c>
      <c r="K116" s="659">
        <f>SUMIF(DHK_BS!$A:$A,BS!G116,DHK_BS!$K:$K)</f>
        <v>0</v>
      </c>
      <c r="L116" s="659">
        <f>SUMIF(상해_BS!$A:$A,BS!G116,상해_BS!$K:$K)</f>
        <v>0</v>
      </c>
      <c r="M116" s="659">
        <f>SUMIF(SG_BS!$A:$A,BS!G116,SG_BS!$K:$K)</f>
        <v>0</v>
      </c>
      <c r="N116" s="659">
        <f>SUMIF(ATGC_BS!$H:$H,BS!G116,ATGC_BS!$I:$I)</f>
        <v>339690000</v>
      </c>
      <c r="O116" s="650">
        <f t="shared" ref="O116:O118" si="118">SUM(H116:N116)</f>
        <v>339690000</v>
      </c>
      <c r="P116" s="651">
        <f>SUMIF(RIC!D:D,BS!G116,RIC!F:F)</f>
        <v>0</v>
      </c>
      <c r="Q116" s="652">
        <f>SUMIF(RIC!G:G,BS!G116,RIC!I:I)</f>
        <v>0</v>
      </c>
      <c r="R116" s="650">
        <f t="shared" ref="R116:R118" si="119">O116+Q116-P116</f>
        <v>339690000</v>
      </c>
      <c r="S116" s="653">
        <f>SUMIF(RIT!H:H,BS!G116,RIT!J:J)</f>
        <v>0</v>
      </c>
      <c r="T116" s="654">
        <f>SUMIF(RIT!K:K,BS!G116,RIT!M:M)</f>
        <v>0</v>
      </c>
      <c r="U116" s="650">
        <f t="shared" ref="U116:U118" si="120">R116+T116-S116</f>
        <v>339690000</v>
      </c>
      <c r="V116" s="655">
        <f>SUMIF(지분법및기타!$D:$D,BS!G116,지분법및기타!$F:$F)</f>
        <v>0</v>
      </c>
      <c r="W116" s="656">
        <f>SUMIF(지분법및기타!$G:$G,BS!G116,지분법및기타!$I:$I)</f>
        <v>0</v>
      </c>
      <c r="X116" s="657">
        <f t="shared" ref="X116:X118" si="121">U116+W116-V116</f>
        <v>339690000</v>
      </c>
      <c r="Y116" s="443" t="s">
        <v>3788</v>
      </c>
      <c r="AA116" s="108"/>
      <c r="AB116" s="497"/>
      <c r="AF116" s="101"/>
    </row>
    <row r="117" spans="1:32">
      <c r="A117" s="444"/>
      <c r="B117" s="445"/>
      <c r="C117" s="446"/>
      <c r="D117" s="447"/>
      <c r="E117" s="448" t="s">
        <v>3778</v>
      </c>
      <c r="F117" s="431"/>
      <c r="G117" s="964" t="s">
        <v>3784</v>
      </c>
      <c r="H117" s="659">
        <f>SUMIF(별도정산표!$G:$G,BS!G117,별도정산표!$E:$E)</f>
        <v>0</v>
      </c>
      <c r="I117" s="659">
        <f>SUMIF(울트라팜_FS!$A:$A,BS!G117,울트라팜_FS!$D:$D)</f>
        <v>0</v>
      </c>
      <c r="J117" s="659">
        <f>SUMIF(HK_BS!$A:$A,BS!G117,HK_BS!$K:$K)</f>
        <v>0</v>
      </c>
      <c r="K117" s="659">
        <f>SUMIF(DHK_BS!$A:$A,BS!G117,DHK_BS!$K:$K)</f>
        <v>0</v>
      </c>
      <c r="L117" s="659">
        <f>SUMIF(상해_BS!$A:$A,BS!G117,상해_BS!$K:$K)</f>
        <v>0</v>
      </c>
      <c r="M117" s="659">
        <f>SUMIF(SG_BS!$A:$A,BS!G117,SG_BS!$K:$K)</f>
        <v>0</v>
      </c>
      <c r="N117" s="659">
        <f>SUMIF(ATGC_BS!$H:$H,BS!G117,ATGC_BS!$I:$I)</f>
        <v>-39995101</v>
      </c>
      <c r="O117" s="650">
        <f t="shared" si="118"/>
        <v>-39995101</v>
      </c>
      <c r="P117" s="651">
        <f>SUMIF(RIC!D:D,BS!G117,RIC!F:F)</f>
        <v>0</v>
      </c>
      <c r="Q117" s="652">
        <f>SUMIF(RIC!G:G,BS!G117,RIC!I:I)</f>
        <v>0</v>
      </c>
      <c r="R117" s="650">
        <f t="shared" si="119"/>
        <v>-39995101</v>
      </c>
      <c r="S117" s="653">
        <f>SUMIF(RIT!H:H,BS!G117,RIT!J:J)</f>
        <v>0</v>
      </c>
      <c r="T117" s="654">
        <f>SUMIF(RIT!K:K,BS!G117,RIT!M:M)</f>
        <v>0</v>
      </c>
      <c r="U117" s="650">
        <f t="shared" si="120"/>
        <v>-39995101</v>
      </c>
      <c r="V117" s="655">
        <f>SUMIF(지분법및기타!$D:$D,BS!G117,지분법및기타!$F:$F)</f>
        <v>0</v>
      </c>
      <c r="W117" s="656">
        <f>SUMIF(지분법및기타!$G:$G,BS!G117,지분법및기타!$I:$I)</f>
        <v>0</v>
      </c>
      <c r="X117" s="657">
        <f t="shared" si="121"/>
        <v>-39995101</v>
      </c>
      <c r="Y117" s="443" t="s">
        <v>3776</v>
      </c>
      <c r="AA117" s="108"/>
      <c r="AB117" s="497"/>
      <c r="AF117" s="101"/>
    </row>
    <row r="118" spans="1:32">
      <c r="A118" s="444"/>
      <c r="B118" s="445"/>
      <c r="C118" s="446"/>
      <c r="D118" s="447"/>
      <c r="E118" s="448" t="s">
        <v>3780</v>
      </c>
      <c r="F118" s="431"/>
      <c r="G118" s="964" t="s">
        <v>3786</v>
      </c>
      <c r="H118" s="659">
        <f>SUMIF(별도정산표!$G:$G,BS!G118,별도정산표!$E:$E)</f>
        <v>0</v>
      </c>
      <c r="I118" s="659">
        <f>SUMIF(울트라팜_FS!$A:$A,BS!G118,울트라팜_FS!$D:$D)</f>
        <v>0</v>
      </c>
      <c r="J118" s="659">
        <f>SUMIF(HK_BS!$A:$A,BS!G118,HK_BS!$K:$K)</f>
        <v>0</v>
      </c>
      <c r="K118" s="659">
        <f>SUMIF(DHK_BS!$A:$A,BS!G118,DHK_BS!$K:$K)</f>
        <v>0</v>
      </c>
      <c r="L118" s="659">
        <f>SUMIF(상해_BS!$A:$A,BS!G118,상해_BS!$K:$K)</f>
        <v>0</v>
      </c>
      <c r="M118" s="659">
        <f>SUMIF(SG_BS!$A:$A,BS!G118,SG_BS!$K:$K)</f>
        <v>0</v>
      </c>
      <c r="N118" s="659">
        <f>SUMIF(ATGC_BS!$H:$H,BS!G118,ATGC_BS!$I:$I)</f>
        <v>77758201</v>
      </c>
      <c r="O118" s="650">
        <f t="shared" si="118"/>
        <v>77758201</v>
      </c>
      <c r="P118" s="651">
        <f>SUMIF(RIC!D:D,BS!G118,RIC!F:F)</f>
        <v>0</v>
      </c>
      <c r="Q118" s="652">
        <f>SUMIF(RIC!G:G,BS!G118,RIC!I:I)</f>
        <v>0</v>
      </c>
      <c r="R118" s="650">
        <f t="shared" si="119"/>
        <v>77758201</v>
      </c>
      <c r="S118" s="653">
        <f>SUMIF(RIT!H:H,BS!G118,RIT!J:J)</f>
        <v>0</v>
      </c>
      <c r="T118" s="654">
        <f>SUMIF(RIT!K:K,BS!G118,RIT!M:M)</f>
        <v>0</v>
      </c>
      <c r="U118" s="650">
        <f t="shared" si="120"/>
        <v>77758201</v>
      </c>
      <c r="V118" s="655">
        <f>SUMIF(지분법및기타!$D:$D,BS!G118,지분법및기타!$F:$F)</f>
        <v>0</v>
      </c>
      <c r="W118" s="656">
        <f>SUMIF(지분법및기타!$G:$G,BS!G118,지분법및기타!$I:$I)</f>
        <v>0</v>
      </c>
      <c r="X118" s="657">
        <f t="shared" si="121"/>
        <v>77758201</v>
      </c>
      <c r="Y118" s="443" t="s">
        <v>3789</v>
      </c>
      <c r="AA118" s="108"/>
      <c r="AB118" s="497"/>
      <c r="AF118" s="101"/>
    </row>
    <row r="119" spans="1:32">
      <c r="A119" s="444">
        <v>4</v>
      </c>
      <c r="B119" s="445"/>
      <c r="C119" s="446"/>
      <c r="D119" s="447"/>
      <c r="E119" s="448" t="s">
        <v>823</v>
      </c>
      <c r="F119" s="431"/>
      <c r="G119" s="442"/>
      <c r="H119" s="659">
        <f>SUMIF(별도정산표!$G:$G,BS!G119,별도정산표!$E:$E)</f>
        <v>0</v>
      </c>
      <c r="I119" s="659">
        <f>SUMIF(울트라팜_FS!$A:$A,BS!G119,울트라팜_FS!$D:$D)</f>
        <v>0</v>
      </c>
      <c r="J119" s="659">
        <f>SUMIF(HK_BS!$A:$A,BS!G119,HK_BS!$K:$K)</f>
        <v>0</v>
      </c>
      <c r="K119" s="659">
        <f>SUMIF(DHK_BS!$A:$A,BS!G119,DHK_BS!$K:$K)</f>
        <v>0</v>
      </c>
      <c r="L119" s="659">
        <f>SUMIF(상해_BS!$A:$A,BS!G119,상해_BS!$K:$K)</f>
        <v>0</v>
      </c>
      <c r="M119" s="659">
        <f>SUMIF(SG_BS!$A:$A,BS!G119,SG_BS!$K:$K)</f>
        <v>0</v>
      </c>
      <c r="N119" s="659">
        <f>SUMIF(ATGC_BS!$H:$H,BS!G119,ATGC_BS!$I:$I)</f>
        <v>0</v>
      </c>
      <c r="O119" s="650">
        <f t="shared" si="112"/>
        <v>0</v>
      </c>
      <c r="P119" s="651">
        <f>SUMIF(RIC!D:D,BS!G119,RIC!F:F)</f>
        <v>0</v>
      </c>
      <c r="Q119" s="652">
        <f>SUMIF(RIC!G:G,BS!G119,RIC!I:I)</f>
        <v>0</v>
      </c>
      <c r="R119" s="650">
        <f t="shared" si="113"/>
        <v>0</v>
      </c>
      <c r="S119" s="653">
        <f>SUMIF(RIT!H:H,BS!G119,RIT!J:J)</f>
        <v>0</v>
      </c>
      <c r="T119" s="654">
        <f>SUMIF(RIT!K:K,BS!G119,RIT!M:M)</f>
        <v>0</v>
      </c>
      <c r="U119" s="650">
        <f t="shared" si="114"/>
        <v>0</v>
      </c>
      <c r="V119" s="655">
        <f>SUMIF(지분법및기타!$D:$D,BS!G119,지분법및기타!$F:$F)</f>
        <v>0</v>
      </c>
      <c r="W119" s="656">
        <f>SUMIF(지분법및기타!$G:$G,BS!G119,지분법및기타!$I:$I)</f>
        <v>0</v>
      </c>
      <c r="X119" s="657">
        <f t="shared" si="115"/>
        <v>0</v>
      </c>
      <c r="Y119" s="443"/>
      <c r="AA119" s="108"/>
      <c r="AB119" s="497"/>
      <c r="AF119" s="101"/>
    </row>
    <row r="120" spans="1:32">
      <c r="A120" s="437">
        <v>1</v>
      </c>
      <c r="B120" s="445" t="s">
        <v>61</v>
      </c>
      <c r="C120" s="446"/>
      <c r="D120" s="447"/>
      <c r="E120" s="448"/>
      <c r="F120" s="431"/>
      <c r="G120" s="442"/>
      <c r="H120" s="649">
        <f t="shared" ref="H120:O120" si="122">H121+H125+H131+H135+H143</f>
        <v>41700785295</v>
      </c>
      <c r="I120" s="649">
        <f t="shared" si="122"/>
        <v>0</v>
      </c>
      <c r="J120" s="649">
        <f t="shared" si="122"/>
        <v>1752007873</v>
      </c>
      <c r="K120" s="649">
        <f t="shared" si="122"/>
        <v>-1291437111</v>
      </c>
      <c r="L120" s="649">
        <f t="shared" si="122"/>
        <v>2287111</v>
      </c>
      <c r="M120" s="649">
        <f t="shared" ref="M120" si="123">M121+M125+M131+M135+M143</f>
        <v>22492142</v>
      </c>
      <c r="N120" s="649">
        <f t="shared" si="122"/>
        <v>236967394</v>
      </c>
      <c r="O120" s="650">
        <f t="shared" si="122"/>
        <v>42423102704</v>
      </c>
      <c r="P120" s="651"/>
      <c r="Q120" s="652"/>
      <c r="R120" s="650">
        <f>R121+R125+R131+R135+R143+R151</f>
        <v>43465758977</v>
      </c>
      <c r="S120" s="653"/>
      <c r="T120" s="654"/>
      <c r="U120" s="650">
        <f>U121+U125+U131+U135+U143+U151</f>
        <v>43395639400</v>
      </c>
      <c r="V120" s="655">
        <f>SUMIF(지분법및기타!$D:$D,BS!G120,지분법및기타!$F:$F)</f>
        <v>0</v>
      </c>
      <c r="W120" s="656">
        <f>SUMIF(지분법및기타!$G:$G,BS!G120,지분법및기타!$I:$I)</f>
        <v>0</v>
      </c>
      <c r="X120" s="657">
        <f>X121+X125+X131+X135+X143+X151</f>
        <v>41620994839</v>
      </c>
      <c r="Y120" s="443"/>
      <c r="AA120" s="108"/>
      <c r="AB120" s="497"/>
      <c r="AF120" s="101"/>
    </row>
    <row r="121" spans="1:32">
      <c r="A121" s="437">
        <v>2</v>
      </c>
      <c r="B121" s="445"/>
      <c r="C121" s="446" t="s">
        <v>62</v>
      </c>
      <c r="D121" s="447"/>
      <c r="E121" s="448"/>
      <c r="F121" s="431"/>
      <c r="G121" s="442"/>
      <c r="H121" s="649">
        <f t="shared" ref="H121:R121" si="124">H122</f>
        <v>5691191500</v>
      </c>
      <c r="I121" s="649">
        <f t="shared" si="124"/>
        <v>0</v>
      </c>
      <c r="J121" s="649">
        <f t="shared" si="124"/>
        <v>703476600</v>
      </c>
      <c r="K121" s="649">
        <f t="shared" si="124"/>
        <v>172100000</v>
      </c>
      <c r="L121" s="649">
        <f t="shared" si="124"/>
        <v>241041998</v>
      </c>
      <c r="M121" s="649">
        <f t="shared" si="124"/>
        <v>42330000</v>
      </c>
      <c r="N121" s="649">
        <f t="shared" si="124"/>
        <v>16655228500</v>
      </c>
      <c r="O121" s="650">
        <f t="shared" si="124"/>
        <v>23505368598</v>
      </c>
      <c r="P121" s="651"/>
      <c r="Q121" s="652"/>
      <c r="R121" s="650">
        <f t="shared" si="124"/>
        <v>5691191500</v>
      </c>
      <c r="S121" s="653"/>
      <c r="T121" s="654"/>
      <c r="U121" s="650">
        <f>U122</f>
        <v>5691191500</v>
      </c>
      <c r="V121" s="655">
        <f>SUMIF(지분법및기타!$D:$D,BS!G121,지분법및기타!$F:$F)</f>
        <v>0</v>
      </c>
      <c r="W121" s="656">
        <f>SUMIF(지분법및기타!$G:$G,BS!G121,지분법및기타!$I:$I)</f>
        <v>0</v>
      </c>
      <c r="X121" s="657">
        <f>X122</f>
        <v>5691191500</v>
      </c>
      <c r="Y121" s="443"/>
      <c r="AA121" s="108"/>
      <c r="AB121" s="497"/>
      <c r="AF121" s="101"/>
    </row>
    <row r="122" spans="1:32">
      <c r="A122" s="444">
        <v>3</v>
      </c>
      <c r="B122" s="445"/>
      <c r="C122" s="446"/>
      <c r="D122" s="447" t="s">
        <v>62</v>
      </c>
      <c r="E122" s="448"/>
      <c r="F122" s="431"/>
      <c r="G122" s="442"/>
      <c r="H122" s="649">
        <f t="shared" ref="H122:O122" si="125">H123+H124</f>
        <v>5691191500</v>
      </c>
      <c r="I122" s="649">
        <f t="shared" si="125"/>
        <v>0</v>
      </c>
      <c r="J122" s="649">
        <f t="shared" si="125"/>
        <v>703476600</v>
      </c>
      <c r="K122" s="649">
        <f t="shared" si="125"/>
        <v>172100000</v>
      </c>
      <c r="L122" s="649">
        <f t="shared" si="125"/>
        <v>241041998</v>
      </c>
      <c r="M122" s="649">
        <f t="shared" ref="M122" si="126">M123+M124</f>
        <v>42330000</v>
      </c>
      <c r="N122" s="649">
        <f t="shared" si="125"/>
        <v>16655228500</v>
      </c>
      <c r="O122" s="650">
        <f t="shared" si="125"/>
        <v>23505368598</v>
      </c>
      <c r="P122" s="651"/>
      <c r="Q122" s="652"/>
      <c r="R122" s="650">
        <f>R123+R124</f>
        <v>5691191500</v>
      </c>
      <c r="S122" s="653"/>
      <c r="T122" s="654"/>
      <c r="U122" s="650">
        <f>U123+U124</f>
        <v>5691191500</v>
      </c>
      <c r="V122" s="655">
        <f>SUMIF(지분법및기타!$D:$D,BS!G122,지분법및기타!$F:$F)</f>
        <v>0</v>
      </c>
      <c r="W122" s="656">
        <f>SUMIF(지분법및기타!$G:$G,BS!G122,지분법및기타!$I:$I)</f>
        <v>0</v>
      </c>
      <c r="X122" s="657">
        <f>X123+X124</f>
        <v>5691191500</v>
      </c>
      <c r="Y122" s="443"/>
      <c r="AA122" s="108"/>
      <c r="AB122" s="497"/>
      <c r="AF122" s="101"/>
    </row>
    <row r="123" spans="1:32">
      <c r="A123" s="444">
        <v>4</v>
      </c>
      <c r="B123" s="445"/>
      <c r="C123" s="446"/>
      <c r="D123" s="447"/>
      <c r="E123" s="448" t="s">
        <v>62</v>
      </c>
      <c r="F123" s="431"/>
      <c r="G123" s="442" t="s">
        <v>704</v>
      </c>
      <c r="H123" s="659">
        <f>SUMIF(별도정산표!$G:$G,BS!G123,별도정산표!$E:$E)</f>
        <v>5691191500</v>
      </c>
      <c r="I123" s="659">
        <f>SUMIF(울트라팜_FS!$A:$A,BS!G123,울트라팜_FS!$D:$D)</f>
        <v>0</v>
      </c>
      <c r="J123" s="659">
        <f>SUMIF(HK_BS!$A:$A,BS!G123,HK_BS!$K:$K)</f>
        <v>703476600</v>
      </c>
      <c r="K123" s="659">
        <f>SUMIF(DHK_BS!$A:$A,BS!G123,DHK_BS!$K:$K)</f>
        <v>172100000</v>
      </c>
      <c r="L123" s="659">
        <f>SUMIF(상해_BS!$A:$A,BS!G123,상해_BS!$K:$K)</f>
        <v>241041998</v>
      </c>
      <c r="M123" s="659">
        <f>SUMIF(SG_BS!$A:$A,BS!G123,SG_BS!$K:$K)</f>
        <v>42330000</v>
      </c>
      <c r="N123" s="659">
        <f>SUMIF(ATGC_BS!$H:$H,BS!G123,ATGC_BS!$I:$I)</f>
        <v>16602728500</v>
      </c>
      <c r="O123" s="650">
        <f>SUM(H123:N123)</f>
        <v>23452868598</v>
      </c>
      <c r="P123" s="651">
        <f>SUMIF(RIC!D:D,BS!G123,RIC!F:F)</f>
        <v>17761677098</v>
      </c>
      <c r="Q123" s="652">
        <f>SUMIF(RIC!G:G,BS!G123,RIC!I:I)</f>
        <v>0</v>
      </c>
      <c r="R123" s="650">
        <f>O123+Q123-P123</f>
        <v>5691191500</v>
      </c>
      <c r="S123" s="653">
        <f>SUMIF(RIT!H:H,BS!G123,RIT!J:J)</f>
        <v>0</v>
      </c>
      <c r="T123" s="654">
        <f>SUMIF(RIT!K:K,BS!G123,RIT!M:M)</f>
        <v>0</v>
      </c>
      <c r="U123" s="650">
        <f>R123+T123-S123</f>
        <v>5691191500</v>
      </c>
      <c r="V123" s="655">
        <f>SUMIF(지분법및기타!$D:$D,BS!G123,지분법및기타!$F:$F)</f>
        <v>0</v>
      </c>
      <c r="W123" s="656">
        <f>SUMIF(지분법및기타!$G:$G,BS!G123,지분법및기타!$I:$I)</f>
        <v>0</v>
      </c>
      <c r="X123" s="657">
        <f>U123+W123-V123</f>
        <v>5691191500</v>
      </c>
      <c r="Y123" s="443" t="s">
        <v>63</v>
      </c>
      <c r="AA123" s="108">
        <f t="shared" ref="AA123" si="127">X123-O123</f>
        <v>-17761677098</v>
      </c>
      <c r="AB123" s="497"/>
      <c r="AF123" s="101"/>
    </row>
    <row r="124" spans="1:32">
      <c r="A124" s="444">
        <v>4</v>
      </c>
      <c r="B124" s="445"/>
      <c r="C124" s="446"/>
      <c r="D124" s="447"/>
      <c r="E124" s="448" t="s">
        <v>64</v>
      </c>
      <c r="F124" s="431"/>
      <c r="G124" s="442" t="s">
        <v>705</v>
      </c>
      <c r="H124" s="659">
        <f>SUMIF(별도정산표!$G:$G,BS!G124,별도정산표!$E:$E)</f>
        <v>0</v>
      </c>
      <c r="I124" s="659">
        <f>SUMIF(울트라팜_FS!$A:$A,BS!G124,울트라팜_FS!$D:$D)</f>
        <v>0</v>
      </c>
      <c r="J124" s="659">
        <f>SUMIF(HK_BS!$A:$A,BS!G124,HK_BS!$K:$K)</f>
        <v>0</v>
      </c>
      <c r="K124" s="659">
        <f>SUMIF(DHK_BS!$A:$A,BS!G124,DHK_BS!$K:$K)</f>
        <v>0</v>
      </c>
      <c r="L124" s="659">
        <f>SUMIF(상해_BS!$A:$A,BS!G124,상해_BS!$K:$K)</f>
        <v>0</v>
      </c>
      <c r="M124" s="659">
        <f>SUMIF(SG_BS!$A:$A,BS!G124,SG_BS!$K:$K)</f>
        <v>0</v>
      </c>
      <c r="N124" s="659">
        <f>SUMIF(ATGC_BS!$H:$H,BS!G124,ATGC_BS!$I:$I)</f>
        <v>52500000</v>
      </c>
      <c r="O124" s="650">
        <f>SUM(H124:N124)</f>
        <v>52500000</v>
      </c>
      <c r="P124" s="651">
        <f>SUMIF(RIC!D:D,BS!G124,RIC!F:F)</f>
        <v>52500000</v>
      </c>
      <c r="Q124" s="652">
        <f>SUMIF(RIC!G:G,BS!G124,RIC!I:I)</f>
        <v>0</v>
      </c>
      <c r="R124" s="650">
        <f>O124+Q124-P124</f>
        <v>0</v>
      </c>
      <c r="S124" s="653">
        <f>SUMIF(RIT!H:H,BS!G124,RIT!J:J)</f>
        <v>0</v>
      </c>
      <c r="T124" s="654">
        <f>SUMIF(RIT!K:K,BS!G124,RIT!M:M)</f>
        <v>0</v>
      </c>
      <c r="U124" s="650">
        <f>R124+T124-S124</f>
        <v>0</v>
      </c>
      <c r="V124" s="655">
        <f>SUMIF(지분법및기타!$D:$D,BS!G124,지분법및기타!$F:$F)</f>
        <v>0</v>
      </c>
      <c r="W124" s="656">
        <f>SUMIF(지분법및기타!$G:$G,BS!G124,지분법및기타!$I:$I)</f>
        <v>0</v>
      </c>
      <c r="X124" s="657">
        <f>U124+W124-V124</f>
        <v>0</v>
      </c>
      <c r="Y124" s="443"/>
      <c r="AA124" s="108"/>
      <c r="AB124" s="497"/>
      <c r="AF124" s="101"/>
    </row>
    <row r="125" spans="1:32">
      <c r="A125" s="444">
        <v>2</v>
      </c>
      <c r="B125" s="445"/>
      <c r="C125" s="446" t="s">
        <v>65</v>
      </c>
      <c r="D125" s="447"/>
      <c r="E125" s="448"/>
      <c r="F125" s="431"/>
      <c r="G125" s="442"/>
      <c r="H125" s="649">
        <f t="shared" ref="H125:R125" si="128">H126</f>
        <v>45582010091</v>
      </c>
      <c r="I125" s="649">
        <f t="shared" si="128"/>
        <v>0</v>
      </c>
      <c r="J125" s="649">
        <f t="shared" si="128"/>
        <v>0</v>
      </c>
      <c r="K125" s="649">
        <f t="shared" si="128"/>
        <v>0</v>
      </c>
      <c r="L125" s="649">
        <f t="shared" si="128"/>
        <v>0</v>
      </c>
      <c r="M125" s="649">
        <f t="shared" si="128"/>
        <v>0</v>
      </c>
      <c r="N125" s="649">
        <f t="shared" si="128"/>
        <v>77407695535</v>
      </c>
      <c r="O125" s="650">
        <f t="shared" si="128"/>
        <v>122989705626</v>
      </c>
      <c r="P125" s="651"/>
      <c r="Q125" s="652"/>
      <c r="R125" s="650">
        <f t="shared" si="128"/>
        <v>45582010091</v>
      </c>
      <c r="S125" s="653"/>
      <c r="T125" s="654"/>
      <c r="U125" s="650">
        <f>U126</f>
        <v>45582010091</v>
      </c>
      <c r="V125" s="655">
        <f>SUMIF(지분법및기타!$D:$D,BS!G125,지분법및기타!$F:$F)</f>
        <v>0</v>
      </c>
      <c r="W125" s="656">
        <f>SUMIF(지분법및기타!$G:$G,BS!G125,지분법및기타!$I:$I)</f>
        <v>0</v>
      </c>
      <c r="X125" s="657">
        <f>X126</f>
        <v>45582010091</v>
      </c>
      <c r="Y125" s="443"/>
      <c r="AA125" s="108">
        <f t="shared" ref="AA125:AA127" si="129">X125-O125</f>
        <v>-77407695535</v>
      </c>
      <c r="AB125" s="497"/>
      <c r="AF125" s="101"/>
    </row>
    <row r="126" spans="1:32">
      <c r="A126" s="444">
        <v>3</v>
      </c>
      <c r="B126" s="445"/>
      <c r="C126" s="446"/>
      <c r="D126" s="447" t="s">
        <v>65</v>
      </c>
      <c r="E126" s="448"/>
      <c r="F126" s="431"/>
      <c r="G126" s="442"/>
      <c r="H126" s="649">
        <f t="shared" ref="H126:O126" si="130">+H127+H128+H129+H130</f>
        <v>45582010091</v>
      </c>
      <c r="I126" s="649">
        <f t="shared" si="130"/>
        <v>0</v>
      </c>
      <c r="J126" s="649">
        <f t="shared" si="130"/>
        <v>0</v>
      </c>
      <c r="K126" s="649">
        <f t="shared" si="130"/>
        <v>0</v>
      </c>
      <c r="L126" s="649">
        <f t="shared" si="130"/>
        <v>0</v>
      </c>
      <c r="M126" s="649">
        <f t="shared" ref="M126" si="131">+M127+M128+M129+M130</f>
        <v>0</v>
      </c>
      <c r="N126" s="649">
        <f t="shared" si="130"/>
        <v>77407695535</v>
      </c>
      <c r="O126" s="650">
        <f t="shared" si="130"/>
        <v>122989705626</v>
      </c>
      <c r="P126" s="651"/>
      <c r="Q126" s="652"/>
      <c r="R126" s="650">
        <f>+R127+R128+R129+R130</f>
        <v>45582010091</v>
      </c>
      <c r="S126" s="653"/>
      <c r="T126" s="654"/>
      <c r="U126" s="650">
        <f>+U127+U128+U129+U130</f>
        <v>45582010091</v>
      </c>
      <c r="V126" s="655">
        <f>SUMIF(지분법및기타!$D:$D,BS!G126,지분법및기타!$F:$F)</f>
        <v>0</v>
      </c>
      <c r="W126" s="656">
        <f>SUMIF(지분법및기타!$G:$G,BS!G126,지분법및기타!$I:$I)</f>
        <v>0</v>
      </c>
      <c r="X126" s="657">
        <f>+X127+X128+X129+X130</f>
        <v>45582010091</v>
      </c>
      <c r="Y126" s="443"/>
      <c r="AA126" s="108">
        <f t="shared" si="129"/>
        <v>-77407695535</v>
      </c>
      <c r="AB126" s="497"/>
      <c r="AF126" s="101"/>
    </row>
    <row r="127" spans="1:32">
      <c r="A127" s="444">
        <v>4</v>
      </c>
      <c r="B127" s="445"/>
      <c r="C127" s="446"/>
      <c r="D127" s="447"/>
      <c r="E127" s="448" t="s">
        <v>66</v>
      </c>
      <c r="F127" s="431"/>
      <c r="G127" s="442" t="s">
        <v>706</v>
      </c>
      <c r="H127" s="659">
        <f>SUMIF(별도정산표!$G:$G,BS!G127,별도정산표!$E:$E)</f>
        <v>45157382298</v>
      </c>
      <c r="I127" s="659">
        <f>SUMIF(울트라팜_FS!$A:$A,BS!G127,울트라팜_FS!$D:$D)</f>
        <v>0</v>
      </c>
      <c r="J127" s="659">
        <f>SUMIF(HK_BS!$A:$A,BS!G127,HK_BS!$K:$K)</f>
        <v>0</v>
      </c>
      <c r="K127" s="659">
        <f>SUMIF(DHK_BS!$A:$A,BS!G127,DHK_BS!$K:$K)</f>
        <v>0</v>
      </c>
      <c r="L127" s="659">
        <f>SUMIF(상해_BS!$A:$A,BS!G127,상해_BS!$K:$K)</f>
        <v>0</v>
      </c>
      <c r="M127" s="659">
        <f>SUMIF(SG_BS!$A:$A,BS!G127,SG_BS!$K:$K)</f>
        <v>0</v>
      </c>
      <c r="N127" s="659">
        <f>SUMIF(ATGC_BS!$H:$H,BS!G127,ATGC_BS!$I:$I)</f>
        <v>73648978244</v>
      </c>
      <c r="O127" s="650">
        <f>SUM(H127:N127)</f>
        <v>118806360542</v>
      </c>
      <c r="P127" s="651">
        <f>SUMIF(RIC!D:D,BS!G127,RIC!F:F)</f>
        <v>73648978244</v>
      </c>
      <c r="Q127" s="652">
        <f>SUMIF(RIC!G:G,BS!G127,RIC!I:I)</f>
        <v>0</v>
      </c>
      <c r="R127" s="650">
        <f>O127+Q127-P127</f>
        <v>45157382298</v>
      </c>
      <c r="S127" s="653">
        <f>SUMIF(RIT!H:H,BS!G127,RIT!J:J)</f>
        <v>0</v>
      </c>
      <c r="T127" s="654">
        <f>SUMIF(RIT!K:K,BS!G127,RIT!M:M)</f>
        <v>0</v>
      </c>
      <c r="U127" s="650">
        <f>R127+T127-S127</f>
        <v>45157382298</v>
      </c>
      <c r="V127" s="655">
        <f>SUMIF(지분법및기타!$D:$D,BS!G127,지분법및기타!$F:$F)</f>
        <v>0</v>
      </c>
      <c r="W127" s="656">
        <f>SUMIF(지분법및기타!$G:$G,BS!G127,지분법및기타!$I:$I)</f>
        <v>0</v>
      </c>
      <c r="X127" s="657">
        <f>U127+W127-V127</f>
        <v>45157382298</v>
      </c>
      <c r="Y127" s="443" t="s">
        <v>66</v>
      </c>
      <c r="AA127" s="108">
        <f t="shared" si="129"/>
        <v>-73648978244</v>
      </c>
      <c r="AB127" s="497"/>
      <c r="AF127" s="101"/>
    </row>
    <row r="128" spans="1:32">
      <c r="A128" s="444">
        <v>4</v>
      </c>
      <c r="B128" s="445"/>
      <c r="C128" s="446"/>
      <c r="D128" s="447"/>
      <c r="E128" s="448" t="s">
        <v>708</v>
      </c>
      <c r="F128" s="431"/>
      <c r="G128" s="442" t="s">
        <v>707</v>
      </c>
      <c r="H128" s="659">
        <f>SUMIF(별도정산표!$G:$G,BS!G128,별도정산표!$E:$E)</f>
        <v>0</v>
      </c>
      <c r="I128" s="659">
        <f>SUMIF(울트라팜_FS!$A:$A,BS!G128,울트라팜_FS!$D:$D)</f>
        <v>0</v>
      </c>
      <c r="J128" s="659">
        <f>SUMIF(HK_BS!$A:$A,BS!G128,HK_BS!$K:$K)</f>
        <v>0</v>
      </c>
      <c r="K128" s="659">
        <f>SUMIF(DHK_BS!$A:$A,BS!G128,DHK_BS!$K:$K)</f>
        <v>0</v>
      </c>
      <c r="L128" s="659">
        <f>SUMIF(상해_BS!$A:$A,BS!G128,상해_BS!$K:$K)</f>
        <v>0</v>
      </c>
      <c r="M128" s="659">
        <f>SUMIF(SG_BS!$A:$A,BS!G128,SG_BS!$K:$K)</f>
        <v>0</v>
      </c>
      <c r="N128" s="659">
        <f>SUMIF(ATGC_BS!$H:$H,BS!G128,ATGC_BS!$I:$I)</f>
        <v>0</v>
      </c>
      <c r="O128" s="650">
        <f>SUM(H128:N128)</f>
        <v>0</v>
      </c>
      <c r="P128" s="651">
        <f>SUMIF(RIC!D:D,BS!G128,RIC!F:F)</f>
        <v>0</v>
      </c>
      <c r="Q128" s="652">
        <f>SUMIF(RIC!G:G,BS!G128,RIC!I:I)</f>
        <v>0</v>
      </c>
      <c r="R128" s="650">
        <f>O128+Q128-P128</f>
        <v>0</v>
      </c>
      <c r="S128" s="653">
        <f>SUMIF(RIT!H:H,BS!G128,RIT!J:J)</f>
        <v>0</v>
      </c>
      <c r="T128" s="654">
        <f>SUMIF(RIT!K:K,BS!G128,RIT!M:M)</f>
        <v>0</v>
      </c>
      <c r="U128" s="650">
        <f>R128+T128-S128</f>
        <v>0</v>
      </c>
      <c r="V128" s="655">
        <f>SUMIF(지분법및기타!$D:$D,BS!G128,지분법및기타!$F:$F)</f>
        <v>0</v>
      </c>
      <c r="W128" s="656">
        <f>SUMIF(지분법및기타!$G:$G,BS!G128,지분법및기타!$I:$I)</f>
        <v>0</v>
      </c>
      <c r="X128" s="657">
        <f>U128+W128-V128</f>
        <v>0</v>
      </c>
      <c r="Y128" s="443"/>
      <c r="AA128" s="108"/>
      <c r="AB128" s="497"/>
      <c r="AF128" s="101"/>
    </row>
    <row r="129" spans="1:32">
      <c r="A129" s="444">
        <v>4</v>
      </c>
      <c r="B129" s="445"/>
      <c r="C129" s="446"/>
      <c r="D129" s="447"/>
      <c r="E129" s="448" t="s">
        <v>69</v>
      </c>
      <c r="F129" s="431"/>
      <c r="G129" s="442" t="s">
        <v>709</v>
      </c>
      <c r="H129" s="659">
        <f>SUMIF(별도정산표!$G:$G,BS!G129,별도정산표!$E:$E)</f>
        <v>424627793</v>
      </c>
      <c r="I129" s="659">
        <f>SUMIF(울트라팜_FS!$A:$A,BS!G129,울트라팜_FS!$D:$D)</f>
        <v>0</v>
      </c>
      <c r="J129" s="659">
        <f>SUMIF(HK_BS!$A:$A,BS!G129,HK_BS!$K:$K)</f>
        <v>0</v>
      </c>
      <c r="K129" s="659">
        <f>SUMIF(DHK_BS!$A:$A,BS!G129,DHK_BS!$K:$K)</f>
        <v>0</v>
      </c>
      <c r="L129" s="659">
        <f>SUMIF(상해_BS!$A:$A,BS!G129,상해_BS!$K:$K)</f>
        <v>0</v>
      </c>
      <c r="M129" s="659">
        <f>SUMIF(SG_BS!$A:$A,BS!G129,SG_BS!$K:$K)</f>
        <v>0</v>
      </c>
      <c r="N129" s="659">
        <f>SUMIF(ATGC_BS!$H:$H,BS!G129,ATGC_BS!$I:$I)</f>
        <v>0</v>
      </c>
      <c r="O129" s="650">
        <f>SUM(H129:N129)</f>
        <v>424627793</v>
      </c>
      <c r="P129" s="651">
        <f>SUMIF(RIC!D:D,BS!G129,RIC!F:F)</f>
        <v>0</v>
      </c>
      <c r="Q129" s="652">
        <f>SUMIF(RIC!G:G,BS!G129,RIC!I:I)</f>
        <v>0</v>
      </c>
      <c r="R129" s="650">
        <f>O129+Q129-P129</f>
        <v>424627793</v>
      </c>
      <c r="S129" s="653">
        <f>SUMIF(RIT!H:H,BS!G129,RIT!J:J)</f>
        <v>0</v>
      </c>
      <c r="T129" s="654">
        <f>SUMIF(RIT!K:K,BS!G129,RIT!M:M)</f>
        <v>0</v>
      </c>
      <c r="U129" s="650">
        <f>R129+T129-S129</f>
        <v>424627793</v>
      </c>
      <c r="V129" s="655">
        <f>SUMIF(지분법및기타!$D:$D,BS!G129,지분법및기타!$F:$F)</f>
        <v>0</v>
      </c>
      <c r="W129" s="656">
        <f>SUMIF(지분법및기타!$G:$G,BS!G129,지분법및기타!$I:$I)</f>
        <v>0</v>
      </c>
      <c r="X129" s="657">
        <f>U129+W129-V129</f>
        <v>424627793</v>
      </c>
      <c r="Y129" s="443" t="s">
        <v>889</v>
      </c>
      <c r="AA129" s="108">
        <f>X129-O129</f>
        <v>0</v>
      </c>
      <c r="AB129" s="497"/>
      <c r="AF129" s="101"/>
    </row>
    <row r="130" spans="1:32">
      <c r="A130" s="444">
        <v>4</v>
      </c>
      <c r="B130" s="445"/>
      <c r="C130" s="446"/>
      <c r="D130" s="447"/>
      <c r="E130" s="448" t="s">
        <v>3754</v>
      </c>
      <c r="F130" s="431"/>
      <c r="G130" s="442" t="s">
        <v>3752</v>
      </c>
      <c r="H130" s="659">
        <f>SUMIF(별도정산표!$G:$G,BS!G130,별도정산표!$E:$E)</f>
        <v>0</v>
      </c>
      <c r="I130" s="659">
        <f>SUMIF(울트라팜_FS!$A:$A,BS!G130,울트라팜_FS!$D:$D)</f>
        <v>0</v>
      </c>
      <c r="J130" s="659">
        <f>SUMIF(HK_BS!$A:$A,BS!G130,HK_BS!$K:$K)</f>
        <v>0</v>
      </c>
      <c r="K130" s="659">
        <f>SUMIF(DHK_BS!$A:$A,BS!G130,DHK_BS!$K:$K)</f>
        <v>0</v>
      </c>
      <c r="L130" s="659">
        <f>SUMIF(상해_BS!$A:$A,BS!G130,상해_BS!$K:$K)</f>
        <v>0</v>
      </c>
      <c r="M130" s="659">
        <f>SUMIF(SG_BS!$A:$A,BS!G130,SG_BS!$K:$K)</f>
        <v>0</v>
      </c>
      <c r="N130" s="659">
        <f>SUMIF(ATGC_BS!$H:$H,BS!G130,ATGC_BS!$I:$I)</f>
        <v>3758717291</v>
      </c>
      <c r="O130" s="650">
        <f>SUM(H130:N130)</f>
        <v>3758717291</v>
      </c>
      <c r="P130" s="651">
        <f>SUMIF(RIC!D:D,BS!G130,RIC!F:F)</f>
        <v>3758717291</v>
      </c>
      <c r="Q130" s="652">
        <f>SUMIF(RIC!G:G,BS!G130,RIC!I:I)</f>
        <v>0</v>
      </c>
      <c r="R130" s="650">
        <f>O130+Q130-P130</f>
        <v>0</v>
      </c>
      <c r="S130" s="653">
        <f>SUMIF(RIT!H:H,BS!G130,RIT!J:J)</f>
        <v>0</v>
      </c>
      <c r="T130" s="654">
        <f>SUMIF(RIT!K:K,BS!G130,RIT!M:M)</f>
        <v>0</v>
      </c>
      <c r="U130" s="650">
        <f>R130+T130-S130</f>
        <v>0</v>
      </c>
      <c r="V130" s="655">
        <f>SUMIF(지분법및기타!$D:$D,BS!G130,지분법및기타!$F:$F)</f>
        <v>0</v>
      </c>
      <c r="W130" s="656">
        <f>SUMIF(지분법및기타!$G:$G,BS!G130,지분법및기타!$I:$I)</f>
        <v>0</v>
      </c>
      <c r="X130" s="657">
        <f>U130+W130-V130</f>
        <v>0</v>
      </c>
      <c r="Y130" s="443" t="s">
        <v>3758</v>
      </c>
      <c r="AA130" s="108"/>
      <c r="AB130" s="497"/>
      <c r="AF130" s="101"/>
    </row>
    <row r="131" spans="1:32">
      <c r="A131" s="444">
        <v>2</v>
      </c>
      <c r="B131" s="445"/>
      <c r="C131" s="446" t="s">
        <v>67</v>
      </c>
      <c r="D131" s="447"/>
      <c r="E131" s="448"/>
      <c r="F131" s="431"/>
      <c r="G131" s="442"/>
      <c r="H131" s="649">
        <f t="shared" ref="H131:R131" si="132">H132</f>
        <v>0</v>
      </c>
      <c r="I131" s="649">
        <f t="shared" si="132"/>
        <v>0</v>
      </c>
      <c r="J131" s="649">
        <f t="shared" si="132"/>
        <v>0</v>
      </c>
      <c r="K131" s="649">
        <f t="shared" si="132"/>
        <v>0</v>
      </c>
      <c r="L131" s="649">
        <f t="shared" si="132"/>
        <v>0</v>
      </c>
      <c r="M131" s="649">
        <f t="shared" si="132"/>
        <v>0</v>
      </c>
      <c r="N131" s="649">
        <f t="shared" si="132"/>
        <v>0</v>
      </c>
      <c r="O131" s="650">
        <f t="shared" si="132"/>
        <v>0</v>
      </c>
      <c r="P131" s="651"/>
      <c r="Q131" s="652"/>
      <c r="R131" s="650">
        <f t="shared" si="132"/>
        <v>0</v>
      </c>
      <c r="S131" s="653"/>
      <c r="T131" s="654"/>
      <c r="U131" s="650">
        <f>U132</f>
        <v>0</v>
      </c>
      <c r="V131" s="655">
        <f>SUMIF(지분법및기타!$D:$D,BS!G131,지분법및기타!$F:$F)</f>
        <v>0</v>
      </c>
      <c r="W131" s="656">
        <f>SUMIF(지분법및기타!$G:$G,BS!G131,지분법및기타!$I:$I)</f>
        <v>0</v>
      </c>
      <c r="X131" s="657">
        <f>X132</f>
        <v>0</v>
      </c>
      <c r="Y131" s="443"/>
      <c r="AA131" s="108"/>
      <c r="AB131" s="497"/>
      <c r="AF131" s="101"/>
    </row>
    <row r="132" spans="1:32">
      <c r="A132" s="444">
        <v>3</v>
      </c>
      <c r="B132" s="445"/>
      <c r="C132" s="446"/>
      <c r="D132" s="447" t="s">
        <v>67</v>
      </c>
      <c r="E132" s="448"/>
      <c r="F132" s="431"/>
      <c r="G132" s="442"/>
      <c r="H132" s="649">
        <f t="shared" ref="H132:O132" si="133">H133+H134</f>
        <v>0</v>
      </c>
      <c r="I132" s="649">
        <f t="shared" si="133"/>
        <v>0</v>
      </c>
      <c r="J132" s="649">
        <f t="shared" si="133"/>
        <v>0</v>
      </c>
      <c r="K132" s="649">
        <f t="shared" si="133"/>
        <v>0</v>
      </c>
      <c r="L132" s="649">
        <f t="shared" si="133"/>
        <v>0</v>
      </c>
      <c r="M132" s="649">
        <f t="shared" ref="M132" si="134">M133+M134</f>
        <v>0</v>
      </c>
      <c r="N132" s="649">
        <f t="shared" si="133"/>
        <v>0</v>
      </c>
      <c r="O132" s="650">
        <f t="shared" si="133"/>
        <v>0</v>
      </c>
      <c r="P132" s="651"/>
      <c r="Q132" s="652"/>
      <c r="R132" s="650">
        <f>R133+R134</f>
        <v>0</v>
      </c>
      <c r="S132" s="653"/>
      <c r="T132" s="654"/>
      <c r="U132" s="650">
        <f>U133+U134</f>
        <v>0</v>
      </c>
      <c r="V132" s="655">
        <f>SUMIF(지분법및기타!$D:$D,BS!G132,지분법및기타!$F:$F)</f>
        <v>0</v>
      </c>
      <c r="W132" s="656">
        <f>SUMIF(지분법및기타!$G:$G,BS!G132,지분법및기타!$I:$I)</f>
        <v>0</v>
      </c>
      <c r="X132" s="657">
        <f>X133+X134</f>
        <v>0</v>
      </c>
      <c r="Y132" s="443"/>
      <c r="AA132" s="108"/>
      <c r="AB132" s="497"/>
      <c r="AF132" s="101"/>
    </row>
    <row r="133" spans="1:32">
      <c r="A133" s="444">
        <v>4</v>
      </c>
      <c r="B133" s="445"/>
      <c r="C133" s="446"/>
      <c r="D133" s="447"/>
      <c r="E133" s="448" t="s">
        <v>1376</v>
      </c>
      <c r="F133" s="431"/>
      <c r="G133" s="544" t="s">
        <v>1378</v>
      </c>
      <c r="H133" s="659">
        <f>SUMIF(별도정산표!$G:$G,BS!G133,별도정산표!$E:$E)</f>
        <v>0</v>
      </c>
      <c r="I133" s="659">
        <f>SUMIF(울트라팜_FS!$A:$A,BS!G133,울트라팜_FS!$D:$D)</f>
        <v>0</v>
      </c>
      <c r="J133" s="659">
        <f>SUMIF(HK_BS!$A:$A,BS!G133,HK_BS!$K:$K)</f>
        <v>0</v>
      </c>
      <c r="K133" s="659">
        <f>SUMIF(DHK_BS!$A:$A,BS!G133,DHK_BS!$K:$K)</f>
        <v>0</v>
      </c>
      <c r="L133" s="659">
        <f>SUMIF(상해_BS!$A:$A,BS!G133,상해_BS!$K:$K)</f>
        <v>0</v>
      </c>
      <c r="M133" s="659">
        <f>SUMIF(SG_BS!$A:$A,BS!G133,SG_BS!$K:$K)</f>
        <v>0</v>
      </c>
      <c r="N133" s="659">
        <f>SUMIF(ATGC_BS!$H:$H,BS!G133,ATGC_BS!$I:$I)</f>
        <v>0</v>
      </c>
      <c r="O133" s="650">
        <f>SUM(H133:N133)</f>
        <v>0</v>
      </c>
      <c r="P133" s="651">
        <f>SUMIF(RIC!D:D,BS!G133,RIC!F:F)</f>
        <v>0</v>
      </c>
      <c r="Q133" s="652">
        <f>SUMIF(RIC!G:G,BS!G133,RIC!I:I)</f>
        <v>0</v>
      </c>
      <c r="R133" s="650">
        <f>O133+Q133-P133</f>
        <v>0</v>
      </c>
      <c r="S133" s="653">
        <f>SUMIF(RIT!H:H,BS!G133,RIT!J:J)</f>
        <v>0</v>
      </c>
      <c r="T133" s="654">
        <f>SUMIF(RIT!K:K,BS!G133,RIT!M:M)</f>
        <v>0</v>
      </c>
      <c r="U133" s="650">
        <f>R133+T133-S133</f>
        <v>0</v>
      </c>
      <c r="V133" s="655">
        <f>SUMIF(지분법및기타!$D:$D,BS!G133,지분법및기타!$F:$F)</f>
        <v>0</v>
      </c>
      <c r="W133" s="656">
        <f>SUMIF(지분법및기타!$G:$G,BS!G133,지분법및기타!$I:$I)</f>
        <v>0</v>
      </c>
      <c r="X133" s="657">
        <f>U133+W133-V133</f>
        <v>0</v>
      </c>
      <c r="Y133" s="443"/>
      <c r="AA133" s="108"/>
      <c r="AB133" s="497"/>
      <c r="AF133" s="101"/>
    </row>
    <row r="134" spans="1:32">
      <c r="A134" s="444">
        <v>4</v>
      </c>
      <c r="B134" s="445"/>
      <c r="C134" s="446"/>
      <c r="D134" s="447"/>
      <c r="E134" s="448" t="s">
        <v>823</v>
      </c>
      <c r="F134" s="431"/>
      <c r="G134" s="442"/>
      <c r="H134" s="659">
        <f>SUMIF(별도정산표!$G:$G,BS!G134,별도정산표!$E:$E)</f>
        <v>0</v>
      </c>
      <c r="I134" s="659">
        <f>SUMIF(울트라팜_FS!$A:$A,BS!G134,울트라팜_FS!$D:$D)</f>
        <v>0</v>
      </c>
      <c r="J134" s="659">
        <f>SUMIF(HK_BS!$A:$A,BS!G134,HK_BS!$K:$K)</f>
        <v>0</v>
      </c>
      <c r="K134" s="659">
        <f>SUMIF(DHK_BS!$A:$A,BS!G134,DHK_BS!$K:$K)</f>
        <v>0</v>
      </c>
      <c r="L134" s="659">
        <f>SUMIF(상해_BS!$A:$A,BS!G134,상해_BS!$K:$K)</f>
        <v>0</v>
      </c>
      <c r="M134" s="659">
        <f>SUMIF(SG_BS!$A:$A,BS!G134,SG_BS!$K:$K)</f>
        <v>0</v>
      </c>
      <c r="N134" s="659">
        <f>SUMIF(ATGC_BS!$H:$H,BS!G134,ATGC_BS!$I:$I)</f>
        <v>0</v>
      </c>
      <c r="O134" s="650">
        <f>SUM(H134:N134)</f>
        <v>0</v>
      </c>
      <c r="P134" s="651">
        <f>SUMIF(RIC!D:D,BS!G134,RIC!F:F)</f>
        <v>0</v>
      </c>
      <c r="Q134" s="652">
        <f>SUMIF(RIC!G:G,BS!G134,RIC!I:I)</f>
        <v>0</v>
      </c>
      <c r="R134" s="650">
        <f>O134+Q134-P134</f>
        <v>0</v>
      </c>
      <c r="S134" s="653">
        <f>SUMIF(RIT!H:H,BS!G134,RIT!J:J)</f>
        <v>0</v>
      </c>
      <c r="T134" s="654">
        <f>SUMIF(RIT!K:K,BS!G134,RIT!M:M)</f>
        <v>0</v>
      </c>
      <c r="U134" s="650">
        <f>R134+T134-S134</f>
        <v>0</v>
      </c>
      <c r="V134" s="655">
        <f>SUMIF(지분법및기타!$D:$D,BS!G134,지분법및기타!$F:$F)</f>
        <v>0</v>
      </c>
      <c r="W134" s="656">
        <f>SUMIF(지분법및기타!$G:$G,BS!G134,지분법및기타!$I:$I)</f>
        <v>0</v>
      </c>
      <c r="X134" s="657">
        <f>U134+W134-V134</f>
        <v>0</v>
      </c>
      <c r="Y134" s="443"/>
      <c r="AA134" s="108"/>
      <c r="AB134" s="497"/>
      <c r="AF134" s="101"/>
    </row>
    <row r="135" spans="1:32">
      <c r="A135" s="444">
        <v>2</v>
      </c>
      <c r="B135" s="445"/>
      <c r="C135" s="446" t="s">
        <v>70</v>
      </c>
      <c r="D135" s="447"/>
      <c r="E135" s="448"/>
      <c r="F135" s="431"/>
      <c r="G135" s="442"/>
      <c r="H135" s="649">
        <f t="shared" ref="H135:R135" si="135">H136</f>
        <v>0</v>
      </c>
      <c r="I135" s="649">
        <f t="shared" si="135"/>
        <v>0</v>
      </c>
      <c r="J135" s="649">
        <f t="shared" si="135"/>
        <v>195745717</v>
      </c>
      <c r="K135" s="649">
        <f t="shared" si="135"/>
        <v>-122811246</v>
      </c>
      <c r="L135" s="649">
        <f t="shared" si="135"/>
        <v>-6065572</v>
      </c>
      <c r="M135" s="649">
        <f t="shared" si="135"/>
        <v>3718991</v>
      </c>
      <c r="N135" s="649">
        <f t="shared" si="135"/>
        <v>0</v>
      </c>
      <c r="O135" s="650">
        <f t="shared" si="135"/>
        <v>70587890</v>
      </c>
      <c r="P135" s="651"/>
      <c r="Q135" s="652"/>
      <c r="R135" s="650">
        <f t="shared" si="135"/>
        <v>46087890</v>
      </c>
      <c r="S135" s="653"/>
      <c r="T135" s="654"/>
      <c r="U135" s="650">
        <f>U136</f>
        <v>46013890</v>
      </c>
      <c r="V135" s="655">
        <f>SUMIF(지분법및기타!$D:$D,BS!G135,지분법및기타!$F:$F)</f>
        <v>0</v>
      </c>
      <c r="W135" s="656">
        <f>SUMIF(지분법및기타!$G:$G,BS!G135,지분법및기타!$I:$I)</f>
        <v>0</v>
      </c>
      <c r="X135" s="657">
        <f>X136</f>
        <v>45445172</v>
      </c>
      <c r="Y135" s="443"/>
      <c r="AA135" s="108"/>
      <c r="AB135" s="497"/>
      <c r="AF135" s="101"/>
    </row>
    <row r="136" spans="1:32">
      <c r="A136" s="444">
        <v>3</v>
      </c>
      <c r="B136" s="445"/>
      <c r="C136" s="446"/>
      <c r="D136" s="447" t="s">
        <v>70</v>
      </c>
      <c r="E136" s="448"/>
      <c r="F136" s="431"/>
      <c r="G136" s="442"/>
      <c r="H136" s="649">
        <f t="shared" ref="H136:O136" si="136">H139+H140+H141+H142+H138+H137</f>
        <v>0</v>
      </c>
      <c r="I136" s="649">
        <f t="shared" si="136"/>
        <v>0</v>
      </c>
      <c r="J136" s="649">
        <f t="shared" si="136"/>
        <v>195745717</v>
      </c>
      <c r="K136" s="649">
        <f t="shared" si="136"/>
        <v>-122811246</v>
      </c>
      <c r="L136" s="649">
        <f t="shared" si="136"/>
        <v>-6065572</v>
      </c>
      <c r="M136" s="649">
        <f t="shared" ref="M136" si="137">M139+M140+M141+M142+M138+M137</f>
        <v>3718991</v>
      </c>
      <c r="N136" s="649">
        <f t="shared" si="136"/>
        <v>0</v>
      </c>
      <c r="O136" s="650">
        <f t="shared" si="136"/>
        <v>70587890</v>
      </c>
      <c r="P136" s="651"/>
      <c r="Q136" s="652"/>
      <c r="R136" s="650">
        <f>R139+R140+R141+R142+R138+R137</f>
        <v>46087890</v>
      </c>
      <c r="S136" s="653"/>
      <c r="T136" s="654"/>
      <c r="U136" s="650">
        <f>U139+U140+U141+U142+U138+U137</f>
        <v>46013890</v>
      </c>
      <c r="V136" s="655">
        <f>SUMIF(지분법및기타!$D:$D,BS!G136,지분법및기타!$F:$F)</f>
        <v>0</v>
      </c>
      <c r="W136" s="656">
        <f>SUMIF(지분법및기타!$G:$G,BS!G136,지분법및기타!$I:$I)</f>
        <v>0</v>
      </c>
      <c r="X136" s="657">
        <f>X139+X140+X141+X142+X138+X137</f>
        <v>45445172</v>
      </c>
      <c r="Y136" s="443"/>
      <c r="AA136" s="108"/>
      <c r="AB136" s="497"/>
      <c r="AF136" s="101"/>
    </row>
    <row r="137" spans="1:32">
      <c r="A137" s="444">
        <v>4</v>
      </c>
      <c r="B137" s="445"/>
      <c r="C137" s="446"/>
      <c r="D137" s="447"/>
      <c r="E137" s="448" t="s">
        <v>711</v>
      </c>
      <c r="F137" s="431"/>
      <c r="G137" s="442" t="s">
        <v>710</v>
      </c>
      <c r="H137" s="659">
        <f>SUMIF(별도정산표!$G:$G,BS!G137,별도정산표!$E:$E)</f>
        <v>0</v>
      </c>
      <c r="I137" s="659">
        <f>SUMIF(울트라팜_FS!$A:$A,BS!G137,울트라팜_FS!$D:$D)</f>
        <v>0</v>
      </c>
      <c r="J137" s="659">
        <f>SUMIF(HK_BS!$A:$A,BS!G137,HK_BS!$K:$K)</f>
        <v>0</v>
      </c>
      <c r="K137" s="659">
        <f>SUMIF(DHK_BS!$A:$A,BS!G137,DHK_BS!$K:$K)</f>
        <v>0</v>
      </c>
      <c r="L137" s="659">
        <f>SUMIF(상해_BS!$A:$A,BS!G137,상해_BS!$K:$K)</f>
        <v>0</v>
      </c>
      <c r="M137" s="659">
        <f>SUMIF(SG_BS!$A:$A,BS!G137,SG_BS!$K:$K)</f>
        <v>0</v>
      </c>
      <c r="N137" s="659">
        <f>SUMIF(ATGC_BS!$H:$H,BS!G137,ATGC_BS!$I:$I)</f>
        <v>0</v>
      </c>
      <c r="O137" s="650">
        <f t="shared" ref="O137:O142" si="138">SUM(H137:N137)</f>
        <v>0</v>
      </c>
      <c r="P137" s="651">
        <f>SUMIF(RIC!D:D,BS!G137,RIC!F:F)</f>
        <v>0</v>
      </c>
      <c r="Q137" s="652">
        <f>SUMIF(RIC!G:G,BS!G137,RIC!I:I)</f>
        <v>0</v>
      </c>
      <c r="R137" s="650">
        <f t="shared" ref="R137:R142" si="139">O137+Q137-P137</f>
        <v>0</v>
      </c>
      <c r="S137" s="653">
        <f>SUMIF(RIT!H:H,BS!G137,RIT!J:J)</f>
        <v>0</v>
      </c>
      <c r="T137" s="654">
        <f>SUMIF(RIT!K:K,BS!G137,RIT!M:M)</f>
        <v>0</v>
      </c>
      <c r="U137" s="650">
        <f t="shared" ref="U137:U142" si="140">R137+T137-S137</f>
        <v>0</v>
      </c>
      <c r="V137" s="655">
        <f>SUMIF(지분법및기타!$D:$D,BS!G137,지분법및기타!$F:$F)</f>
        <v>0</v>
      </c>
      <c r="W137" s="656">
        <f>SUMIF(지분법및기타!$G:$G,BS!G137,지분법및기타!$I:$I)</f>
        <v>0</v>
      </c>
      <c r="X137" s="657">
        <f t="shared" ref="X137:X142" si="141">U137+W137-V137</f>
        <v>0</v>
      </c>
      <c r="Y137" s="443" t="s">
        <v>711</v>
      </c>
      <c r="AA137" s="108"/>
      <c r="AB137" s="497"/>
      <c r="AF137" s="101"/>
    </row>
    <row r="138" spans="1:32">
      <c r="A138" s="444">
        <v>4</v>
      </c>
      <c r="B138" s="445"/>
      <c r="C138" s="446"/>
      <c r="D138" s="447"/>
      <c r="E138" s="448" t="s">
        <v>374</v>
      </c>
      <c r="F138" s="431"/>
      <c r="G138" s="442"/>
      <c r="H138" s="659">
        <f>SUMIF(별도정산표!$G:$G,BS!G138,별도정산표!$E:$E)</f>
        <v>0</v>
      </c>
      <c r="I138" s="659">
        <f>SUMIF(울트라팜_FS!$A:$A,BS!G138,울트라팜_FS!$D:$D)</f>
        <v>0</v>
      </c>
      <c r="J138" s="659">
        <f>SUMIF(HK_BS!$A:$A,BS!G138,HK_BS!$K:$K)</f>
        <v>0</v>
      </c>
      <c r="K138" s="659">
        <f>SUMIF(DHK_BS!$A:$A,BS!G138,DHK_BS!$K:$K)</f>
        <v>0</v>
      </c>
      <c r="L138" s="659">
        <f>SUMIF(상해_BS!$A:$A,BS!G138,상해_BS!$K:$K)</f>
        <v>0</v>
      </c>
      <c r="M138" s="659">
        <f>SUMIF(SG_BS!$A:$A,BS!G138,SG_BS!$K:$K)</f>
        <v>0</v>
      </c>
      <c r="N138" s="659">
        <f>SUMIF(ATGC_BS!$H:$H,BS!G138,ATGC_BS!$I:$I)</f>
        <v>0</v>
      </c>
      <c r="O138" s="650">
        <f t="shared" si="138"/>
        <v>0</v>
      </c>
      <c r="P138" s="651">
        <f>SUMIF(RIC!D:D,BS!G138,RIC!F:F)</f>
        <v>0</v>
      </c>
      <c r="Q138" s="652">
        <f>SUMIF(RIC!G:G,BS!G138,RIC!I:I)</f>
        <v>0</v>
      </c>
      <c r="R138" s="650">
        <f t="shared" si="139"/>
        <v>0</v>
      </c>
      <c r="S138" s="653">
        <f>SUMIF(RIT!H:H,BS!G138,RIT!J:J)</f>
        <v>0</v>
      </c>
      <c r="T138" s="654">
        <f>SUMIF(RIT!K:K,BS!G138,RIT!M:M)</f>
        <v>0</v>
      </c>
      <c r="U138" s="650">
        <f t="shared" si="140"/>
        <v>0</v>
      </c>
      <c r="V138" s="655">
        <f>SUMIF(지분법및기타!$D:$D,BS!G138,지분법및기타!$F:$F)</f>
        <v>0</v>
      </c>
      <c r="W138" s="656">
        <f>SUMIF(지분법및기타!$G:$G,BS!G138,지분법및기타!$I:$I)</f>
        <v>0</v>
      </c>
      <c r="X138" s="657">
        <f t="shared" si="141"/>
        <v>0</v>
      </c>
      <c r="Y138" s="443"/>
      <c r="AA138" s="108"/>
      <c r="AB138" s="497"/>
      <c r="AF138" s="101"/>
    </row>
    <row r="139" spans="1:32">
      <c r="A139" s="444">
        <v>4</v>
      </c>
      <c r="B139" s="445"/>
      <c r="C139" s="446"/>
      <c r="D139" s="447"/>
      <c r="E139" s="448" t="s">
        <v>374</v>
      </c>
      <c r="F139" s="431"/>
      <c r="G139" s="442"/>
      <c r="H139" s="659">
        <f>SUMIF(별도정산표!$G:$G,BS!G139,별도정산표!$E:$E)</f>
        <v>0</v>
      </c>
      <c r="I139" s="659">
        <f>SUMIF(울트라팜_FS!$A:$A,BS!G139,울트라팜_FS!$D:$D)</f>
        <v>0</v>
      </c>
      <c r="J139" s="659">
        <f>SUMIF(HK_BS!$A:$A,BS!G139,HK_BS!$K:$K)</f>
        <v>0</v>
      </c>
      <c r="K139" s="659">
        <f>SUMIF(DHK_BS!$A:$A,BS!G139,DHK_BS!$K:$K)</f>
        <v>0</v>
      </c>
      <c r="L139" s="659">
        <f>SUMIF(상해_BS!$A:$A,BS!G139,상해_BS!$K:$K)</f>
        <v>0</v>
      </c>
      <c r="M139" s="659">
        <f>SUMIF(SG_BS!$A:$A,BS!G139,SG_BS!$K:$K)</f>
        <v>0</v>
      </c>
      <c r="N139" s="659">
        <f>SUMIF(ATGC_BS!$H:$H,BS!G139,ATGC_BS!$I:$I)</f>
        <v>0</v>
      </c>
      <c r="O139" s="650">
        <f t="shared" si="138"/>
        <v>0</v>
      </c>
      <c r="P139" s="651">
        <f>SUMIF(RIC!D:D,BS!G139,RIC!F:F)</f>
        <v>0</v>
      </c>
      <c r="Q139" s="652">
        <f>SUMIF(RIC!G:G,BS!G139,RIC!I:I)</f>
        <v>0</v>
      </c>
      <c r="R139" s="650">
        <f t="shared" si="139"/>
        <v>0</v>
      </c>
      <c r="S139" s="653">
        <f>SUMIF(RIT!H:H,BS!G139,RIT!J:J)</f>
        <v>0</v>
      </c>
      <c r="T139" s="654">
        <f>SUMIF(RIT!K:K,BS!G139,RIT!M:M)</f>
        <v>0</v>
      </c>
      <c r="U139" s="650">
        <f t="shared" si="140"/>
        <v>0</v>
      </c>
      <c r="V139" s="655">
        <f>SUMIF(지분법및기타!$D:$D,BS!G139,지분법및기타!$F:$F)</f>
        <v>0</v>
      </c>
      <c r="W139" s="656">
        <f>SUMIF(지분법및기타!$G:$G,BS!G139,지분법및기타!$I:$I)</f>
        <v>0</v>
      </c>
      <c r="X139" s="657">
        <f t="shared" si="141"/>
        <v>0</v>
      </c>
      <c r="Y139" s="443"/>
      <c r="AA139" s="108"/>
      <c r="AB139" s="497"/>
      <c r="AF139" s="101"/>
    </row>
    <row r="140" spans="1:32">
      <c r="A140" s="444">
        <v>4</v>
      </c>
      <c r="B140" s="445"/>
      <c r="C140" s="446"/>
      <c r="D140" s="447"/>
      <c r="E140" s="448" t="s">
        <v>516</v>
      </c>
      <c r="F140" s="431"/>
      <c r="G140" s="544" t="s">
        <v>828</v>
      </c>
      <c r="H140" s="659">
        <f>SUMIF(별도정산표!$G:$G,BS!G140,별도정산표!$E:$E)</f>
        <v>0</v>
      </c>
      <c r="I140" s="659">
        <f>SUMIF(울트라팜_FS!$A:$A,BS!G140,울트라팜_FS!$D:$D)</f>
        <v>0</v>
      </c>
      <c r="J140" s="659">
        <f>SUMIF(HK_BS!$A:$A,BS!G140,HK_BS!$K:$K)</f>
        <v>195745717</v>
      </c>
      <c r="K140" s="659">
        <f>SUMIF(DHK_BS!$A:$A,BS!G140,DHK_BS!$K:$K)</f>
        <v>-122811246</v>
      </c>
      <c r="L140" s="659">
        <f>SUMIF(상해_BS!$A:$A,BS!G140,상해_BS!$K:$K)</f>
        <v>-6065572</v>
      </c>
      <c r="M140" s="659">
        <f>SUMIF(SG_BS!$A:$A,BS!G140,SG_BS!$K:$K)</f>
        <v>3718991</v>
      </c>
      <c r="N140" s="659">
        <f>SUMIF(ATGC_BS!$H:$H,BS!G140,ATGC_BS!$I:$I)</f>
        <v>0</v>
      </c>
      <c r="O140" s="650">
        <f t="shared" si="138"/>
        <v>70587890</v>
      </c>
      <c r="P140" s="651">
        <f>SUMIF(RIC!D:D,BS!G140,RIC!F:F)+PL!Q119</f>
        <v>0</v>
      </c>
      <c r="Q140" s="652">
        <f>SUMIF(RIC!G:G,BS!G140,RIC!I:I)+PL!R119</f>
        <v>-24500000</v>
      </c>
      <c r="R140" s="650">
        <f t="shared" si="139"/>
        <v>46087890</v>
      </c>
      <c r="S140" s="653">
        <f>SUMIF(RIT!H:H,BS!G140,RIT!J:J)+RIT!J132</f>
        <v>74000</v>
      </c>
      <c r="T140" s="654">
        <f>SUMIF(RIT!K:K,BS!G140,RIT!M:M)+RIT!M132</f>
        <v>0</v>
      </c>
      <c r="U140" s="650">
        <f t="shared" si="140"/>
        <v>46013890</v>
      </c>
      <c r="V140" s="655">
        <f>SUMIF(지분법및기타!$D:$D,BS!G140,지분법및기타!$F:$F)</f>
        <v>568718</v>
      </c>
      <c r="W140" s="656">
        <f>SUMIF(지분법및기타!$G:$G,BS!G140,지분법및기타!$I:$I)</f>
        <v>0</v>
      </c>
      <c r="X140" s="657">
        <f t="shared" si="141"/>
        <v>45445172</v>
      </c>
      <c r="Y140" s="443" t="s">
        <v>1367</v>
      </c>
      <c r="AA140" s="108">
        <f>X140-O140</f>
        <v>-25142718</v>
      </c>
      <c r="AB140" s="497" t="s">
        <v>2701</v>
      </c>
      <c r="AF140" s="101"/>
    </row>
    <row r="141" spans="1:32">
      <c r="A141" s="444">
        <v>4</v>
      </c>
      <c r="B141" s="445"/>
      <c r="C141" s="446"/>
      <c r="D141" s="447"/>
      <c r="E141" s="448" t="s">
        <v>71</v>
      </c>
      <c r="F141" s="431"/>
      <c r="G141" s="442"/>
      <c r="H141" s="659">
        <f>SUMIF(별도정산표!$G:$G,BS!G141,별도정산표!$E:$E)</f>
        <v>0</v>
      </c>
      <c r="I141" s="659">
        <f>SUMIF(울트라팜_FS!$A:$A,BS!G141,울트라팜_FS!$D:$D)</f>
        <v>0</v>
      </c>
      <c r="J141" s="659">
        <f>SUMIF(HK_BS!$A:$A,BS!G141,HK_BS!$K:$K)</f>
        <v>0</v>
      </c>
      <c r="K141" s="659">
        <f>SUMIF(DHK_BS!$A:$A,BS!G141,DHK_BS!$K:$K)</f>
        <v>0</v>
      </c>
      <c r="L141" s="659">
        <f>SUMIF(상해_BS!$A:$A,BS!G141,상해_BS!$K:$K)</f>
        <v>0</v>
      </c>
      <c r="M141" s="659">
        <f>SUMIF(SG_BS!$A:$A,BS!G141,SG_BS!$K:$K)</f>
        <v>0</v>
      </c>
      <c r="N141" s="659">
        <f>SUMIF(ATGC_BS!$H:$H,BS!G141,ATGC_BS!$I:$I)</f>
        <v>0</v>
      </c>
      <c r="O141" s="650">
        <f t="shared" si="138"/>
        <v>0</v>
      </c>
      <c r="P141" s="651">
        <f>SUMIF(RIC!D:D,BS!G141,RIC!F:F)</f>
        <v>0</v>
      </c>
      <c r="Q141" s="652">
        <f>SUMIF(RIC!G:G,BS!G141,RIC!I:I)</f>
        <v>0</v>
      </c>
      <c r="R141" s="650">
        <f t="shared" si="139"/>
        <v>0</v>
      </c>
      <c r="S141" s="653">
        <f>SUMIF(RIT!H:H,BS!G141,RIT!J:J)</f>
        <v>0</v>
      </c>
      <c r="T141" s="654">
        <f>SUMIF(RIT!K:K,BS!G141,RIT!M:M)</f>
        <v>0</v>
      </c>
      <c r="U141" s="650">
        <f t="shared" si="140"/>
        <v>0</v>
      </c>
      <c r="V141" s="655">
        <f>SUMIF(지분법및기타!$D:$D,BS!G141,지분법및기타!$F:$F)</f>
        <v>0</v>
      </c>
      <c r="W141" s="656">
        <f>SUMIF(지분법및기타!$G:$G,BS!G141,지분법및기타!$I:$I)</f>
        <v>0</v>
      </c>
      <c r="X141" s="657">
        <f t="shared" si="141"/>
        <v>0</v>
      </c>
      <c r="Y141" s="443"/>
      <c r="AA141" s="108"/>
      <c r="AB141" s="497"/>
      <c r="AF141" s="101"/>
    </row>
    <row r="142" spans="1:32">
      <c r="A142" s="444">
        <v>4</v>
      </c>
      <c r="B142" s="445"/>
      <c r="C142" s="446"/>
      <c r="D142" s="447"/>
      <c r="E142" s="448" t="s">
        <v>72</v>
      </c>
      <c r="F142" s="431"/>
      <c r="G142" s="442"/>
      <c r="H142" s="659">
        <f>SUMIF(별도정산표!$G:$G,BS!G142,별도정산표!$E:$E)</f>
        <v>0</v>
      </c>
      <c r="I142" s="659">
        <f>SUMIF(울트라팜_FS!$A:$A,BS!G142,울트라팜_FS!$D:$D)</f>
        <v>0</v>
      </c>
      <c r="J142" s="659">
        <f>SUMIF(HK_BS!$A:$A,BS!G142,HK_BS!$K:$K)</f>
        <v>0</v>
      </c>
      <c r="K142" s="659">
        <f>SUMIF(DHK_BS!$A:$A,BS!G142,DHK_BS!$K:$K)</f>
        <v>0</v>
      </c>
      <c r="L142" s="659">
        <f>SUMIF(상해_BS!$A:$A,BS!G142,상해_BS!$K:$K)</f>
        <v>0</v>
      </c>
      <c r="M142" s="659">
        <f>SUMIF(SG_BS!$A:$A,BS!G142,SG_BS!$K:$K)</f>
        <v>0</v>
      </c>
      <c r="N142" s="659">
        <f>SUMIF(ATGC_BS!$H:$H,BS!G142,ATGC_BS!$I:$I)</f>
        <v>0</v>
      </c>
      <c r="O142" s="650">
        <f t="shared" si="138"/>
        <v>0</v>
      </c>
      <c r="P142" s="651">
        <f>SUMIF(RIC!D:D,BS!G142,RIC!F:F)</f>
        <v>0</v>
      </c>
      <c r="Q142" s="652">
        <f>SUMIF(RIC!G:G,BS!G142,RIC!I:I)</f>
        <v>0</v>
      </c>
      <c r="R142" s="650">
        <f t="shared" si="139"/>
        <v>0</v>
      </c>
      <c r="S142" s="653">
        <f>SUMIF(RIT!H:H,BS!G142,RIT!J:J)</f>
        <v>0</v>
      </c>
      <c r="T142" s="654">
        <f>SUMIF(RIT!K:K,BS!G142,RIT!M:M)</f>
        <v>0</v>
      </c>
      <c r="U142" s="650">
        <f t="shared" si="140"/>
        <v>0</v>
      </c>
      <c r="V142" s="655">
        <f>SUMIF(지분법및기타!$D:$D,BS!G142,지분법및기타!$F:$F)</f>
        <v>0</v>
      </c>
      <c r="W142" s="656">
        <f>SUMIF(지분법및기타!$G:$G,BS!G142,지분법및기타!$I:$I)</f>
        <v>0</v>
      </c>
      <c r="X142" s="657">
        <f t="shared" si="141"/>
        <v>0</v>
      </c>
      <c r="Y142" s="443"/>
      <c r="AA142" s="108"/>
      <c r="AB142" s="497"/>
      <c r="AF142" s="101"/>
    </row>
    <row r="143" spans="1:32">
      <c r="A143" s="444">
        <v>2</v>
      </c>
      <c r="B143" s="445"/>
      <c r="C143" s="446" t="s">
        <v>73</v>
      </c>
      <c r="D143" s="447"/>
      <c r="E143" s="448"/>
      <c r="F143" s="431"/>
      <c r="G143" s="442"/>
      <c r="H143" s="649">
        <f t="shared" ref="H143:O143" si="142">H144</f>
        <v>-9572416296</v>
      </c>
      <c r="I143" s="649">
        <f t="shared" si="142"/>
        <v>0</v>
      </c>
      <c r="J143" s="649">
        <f t="shared" si="142"/>
        <v>852785556</v>
      </c>
      <c r="K143" s="649">
        <f t="shared" si="142"/>
        <v>-1340725865</v>
      </c>
      <c r="L143" s="649">
        <f t="shared" si="142"/>
        <v>-232689315</v>
      </c>
      <c r="M143" s="649">
        <f t="shared" si="142"/>
        <v>-23556849</v>
      </c>
      <c r="N143" s="649">
        <f t="shared" si="142"/>
        <v>-93825956641</v>
      </c>
      <c r="O143" s="650">
        <f t="shared" si="142"/>
        <v>-104142559410</v>
      </c>
      <c r="P143" s="651"/>
      <c r="Q143" s="652"/>
      <c r="R143" s="650">
        <f>R144</f>
        <v>-7971516569</v>
      </c>
      <c r="S143" s="653"/>
      <c r="T143" s="654"/>
      <c r="U143" s="650">
        <f>U144</f>
        <v>-8041562146</v>
      </c>
      <c r="V143" s="655">
        <f>SUMIF(지분법및기타!$D:$D,BS!G143,지분법및기타!$F:$F)</f>
        <v>0</v>
      </c>
      <c r="W143" s="656">
        <f>SUMIF(지분법및기타!$G:$G,BS!G143,지분법및기타!$I:$I)</f>
        <v>0</v>
      </c>
      <c r="X143" s="657">
        <f>X144</f>
        <v>-9815637989</v>
      </c>
      <c r="Y143" s="443"/>
      <c r="AA143" s="108"/>
      <c r="AB143" s="497"/>
      <c r="AF143" s="101"/>
    </row>
    <row r="144" spans="1:32">
      <c r="A144" s="444">
        <v>3</v>
      </c>
      <c r="B144" s="445"/>
      <c r="C144" s="446"/>
      <c r="D144" s="447" t="s">
        <v>73</v>
      </c>
      <c r="E144" s="448"/>
      <c r="F144" s="431"/>
      <c r="G144" s="442"/>
      <c r="H144" s="649">
        <f t="shared" ref="H144:O144" si="143">H145+H146+H147+H148+H149</f>
        <v>-9572416296</v>
      </c>
      <c r="I144" s="649">
        <f t="shared" si="143"/>
        <v>0</v>
      </c>
      <c r="J144" s="649">
        <f t="shared" si="143"/>
        <v>852785556</v>
      </c>
      <c r="K144" s="649">
        <f t="shared" si="143"/>
        <v>-1340725865</v>
      </c>
      <c r="L144" s="649">
        <f t="shared" si="143"/>
        <v>-232689315</v>
      </c>
      <c r="M144" s="649">
        <f t="shared" ref="M144" si="144">M145+M146+M147+M148+M149</f>
        <v>-23556849</v>
      </c>
      <c r="N144" s="649">
        <f t="shared" si="143"/>
        <v>-93825956641</v>
      </c>
      <c r="O144" s="650">
        <f t="shared" si="143"/>
        <v>-104142559410</v>
      </c>
      <c r="P144" s="651"/>
      <c r="Q144" s="652"/>
      <c r="R144" s="650">
        <f>R145+R146+R147+R148+R149</f>
        <v>-7971516569</v>
      </c>
      <c r="S144" s="653"/>
      <c r="T144" s="654"/>
      <c r="U144" s="650">
        <f>U145+U146+U147+U148+U149</f>
        <v>-8041562146</v>
      </c>
      <c r="V144" s="655">
        <f>SUMIF(지분법및기타!$D:$D,BS!G144,지분법및기타!$F:$F)</f>
        <v>0</v>
      </c>
      <c r="W144" s="656">
        <f>SUMIF(지분법및기타!$G:$G,BS!G144,지분법및기타!$I:$I)</f>
        <v>0</v>
      </c>
      <c r="X144" s="657">
        <f>X145+X146+X147+X148+X149</f>
        <v>-9815637989</v>
      </c>
      <c r="Y144" s="443"/>
      <c r="AA144" s="108"/>
      <c r="AB144" s="497"/>
      <c r="AF144" s="101"/>
    </row>
    <row r="145" spans="1:32">
      <c r="A145" s="444">
        <v>4</v>
      </c>
      <c r="B145" s="445"/>
      <c r="C145" s="446"/>
      <c r="D145" s="447"/>
      <c r="E145" s="448" t="s">
        <v>74</v>
      </c>
      <c r="F145" s="431"/>
      <c r="G145" s="442"/>
      <c r="H145" s="659">
        <f>SUMIF(별도정산표!$G:$G,BS!G145,별도정산표!$E:$E)</f>
        <v>0</v>
      </c>
      <c r="I145" s="659">
        <f>SUMIF(울트라팜_FS!$A:$A,BS!G145,울트라팜_FS!$D:$D)</f>
        <v>0</v>
      </c>
      <c r="J145" s="659">
        <f>SUMIF(HK_BS!$A:$A,BS!G145,HK_BS!$K:$K)</f>
        <v>0</v>
      </c>
      <c r="K145" s="659">
        <f>SUMIF(DHK_BS!$A:$A,BS!G145,DHK_BS!$K:$K)</f>
        <v>0</v>
      </c>
      <c r="L145" s="659">
        <f>SUMIF(상해_BS!$A:$A,BS!G145,상해_BS!$K:$K)</f>
        <v>0</v>
      </c>
      <c r="M145" s="659">
        <f>SUMIF(SG_BS!$A:$A,BS!G145,SG_BS!$K:$K)</f>
        <v>0</v>
      </c>
      <c r="N145" s="659">
        <f>SUMIF(ATGC_BS!$H:$H,BS!G145,ATGC_BS!$I:$I)</f>
        <v>0</v>
      </c>
      <c r="O145" s="650">
        <f>SUM(H145:N145)</f>
        <v>0</v>
      </c>
      <c r="P145" s="651">
        <f>SUMIF(RIC!D:D,BS!G145,RIC!F:F)</f>
        <v>0</v>
      </c>
      <c r="Q145" s="652">
        <f>SUMIF(RIC!G:G,BS!G145,RIC!I:I)</f>
        <v>0</v>
      </c>
      <c r="R145" s="650">
        <f>O145+Q145-P145</f>
        <v>0</v>
      </c>
      <c r="S145" s="653">
        <f>SUMIF(RIT!H:H,BS!G145,RIT!J:J)</f>
        <v>0</v>
      </c>
      <c r="T145" s="654">
        <f>SUMIF(RIT!K:K,BS!G145,RIT!M:M)</f>
        <v>0</v>
      </c>
      <c r="U145" s="650">
        <f>R145+T145-S145</f>
        <v>0</v>
      </c>
      <c r="V145" s="655">
        <f>SUMIF(지분법및기타!$D:$D,BS!G145,지분법및기타!$F:$F)</f>
        <v>0</v>
      </c>
      <c r="W145" s="656">
        <f>SUMIF(지분법및기타!$G:$G,BS!G145,지분법및기타!$I:$I)</f>
        <v>0</v>
      </c>
      <c r="X145" s="657">
        <f>U145+W145-V145</f>
        <v>0</v>
      </c>
      <c r="Y145" s="443" t="s">
        <v>715</v>
      </c>
      <c r="AA145" s="108"/>
      <c r="AB145" s="497"/>
      <c r="AF145" s="101"/>
    </row>
    <row r="146" spans="1:32">
      <c r="A146" s="444">
        <v>4</v>
      </c>
      <c r="B146" s="445"/>
      <c r="C146" s="446"/>
      <c r="D146" s="447"/>
      <c r="E146" s="448" t="s">
        <v>75</v>
      </c>
      <c r="F146" s="431"/>
      <c r="G146" s="442"/>
      <c r="H146" s="659">
        <f>SUMIF(별도정산표!$G:$G,BS!G146,별도정산표!$E:$E)</f>
        <v>0</v>
      </c>
      <c r="I146" s="659">
        <f>SUMIF(울트라팜_FS!$A:$A,BS!G146,울트라팜_FS!$D:$D)</f>
        <v>0</v>
      </c>
      <c r="J146" s="659">
        <f>SUMIF(HK_BS!$A:$A,BS!G146,HK_BS!$K:$K)</f>
        <v>0</v>
      </c>
      <c r="K146" s="659">
        <f>SUMIF(DHK_BS!$A:$A,BS!G146,DHK_BS!$K:$K)</f>
        <v>0</v>
      </c>
      <c r="L146" s="659">
        <f>SUMIF(상해_BS!$A:$A,BS!G146,상해_BS!$K:$K)</f>
        <v>0</v>
      </c>
      <c r="M146" s="659">
        <f>SUMIF(SG_BS!$A:$A,BS!G146,SG_BS!$K:$K)</f>
        <v>0</v>
      </c>
      <c r="N146" s="659">
        <f>SUMIF(ATGC_BS!$H:$H,BS!G146,ATGC_BS!$I:$I)</f>
        <v>0</v>
      </c>
      <c r="O146" s="650">
        <f>SUM(H146:N146)</f>
        <v>0</v>
      </c>
      <c r="P146" s="651">
        <f>SUMIF(RIC!D:D,BS!G146,RIC!F:F)</f>
        <v>0</v>
      </c>
      <c r="Q146" s="652">
        <f>SUMIF(RIC!G:G,BS!G146,RIC!I:I)</f>
        <v>0</v>
      </c>
      <c r="R146" s="650">
        <f>O146+Q146-P146</f>
        <v>0</v>
      </c>
      <c r="S146" s="653">
        <f>SUMIF(RIT!H:H,BS!G146,RIT!J:J)</f>
        <v>0</v>
      </c>
      <c r="T146" s="654">
        <f>SUMIF(RIT!K:K,BS!G146,RIT!M:M)</f>
        <v>0</v>
      </c>
      <c r="U146" s="650">
        <f>R146+T146-S146</f>
        <v>0</v>
      </c>
      <c r="V146" s="655">
        <f>SUMIF(지분법및기타!$D:$D,BS!G146,지분법및기타!$F:$F)</f>
        <v>0</v>
      </c>
      <c r="W146" s="656">
        <f>SUMIF(지분법및기타!$G:$G,BS!G146,지분법및기타!$I:$I)</f>
        <v>0</v>
      </c>
      <c r="X146" s="657">
        <f>U146+W146-V146</f>
        <v>0</v>
      </c>
      <c r="Y146" s="443" t="s">
        <v>715</v>
      </c>
      <c r="AA146" s="108"/>
      <c r="AB146" s="497"/>
      <c r="AF146" s="101"/>
    </row>
    <row r="147" spans="1:32">
      <c r="A147" s="444">
        <v>4</v>
      </c>
      <c r="B147" s="445"/>
      <c r="C147" s="446"/>
      <c r="D147" s="447"/>
      <c r="E147" s="448" t="s">
        <v>76</v>
      </c>
      <c r="F147" s="431"/>
      <c r="G147" s="442"/>
      <c r="H147" s="659">
        <f>SUMIF(별도정산표!$G:$G,BS!G147,별도정산표!$E:$E)</f>
        <v>0</v>
      </c>
      <c r="I147" s="659">
        <f>SUMIF(울트라팜_FS!$A:$A,BS!G147,울트라팜_FS!$D:$D)</f>
        <v>0</v>
      </c>
      <c r="J147" s="659">
        <f>SUMIF(HK_BS!$A:$A,BS!G147,HK_BS!$K:$K)</f>
        <v>0</v>
      </c>
      <c r="K147" s="659">
        <f>SUMIF(DHK_BS!$A:$A,BS!G147,DHK_BS!$K:$K)</f>
        <v>0</v>
      </c>
      <c r="L147" s="659">
        <f>SUMIF(상해_BS!$A:$A,BS!G147,상해_BS!$K:$K)</f>
        <v>0</v>
      </c>
      <c r="M147" s="659">
        <f>SUMIF(SG_BS!$A:$A,BS!G147,SG_BS!$K:$K)</f>
        <v>0</v>
      </c>
      <c r="N147" s="659">
        <f>SUMIF(ATGC_BS!$H:$H,BS!G147,ATGC_BS!$I:$I)</f>
        <v>0</v>
      </c>
      <c r="O147" s="650">
        <f>SUM(H147:N147)</f>
        <v>0</v>
      </c>
      <c r="P147" s="651">
        <f>SUMIF(RIC!D:D,BS!G147,RIC!F:F)</f>
        <v>0</v>
      </c>
      <c r="Q147" s="652">
        <f>SUMIF(RIC!G:G,BS!G147,RIC!I:I)</f>
        <v>0</v>
      </c>
      <c r="R147" s="650">
        <f>O147+Q147-P147</f>
        <v>0</v>
      </c>
      <c r="S147" s="653">
        <f>SUMIF(RIT!H:H,BS!G147,RIT!J:J)</f>
        <v>0</v>
      </c>
      <c r="T147" s="654">
        <f>SUMIF(RIT!K:K,BS!G147,RIT!M:M)</f>
        <v>0</v>
      </c>
      <c r="U147" s="650">
        <f>R147+T147-S147</f>
        <v>0</v>
      </c>
      <c r="V147" s="655">
        <f>SUMIF(지분법및기타!$D:$D,BS!G147,지분법및기타!$F:$F)</f>
        <v>0</v>
      </c>
      <c r="W147" s="656">
        <f>SUMIF(지분법및기타!$G:$G,BS!G147,지분법및기타!$I:$I)</f>
        <v>0</v>
      </c>
      <c r="X147" s="657">
        <f>U147+W147-V147</f>
        <v>0</v>
      </c>
      <c r="Y147" s="443" t="s">
        <v>715</v>
      </c>
      <c r="AA147" s="108"/>
      <c r="AB147" s="497"/>
      <c r="AF147" s="101"/>
    </row>
    <row r="148" spans="1:32">
      <c r="A148" s="444">
        <v>4</v>
      </c>
      <c r="B148" s="445"/>
      <c r="C148" s="446"/>
      <c r="D148" s="447"/>
      <c r="E148" s="448" t="s">
        <v>713</v>
      </c>
      <c r="F148" s="431"/>
      <c r="G148" s="442" t="s">
        <v>712</v>
      </c>
      <c r="H148" s="659">
        <f>SUMIF(별도정산표!$G:$G,BS!G148,별도정산표!$E:$E)</f>
        <v>0</v>
      </c>
      <c r="I148" s="659">
        <f>SUMIF(울트라팜_FS!$A:$A,BS!G148,울트라팜_FS!$D:$D)</f>
        <v>0</v>
      </c>
      <c r="J148" s="659">
        <f>SUMIF(HK_BS!$A:$A,BS!G148,HK_BS!$K:$K)</f>
        <v>0</v>
      </c>
      <c r="K148" s="659">
        <f>SUMIF(DHK_BS!$A:$A,BS!G148,DHK_BS!$K:$K)</f>
        <v>0</v>
      </c>
      <c r="L148" s="659">
        <f>SUMIF(상해_BS!$A:$A,BS!G148,상해_BS!$K:$K)</f>
        <v>0</v>
      </c>
      <c r="M148" s="659">
        <f>SUMIF(SG_BS!$A:$A,BS!G148,SG_BS!$K:$K)</f>
        <v>0</v>
      </c>
      <c r="N148" s="659">
        <f>SUMIF(ATGC_BS!$H:$H,BS!G148,ATGC_BS!$I:$I)</f>
        <v>0</v>
      </c>
      <c r="O148" s="650">
        <f>SUM(H148:N148)</f>
        <v>0</v>
      </c>
      <c r="P148" s="651">
        <f>SUMIF(RIC!D:D,BS!G148,RIC!F:F)</f>
        <v>0</v>
      </c>
      <c r="Q148" s="652">
        <f>SUMIF(RIC!G:G,BS!G148,RIC!I:I)</f>
        <v>0</v>
      </c>
      <c r="R148" s="650">
        <f>O148+Q148-P148</f>
        <v>0</v>
      </c>
      <c r="S148" s="653">
        <f>SUMIF(RIT!H:H,BS!G148,RIT!J:J)</f>
        <v>0</v>
      </c>
      <c r="T148" s="654">
        <f>SUMIF(RIT!K:K,BS!G148,RIT!M:M)</f>
        <v>0</v>
      </c>
      <c r="U148" s="650">
        <f>R148+T148-S148</f>
        <v>0</v>
      </c>
      <c r="V148" s="655">
        <f>SUMIF(지분법및기타!$D:$D,BS!G148,지분법및기타!$F:$F)</f>
        <v>0</v>
      </c>
      <c r="W148" s="656">
        <f>SUMIF(지분법및기타!$G:$G,BS!G148,지분법및기타!$I:$I)</f>
        <v>0</v>
      </c>
      <c r="X148" s="657">
        <f>U148+W148-V148</f>
        <v>0</v>
      </c>
      <c r="Y148" s="443" t="s">
        <v>715</v>
      </c>
      <c r="AA148" s="108"/>
      <c r="AB148" s="497"/>
      <c r="AF148" s="101"/>
    </row>
    <row r="149" spans="1:32">
      <c r="A149" s="444">
        <v>4</v>
      </c>
      <c r="B149" s="445"/>
      <c r="C149" s="446"/>
      <c r="D149" s="447"/>
      <c r="E149" s="448" t="s">
        <v>715</v>
      </c>
      <c r="F149" s="431"/>
      <c r="G149" s="442" t="s">
        <v>714</v>
      </c>
      <c r="H149" s="659">
        <f>SUMIF(별도정산표!$G:$G,BS!G149,별도정산표!$E:$E)</f>
        <v>-9572416296</v>
      </c>
      <c r="I149" s="659">
        <f>SUMIF(울트라팜_FS!$A:$A,BS!G149,울트라팜_FS!$D:$D)</f>
        <v>0</v>
      </c>
      <c r="J149" s="659">
        <f>SUMIF(HK_BS!$A:$A,BS!G149,HK_BS!$K:$K)</f>
        <v>852785556</v>
      </c>
      <c r="K149" s="659">
        <f>SUMIF(DHK_BS!$A:$A,BS!G149,DHK_BS!$K:$K)</f>
        <v>-1340725865</v>
      </c>
      <c r="L149" s="659">
        <f>SUMIF(상해_BS!$A:$A,BS!G149,상해_BS!$K:$K)</f>
        <v>-232689315</v>
      </c>
      <c r="M149" s="659">
        <f>SUMIF(SG_BS!$A:$A,BS!G149,SG_BS!$K:$K)</f>
        <v>-23556849</v>
      </c>
      <c r="N149" s="659">
        <f>SUMIF(ATGC_BS!$H:$H,BS!G149,ATGC_BS!$I:$I)</f>
        <v>-93825956641</v>
      </c>
      <c r="O149" s="650">
        <f>SUM(H149:N149)</f>
        <v>-104142559410</v>
      </c>
      <c r="P149" s="651">
        <f>SUMIF(RIC!D:D,BS!G149,RIC!F:F)</f>
        <v>-93680360041</v>
      </c>
      <c r="Q149" s="652">
        <f>SUMIF(RIC!G:G,BS!G149,RIC!I:I)-PL!R115</f>
        <v>2490682800</v>
      </c>
      <c r="R149" s="650">
        <f>O149+Q149-P149</f>
        <v>-7971516569</v>
      </c>
      <c r="S149" s="653">
        <f>SUMIF(RIT!H:H,BS!G149,RIT!J:J)</f>
        <v>60676886</v>
      </c>
      <c r="T149" s="654">
        <f>SUMIF(RIT!K:K,BS!G149,RIT!M:M)-PL!U115</f>
        <v>-9368691</v>
      </c>
      <c r="U149" s="650">
        <f>R149+T149-S149</f>
        <v>-8041562146</v>
      </c>
      <c r="V149" s="655">
        <f>SUMIF(지분법및기타!$D:$D,BS!G149,지분법및기타!$F:$F)</f>
        <v>1483833881</v>
      </c>
      <c r="W149" s="656">
        <f>SUMIF(지분법및기타!$G:$G,BS!G149,지분법및기타!$I:$I)-PL!X115</f>
        <v>-290241962</v>
      </c>
      <c r="X149" s="657">
        <f>U149+W149-V149</f>
        <v>-9815637989</v>
      </c>
      <c r="Y149" s="443" t="s">
        <v>715</v>
      </c>
      <c r="AA149" s="108">
        <f>X149-O149</f>
        <v>94326921421</v>
      </c>
      <c r="AB149" s="497"/>
      <c r="AF149" s="101"/>
    </row>
    <row r="150" spans="1:32">
      <c r="A150" s="444">
        <v>2</v>
      </c>
      <c r="B150" s="445"/>
      <c r="C150" s="446" t="s">
        <v>109</v>
      </c>
      <c r="D150" s="447"/>
      <c r="E150" s="448"/>
      <c r="F150" s="431"/>
      <c r="G150" s="442"/>
      <c r="H150" s="649">
        <f t="shared" ref="H150:O150" si="145">H151</f>
        <v>0</v>
      </c>
      <c r="I150" s="649">
        <f t="shared" si="145"/>
        <v>0</v>
      </c>
      <c r="J150" s="649">
        <f t="shared" si="145"/>
        <v>0</v>
      </c>
      <c r="K150" s="649">
        <f t="shared" si="145"/>
        <v>0</v>
      </c>
      <c r="L150" s="649">
        <f t="shared" si="145"/>
        <v>0</v>
      </c>
      <c r="M150" s="649">
        <f t="shared" si="145"/>
        <v>0</v>
      </c>
      <c r="N150" s="649">
        <f t="shared" si="145"/>
        <v>0</v>
      </c>
      <c r="O150" s="650">
        <f t="shared" si="145"/>
        <v>0</v>
      </c>
      <c r="P150" s="651"/>
      <c r="Q150" s="652"/>
      <c r="R150" s="650">
        <f>R151</f>
        <v>117986065</v>
      </c>
      <c r="S150" s="653"/>
      <c r="T150" s="654"/>
      <c r="U150" s="650">
        <f>U151</f>
        <v>117986065</v>
      </c>
      <c r="V150" s="655">
        <f>SUMIF(지분법및기타!$D:$D,BS!G150,지분법및기타!$F:$F)</f>
        <v>0</v>
      </c>
      <c r="W150" s="656">
        <f>SUMIF(지분법및기타!$G:$G,BS!G150,지분법및기타!$I:$I)</f>
        <v>0</v>
      </c>
      <c r="X150" s="657">
        <f>X151</f>
        <v>117986065</v>
      </c>
      <c r="Y150" s="443"/>
      <c r="AA150" s="108"/>
      <c r="AB150" s="497"/>
      <c r="AF150" s="101"/>
    </row>
    <row r="151" spans="1:32">
      <c r="A151" s="444">
        <v>3</v>
      </c>
      <c r="B151" s="445"/>
      <c r="C151" s="446"/>
      <c r="D151" s="447" t="str">
        <f>C150</f>
        <v>비지배지분</v>
      </c>
      <c r="E151" s="448"/>
      <c r="F151" s="431"/>
      <c r="G151" s="442"/>
      <c r="H151" s="649">
        <f>H152+H153</f>
        <v>0</v>
      </c>
      <c r="I151" s="649">
        <f t="shared" ref="I151:N151" si="146">I152+I153</f>
        <v>0</v>
      </c>
      <c r="J151" s="649">
        <f t="shared" si="146"/>
        <v>0</v>
      </c>
      <c r="K151" s="649">
        <f t="shared" si="146"/>
        <v>0</v>
      </c>
      <c r="L151" s="649">
        <f t="shared" si="146"/>
        <v>0</v>
      </c>
      <c r="M151" s="649">
        <f t="shared" si="146"/>
        <v>0</v>
      </c>
      <c r="N151" s="649">
        <f t="shared" si="146"/>
        <v>0</v>
      </c>
      <c r="O151" s="650">
        <f>SUM(O152:O153)</f>
        <v>0</v>
      </c>
      <c r="P151" s="651"/>
      <c r="Q151" s="652"/>
      <c r="R151" s="650">
        <f>R152+R153</f>
        <v>117986065</v>
      </c>
      <c r="S151" s="653"/>
      <c r="T151" s="654"/>
      <c r="U151" s="650">
        <f>U152+U153</f>
        <v>117986065</v>
      </c>
      <c r="V151" s="655">
        <f>SUMIF(지분법및기타!$D:$D,BS!G151,지분법및기타!$F:$F)</f>
        <v>0</v>
      </c>
      <c r="W151" s="656">
        <f>SUMIF(지분법및기타!$G:$G,BS!G151,지분법및기타!$I:$I)</f>
        <v>0</v>
      </c>
      <c r="X151" s="657">
        <f>X152+X153</f>
        <v>117986065</v>
      </c>
      <c r="Y151" s="443"/>
      <c r="AA151" s="108"/>
      <c r="AB151" s="497"/>
      <c r="AF151" s="101"/>
    </row>
    <row r="152" spans="1:32">
      <c r="A152" s="444">
        <v>4</v>
      </c>
      <c r="B152" s="445"/>
      <c r="C152" s="446"/>
      <c r="D152" s="447"/>
      <c r="E152" s="448" t="str">
        <f>D151</f>
        <v>비지배지분</v>
      </c>
      <c r="F152" s="431"/>
      <c r="G152" s="544" t="s">
        <v>826</v>
      </c>
      <c r="H152" s="649"/>
      <c r="I152" s="649"/>
      <c r="J152" s="649"/>
      <c r="K152" s="649"/>
      <c r="L152" s="649"/>
      <c r="M152" s="649"/>
      <c r="N152" s="649"/>
      <c r="O152" s="650">
        <f>SUM(H152:N152)</f>
        <v>0</v>
      </c>
      <c r="P152" s="651">
        <f>SUMIF(RIC!D:D,BS!G152,RIC!F:F)</f>
        <v>0</v>
      </c>
      <c r="Q152" s="652">
        <f>SUMIF(RIC!G:G,BS!G152,RIC!I:I)</f>
        <v>117986065</v>
      </c>
      <c r="R152" s="650">
        <f>O152+Q152-P152</f>
        <v>117986065</v>
      </c>
      <c r="S152" s="653">
        <f>SUMIF(RIT!H:H,BS!G152,RIT!J:J)</f>
        <v>0</v>
      </c>
      <c r="T152" s="654">
        <f>SUMIF(RIT!K:K,BS!G152,RIT!M:M)</f>
        <v>0</v>
      </c>
      <c r="U152" s="650">
        <f>R152+T152-S152</f>
        <v>117986065</v>
      </c>
      <c r="V152" s="655">
        <f>SUMIF(지분법및기타!$D:$D,BS!G152,지분법및기타!$F:$F)</f>
        <v>0</v>
      </c>
      <c r="W152" s="656">
        <f>SUMIF(지분법및기타!$G:$G,BS!G152,지분법및기타!$I:$I)</f>
        <v>0</v>
      </c>
      <c r="X152" s="657">
        <f>U152+W152-V152</f>
        <v>117986065</v>
      </c>
      <c r="Y152" s="443" t="s">
        <v>109</v>
      </c>
      <c r="AA152" s="108"/>
      <c r="AB152" s="497"/>
      <c r="AF152" s="101"/>
    </row>
    <row r="153" spans="1:32">
      <c r="A153" s="444">
        <v>4</v>
      </c>
      <c r="B153" s="445"/>
      <c r="C153" s="446"/>
      <c r="D153" s="447"/>
      <c r="E153" s="448" t="s">
        <v>110</v>
      </c>
      <c r="F153" s="431"/>
      <c r="G153" s="544" t="s">
        <v>825</v>
      </c>
      <c r="H153" s="649"/>
      <c r="I153" s="649"/>
      <c r="J153" s="649"/>
      <c r="K153" s="649"/>
      <c r="L153" s="649"/>
      <c r="M153" s="649"/>
      <c r="N153" s="649"/>
      <c r="O153" s="650">
        <f>SUM(H153:N153)</f>
        <v>0</v>
      </c>
      <c r="P153" s="651">
        <f>SUMIF(RIC!D:D,BS!G153,RIC!F:F)</f>
        <v>0</v>
      </c>
      <c r="Q153" s="652">
        <f>SUMIF(RIC!G:G,BS!G153,RIC!I:I)</f>
        <v>0</v>
      </c>
      <c r="R153" s="650">
        <f>O153+Q153-P153</f>
        <v>0</v>
      </c>
      <c r="S153" s="653">
        <f>SUMIF(RIT!H:H,BS!G153,RIT!J:J)</f>
        <v>0</v>
      </c>
      <c r="T153" s="654">
        <f>SUMIF(RIT!K:K,BS!G153,RIT!M:M)</f>
        <v>0</v>
      </c>
      <c r="U153" s="650">
        <f>R153+T153-S153</f>
        <v>0</v>
      </c>
      <c r="V153" s="655">
        <f>SUMIF(지분법및기타!$D:$D,BS!G153,지분법및기타!$F:$F)</f>
        <v>0</v>
      </c>
      <c r="W153" s="656">
        <f>SUMIF(지분법및기타!$G:$G,BS!G153,지분법및기타!$I:$I)</f>
        <v>0</v>
      </c>
      <c r="X153" s="657">
        <f>U153+W153-V153</f>
        <v>0</v>
      </c>
      <c r="Y153" s="443" t="s">
        <v>1530</v>
      </c>
      <c r="AB153" s="497"/>
      <c r="AF153" s="101"/>
    </row>
    <row r="154" spans="1:32" ht="14.25" thickBot="1">
      <c r="A154" s="450"/>
      <c r="B154" s="451"/>
      <c r="C154" s="451"/>
      <c r="D154" s="451"/>
      <c r="E154" s="451"/>
      <c r="F154" s="452"/>
      <c r="G154" s="453" t="s">
        <v>79</v>
      </c>
      <c r="H154" s="662">
        <f t="shared" ref="H154:O154" si="147">H4-H88-H120</f>
        <v>0</v>
      </c>
      <c r="I154" s="663">
        <f t="shared" si="147"/>
        <v>0</v>
      </c>
      <c r="J154" s="663">
        <f t="shared" si="147"/>
        <v>0</v>
      </c>
      <c r="K154" s="663">
        <f t="shared" si="147"/>
        <v>0</v>
      </c>
      <c r="L154" s="663">
        <f t="shared" si="147"/>
        <v>0</v>
      </c>
      <c r="M154" s="663">
        <f t="shared" si="147"/>
        <v>0</v>
      </c>
      <c r="N154" s="663">
        <f t="shared" si="147"/>
        <v>0</v>
      </c>
      <c r="O154" s="664">
        <f t="shared" si="147"/>
        <v>0</v>
      </c>
      <c r="P154" s="665">
        <f>SUM(P4:P153)</f>
        <v>31338338751</v>
      </c>
      <c r="Q154" s="666">
        <f>SUM(Q4:Q153)</f>
        <v>31338338751</v>
      </c>
      <c r="R154" s="664">
        <f>R4-R88-R120</f>
        <v>0</v>
      </c>
      <c r="S154" s="665">
        <f>SUM(S4:S153)</f>
        <v>2195081434</v>
      </c>
      <c r="T154" s="666">
        <f>SUM(T4:T153)</f>
        <v>2195081434</v>
      </c>
      <c r="U154" s="664">
        <f>U4-U88-U120</f>
        <v>0</v>
      </c>
      <c r="V154" s="667">
        <f>SUM(V4:V153)</f>
        <v>2293308282</v>
      </c>
      <c r="W154" s="668">
        <f>SUM(W4:W153)</f>
        <v>2293308282</v>
      </c>
      <c r="X154" s="669">
        <f>X4-X88-X120</f>
        <v>0</v>
      </c>
      <c r="Y154" s="454"/>
      <c r="AF154" s="101"/>
    </row>
    <row r="155" spans="1:32">
      <c r="H155" s="670"/>
      <c r="I155" s="670"/>
      <c r="J155" s="670"/>
      <c r="K155" s="670"/>
      <c r="L155" s="670"/>
      <c r="M155" s="670"/>
      <c r="N155" s="670"/>
      <c r="O155" s="670"/>
      <c r="P155" s="670">
        <f>P154-RIC!F85</f>
        <v>0</v>
      </c>
      <c r="Q155" s="670">
        <f>Q154-RIC!I85</f>
        <v>0</v>
      </c>
      <c r="R155" s="670"/>
      <c r="S155" s="670"/>
      <c r="T155" s="670"/>
      <c r="U155" s="670"/>
      <c r="V155" s="670"/>
      <c r="W155" s="670"/>
      <c r="X155" s="1120"/>
    </row>
    <row r="156" spans="1:32">
      <c r="G156" s="101" t="s">
        <v>595</v>
      </c>
      <c r="H156" s="670">
        <f>별도정산표!E71</f>
        <v>54543045905</v>
      </c>
      <c r="I156" s="670">
        <f>울트라팜_FS!D40</f>
        <v>0</v>
      </c>
      <c r="J156" s="670">
        <f>HK_BS!K5</f>
        <v>2268065089</v>
      </c>
      <c r="K156" s="670">
        <f>DHK_BS!K5</f>
        <v>358233996</v>
      </c>
      <c r="L156" s="670">
        <f>상해_BS!K5</f>
        <v>2287111</v>
      </c>
      <c r="M156" s="670">
        <f>SG_BS!K5</f>
        <v>22492142</v>
      </c>
      <c r="N156" s="670">
        <f>ATGC_BS!C54</f>
        <v>10738913487</v>
      </c>
      <c r="O156" s="670"/>
      <c r="P156" s="670"/>
      <c r="Q156" s="670"/>
      <c r="R156" s="670"/>
      <c r="S156" s="670"/>
      <c r="T156" s="670">
        <f>T154-S154</f>
        <v>0</v>
      </c>
      <c r="U156" s="670"/>
      <c r="V156" s="670"/>
      <c r="W156" s="670"/>
      <c r="X156" s="1120"/>
      <c r="AF156" s="101"/>
    </row>
    <row r="157" spans="1:32">
      <c r="H157" s="670" t="b">
        <f t="shared" ref="H157:N157" si="148">H156=H4</f>
        <v>1</v>
      </c>
      <c r="I157" s="670" t="b">
        <f t="shared" si="148"/>
        <v>1</v>
      </c>
      <c r="J157" s="670" t="b">
        <f t="shared" si="148"/>
        <v>1</v>
      </c>
      <c r="K157" s="670" t="b">
        <f t="shared" si="148"/>
        <v>1</v>
      </c>
      <c r="L157" s="670" t="b">
        <f t="shared" si="148"/>
        <v>1</v>
      </c>
      <c r="M157" s="670" t="b">
        <f t="shared" si="148"/>
        <v>1</v>
      </c>
      <c r="N157" s="670" t="b">
        <f t="shared" si="148"/>
        <v>1</v>
      </c>
      <c r="O157" s="670"/>
      <c r="P157" s="670"/>
      <c r="Q157" s="670"/>
      <c r="R157" s="670"/>
      <c r="S157" s="670">
        <f>S154+PL!T114</f>
        <v>2676024414</v>
      </c>
      <c r="T157" s="670">
        <f>T154+PL!U114</f>
        <v>2641432874</v>
      </c>
      <c r="U157" s="670"/>
      <c r="V157" s="670"/>
      <c r="W157" s="670"/>
      <c r="X157" s="1120"/>
      <c r="AF157" s="101"/>
    </row>
    <row r="158" spans="1:32">
      <c r="G158" s="101" t="s">
        <v>596</v>
      </c>
      <c r="H158" s="670">
        <f>별도정산표!E94</f>
        <v>12842260610</v>
      </c>
      <c r="I158" s="670">
        <f>울트라팜_FS!D53</f>
        <v>0</v>
      </c>
      <c r="J158" s="670">
        <f>HK_BS!K75</f>
        <v>516057216</v>
      </c>
      <c r="K158" s="670">
        <f>DHK_BS!K75</f>
        <v>1649671107</v>
      </c>
      <c r="L158" s="670">
        <f>상해_BS!K75</f>
        <v>0</v>
      </c>
      <c r="M158" s="670">
        <f>SG_BS!K75</f>
        <v>0</v>
      </c>
      <c r="N158" s="670">
        <f>ATGC_BS!C68</f>
        <v>10501946093</v>
      </c>
      <c r="O158" s="670"/>
      <c r="P158" s="670"/>
      <c r="Q158" s="670"/>
      <c r="R158" s="670"/>
      <c r="S158" s="670"/>
      <c r="T158" s="670">
        <f>S157-T157</f>
        <v>34591540</v>
      </c>
      <c r="U158" s="670"/>
      <c r="V158" s="670"/>
      <c r="W158" s="670"/>
      <c r="X158" s="1120"/>
      <c r="AF158" s="101"/>
    </row>
    <row r="159" spans="1:32">
      <c r="H159" s="670" t="b">
        <f t="shared" ref="H159:M159" si="149">H158=H88</f>
        <v>1</v>
      </c>
      <c r="I159" s="670" t="b">
        <f t="shared" si="149"/>
        <v>1</v>
      </c>
      <c r="J159" s="670" t="b">
        <f t="shared" si="149"/>
        <v>1</v>
      </c>
      <c r="K159" s="670" t="b">
        <f t="shared" si="149"/>
        <v>1</v>
      </c>
      <c r="L159" s="670" t="b">
        <f t="shared" si="149"/>
        <v>1</v>
      </c>
      <c r="M159" s="670" t="b">
        <f t="shared" si="149"/>
        <v>1</v>
      </c>
      <c r="N159" s="670" t="b">
        <f>N158=N88</f>
        <v>1</v>
      </c>
      <c r="O159" s="670"/>
      <c r="P159" s="670"/>
      <c r="Q159" s="670"/>
      <c r="R159" s="670"/>
      <c r="S159" s="670"/>
      <c r="T159" s="670"/>
      <c r="U159" s="670"/>
      <c r="V159" s="670"/>
      <c r="W159" s="670"/>
      <c r="X159" s="1120"/>
      <c r="AF159" s="101"/>
    </row>
    <row r="160" spans="1:32">
      <c r="G160" s="101" t="s">
        <v>597</v>
      </c>
      <c r="H160" s="670">
        <f>별도정산표!E104</f>
        <v>41700785295</v>
      </c>
      <c r="I160" s="670">
        <f>울트라팜_FS!D66</f>
        <v>0</v>
      </c>
      <c r="J160" s="670">
        <f>HK_BS!K111</f>
        <v>1752007873</v>
      </c>
      <c r="K160" s="670">
        <f>DHK_BS!K111</f>
        <v>-1291437111</v>
      </c>
      <c r="L160" s="670">
        <f>상해_BS!K111</f>
        <v>2287111</v>
      </c>
      <c r="M160" s="670">
        <f>SG_BS!K111</f>
        <v>22492142</v>
      </c>
      <c r="N160" s="670">
        <f>ATGC_BS!C84</f>
        <v>236967394</v>
      </c>
      <c r="O160" s="670"/>
      <c r="P160" s="670"/>
      <c r="Q160" s="670"/>
      <c r="R160" s="670"/>
      <c r="S160" s="670">
        <f>+RIT!J123</f>
        <v>2160134988</v>
      </c>
      <c r="T160" s="670">
        <f>+RIT!M123+PL!Y114</f>
        <v>-17652321</v>
      </c>
      <c r="U160" s="670"/>
      <c r="V160" s="670"/>
      <c r="W160" s="670"/>
      <c r="X160" s="1120"/>
      <c r="AF160" s="101"/>
    </row>
    <row r="161" spans="7:32">
      <c r="H161" s="670" t="b">
        <f t="shared" ref="H161:N161" si="150">H160=H120</f>
        <v>1</v>
      </c>
      <c r="I161" s="670" t="b">
        <f t="shared" si="150"/>
        <v>1</v>
      </c>
      <c r="J161" s="670" t="b">
        <f t="shared" si="150"/>
        <v>1</v>
      </c>
      <c r="K161" s="670" t="b">
        <f t="shared" si="150"/>
        <v>1</v>
      </c>
      <c r="L161" s="670" t="b">
        <f t="shared" si="150"/>
        <v>1</v>
      </c>
      <c r="M161" s="670" t="b">
        <f t="shared" si="150"/>
        <v>1</v>
      </c>
      <c r="N161" s="670" t="b">
        <f t="shared" si="150"/>
        <v>1</v>
      </c>
      <c r="O161" s="670"/>
      <c r="P161" s="670"/>
      <c r="Q161" s="670"/>
      <c r="R161" s="670"/>
      <c r="S161" s="670">
        <f>S154-S160</f>
        <v>34946446</v>
      </c>
      <c r="T161" s="670">
        <f>T154-T160</f>
        <v>2212733755</v>
      </c>
      <c r="U161" s="670"/>
      <c r="V161" s="670"/>
      <c r="W161" s="670"/>
      <c r="X161" s="1120"/>
      <c r="AF161" s="101"/>
    </row>
    <row r="162" spans="7:32">
      <c r="H162" s="670"/>
      <c r="I162" s="670"/>
      <c r="J162" s="670"/>
      <c r="K162" s="670"/>
      <c r="L162" s="670"/>
      <c r="M162" s="670"/>
      <c r="N162" s="670"/>
      <c r="O162" s="670"/>
      <c r="P162" s="670"/>
      <c r="Q162" s="670"/>
      <c r="R162" s="670"/>
      <c r="S162" s="670"/>
      <c r="T162" s="670"/>
      <c r="U162" s="670"/>
      <c r="V162" s="670"/>
      <c r="W162" s="670"/>
      <c r="X162" s="1120"/>
      <c r="AF162" s="101"/>
    </row>
    <row r="163" spans="7:32">
      <c r="G163" s="101" t="s">
        <v>2564</v>
      </c>
      <c r="H163" s="670"/>
      <c r="I163" s="670"/>
      <c r="J163" s="670"/>
      <c r="K163" s="670"/>
      <c r="L163" s="670"/>
      <c r="M163" s="670"/>
      <c r="N163" s="670"/>
      <c r="O163" s="670"/>
      <c r="P163" s="670"/>
      <c r="Q163" s="670"/>
      <c r="R163" s="670"/>
      <c r="S163" s="670"/>
      <c r="T163" s="670"/>
      <c r="U163" s="670"/>
      <c r="V163" s="670"/>
      <c r="W163" s="670"/>
      <c r="X163" s="1120"/>
    </row>
    <row r="164" spans="7:32">
      <c r="G164" s="101" t="s">
        <v>2565</v>
      </c>
      <c r="H164" s="670">
        <v>-8783566486</v>
      </c>
      <c r="I164" s="670">
        <v>0</v>
      </c>
      <c r="J164" s="670">
        <v>808577665</v>
      </c>
      <c r="K164" s="670">
        <v>-1243799536</v>
      </c>
      <c r="L164" s="670">
        <v>-249980633</v>
      </c>
      <c r="M164" s="670">
        <v>-14870818</v>
      </c>
      <c r="N164" s="670">
        <v>0</v>
      </c>
      <c r="O164" s="670"/>
      <c r="P164" s="670"/>
      <c r="Q164" s="670"/>
      <c r="R164" s="670"/>
      <c r="S164" s="670"/>
      <c r="T164" s="670"/>
      <c r="U164" s="670"/>
      <c r="V164" s="670"/>
      <c r="W164" s="670"/>
      <c r="X164" s="1120"/>
    </row>
    <row r="165" spans="7:32">
      <c r="G165" s="101" t="s">
        <v>2566</v>
      </c>
      <c r="H165" s="670">
        <f>PL!I113</f>
        <v>-788849810</v>
      </c>
      <c r="I165" s="670">
        <f>PL!J113</f>
        <v>0</v>
      </c>
      <c r="J165" s="670">
        <f>PL!K113</f>
        <v>44207891</v>
      </c>
      <c r="K165" s="670">
        <f>PL!L113</f>
        <v>-96926329</v>
      </c>
      <c r="L165" s="670">
        <f>PL!M113</f>
        <v>17291318</v>
      </c>
      <c r="M165" s="670">
        <f>PL!N113</f>
        <v>-8686031</v>
      </c>
      <c r="N165" s="670">
        <v>0</v>
      </c>
      <c r="O165" s="670"/>
      <c r="P165" s="670"/>
      <c r="Q165" s="670"/>
      <c r="R165" s="670"/>
      <c r="S165" s="670"/>
      <c r="T165" s="670"/>
      <c r="U165" s="670"/>
      <c r="V165" s="670"/>
      <c r="W165" s="670"/>
      <c r="X165" s="1120"/>
      <c r="AA165" s="108"/>
    </row>
    <row r="166" spans="7:32">
      <c r="G166" s="101" t="s">
        <v>2689</v>
      </c>
      <c r="H166" s="670">
        <v>0</v>
      </c>
      <c r="I166" s="670">
        <v>0</v>
      </c>
      <c r="J166" s="670">
        <v>0</v>
      </c>
      <c r="K166" s="670">
        <v>0</v>
      </c>
      <c r="L166" s="670">
        <v>0</v>
      </c>
      <c r="M166" s="670">
        <v>0</v>
      </c>
      <c r="N166" s="670">
        <v>-92870163073</v>
      </c>
      <c r="O166" s="670" t="s">
        <v>3767</v>
      </c>
      <c r="P166" s="670"/>
      <c r="Q166" s="670"/>
      <c r="R166" s="670"/>
      <c r="S166" s="670"/>
      <c r="T166" s="670"/>
      <c r="U166" s="670"/>
      <c r="V166" s="670"/>
      <c r="W166" s="670"/>
      <c r="X166" s="1120"/>
      <c r="AA166" s="108"/>
    </row>
    <row r="167" spans="7:32">
      <c r="G167" s="101" t="s">
        <v>2567</v>
      </c>
      <c r="H167" s="670">
        <f>H165+H164+H166</f>
        <v>-9572416296</v>
      </c>
      <c r="I167" s="670">
        <f>I165+I164+I166</f>
        <v>0</v>
      </c>
      <c r="J167" s="670">
        <f t="shared" ref="J167:N167" si="151">J165+J164+J166</f>
        <v>852785556</v>
      </c>
      <c r="K167" s="670">
        <f t="shared" si="151"/>
        <v>-1340725865</v>
      </c>
      <c r="L167" s="670">
        <f t="shared" si="151"/>
        <v>-232689315</v>
      </c>
      <c r="M167" s="670">
        <f t="shared" si="151"/>
        <v>-23556849</v>
      </c>
      <c r="N167" s="670">
        <f t="shared" si="151"/>
        <v>-92870163073</v>
      </c>
      <c r="O167" s="670"/>
      <c r="P167" s="670"/>
      <c r="Q167" s="670"/>
      <c r="R167" s="670"/>
      <c r="S167" s="670"/>
      <c r="T167" s="670"/>
      <c r="U167" s="670"/>
      <c r="V167" s="670"/>
      <c r="W167" s="670"/>
      <c r="X167" s="1120"/>
      <c r="AA167" s="108"/>
    </row>
    <row r="168" spans="7:32">
      <c r="G168" s="101" t="s">
        <v>2568</v>
      </c>
      <c r="H168" s="670">
        <f>H167-H149</f>
        <v>0</v>
      </c>
      <c r="I168" s="670">
        <f>I167-I149</f>
        <v>0</v>
      </c>
      <c r="J168" s="670">
        <f>J167-J149</f>
        <v>0</v>
      </c>
      <c r="K168" s="670">
        <f t="shared" ref="K168:N168" si="152">K167-K149</f>
        <v>0</v>
      </c>
      <c r="L168" s="670">
        <f t="shared" si="152"/>
        <v>0</v>
      </c>
      <c r="M168" s="670">
        <f t="shared" si="152"/>
        <v>0</v>
      </c>
      <c r="N168" s="670">
        <f t="shared" si="152"/>
        <v>955793568</v>
      </c>
      <c r="O168" s="670"/>
      <c r="P168" s="670"/>
      <c r="Q168" s="670"/>
      <c r="R168" s="670"/>
      <c r="S168" s="670"/>
      <c r="T168" s="670"/>
      <c r="U168" s="670"/>
      <c r="V168" s="670"/>
      <c r="W168" s="670"/>
      <c r="X168" s="1120"/>
    </row>
    <row r="169" spans="7:32">
      <c r="H169" s="670"/>
      <c r="I169" s="670"/>
      <c r="J169" s="670"/>
      <c r="K169" s="670"/>
      <c r="L169" s="670"/>
      <c r="M169" s="670"/>
      <c r="N169" s="670"/>
      <c r="O169" s="670"/>
      <c r="P169" s="670"/>
      <c r="Q169" s="670"/>
      <c r="R169" s="670"/>
      <c r="S169" s="670"/>
      <c r="T169" s="670"/>
      <c r="U169" s="670"/>
      <c r="V169" s="670"/>
      <c r="W169" s="670"/>
      <c r="X169" s="1120"/>
      <c r="AA169" s="108"/>
    </row>
    <row r="170" spans="7:32">
      <c r="G170" s="101" t="s">
        <v>2569</v>
      </c>
    </row>
    <row r="171" spans="7:32">
      <c r="G171" s="101" t="s">
        <v>2673</v>
      </c>
      <c r="J171" s="670">
        <v>95777195</v>
      </c>
      <c r="K171" s="670">
        <v>-45357225</v>
      </c>
      <c r="L171" s="670">
        <v>-5372312</v>
      </c>
      <c r="M171" s="670">
        <v>1977681</v>
      </c>
    </row>
    <row r="172" spans="7:32">
      <c r="G172" s="101" t="s">
        <v>2674</v>
      </c>
      <c r="J172" s="670">
        <f>PL!K119</f>
        <v>99968525</v>
      </c>
      <c r="K172" s="670">
        <f>PL!L119</f>
        <v>-77454021</v>
      </c>
      <c r="L172" s="670">
        <f>PL!M119</f>
        <v>-693420</v>
      </c>
      <c r="M172" s="670">
        <f>PL!N119</f>
        <v>1741310</v>
      </c>
      <c r="O172" s="670"/>
    </row>
    <row r="173" spans="7:32">
      <c r="G173" s="101" t="s">
        <v>2675</v>
      </c>
      <c r="J173" s="670">
        <f>J172+J171</f>
        <v>195745720</v>
      </c>
      <c r="K173" s="670">
        <f t="shared" ref="K173" si="153">K172+K171</f>
        <v>-122811246</v>
      </c>
      <c r="L173" s="670">
        <f t="shared" ref="L173:M173" si="154">L172+L171</f>
        <v>-6065732</v>
      </c>
      <c r="M173" s="670">
        <f t="shared" si="154"/>
        <v>3718991</v>
      </c>
    </row>
    <row r="174" spans="7:32">
      <c r="G174" s="101" t="s">
        <v>2676</v>
      </c>
      <c r="J174" s="670">
        <f>J173-J140</f>
        <v>3</v>
      </c>
      <c r="K174" s="670">
        <f t="shared" ref="K174:L174" si="155">K173-K140</f>
        <v>0</v>
      </c>
      <c r="L174" s="670">
        <f t="shared" si="155"/>
        <v>-160</v>
      </c>
      <c r="M174" s="670">
        <f>M173-M140</f>
        <v>0</v>
      </c>
    </row>
    <row r="175" spans="7:32">
      <c r="J175" s="670">
        <f>J174+J168</f>
        <v>3</v>
      </c>
      <c r="K175" s="670">
        <f>K174+K168</f>
        <v>0</v>
      </c>
      <c r="L175" s="670">
        <f t="shared" ref="L175:M175" si="156">L174+L168</f>
        <v>-160</v>
      </c>
      <c r="M175" s="670">
        <f t="shared" si="156"/>
        <v>0</v>
      </c>
    </row>
    <row r="176" spans="7:32">
      <c r="J176" s="670"/>
      <c r="K176" s="670"/>
      <c r="L176" s="670"/>
    </row>
    <row r="177" spans="8:12">
      <c r="J177" s="670"/>
      <c r="K177" s="670"/>
      <c r="L177" s="670"/>
    </row>
    <row r="179" spans="8:12">
      <c r="H179" s="670"/>
    </row>
  </sheetData>
  <autoFilter ref="A1:AF162" xr:uid="{00000000-0009-0000-0000-00000A000000}">
    <filterColumn colId="1" showButton="0"/>
    <filterColumn colId="2" showButton="0"/>
    <filterColumn colId="3" showButton="0"/>
    <filterColumn colId="4" showButton="0"/>
    <filterColumn colId="15" showButton="0"/>
    <filterColumn colId="18" showButton="0"/>
    <filterColumn colId="21" showButton="0"/>
  </autoFilter>
  <mergeCells count="24">
    <mergeCell ref="N1:N3"/>
    <mergeCell ref="O1:O3"/>
    <mergeCell ref="P1:Q1"/>
    <mergeCell ref="R1:R3"/>
    <mergeCell ref="A1:A3"/>
    <mergeCell ref="B1:F3"/>
    <mergeCell ref="G1:G3"/>
    <mergeCell ref="H1:H3"/>
    <mergeCell ref="I1:I3"/>
    <mergeCell ref="J1:J3"/>
    <mergeCell ref="L1:L3"/>
    <mergeCell ref="K1:K3"/>
    <mergeCell ref="M1:M3"/>
    <mergeCell ref="Y1:Y3"/>
    <mergeCell ref="P2:P3"/>
    <mergeCell ref="Q2:Q3"/>
    <mergeCell ref="S2:S3"/>
    <mergeCell ref="T2:T3"/>
    <mergeCell ref="V2:V3"/>
    <mergeCell ref="W2:W3"/>
    <mergeCell ref="S1:T1"/>
    <mergeCell ref="U1:U3"/>
    <mergeCell ref="V1:W1"/>
    <mergeCell ref="X1:X3"/>
  </mergeCells>
  <phoneticPr fontId="3" type="noConversion"/>
  <conditionalFormatting sqref="B4:F153">
    <cfRule type="cellIs" dxfId="149" priority="2" stopIfTrue="1" operator="equal">
      <formula>"지워라"</formula>
    </cfRule>
  </conditionalFormatting>
  <conditionalFormatting sqref="G4:G14 G16:G153">
    <cfRule type="duplicateValues" dxfId="148" priority="2491"/>
  </conditionalFormatting>
  <conditionalFormatting sqref="G15">
    <cfRule type="duplicateValues" dxfId="147" priority="3"/>
  </conditionalFormatting>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20">
    <tabColor theme="3"/>
  </sheetPr>
  <dimension ref="A1:AF128"/>
  <sheetViews>
    <sheetView topLeftCell="C2" zoomScale="70" zoomScaleNormal="70" workbookViewId="0">
      <pane xSplit="5" ySplit="3" topLeftCell="H5" activePane="bottomRight" state="frozen"/>
      <selection activeCell="E118" sqref="E118"/>
      <selection pane="topRight" activeCell="E118" sqref="E118"/>
      <selection pane="bottomLeft" activeCell="E118" sqref="E118"/>
      <selection pane="bottomRight" activeCell="K105" sqref="A105:XFD105"/>
    </sheetView>
  </sheetViews>
  <sheetFormatPr defaultColWidth="8.625" defaultRowHeight="16.5"/>
  <cols>
    <col min="1" max="1" width="3" style="418" customWidth="1"/>
    <col min="2" max="2" width="8.625" style="418"/>
    <col min="3" max="5" width="2.125" style="418" customWidth="1"/>
    <col min="6" max="6" width="22.125" style="418" customWidth="1"/>
    <col min="7" max="7" width="2.125" style="418" hidden="1" customWidth="1"/>
    <col min="8" max="8" width="10.875" style="399" bestFit="1" customWidth="1"/>
    <col min="9" max="28" width="15.625" style="418" customWidth="1"/>
    <col min="29" max="29" width="34.125" style="418" bestFit="1" customWidth="1"/>
    <col min="30" max="30" width="16.875" style="418" bestFit="1" customWidth="1"/>
    <col min="31" max="31" width="8.625" style="418"/>
    <col min="32" max="32" width="15.125" style="418" bestFit="1" customWidth="1"/>
    <col min="33" max="16384" width="8.625" style="418"/>
  </cols>
  <sheetData>
    <row r="1" spans="1:32" ht="17.25" thickBot="1">
      <c r="L1" s="434">
        <v>62335406</v>
      </c>
    </row>
    <row r="2" spans="1:32">
      <c r="A2" s="746"/>
      <c r="B2" s="1927" t="s">
        <v>0</v>
      </c>
      <c r="C2" s="1930" t="s">
        <v>1</v>
      </c>
      <c r="D2" s="1930"/>
      <c r="E2" s="1930"/>
      <c r="F2" s="1930"/>
      <c r="G2" s="1930"/>
      <c r="H2" s="1959" t="s">
        <v>2</v>
      </c>
      <c r="I2" s="1936" t="s">
        <v>617</v>
      </c>
      <c r="J2" s="1922" t="s">
        <v>618</v>
      </c>
      <c r="K2" s="1922" t="s">
        <v>619</v>
      </c>
      <c r="L2" s="1922" t="s">
        <v>620</v>
      </c>
      <c r="M2" s="1922" t="s">
        <v>621</v>
      </c>
      <c r="N2" s="1922" t="s">
        <v>1390</v>
      </c>
      <c r="O2" s="1922" t="s">
        <v>3609</v>
      </c>
      <c r="P2" s="1963" t="s">
        <v>111</v>
      </c>
      <c r="Q2" s="1966" t="s">
        <v>112</v>
      </c>
      <c r="R2" s="1967"/>
      <c r="S2" s="455"/>
      <c r="T2" s="1968" t="s">
        <v>113</v>
      </c>
      <c r="U2" s="1969"/>
      <c r="V2" s="455"/>
      <c r="W2" s="1951" t="s">
        <v>1532</v>
      </c>
      <c r="X2" s="1952"/>
      <c r="Y2" s="456"/>
      <c r="Z2" s="1897" t="s">
        <v>603</v>
      </c>
      <c r="AA2" s="1897" t="s">
        <v>521</v>
      </c>
      <c r="AB2" s="1897" t="s">
        <v>114</v>
      </c>
      <c r="AC2" s="1962" t="s">
        <v>519</v>
      </c>
    </row>
    <row r="3" spans="1:32">
      <c r="A3" s="747"/>
      <c r="B3" s="1957"/>
      <c r="C3" s="1958"/>
      <c r="D3" s="1958"/>
      <c r="E3" s="1958"/>
      <c r="F3" s="1958"/>
      <c r="G3" s="1958"/>
      <c r="H3" s="1960"/>
      <c r="I3" s="1937"/>
      <c r="J3" s="1923"/>
      <c r="K3" s="1923"/>
      <c r="L3" s="1923"/>
      <c r="M3" s="1923"/>
      <c r="N3" s="1923"/>
      <c r="O3" s="1923"/>
      <c r="P3" s="1964"/>
      <c r="Q3" s="1939" t="s">
        <v>115</v>
      </c>
      <c r="R3" s="1941" t="s">
        <v>116</v>
      </c>
      <c r="S3" s="1943" t="s">
        <v>117</v>
      </c>
      <c r="T3" s="1945" t="s">
        <v>115</v>
      </c>
      <c r="U3" s="1947" t="s">
        <v>116</v>
      </c>
      <c r="V3" s="1943" t="s">
        <v>117</v>
      </c>
      <c r="W3" s="1953" t="s">
        <v>115</v>
      </c>
      <c r="X3" s="1955" t="s">
        <v>116</v>
      </c>
      <c r="Y3" s="1949" t="s">
        <v>117</v>
      </c>
      <c r="Z3" s="1898"/>
      <c r="AA3" s="1898"/>
      <c r="AB3" s="1898"/>
      <c r="AC3" s="1898"/>
    </row>
    <row r="4" spans="1:32" ht="17.25" thickBot="1">
      <c r="A4" s="747"/>
      <c r="B4" s="1928"/>
      <c r="C4" s="1931"/>
      <c r="D4" s="1931"/>
      <c r="E4" s="1931"/>
      <c r="F4" s="1931"/>
      <c r="G4" s="1931"/>
      <c r="H4" s="1961"/>
      <c r="I4" s="1938"/>
      <c r="J4" s="1924"/>
      <c r="K4" s="1924"/>
      <c r="L4" s="1924"/>
      <c r="M4" s="1924"/>
      <c r="N4" s="1924"/>
      <c r="O4" s="1924"/>
      <c r="P4" s="1965"/>
      <c r="Q4" s="1940"/>
      <c r="R4" s="1942"/>
      <c r="S4" s="1944"/>
      <c r="T4" s="1946"/>
      <c r="U4" s="1948"/>
      <c r="V4" s="1944"/>
      <c r="W4" s="1954"/>
      <c r="X4" s="1956"/>
      <c r="Y4" s="1950"/>
      <c r="Z4" s="1899"/>
      <c r="AA4" s="1899"/>
      <c r="AB4" s="1899"/>
      <c r="AC4" s="1899"/>
      <c r="AD4" s="418" t="s">
        <v>588</v>
      </c>
    </row>
    <row r="5" spans="1:32">
      <c r="A5" s="747"/>
      <c r="B5" s="419">
        <v>1</v>
      </c>
      <c r="C5" s="420" t="s">
        <v>80</v>
      </c>
      <c r="D5" s="421"/>
      <c r="E5" s="422"/>
      <c r="F5" s="423"/>
      <c r="G5" s="424"/>
      <c r="H5" s="491"/>
      <c r="I5" s="425"/>
      <c r="J5" s="425"/>
      <c r="K5" s="425"/>
      <c r="L5" s="425"/>
      <c r="M5" s="425"/>
      <c r="N5" s="425"/>
      <c r="O5" s="425"/>
      <c r="P5" s="457"/>
      <c r="Q5" s="458"/>
      <c r="R5" s="459"/>
      <c r="S5" s="460"/>
      <c r="T5" s="461"/>
      <c r="U5" s="462"/>
      <c r="V5" s="460"/>
      <c r="W5" s="741"/>
      <c r="X5" s="741"/>
      <c r="Y5" s="744"/>
      <c r="Z5" s="645"/>
      <c r="AA5" s="645"/>
      <c r="AB5" s="463"/>
      <c r="AC5" s="463"/>
    </row>
    <row r="6" spans="1:32" s="478" customFormat="1">
      <c r="A6" s="748"/>
      <c r="B6" s="464">
        <v>2</v>
      </c>
      <c r="C6" s="465"/>
      <c r="D6" s="466" t="s">
        <v>81</v>
      </c>
      <c r="E6" s="467"/>
      <c r="F6" s="468"/>
      <c r="G6" s="469"/>
      <c r="H6" s="492"/>
      <c r="I6" s="470">
        <f t="shared" ref="I6:P6" si="0">I7</f>
        <v>8288170687</v>
      </c>
      <c r="J6" s="470">
        <f t="shared" si="0"/>
        <v>0</v>
      </c>
      <c r="K6" s="470">
        <f t="shared" si="0"/>
        <v>807627666</v>
      </c>
      <c r="L6" s="470">
        <f t="shared" si="0"/>
        <v>110521930</v>
      </c>
      <c r="M6" s="470">
        <f t="shared" si="0"/>
        <v>0</v>
      </c>
      <c r="N6" s="470">
        <f t="shared" si="0"/>
        <v>0</v>
      </c>
      <c r="O6" s="470">
        <f t="shared" si="0"/>
        <v>0</v>
      </c>
      <c r="P6" s="471">
        <f t="shared" si="0"/>
        <v>9206320283</v>
      </c>
      <c r="Q6" s="472"/>
      <c r="R6" s="473"/>
      <c r="S6" s="474">
        <f>S7</f>
        <v>9206320283</v>
      </c>
      <c r="T6" s="475"/>
      <c r="U6" s="476"/>
      <c r="V6" s="474">
        <f>V7</f>
        <v>8812244469</v>
      </c>
      <c r="W6" s="740"/>
      <c r="X6" s="740"/>
      <c r="Y6" s="745">
        <f>Y7</f>
        <v>8812244469</v>
      </c>
      <c r="Z6" s="738">
        <f>Z7</f>
        <v>0</v>
      </c>
      <c r="AA6" s="738">
        <f>AA7</f>
        <v>0</v>
      </c>
      <c r="AB6" s="477"/>
      <c r="AC6" s="477"/>
      <c r="AD6" s="1166">
        <f>P6-Y6</f>
        <v>394075814</v>
      </c>
      <c r="AF6" s="1166">
        <f>Y6-P6</f>
        <v>-394075814</v>
      </c>
    </row>
    <row r="7" spans="1:32">
      <c r="A7" s="747"/>
      <c r="B7" s="426">
        <v>3</v>
      </c>
      <c r="C7" s="427"/>
      <c r="D7" s="428"/>
      <c r="E7" s="429" t="s">
        <v>81</v>
      </c>
      <c r="F7" s="430"/>
      <c r="G7" s="431"/>
      <c r="H7" s="493"/>
      <c r="I7" s="425">
        <f>SUM(I8:I12)</f>
        <v>8288170687</v>
      </c>
      <c r="J7" s="425">
        <f t="shared" ref="J7:O7" si="1">SUM(J8:J12)</f>
        <v>0</v>
      </c>
      <c r="K7" s="425">
        <f t="shared" si="1"/>
        <v>807627666</v>
      </c>
      <c r="L7" s="425">
        <f t="shared" si="1"/>
        <v>110521930</v>
      </c>
      <c r="M7" s="425">
        <f t="shared" si="1"/>
        <v>0</v>
      </c>
      <c r="N7" s="425">
        <f t="shared" si="1"/>
        <v>0</v>
      </c>
      <c r="O7" s="425">
        <f t="shared" si="1"/>
        <v>0</v>
      </c>
      <c r="P7" s="457">
        <f>P8+P9+P11+P12+P10</f>
        <v>9206320283</v>
      </c>
      <c r="Q7" s="458"/>
      <c r="R7" s="459"/>
      <c r="S7" s="460">
        <f>S8+S9+S11+S12+S10</f>
        <v>9206320283</v>
      </c>
      <c r="T7" s="461"/>
      <c r="U7" s="462"/>
      <c r="V7" s="460">
        <f>V8+V9+V11+V12+V10</f>
        <v>8812244469</v>
      </c>
      <c r="W7" s="739"/>
      <c r="X7" s="739"/>
      <c r="Y7" s="744">
        <f>Y8+Y9+Y11+Y12+Y10</f>
        <v>8812244469</v>
      </c>
      <c r="Z7" s="645">
        <f>Z8+Z9+Z11+Z12</f>
        <v>0</v>
      </c>
      <c r="AA7" s="645">
        <f>AA8+AA9+AA11+AA12</f>
        <v>0</v>
      </c>
      <c r="AB7" s="463"/>
      <c r="AC7" s="463"/>
      <c r="AF7" s="1166">
        <f t="shared" ref="AF7:AF9" si="2">Y7-P7</f>
        <v>-394075814</v>
      </c>
    </row>
    <row r="8" spans="1:32">
      <c r="A8" s="747"/>
      <c r="B8" s="426">
        <v>4</v>
      </c>
      <c r="C8" s="427"/>
      <c r="D8" s="428"/>
      <c r="E8" s="429"/>
      <c r="F8" s="430" t="s">
        <v>447</v>
      </c>
      <c r="G8" s="431"/>
      <c r="H8" s="493" t="s">
        <v>716</v>
      </c>
      <c r="I8" s="433">
        <f>SUMIF(별도정산표!$G:$G,PL!H8,별도정산표!$E:$E)</f>
        <v>278070981</v>
      </c>
      <c r="J8" s="433">
        <f>SUMIF(울트라팜_FS!$H:$H,PL!H8,울트라팜_FS!$J:$J)</f>
        <v>0</v>
      </c>
      <c r="K8" s="433">
        <f>SUMIF(HK_PL!$A:$A,PL!H8,HK_PL!$K:$K)</f>
        <v>807627666</v>
      </c>
      <c r="L8" s="433">
        <f>SUMIF(DHK_PL!$A:$A,PL!H8,DHK_PL!$K:$K)</f>
        <v>110521930</v>
      </c>
      <c r="M8" s="433">
        <f>SUMIF(상해_PL!$A:$A,PL!H8,상해_PL!$K:$K)</f>
        <v>0</v>
      </c>
      <c r="N8" s="433">
        <f>SUMIF(SG_PL!$A:$A,PL!H8,SG_PL!$K:$K)</f>
        <v>0</v>
      </c>
      <c r="O8" s="433"/>
      <c r="P8" s="457">
        <f t="shared" ref="P8:P12" si="3">SUM(I8:O8)</f>
        <v>1196220577</v>
      </c>
      <c r="Q8" s="458">
        <f>SUMIF(RIC!$D:$D,PL!H8,RIC!F:F)</f>
        <v>0</v>
      </c>
      <c r="R8" s="459">
        <f>SUMIF(RIC!G:G,PL!H8,RIC!I:I)</f>
        <v>0</v>
      </c>
      <c r="S8" s="460">
        <f>P8+R8-Q8</f>
        <v>1196220577</v>
      </c>
      <c r="T8" s="461">
        <f>SUMIF(RIT!H:H,PL!H8,RIT!J:J)</f>
        <v>15093677</v>
      </c>
      <c r="U8" s="462">
        <f>SUMIF(RIT!K:K,PL!H8,RIT!M:M)</f>
        <v>0</v>
      </c>
      <c r="V8" s="460">
        <f>S8+U8-T8</f>
        <v>1181126900</v>
      </c>
      <c r="W8" s="739">
        <f>SUMIF(지분법및기타!$D:$D,PL!H8,지분법및기타!$F:$F)</f>
        <v>0</v>
      </c>
      <c r="X8" s="739">
        <f>SUMIF(지분법및기타!$G:$G,PL!H8,지분법및기타!$I:$I)</f>
        <v>0</v>
      </c>
      <c r="Y8" s="744">
        <f>V8+X8-W8</f>
        <v>1181126900</v>
      </c>
      <c r="Z8" s="645"/>
      <c r="AA8" s="645"/>
      <c r="AB8" s="463" t="s">
        <v>118</v>
      </c>
      <c r="AC8" s="463" t="s">
        <v>447</v>
      </c>
      <c r="AF8" s="1166">
        <f t="shared" si="2"/>
        <v>-15093677</v>
      </c>
    </row>
    <row r="9" spans="1:32">
      <c r="A9" s="747"/>
      <c r="B9" s="426">
        <v>4</v>
      </c>
      <c r="C9" s="427"/>
      <c r="D9" s="428"/>
      <c r="E9" s="429"/>
      <c r="F9" s="430" t="s">
        <v>446</v>
      </c>
      <c r="G9" s="431"/>
      <c r="H9" s="493" t="s">
        <v>717</v>
      </c>
      <c r="I9" s="433">
        <f>SUMIF(별도정산표!$G:$G,PL!H9,별도정산표!$E:$E)</f>
        <v>7974892686</v>
      </c>
      <c r="J9" s="433">
        <f>SUMIF(울트라팜_FS!$H:$H,PL!H9,울트라팜_FS!$J:$J)</f>
        <v>0</v>
      </c>
      <c r="K9" s="433">
        <f>SUMIF(HK_PL!$A:$A,PL!H9,HK_PL!$K:$K)</f>
        <v>0</v>
      </c>
      <c r="L9" s="433">
        <f>SUMIF(DHK_PL!$A:$A,PL!H9,DHK_PL!$K:$K)</f>
        <v>0</v>
      </c>
      <c r="M9" s="433">
        <f>SUMIF(상해_PL!$A:$A,PL!H9,상해_PL!$K:$K)</f>
        <v>0</v>
      </c>
      <c r="N9" s="433">
        <f>SUMIF(SG_PL!$A:$A,PL!H9,SG_PL!$K:$K)</f>
        <v>0</v>
      </c>
      <c r="O9" s="433"/>
      <c r="P9" s="457">
        <f t="shared" si="3"/>
        <v>7974892686</v>
      </c>
      <c r="Q9" s="458">
        <f>SUMIF(RIC!$D:$D,PL!H9,RIC!F:F)</f>
        <v>0</v>
      </c>
      <c r="R9" s="459">
        <f>SUMIF(RIC!G:G,PL!H9,RIC!I:I)</f>
        <v>0</v>
      </c>
      <c r="S9" s="460">
        <f t="shared" ref="S9:S12" si="4">P9+R9-Q9</f>
        <v>7974892686</v>
      </c>
      <c r="T9" s="461">
        <f>SUMIF(RIT!H:H,PL!H9,RIT!J:J)</f>
        <v>378982137</v>
      </c>
      <c r="U9" s="462">
        <f>SUMIF(RIT!K:K,PL!H9,RIT!M:M)</f>
        <v>0</v>
      </c>
      <c r="V9" s="460">
        <f t="shared" ref="V9:V12" si="5">S9+U9-T9</f>
        <v>7595910549</v>
      </c>
      <c r="W9" s="739">
        <f>SUMIF(지분법및기타!$D:$D,PL!H9,지분법및기타!$F:$F)</f>
        <v>0</v>
      </c>
      <c r="X9" s="739">
        <f>SUMIF(지분법및기타!$G:$G,PL!H9,지분법및기타!$I:$I)</f>
        <v>0</v>
      </c>
      <c r="Y9" s="744">
        <f t="shared" ref="Y9:Y12" si="6">V9+X9-W9</f>
        <v>7595910549</v>
      </c>
      <c r="Z9" s="645"/>
      <c r="AA9" s="645"/>
      <c r="AB9" s="463" t="s">
        <v>118</v>
      </c>
      <c r="AC9" s="463" t="s">
        <v>446</v>
      </c>
      <c r="AF9" s="1166">
        <f t="shared" si="2"/>
        <v>-378982137</v>
      </c>
    </row>
    <row r="10" spans="1:32">
      <c r="A10" s="747"/>
      <c r="B10" s="426"/>
      <c r="C10" s="427"/>
      <c r="D10" s="428"/>
      <c r="E10" s="429"/>
      <c r="F10" s="430" t="s">
        <v>1383</v>
      </c>
      <c r="G10" s="431"/>
      <c r="H10" s="493" t="s">
        <v>1379</v>
      </c>
      <c r="I10" s="433">
        <f>SUMIF(별도정산표!$G:$G,PL!H10,별도정산표!$E:$E)</f>
        <v>0</v>
      </c>
      <c r="J10" s="433">
        <f>SUMIF(울트라팜_FS!$H:$H,PL!H10,울트라팜_FS!$J:$J)</f>
        <v>0</v>
      </c>
      <c r="K10" s="433">
        <f>SUMIF(HK_PL!$A:$A,PL!H10,HK_PL!$K:$K)</f>
        <v>0</v>
      </c>
      <c r="L10" s="433">
        <f>SUMIF(DHK_PL!$A:$A,PL!H10,DHK_PL!$K:$K)</f>
        <v>0</v>
      </c>
      <c r="M10" s="433">
        <f>SUMIF(상해_PL!$A:$A,PL!H10,상해_PL!$K:$K)</f>
        <v>0</v>
      </c>
      <c r="N10" s="433">
        <f>SUMIF(SG_PL!$A:$A,PL!H10,SG_PL!$K:$K)</f>
        <v>0</v>
      </c>
      <c r="O10" s="433"/>
      <c r="P10" s="457">
        <f t="shared" ref="P10" si="7">SUM(I10:O10)</f>
        <v>0</v>
      </c>
      <c r="Q10" s="458">
        <f>SUMIF(RIC!$D:$D,PL!H10,RIC!F:F)</f>
        <v>0</v>
      </c>
      <c r="R10" s="459">
        <f>SUMIF(RIC!G:G,PL!H10,RIC!I:I)</f>
        <v>0</v>
      </c>
      <c r="S10" s="460">
        <f t="shared" ref="S10" si="8">P10+R10-Q10</f>
        <v>0</v>
      </c>
      <c r="T10" s="461">
        <f>SUMIF(RIT!H:H,PL!H10,RIT!J:J)</f>
        <v>0</v>
      </c>
      <c r="U10" s="462">
        <f>SUMIF(RIT!K:K,PL!H10,RIT!M:M)</f>
        <v>0</v>
      </c>
      <c r="V10" s="460">
        <f t="shared" si="5"/>
        <v>0</v>
      </c>
      <c r="W10" s="739">
        <f>SUMIF(지분법및기타!$D:$D,PL!H10,지분법및기타!$F:$F)</f>
        <v>0</v>
      </c>
      <c r="X10" s="739">
        <f>SUMIF(지분법및기타!$G:$G,PL!H10,지분법및기타!$I:$I)</f>
        <v>0</v>
      </c>
      <c r="Y10" s="744">
        <f t="shared" si="6"/>
        <v>0</v>
      </c>
      <c r="Z10" s="645"/>
      <c r="AA10" s="645"/>
      <c r="AB10" s="463" t="s">
        <v>118</v>
      </c>
      <c r="AC10" s="463" t="s">
        <v>1383</v>
      </c>
    </row>
    <row r="11" spans="1:32">
      <c r="A11" s="747"/>
      <c r="B11" s="426">
        <v>4</v>
      </c>
      <c r="C11" s="427"/>
      <c r="D11" s="428"/>
      <c r="E11" s="429"/>
      <c r="F11" s="430" t="s">
        <v>1385</v>
      </c>
      <c r="G11" s="431"/>
      <c r="H11" s="493" t="s">
        <v>1381</v>
      </c>
      <c r="I11" s="433">
        <f>SUMIF(별도정산표!$G:$G,PL!H11,별도정산표!$E:$E)</f>
        <v>35207020</v>
      </c>
      <c r="J11" s="433">
        <f>SUMIF(울트라팜_FS!$H:$H,PL!H11,울트라팜_FS!$J:$J)</f>
        <v>0</v>
      </c>
      <c r="K11" s="433">
        <f>SUMIF(HK_PL!$A:$A,PL!H11,HK_PL!$K:$K)</f>
        <v>0</v>
      </c>
      <c r="L11" s="433">
        <f>SUMIF(DHK_PL!$A:$A,PL!H11,DHK_PL!$K:$K)</f>
        <v>0</v>
      </c>
      <c r="M11" s="433">
        <f>SUMIF(상해_PL!$A:$A,PL!H11,상해_PL!$K:$K)</f>
        <v>0</v>
      </c>
      <c r="N11" s="433">
        <f>SUMIF(SG_PL!$A:$A,PL!H11,SG_PL!$K:$K)</f>
        <v>0</v>
      </c>
      <c r="O11" s="433"/>
      <c r="P11" s="457">
        <f t="shared" si="3"/>
        <v>35207020</v>
      </c>
      <c r="Q11" s="458">
        <f>SUMIF(RIC!$D:$D,PL!H11,RIC!F:F)</f>
        <v>0</v>
      </c>
      <c r="R11" s="459">
        <f>SUMIF(RIC!G:G,PL!H11,RIC!I:I)</f>
        <v>0</v>
      </c>
      <c r="S11" s="460">
        <f t="shared" si="4"/>
        <v>35207020</v>
      </c>
      <c r="T11" s="461">
        <f>SUMIF(RIT!H:H,PL!H11,RIT!J:J)</f>
        <v>0</v>
      </c>
      <c r="U11" s="462">
        <f>SUMIF(RIT!K:K,PL!H11,RIT!M:M)</f>
        <v>0</v>
      </c>
      <c r="V11" s="460">
        <f t="shared" si="5"/>
        <v>35207020</v>
      </c>
      <c r="W11" s="739">
        <f>SUMIF(지분법및기타!$D:$D,PL!H11,지분법및기타!$F:$F)</f>
        <v>0</v>
      </c>
      <c r="X11" s="739">
        <f>SUMIF(지분법및기타!$G:$G,PL!H11,지분법및기타!$I:$I)</f>
        <v>0</v>
      </c>
      <c r="Y11" s="744">
        <f t="shared" si="6"/>
        <v>35207020</v>
      </c>
      <c r="Z11" s="645"/>
      <c r="AA11" s="645"/>
      <c r="AB11" s="463" t="s">
        <v>118</v>
      </c>
      <c r="AC11" s="463" t="s">
        <v>1385</v>
      </c>
      <c r="AF11" s="1166">
        <f>Y11-P11</f>
        <v>0</v>
      </c>
    </row>
    <row r="12" spans="1:32">
      <c r="A12" s="747"/>
      <c r="B12" s="426">
        <v>4</v>
      </c>
      <c r="C12" s="427"/>
      <c r="D12" s="428"/>
      <c r="E12" s="429"/>
      <c r="F12" s="430" t="s">
        <v>824</v>
      </c>
      <c r="G12" s="431"/>
      <c r="H12" s="493"/>
      <c r="I12" s="433">
        <f>SUMIF(별도정산표!$G:$G,PL!H12,별도정산표!$E:$E)</f>
        <v>0</v>
      </c>
      <c r="J12" s="433">
        <f>SUMIF(울트라팜_FS!$H:$H,PL!H12,울트라팜_FS!$J:$J)</f>
        <v>0</v>
      </c>
      <c r="K12" s="433">
        <f>SUMIF(HK_PL!$A:$A,PL!H12,HK_PL!$K:$K)</f>
        <v>0</v>
      </c>
      <c r="L12" s="433">
        <f>SUMIF(DHK_PL!$A:$A,PL!H12,DHK_PL!$K:$K)</f>
        <v>0</v>
      </c>
      <c r="M12" s="433">
        <f>SUMIF(상해_PL!$A:$A,PL!H12,상해_PL!$K:$K)</f>
        <v>0</v>
      </c>
      <c r="N12" s="433">
        <f>SUMIF(SG_PL!$A:$A,PL!H12,SG_PL!$K:$K)</f>
        <v>0</v>
      </c>
      <c r="O12" s="433"/>
      <c r="P12" s="457">
        <f t="shared" si="3"/>
        <v>0</v>
      </c>
      <c r="Q12" s="458">
        <f>SUMIF(RIC!$D:$D,PL!H12,RIC!F:F)</f>
        <v>0</v>
      </c>
      <c r="R12" s="459">
        <f>SUMIF(RIC!G:G,PL!H12,RIC!I:I)</f>
        <v>0</v>
      </c>
      <c r="S12" s="460">
        <f t="shared" si="4"/>
        <v>0</v>
      </c>
      <c r="T12" s="461">
        <f>SUMIF(RIT!H:H,PL!H12,RIT!J:J)</f>
        <v>0</v>
      </c>
      <c r="U12" s="462">
        <f>SUMIF(RIT!K:K,PL!H12,RIT!M:M)</f>
        <v>0</v>
      </c>
      <c r="V12" s="460">
        <f t="shared" si="5"/>
        <v>0</v>
      </c>
      <c r="W12" s="739">
        <f>SUMIF(지분법및기타!$D:$D,PL!H12,지분법및기타!$F:$F)</f>
        <v>0</v>
      </c>
      <c r="X12" s="739">
        <f>SUMIF(지분법및기타!$G:$G,PL!H12,지분법및기타!$I:$I)</f>
        <v>0</v>
      </c>
      <c r="Y12" s="744">
        <f t="shared" si="6"/>
        <v>0</v>
      </c>
      <c r="Z12" s="645"/>
      <c r="AA12" s="645"/>
      <c r="AB12" s="463" t="s">
        <v>118</v>
      </c>
      <c r="AC12" s="463"/>
    </row>
    <row r="13" spans="1:32" s="478" customFormat="1">
      <c r="A13" s="748"/>
      <c r="B13" s="464">
        <v>2</v>
      </c>
      <c r="C13" s="465"/>
      <c r="D13" s="466" t="s">
        <v>82</v>
      </c>
      <c r="E13" s="467"/>
      <c r="F13" s="468"/>
      <c r="G13" s="469"/>
      <c r="H13" s="492"/>
      <c r="I13" s="470">
        <f t="shared" ref="I13:P13" si="9">I14</f>
        <v>3596633522</v>
      </c>
      <c r="J13" s="470">
        <f t="shared" si="9"/>
        <v>0</v>
      </c>
      <c r="K13" s="470">
        <f t="shared" si="9"/>
        <v>378103308</v>
      </c>
      <c r="L13" s="470">
        <f t="shared" si="9"/>
        <v>24568846</v>
      </c>
      <c r="M13" s="470">
        <f t="shared" si="9"/>
        <v>0</v>
      </c>
      <c r="N13" s="470">
        <f t="shared" si="9"/>
        <v>0</v>
      </c>
      <c r="O13" s="470">
        <f t="shared" si="9"/>
        <v>0</v>
      </c>
      <c r="P13" s="471">
        <f t="shared" si="9"/>
        <v>3999305676</v>
      </c>
      <c r="Q13" s="472"/>
      <c r="R13" s="473"/>
      <c r="S13" s="474">
        <f>S14</f>
        <v>3999305676</v>
      </c>
      <c r="T13" s="475"/>
      <c r="U13" s="476"/>
      <c r="V13" s="474">
        <f>V14</f>
        <v>3634217621</v>
      </c>
      <c r="W13" s="740"/>
      <c r="X13" s="740"/>
      <c r="Y13" s="1162">
        <f>Y14</f>
        <v>3634217621</v>
      </c>
      <c r="Z13" s="738">
        <f>Z14</f>
        <v>0</v>
      </c>
      <c r="AA13" s="738">
        <f>AA14</f>
        <v>0</v>
      </c>
      <c r="AB13" s="477"/>
      <c r="AC13" s="477"/>
      <c r="AD13" s="1166">
        <f>P13-Y13</f>
        <v>365088055</v>
      </c>
      <c r="AF13" s="1166">
        <f t="shared" ref="AF13:AF28" si="10">Y13-P13</f>
        <v>-365088055</v>
      </c>
    </row>
    <row r="14" spans="1:32">
      <c r="A14" s="747"/>
      <c r="B14" s="426">
        <v>3</v>
      </c>
      <c r="C14" s="427"/>
      <c r="D14" s="428"/>
      <c r="E14" s="429" t="s">
        <v>82</v>
      </c>
      <c r="F14" s="430"/>
      <c r="G14" s="431"/>
      <c r="H14" s="493"/>
      <c r="I14" s="425">
        <f>SUM(I15,I22,I29,I35)</f>
        <v>3596633522</v>
      </c>
      <c r="J14" s="425">
        <f t="shared" ref="J14:P14" si="11">SUM(J15,J22,J29,J35)</f>
        <v>0</v>
      </c>
      <c r="K14" s="425">
        <f t="shared" si="11"/>
        <v>378103308</v>
      </c>
      <c r="L14" s="425">
        <f t="shared" si="11"/>
        <v>24568846</v>
      </c>
      <c r="M14" s="425">
        <f t="shared" si="11"/>
        <v>0</v>
      </c>
      <c r="N14" s="425">
        <f t="shared" si="11"/>
        <v>0</v>
      </c>
      <c r="O14" s="425">
        <f>SUM(O15:O41)</f>
        <v>0</v>
      </c>
      <c r="P14" s="457">
        <f t="shared" si="11"/>
        <v>3999305676</v>
      </c>
      <c r="Q14" s="458"/>
      <c r="R14" s="459"/>
      <c r="S14" s="1161">
        <f t="shared" ref="S14" si="12">SUM(S15,S22,S29,S35)</f>
        <v>3999305676</v>
      </c>
      <c r="T14" s="461"/>
      <c r="U14" s="462"/>
      <c r="V14" s="1161">
        <f t="shared" ref="V14" si="13">SUM(V15,V22,V29,V35)</f>
        <v>3634217621</v>
      </c>
      <c r="W14" s="739"/>
      <c r="X14" s="739"/>
      <c r="Y14" s="1163">
        <f t="shared" ref="Y14" si="14">SUM(Y15,Y22,Y29,Y35)</f>
        <v>3634217621</v>
      </c>
      <c r="Z14" s="645"/>
      <c r="AA14" s="645"/>
      <c r="AB14" s="463"/>
      <c r="AC14" s="463"/>
      <c r="AD14" s="432">
        <f>AD6-AD13</f>
        <v>28987759</v>
      </c>
      <c r="AF14" s="1166">
        <f t="shared" si="10"/>
        <v>-365088055</v>
      </c>
    </row>
    <row r="15" spans="1:32">
      <c r="A15" s="747"/>
      <c r="B15" s="426">
        <v>4</v>
      </c>
      <c r="C15" s="427"/>
      <c r="D15" s="428"/>
      <c r="E15" s="429"/>
      <c r="F15" s="430" t="s">
        <v>83</v>
      </c>
      <c r="G15" s="431"/>
      <c r="H15" s="493"/>
      <c r="I15" s="963">
        <f>SUM(I18:I20)-I21</f>
        <v>3389356072</v>
      </c>
      <c r="J15" s="963">
        <f t="shared" ref="J15:N15" si="15">SUM(J18:J20)-J21</f>
        <v>0</v>
      </c>
      <c r="K15" s="963">
        <f t="shared" si="15"/>
        <v>0</v>
      </c>
      <c r="L15" s="963">
        <f t="shared" si="15"/>
        <v>0</v>
      </c>
      <c r="M15" s="963">
        <f t="shared" si="15"/>
        <v>0</v>
      </c>
      <c r="N15" s="963">
        <f t="shared" si="15"/>
        <v>0</v>
      </c>
      <c r="O15" s="963"/>
      <c r="P15" s="457">
        <f t="shared" ref="P15:P41" si="16">SUM(I15:O15)</f>
        <v>3389356072</v>
      </c>
      <c r="Q15" s="458">
        <f>SUMIF(RIC!$D:$D,PL!H15,RIC!F:F)</f>
        <v>0</v>
      </c>
      <c r="R15" s="459">
        <f>SUMIF(RIC!G:G,PL!H15,RIC!I:I)</f>
        <v>0</v>
      </c>
      <c r="S15" s="1161">
        <f t="shared" ref="S15" si="17">S18+S19+S20-S21</f>
        <v>3389356072</v>
      </c>
      <c r="T15" s="461">
        <f>SUMIF(RIT!H:H,PL!H15,RIT!J:J)</f>
        <v>0</v>
      </c>
      <c r="U15" s="462">
        <f>SUMIF(RIT!K:K,PL!H15,RIT!M:M)</f>
        <v>0</v>
      </c>
      <c r="V15" s="1161">
        <f t="shared" ref="V15" si="18">V18+V19+V20-V21</f>
        <v>3389356072</v>
      </c>
      <c r="W15" s="739">
        <f>SUMIF(지분법및기타!$D:$D,PL!H15,지분법및기타!$F:$F)</f>
        <v>0</v>
      </c>
      <c r="X15" s="739">
        <f>SUMIF(지분법및기타!$G:$G,PL!H15,지분법및기타!$I:$I)</f>
        <v>0</v>
      </c>
      <c r="Y15" s="1163">
        <f t="shared" ref="Y15" si="19">Y18+Y19+Y20-Y21</f>
        <v>3389356072</v>
      </c>
      <c r="Z15" s="645"/>
      <c r="AA15" s="645"/>
      <c r="AB15" s="463" t="s">
        <v>82</v>
      </c>
      <c r="AC15" s="463" t="s">
        <v>83</v>
      </c>
      <c r="AD15" s="432">
        <f>RIT!J99-RIT!M85+RIT!M29</f>
        <v>30205388</v>
      </c>
      <c r="AF15" s="1166">
        <f t="shared" si="10"/>
        <v>0</v>
      </c>
    </row>
    <row r="16" spans="1:32">
      <c r="A16" s="747"/>
      <c r="B16" s="426"/>
      <c r="C16" s="427"/>
      <c r="D16" s="428"/>
      <c r="E16" s="429"/>
      <c r="F16" s="430" t="s">
        <v>1698</v>
      </c>
      <c r="G16" s="431"/>
      <c r="H16" s="770" t="s">
        <v>1740</v>
      </c>
      <c r="I16" s="433">
        <f>SUMIF(별도정산표!$G:$G,PL!H16,별도정산표!$E:$E)</f>
        <v>2349819825</v>
      </c>
      <c r="J16" s="433">
        <f>SUMIF(울트라팜_FS!$H:$H,PL!H16,울트라팜_FS!$J:$J)</f>
        <v>0</v>
      </c>
      <c r="K16" s="433">
        <f>SUMIF(HK_PL!$A:$A,PL!H16,HK_PL!$K:$K)</f>
        <v>0</v>
      </c>
      <c r="L16" s="433">
        <f>SUMIF(DHK_PL!$A:$A,PL!H16,DHK_PL!$K:$K)</f>
        <v>0</v>
      </c>
      <c r="M16" s="433">
        <f>SUMIF(상해_PL!$A:$A,PL!H16,상해_PL!$K:$K)</f>
        <v>0</v>
      </c>
      <c r="N16" s="433">
        <f>SUMIF(SG_PL!$A:$A,PL!H16,SG_PL!$K:$K)</f>
        <v>0</v>
      </c>
      <c r="O16" s="433"/>
      <c r="P16" s="457">
        <f t="shared" si="16"/>
        <v>2349819825</v>
      </c>
      <c r="Q16" s="458">
        <f>SUMIF(RIC!$D:$D,PL!H16,RIC!F:F)</f>
        <v>0</v>
      </c>
      <c r="R16" s="459">
        <f>SUMIF(RIC!G:G,PL!H16,RIC!I:I)</f>
        <v>0</v>
      </c>
      <c r="S16" s="1161">
        <f t="shared" ref="S16:S40" si="20">P16+Q16-R16</f>
        <v>2349819825</v>
      </c>
      <c r="T16" s="461">
        <f>SUMIF(RIT!H:H,PL!H16,RIT!J:J)</f>
        <v>0</v>
      </c>
      <c r="U16" s="462">
        <f>SUMIF(RIT!K:K,PL!H16,RIT!M:M)</f>
        <v>0</v>
      </c>
      <c r="V16" s="1161">
        <f t="shared" ref="V16:V40" si="21">S16+T16-U16</f>
        <v>2349819825</v>
      </c>
      <c r="W16" s="739">
        <f>SUMIF(지분법및기타!$D:$D,PL!H16,지분법및기타!$F:$F)</f>
        <v>0</v>
      </c>
      <c r="X16" s="739">
        <f>SUMIF(지분법및기타!$G:$G,PL!H16,지분법및기타!$I:$I)</f>
        <v>0</v>
      </c>
      <c r="Y16" s="1163">
        <f t="shared" ref="Y16:Y41" si="22">V16+W16-X16</f>
        <v>2349819825</v>
      </c>
      <c r="Z16" s="645"/>
      <c r="AA16" s="645"/>
      <c r="AB16" s="463" t="s">
        <v>82</v>
      </c>
      <c r="AC16" s="463" t="s">
        <v>1697</v>
      </c>
      <c r="AD16" s="432">
        <f>AD14-AD15</f>
        <v>-1217629</v>
      </c>
      <c r="AF16" s="1166">
        <f t="shared" si="10"/>
        <v>0</v>
      </c>
    </row>
    <row r="17" spans="1:32">
      <c r="A17" s="747"/>
      <c r="B17" s="426"/>
      <c r="C17" s="427"/>
      <c r="D17" s="428"/>
      <c r="E17" s="429"/>
      <c r="F17" s="430" t="s">
        <v>1700</v>
      </c>
      <c r="G17" s="431"/>
      <c r="H17" s="770" t="s">
        <v>1742</v>
      </c>
      <c r="I17" s="433">
        <f>SUMIF(별도정산표!$G:$G,PL!H17,별도정산표!$E:$E)</f>
        <v>3476800819</v>
      </c>
      <c r="J17" s="433">
        <f>SUMIF(울트라팜_FS!$H:$H,PL!H17,울트라팜_FS!$J:$J)</f>
        <v>0</v>
      </c>
      <c r="K17" s="433">
        <f>SUMIF(HK_PL!$A:$A,PL!H17,HK_PL!$K:$K)</f>
        <v>0</v>
      </c>
      <c r="L17" s="433">
        <f>SUMIF(DHK_PL!$A:$A,PL!H17,DHK_PL!$K:$K)</f>
        <v>0</v>
      </c>
      <c r="M17" s="433">
        <f>SUMIF(상해_PL!$A:$A,PL!H17,상해_PL!$K:$K)</f>
        <v>0</v>
      </c>
      <c r="N17" s="433">
        <f>SUMIF(SG_PL!$A:$A,PL!H17,SG_PL!$K:$K)</f>
        <v>0</v>
      </c>
      <c r="O17" s="433"/>
      <c r="P17" s="457">
        <f t="shared" si="16"/>
        <v>3476800819</v>
      </c>
      <c r="Q17" s="458">
        <f>SUMIF(RIC!$D:$D,PL!H17,RIC!F:F)</f>
        <v>0</v>
      </c>
      <c r="R17" s="459">
        <f>SUMIF(RIC!G:G,PL!H17,RIC!I:I)</f>
        <v>0</v>
      </c>
      <c r="S17" s="1161">
        <f t="shared" si="20"/>
        <v>3476800819</v>
      </c>
      <c r="T17" s="461">
        <f>SUMIF(RIT!H:H,PL!H17,RIT!J:J)</f>
        <v>0</v>
      </c>
      <c r="U17" s="462">
        <f>SUMIF(RIT!K:K,PL!H17,RIT!M:M)</f>
        <v>0</v>
      </c>
      <c r="V17" s="1161">
        <f t="shared" si="21"/>
        <v>3476800819</v>
      </c>
      <c r="W17" s="739">
        <f>SUMIF(지분법및기타!$D:$D,PL!H17,지분법및기타!$F:$F)</f>
        <v>0</v>
      </c>
      <c r="X17" s="739">
        <f>SUMIF(지분법및기타!$G:$G,PL!H17,지분법및기타!$I:$I)</f>
        <v>0</v>
      </c>
      <c r="Y17" s="1163">
        <f t="shared" si="22"/>
        <v>3476800819</v>
      </c>
      <c r="Z17" s="645"/>
      <c r="AA17" s="645"/>
      <c r="AB17" s="463" t="s">
        <v>82</v>
      </c>
      <c r="AC17" s="463" t="s">
        <v>1699</v>
      </c>
      <c r="AF17" s="1166">
        <f t="shared" si="10"/>
        <v>0</v>
      </c>
    </row>
    <row r="18" spans="1:32">
      <c r="A18" s="747"/>
      <c r="B18" s="426"/>
      <c r="C18" s="427"/>
      <c r="D18" s="428"/>
      <c r="E18" s="429"/>
      <c r="F18" s="430" t="s">
        <v>1702</v>
      </c>
      <c r="G18" s="431"/>
      <c r="H18" s="493"/>
      <c r="I18" s="433">
        <f>SUM(I16:I17)</f>
        <v>5826620644</v>
      </c>
      <c r="J18" s="433">
        <f t="shared" ref="J18:N18" si="23">SUM(J16:J17)</f>
        <v>0</v>
      </c>
      <c r="K18" s="433">
        <f t="shared" si="23"/>
        <v>0</v>
      </c>
      <c r="L18" s="433">
        <f t="shared" si="23"/>
        <v>0</v>
      </c>
      <c r="M18" s="433">
        <f t="shared" si="23"/>
        <v>0</v>
      </c>
      <c r="N18" s="433">
        <f t="shared" si="23"/>
        <v>0</v>
      </c>
      <c r="O18" s="433"/>
      <c r="P18" s="457">
        <f t="shared" si="16"/>
        <v>5826620644</v>
      </c>
      <c r="Q18" s="458">
        <f>SUMIF(RIC!$D:$D,PL!H18,RIC!F:F)</f>
        <v>0</v>
      </c>
      <c r="R18" s="459">
        <f>SUMIF(RIC!G:G,PL!H18,RIC!I:I)</f>
        <v>0</v>
      </c>
      <c r="S18" s="1163">
        <f>SUM(S16:S17)</f>
        <v>5826620644</v>
      </c>
      <c r="T18" s="461">
        <f>SUMIF(RIT!H:H,PL!H18,RIT!J:J)</f>
        <v>0</v>
      </c>
      <c r="U18" s="462">
        <f>SUMIF(RIT!K:K,PL!H18,RIT!M:M)</f>
        <v>0</v>
      </c>
      <c r="V18" s="1163">
        <f>SUM(V16:V17)</f>
        <v>5826620644</v>
      </c>
      <c r="W18" s="739">
        <f>SUMIF(지분법및기타!$D:$D,PL!H18,지분법및기타!$F:$F)</f>
        <v>0</v>
      </c>
      <c r="X18" s="739">
        <f>SUMIF(지분법및기타!$G:$G,PL!H18,지분법및기타!$I:$I)</f>
        <v>0</v>
      </c>
      <c r="Y18" s="1163">
        <f>SUM(Y16:Y17)</f>
        <v>5826620644</v>
      </c>
      <c r="Z18" s="645"/>
      <c r="AA18" s="645"/>
      <c r="AB18" s="463" t="s">
        <v>82</v>
      </c>
      <c r="AC18" s="463" t="s">
        <v>1701</v>
      </c>
      <c r="AF18" s="1166">
        <f t="shared" si="10"/>
        <v>0</v>
      </c>
    </row>
    <row r="19" spans="1:32">
      <c r="A19" s="747"/>
      <c r="B19" s="426"/>
      <c r="C19" s="427"/>
      <c r="D19" s="428"/>
      <c r="E19" s="429"/>
      <c r="F19" s="430" t="s">
        <v>1704</v>
      </c>
      <c r="G19" s="431"/>
      <c r="H19" s="770" t="s">
        <v>1744</v>
      </c>
      <c r="I19" s="433">
        <f>SUMIF(별도정산표!$G:$G,PL!H19,별도정산표!$E:$E)</f>
        <v>-5296679</v>
      </c>
      <c r="J19" s="433">
        <f>SUMIF(울트라팜_FS!$H:$H,PL!H19,울트라팜_FS!$J:$J)</f>
        <v>0</v>
      </c>
      <c r="K19" s="433">
        <f>SUMIF(HK_PL!$A:$A,PL!H19,HK_PL!$K:$K)</f>
        <v>0</v>
      </c>
      <c r="L19" s="433">
        <f>SUMIF(DHK_PL!$A:$A,PL!H19,DHK_PL!$K:$K)</f>
        <v>0</v>
      </c>
      <c r="M19" s="433">
        <f>SUMIF(상해_PL!$A:$A,PL!H19,상해_PL!$K:$K)</f>
        <v>0</v>
      </c>
      <c r="N19" s="433">
        <f>SUMIF(SG_PL!$A:$A,PL!H19,SG_PL!$K:$K)</f>
        <v>0</v>
      </c>
      <c r="O19" s="433"/>
      <c r="P19" s="457">
        <f t="shared" si="16"/>
        <v>-5296679</v>
      </c>
      <c r="Q19" s="458">
        <f>SUMIF(RIC!$D:$D,PL!H19,RIC!F:F)</f>
        <v>0</v>
      </c>
      <c r="R19" s="459">
        <f>SUMIF(RIC!G:G,PL!H19,RIC!I:I)</f>
        <v>0</v>
      </c>
      <c r="S19" s="1161">
        <f t="shared" si="20"/>
        <v>-5296679</v>
      </c>
      <c r="T19" s="461">
        <f>SUMIF(RIT!H:H,PL!H19,RIT!J:J)</f>
        <v>0</v>
      </c>
      <c r="U19" s="462">
        <f>SUMIF(RIT!K:K,PL!H19,RIT!M:M)</f>
        <v>0</v>
      </c>
      <c r="V19" s="1161">
        <f t="shared" si="21"/>
        <v>-5296679</v>
      </c>
      <c r="W19" s="739">
        <f>SUMIF(지분법및기타!$D:$D,PL!H19,지분법및기타!$F:$F)</f>
        <v>0</v>
      </c>
      <c r="X19" s="739">
        <f>SUMIF(지분법및기타!$G:$G,PL!H19,지분법및기타!$I:$I)</f>
        <v>0</v>
      </c>
      <c r="Y19" s="1163">
        <f t="shared" si="22"/>
        <v>-5296679</v>
      </c>
      <c r="Z19" s="645"/>
      <c r="AA19" s="645"/>
      <c r="AB19" s="463" t="s">
        <v>82</v>
      </c>
      <c r="AC19" s="463" t="s">
        <v>1703</v>
      </c>
      <c r="AF19" s="1166">
        <f t="shared" si="10"/>
        <v>0</v>
      </c>
    </row>
    <row r="20" spans="1:32">
      <c r="A20" s="747"/>
      <c r="B20" s="426"/>
      <c r="C20" s="427"/>
      <c r="D20" s="428"/>
      <c r="E20" s="429"/>
      <c r="F20" s="430" t="s">
        <v>2532</v>
      </c>
      <c r="G20" s="431"/>
      <c r="H20" s="962" t="s">
        <v>2523</v>
      </c>
      <c r="I20" s="433">
        <f>SUMIF(별도정산표!$G:$G,PL!H20,별도정산표!$E:$E)</f>
        <v>102749779</v>
      </c>
      <c r="J20" s="433">
        <f>SUMIF(울트라팜_FS!$H:$H,PL!H20,울트라팜_FS!$J:$J)</f>
        <v>0</v>
      </c>
      <c r="K20" s="433">
        <f>SUMIF(HK_PL!$A:$A,PL!H20,HK_PL!$K:$K)</f>
        <v>0</v>
      </c>
      <c r="L20" s="433">
        <f>SUMIF(DHK_PL!$A:$A,PL!H20,DHK_PL!$K:$K)</f>
        <v>0</v>
      </c>
      <c r="M20" s="433">
        <f>SUMIF(상해_PL!$A:$A,PL!H20,상해_PL!$K:$K)</f>
        <v>0</v>
      </c>
      <c r="N20" s="433">
        <f>SUMIF(SG_PL!$A:$A,PL!H20,SG_PL!$K:$K)</f>
        <v>0</v>
      </c>
      <c r="O20" s="963"/>
      <c r="P20" s="457">
        <f t="shared" ref="P20" si="24">SUM(I20:O20)</f>
        <v>102749779</v>
      </c>
      <c r="Q20" s="458">
        <f>SUMIF(RIC!$D:$D,PL!H20,RIC!F:F)</f>
        <v>0</v>
      </c>
      <c r="R20" s="459">
        <f>SUMIF(RIC!G:G,PL!H20,RIC!I:I)</f>
        <v>0</v>
      </c>
      <c r="S20" s="1161">
        <f t="shared" si="20"/>
        <v>102749779</v>
      </c>
      <c r="T20" s="461">
        <f>SUMIF(RIT!H:H,PL!H20,RIT!J:J)</f>
        <v>0</v>
      </c>
      <c r="U20" s="462">
        <f>SUMIF(RIT!K:K,PL!H20,RIT!M:M)</f>
        <v>0</v>
      </c>
      <c r="V20" s="1161">
        <f t="shared" si="21"/>
        <v>102749779</v>
      </c>
      <c r="W20" s="739">
        <f>SUMIF(지분법및기타!$D:$D,PL!H20,지분법및기타!$F:$F)</f>
        <v>0</v>
      </c>
      <c r="X20" s="739">
        <f>SUMIF(지분법및기타!$G:$G,PL!H20,지분법및기타!$I:$I)</f>
        <v>0</v>
      </c>
      <c r="Y20" s="1163">
        <f t="shared" si="22"/>
        <v>102749779</v>
      </c>
      <c r="Z20" s="645"/>
      <c r="AA20" s="645"/>
      <c r="AB20" s="463" t="s">
        <v>82</v>
      </c>
      <c r="AC20" s="463" t="s">
        <v>2579</v>
      </c>
      <c r="AF20" s="1166">
        <f t="shared" si="10"/>
        <v>0</v>
      </c>
    </row>
    <row r="21" spans="1:32" ht="17.25" thickBot="1">
      <c r="A21" s="747"/>
      <c r="B21" s="426"/>
      <c r="C21" s="427"/>
      <c r="D21" s="428"/>
      <c r="E21" s="429"/>
      <c r="F21" s="430" t="s">
        <v>1706</v>
      </c>
      <c r="G21" s="431"/>
      <c r="H21" s="770" t="s">
        <v>1746</v>
      </c>
      <c r="I21" s="433">
        <f>SUMIF(별도정산표!$G:$G,PL!H21,별도정산표!$E:$E)</f>
        <v>2534717672</v>
      </c>
      <c r="J21" s="433">
        <f>SUMIF(울트라팜_FS!$H:$H,PL!H21,울트라팜_FS!$J:$J)</f>
        <v>0</v>
      </c>
      <c r="K21" s="433">
        <f>SUMIF(HK_PL!$A:$A,PL!H21,HK_PL!$K:$K)</f>
        <v>0</v>
      </c>
      <c r="L21" s="433">
        <f>SUMIF(DHK_PL!$A:$A,PL!H21,DHK_PL!$K:$K)</f>
        <v>0</v>
      </c>
      <c r="M21" s="433">
        <f>SUMIF(상해_PL!$A:$A,PL!H21,상해_PL!$K:$K)</f>
        <v>0</v>
      </c>
      <c r="N21" s="433">
        <f>SUMIF(SG_PL!$A:$A,PL!H21,SG_PL!$K:$K)</f>
        <v>0</v>
      </c>
      <c r="O21" s="433"/>
      <c r="P21" s="457">
        <f t="shared" si="16"/>
        <v>2534717672</v>
      </c>
      <c r="Q21" s="458">
        <f>SUMIF(RIC!$D:$D,PL!H21,RIC!F:F)</f>
        <v>0</v>
      </c>
      <c r="R21" s="459">
        <f>SUMIF(RIC!G:G,PL!H21,RIC!I:I)</f>
        <v>0</v>
      </c>
      <c r="S21" s="1161">
        <f t="shared" si="20"/>
        <v>2534717672</v>
      </c>
      <c r="T21" s="461">
        <f>SUMIF(RIT!H:H,PL!H21,RIT!J:J)</f>
        <v>0</v>
      </c>
      <c r="U21" s="462">
        <f>SUMIF(RIT!K:K,PL!H21,RIT!M:M)</f>
        <v>0</v>
      </c>
      <c r="V21" s="1161">
        <f t="shared" si="21"/>
        <v>2534717672</v>
      </c>
      <c r="W21" s="739">
        <f>SUMIF(지분법및기타!$D:$D,PL!H21,지분법및기타!$F:$F)</f>
        <v>0</v>
      </c>
      <c r="X21" s="739">
        <f>SUMIF(지분법및기타!$G:$G,PL!H21,지분법및기타!$I:$I)</f>
        <v>0</v>
      </c>
      <c r="Y21" s="1163">
        <f t="shared" si="22"/>
        <v>2534717672</v>
      </c>
      <c r="Z21" s="645"/>
      <c r="AA21" s="645"/>
      <c r="AB21" s="463" t="s">
        <v>82</v>
      </c>
      <c r="AC21" s="463" t="s">
        <v>1705</v>
      </c>
      <c r="AF21" s="1166">
        <f t="shared" si="10"/>
        <v>0</v>
      </c>
    </row>
    <row r="22" spans="1:32" ht="17.25" thickBot="1">
      <c r="A22" s="747"/>
      <c r="B22" s="426"/>
      <c r="C22" s="427"/>
      <c r="D22" s="428"/>
      <c r="E22" s="429"/>
      <c r="F22" s="430" t="s">
        <v>1707</v>
      </c>
      <c r="G22" s="431"/>
      <c r="H22" s="493"/>
      <c r="I22" s="963">
        <f>SUM(I25:I27)-I28</f>
        <v>197040606</v>
      </c>
      <c r="J22" s="963">
        <f t="shared" ref="J22:N22" si="25">SUM(J25:J27)-J28</f>
        <v>0</v>
      </c>
      <c r="K22" s="963">
        <f t="shared" si="25"/>
        <v>378103308</v>
      </c>
      <c r="L22" s="963">
        <f t="shared" si="25"/>
        <v>24568846</v>
      </c>
      <c r="M22" s="963">
        <f t="shared" si="25"/>
        <v>0</v>
      </c>
      <c r="N22" s="963">
        <f t="shared" si="25"/>
        <v>0</v>
      </c>
      <c r="O22" s="963"/>
      <c r="P22" s="457">
        <f t="shared" ref="P22" si="26">P25+P26+P27-P28</f>
        <v>599712760</v>
      </c>
      <c r="Q22" s="458">
        <f>SUMIF(RIC!$D:$D,PL!H22,RIC!F:F)</f>
        <v>0</v>
      </c>
      <c r="R22" s="459">
        <f>SUMIF(RIC!G:G,PL!H22,RIC!I:I)</f>
        <v>0</v>
      </c>
      <c r="S22" s="1161">
        <f t="shared" ref="S22" si="27">S25+S26+S27-S28</f>
        <v>599712760</v>
      </c>
      <c r="T22" s="461">
        <f>SUMIF(RIT!H:H,PL!H22,RIT!J:J)</f>
        <v>0</v>
      </c>
      <c r="U22" s="462">
        <f>SUMIF(RIT!K:K,PL!H22,RIT!M:M)</f>
        <v>0</v>
      </c>
      <c r="V22" s="1161">
        <f t="shared" ref="V22" si="28">V25+V26+V27-V28</f>
        <v>234624705</v>
      </c>
      <c r="W22" s="739">
        <f>SUMIF(지분법및기타!$D:$D,PL!H22,지분법및기타!$F:$F)</f>
        <v>0</v>
      </c>
      <c r="X22" s="739">
        <f>SUMIF(지분법및기타!$G:$G,PL!H22,지분법및기타!$I:$I)</f>
        <v>0</v>
      </c>
      <c r="Y22" s="1163">
        <f t="shared" ref="Y22" si="29">Y25+Y26+Y27-Y28</f>
        <v>234624705</v>
      </c>
      <c r="Z22" s="645"/>
      <c r="AA22" s="645"/>
      <c r="AB22" s="463" t="s">
        <v>82</v>
      </c>
      <c r="AC22" s="463" t="s">
        <v>84</v>
      </c>
      <c r="AF22" s="1166">
        <f t="shared" si="10"/>
        <v>-365088055</v>
      </c>
    </row>
    <row r="23" spans="1:32" ht="17.25" thickBot="1">
      <c r="A23" s="747"/>
      <c r="B23" s="426"/>
      <c r="C23" s="427"/>
      <c r="D23" s="428"/>
      <c r="E23" s="429"/>
      <c r="F23" s="430" t="s">
        <v>1709</v>
      </c>
      <c r="G23" s="431"/>
      <c r="H23" s="770" t="s">
        <v>1748</v>
      </c>
      <c r="I23" s="433">
        <f>SUMIF(별도정산표!$G:$G,PL!H23,별도정산표!$E:$E)</f>
        <v>42227029</v>
      </c>
      <c r="J23" s="433">
        <f>SUMIF(울트라팜_FS!$H:$H,PL!H23,울트라팜_FS!$J:$J)</f>
        <v>0</v>
      </c>
      <c r="K23" s="433">
        <f>SUMIF(HK_PL!$A:$A,PL!H23,HK_PL!$K:$K)</f>
        <v>92905723</v>
      </c>
      <c r="L23" s="433">
        <f>SUMIF(DHK_PL!$A:$A,PL!H23,DHK_PL!$K:$K)</f>
        <v>2264881</v>
      </c>
      <c r="M23" s="433">
        <f>SUMIF(상해_PL!$A:$A,PL!H23,상해_PL!$K:$K)</f>
        <v>0</v>
      </c>
      <c r="N23" s="433">
        <f>SUMIF(SG_PL!$A:$A,PL!H23,SG_PL!$K:$K)</f>
        <v>0</v>
      </c>
      <c r="O23" s="433"/>
      <c r="P23" s="457">
        <f t="shared" si="16"/>
        <v>137397633</v>
      </c>
      <c r="Q23" s="458">
        <f>SUMIF(RIC!$D:$D,PL!H23,RIC!F:F)</f>
        <v>0</v>
      </c>
      <c r="R23" s="459">
        <f>SUMIF(RIC!G:G,PL!H23,RIC!I:I)</f>
        <v>0</v>
      </c>
      <c r="S23" s="1161">
        <f t="shared" si="20"/>
        <v>137397633</v>
      </c>
      <c r="T23" s="461">
        <f>SUMIF(RIT!H:H,PL!H23,RIT!J:J)</f>
        <v>0</v>
      </c>
      <c r="U23" s="462">
        <f>SUMIF(RIT!K:K,PL!H23,RIT!M:M)</f>
        <v>0</v>
      </c>
      <c r="V23" s="1161">
        <f t="shared" si="21"/>
        <v>137397633</v>
      </c>
      <c r="W23" s="739">
        <f>SUMIF(지분법및기타!$D:$D,PL!H23,지분법및기타!$F:$F)</f>
        <v>0</v>
      </c>
      <c r="X23" s="739">
        <f>SUMIF(지분법및기타!$G:$G,PL!H23,지분법및기타!$I:$I)</f>
        <v>0</v>
      </c>
      <c r="Y23" s="1163">
        <f t="shared" si="22"/>
        <v>137397633</v>
      </c>
      <c r="Z23" s="645"/>
      <c r="AA23" s="645"/>
      <c r="AB23" s="463" t="s">
        <v>82</v>
      </c>
      <c r="AC23" s="463" t="s">
        <v>1708</v>
      </c>
      <c r="AF23" s="1166">
        <f t="shared" si="10"/>
        <v>0</v>
      </c>
    </row>
    <row r="24" spans="1:32" ht="17.25" thickBot="1">
      <c r="A24" s="747"/>
      <c r="B24" s="426"/>
      <c r="C24" s="427"/>
      <c r="D24" s="428"/>
      <c r="E24" s="429"/>
      <c r="F24" s="430" t="s">
        <v>1711</v>
      </c>
      <c r="G24" s="431"/>
      <c r="H24" s="770" t="s">
        <v>1750</v>
      </c>
      <c r="I24" s="433">
        <f>SUMIF(별도정산표!$G:$G,PL!H24,별도정산표!$E:$E)</f>
        <v>202680409</v>
      </c>
      <c r="J24" s="433">
        <f>SUMIF(울트라팜_FS!$H:$H,PL!H24,울트라팜_FS!$J:$J)</f>
        <v>0</v>
      </c>
      <c r="K24" s="433">
        <f>SUMIF(HK_PL!$A:$A,PL!H24,HK_PL!$K:$K)</f>
        <v>427910285</v>
      </c>
      <c r="L24" s="433">
        <f>SUMIF(DHK_PL!$A:$A,PL!H24,DHK_PL!$K:$K)</f>
        <v>22303965</v>
      </c>
      <c r="M24" s="433">
        <f>SUMIF(상해_PL!$A:$A,PL!H24,상해_PL!$K:$K)</f>
        <v>0</v>
      </c>
      <c r="N24" s="433">
        <f>SUMIF(SG_PL!$A:$A,PL!H24,SG_PL!$K:$K)</f>
        <v>0</v>
      </c>
      <c r="O24" s="433"/>
      <c r="P24" s="457">
        <f t="shared" si="16"/>
        <v>652894659</v>
      </c>
      <c r="Q24" s="458">
        <f>SUMIF(RIC!$D:$D,PL!H24,RIC!F:F)</f>
        <v>0</v>
      </c>
      <c r="R24" s="459">
        <f>SUMIF(RIC!G:G,PL!H24,RIC!I:I)</f>
        <v>0</v>
      </c>
      <c r="S24" s="1161">
        <f t="shared" si="20"/>
        <v>652894659</v>
      </c>
      <c r="T24" s="461">
        <f>SUMIF(RIT!H:H,PL!H24,RIT!J:J)</f>
        <v>80845090</v>
      </c>
      <c r="U24" s="462">
        <f>SUMIF(RIT!K:K,PL!H24,RIT!M:M)</f>
        <v>445933145</v>
      </c>
      <c r="V24" s="1161">
        <f t="shared" si="21"/>
        <v>287806604</v>
      </c>
      <c r="W24" s="739">
        <f>SUMIF(지분법및기타!$D:$D,PL!H24,지분법및기타!$F:$F)</f>
        <v>0</v>
      </c>
      <c r="X24" s="739">
        <f>SUMIF(지분법및기타!$G:$G,PL!H24,지분법및기타!$I:$I)</f>
        <v>0</v>
      </c>
      <c r="Y24" s="1163">
        <f t="shared" si="22"/>
        <v>287806604</v>
      </c>
      <c r="Z24" s="645"/>
      <c r="AA24" s="645"/>
      <c r="AB24" s="463" t="s">
        <v>82</v>
      </c>
      <c r="AC24" s="463" t="s">
        <v>1710</v>
      </c>
      <c r="AF24" s="1166">
        <f t="shared" si="10"/>
        <v>-365088055</v>
      </c>
    </row>
    <row r="25" spans="1:32" ht="17.25" thickBot="1">
      <c r="A25" s="747"/>
      <c r="B25" s="426"/>
      <c r="C25" s="427"/>
      <c r="D25" s="428"/>
      <c r="E25" s="429"/>
      <c r="F25" s="430" t="s">
        <v>1713</v>
      </c>
      <c r="G25" s="431"/>
      <c r="H25" s="493"/>
      <c r="I25" s="433">
        <f>SUM(I23:I24)</f>
        <v>244907438</v>
      </c>
      <c r="J25" s="433">
        <f t="shared" ref="J25:N25" si="30">SUM(J23:J24)</f>
        <v>0</v>
      </c>
      <c r="K25" s="433">
        <f t="shared" si="30"/>
        <v>520816008</v>
      </c>
      <c r="L25" s="433">
        <f t="shared" si="30"/>
        <v>24568846</v>
      </c>
      <c r="M25" s="433">
        <f t="shared" si="30"/>
        <v>0</v>
      </c>
      <c r="N25" s="433">
        <f t="shared" si="30"/>
        <v>0</v>
      </c>
      <c r="O25" s="433"/>
      <c r="P25" s="457">
        <f t="shared" si="16"/>
        <v>790292292</v>
      </c>
      <c r="Q25" s="458">
        <f>SUMIF(RIC!$D:$D,PL!H25,RIC!F:F)</f>
        <v>0</v>
      </c>
      <c r="R25" s="459">
        <f>SUMIF(RIC!G:G,PL!H25,RIC!I:I)</f>
        <v>0</v>
      </c>
      <c r="S25" s="1161">
        <f>SUM(S23:S24)</f>
        <v>790292292</v>
      </c>
      <c r="T25" s="461">
        <f>SUMIF(RIT!H:H,PL!H25,RIT!J:J)</f>
        <v>0</v>
      </c>
      <c r="U25" s="462">
        <f>SUMIF(RIT!K:K,PL!H25,RIT!M:M)</f>
        <v>0</v>
      </c>
      <c r="V25" s="1161">
        <f>SUM(V23:V24)</f>
        <v>425204237</v>
      </c>
      <c r="W25" s="739">
        <f>SUMIF(지분법및기타!$D:$D,PL!H25,지분법및기타!$F:$F)</f>
        <v>0</v>
      </c>
      <c r="X25" s="739">
        <f>SUMIF(지분법및기타!$G:$G,PL!H25,지분법및기타!$I:$I)</f>
        <v>0</v>
      </c>
      <c r="Y25" s="1163">
        <f>SUM(Y23:Y24)</f>
        <v>425204237</v>
      </c>
      <c r="Z25" s="645"/>
      <c r="AA25" s="645"/>
      <c r="AB25" s="463" t="s">
        <v>82</v>
      </c>
      <c r="AC25" s="463" t="s">
        <v>1712</v>
      </c>
      <c r="AF25" s="1166">
        <f t="shared" si="10"/>
        <v>-365088055</v>
      </c>
    </row>
    <row r="26" spans="1:32" ht="17.25" thickBot="1">
      <c r="A26" s="747"/>
      <c r="B26" s="426"/>
      <c r="C26" s="427"/>
      <c r="D26" s="428"/>
      <c r="E26" s="429"/>
      <c r="F26" s="430" t="s">
        <v>1715</v>
      </c>
      <c r="G26" s="431"/>
      <c r="H26" s="770" t="s">
        <v>1751</v>
      </c>
      <c r="I26" s="433">
        <f>SUMIF(별도정산표!$G:$G,PL!H26,별도정산표!$E:$E)</f>
        <v>0</v>
      </c>
      <c r="J26" s="433">
        <f>SUMIF(울트라팜_FS!$H:$H,PL!H26,울트라팜_FS!$J:$J)</f>
        <v>0</v>
      </c>
      <c r="K26" s="433">
        <f>-SUMIF(HK_PL!$A:$A,PL!H26,HK_PL!$K:$K)</f>
        <v>-894006</v>
      </c>
      <c r="L26" s="433">
        <f>-SUMIF(DHK_PL!$A:$A,PL!H26,DHK_PL!$K:$K)</f>
        <v>0</v>
      </c>
      <c r="M26" s="433">
        <f>-SUMIF(상해_PL!$A:$A,PL!H26,상해_PL!$K:$K)</f>
        <v>0</v>
      </c>
      <c r="N26" s="433">
        <f>-SUMIF(SG_PL!$A:$A,PL!H26,SG_PL!$K:$K)</f>
        <v>0</v>
      </c>
      <c r="O26" s="433"/>
      <c r="P26" s="457">
        <f t="shared" si="16"/>
        <v>-894006</v>
      </c>
      <c r="Q26" s="458">
        <f>SUMIF(RIC!$D:$D,PL!H26,RIC!F:F)</f>
        <v>0</v>
      </c>
      <c r="R26" s="459">
        <f>SUMIF(RIC!G:G,PL!H26,RIC!I:I)</f>
        <v>0</v>
      </c>
      <c r="S26" s="1161">
        <f t="shared" si="20"/>
        <v>-894006</v>
      </c>
      <c r="T26" s="461">
        <f>SUMIF(RIT!H:H,PL!H26,RIT!J:J)</f>
        <v>0</v>
      </c>
      <c r="U26" s="462">
        <f>SUMIF(RIT!K:K,PL!H26,RIT!M:M)</f>
        <v>0</v>
      </c>
      <c r="V26" s="1161">
        <f t="shared" si="21"/>
        <v>-894006</v>
      </c>
      <c r="W26" s="739">
        <f>SUMIF(지분법및기타!$D:$D,PL!H26,지분법및기타!$F:$F)</f>
        <v>0</v>
      </c>
      <c r="X26" s="739">
        <f>SUMIF(지분법및기타!$G:$G,PL!H26,지분법및기타!$I:$I)</f>
        <v>0</v>
      </c>
      <c r="Y26" s="1163">
        <f t="shared" si="22"/>
        <v>-894006</v>
      </c>
      <c r="Z26" s="645"/>
      <c r="AA26" s="645"/>
      <c r="AB26" s="463" t="s">
        <v>82</v>
      </c>
      <c r="AC26" s="463" t="s">
        <v>1714</v>
      </c>
      <c r="AF26" s="1166">
        <f t="shared" si="10"/>
        <v>0</v>
      </c>
    </row>
    <row r="27" spans="1:32" ht="17.25" thickBot="1">
      <c r="A27" s="747"/>
      <c r="B27" s="426"/>
      <c r="C27" s="427"/>
      <c r="D27" s="428"/>
      <c r="E27" s="429"/>
      <c r="F27" s="430" t="s">
        <v>2532</v>
      </c>
      <c r="G27" s="431"/>
      <c r="H27" s="962" t="s">
        <v>2526</v>
      </c>
      <c r="I27" s="433">
        <f>SUMIF(별도정산표!$G:$G,PL!H27,별도정산표!$E:$E)</f>
        <v>-14089</v>
      </c>
      <c r="J27" s="433">
        <f>SUMIF(울트라팜_FS!$H:$H,PL!H27,울트라팜_FS!$J:$J)</f>
        <v>0</v>
      </c>
      <c r="K27" s="433">
        <f>SUMIF(HK_PL!$A:$A,PL!H27,HK_PL!$K:$K)</f>
        <v>0</v>
      </c>
      <c r="L27" s="433">
        <f>SUMIF(DHK_PL!$A:$A,PL!H27,DHK_PL!$K:$K)</f>
        <v>0</v>
      </c>
      <c r="M27" s="433">
        <f>SUMIF(상해_PL!$A:$A,PL!H27,상해_PL!$K:$K)</f>
        <v>0</v>
      </c>
      <c r="N27" s="433">
        <f>SUMIF(SG_PL!$A:$A,PL!H27,SG_PL!$K:$K)</f>
        <v>0</v>
      </c>
      <c r="O27" s="963"/>
      <c r="P27" s="457">
        <f t="shared" ref="P27" si="31">SUM(I27:O27)</f>
        <v>-14089</v>
      </c>
      <c r="Q27" s="458">
        <f>SUMIF(RIC!$D:$D,PL!H27,RIC!F:F)</f>
        <v>0</v>
      </c>
      <c r="R27" s="459">
        <f>SUMIF(RIC!G:G,PL!H27,RIC!I:I)</f>
        <v>0</v>
      </c>
      <c r="S27" s="1161">
        <f t="shared" si="20"/>
        <v>-14089</v>
      </c>
      <c r="T27" s="461">
        <f>SUMIF(RIT!H:H,PL!H27,RIT!J:J)</f>
        <v>0</v>
      </c>
      <c r="U27" s="462">
        <f>SUMIF(RIT!K:K,PL!H27,RIT!M:M)</f>
        <v>0</v>
      </c>
      <c r="V27" s="1161">
        <f t="shared" si="21"/>
        <v>-14089</v>
      </c>
      <c r="W27" s="739">
        <f>SUMIF(지분법및기타!$D:$D,PL!H27,지분법및기타!$F:$F)</f>
        <v>0</v>
      </c>
      <c r="X27" s="739">
        <f>SUMIF(지분법및기타!$G:$G,PL!H27,지분법및기타!$I:$I)</f>
        <v>0</v>
      </c>
      <c r="Y27" s="1163">
        <f t="shared" si="22"/>
        <v>-14089</v>
      </c>
      <c r="Z27" s="645"/>
      <c r="AA27" s="645"/>
      <c r="AB27" s="463" t="s">
        <v>82</v>
      </c>
      <c r="AC27" s="463" t="s">
        <v>2581</v>
      </c>
      <c r="AF27" s="1166">
        <f t="shared" si="10"/>
        <v>0</v>
      </c>
    </row>
    <row r="28" spans="1:32" ht="17.25" thickBot="1">
      <c r="A28" s="747"/>
      <c r="B28" s="426"/>
      <c r="C28" s="427"/>
      <c r="D28" s="428"/>
      <c r="E28" s="429"/>
      <c r="F28" s="430" t="s">
        <v>1717</v>
      </c>
      <c r="G28" s="431"/>
      <c r="H28" s="770" t="s">
        <v>1753</v>
      </c>
      <c r="I28" s="433">
        <f>SUMIF(별도정산표!$G:$G,PL!H28,별도정산표!$E:$E)</f>
        <v>47852743</v>
      </c>
      <c r="J28" s="433">
        <f>SUMIF(울트라팜_FS!$H:$H,PL!H28,울트라팜_FS!$J:$J)</f>
        <v>0</v>
      </c>
      <c r="K28" s="433">
        <f>SUMIF(HK_PL!$A:$A,PL!H28,HK_PL!$K:$K)</f>
        <v>141818694</v>
      </c>
      <c r="L28" s="433">
        <f>SUMIF(DHK_PL!$A:$A,PL!H28,DHK_PL!$K:$K)</f>
        <v>0</v>
      </c>
      <c r="M28" s="433">
        <f>SUMIF(상해_PL!$A:$A,PL!H28,상해_PL!$K:$K)</f>
        <v>0</v>
      </c>
      <c r="N28" s="433">
        <f>SUMIF(SG_PL!$A:$A,PL!H28,SG_PL!$K:$K)</f>
        <v>0</v>
      </c>
      <c r="O28" s="433"/>
      <c r="P28" s="457">
        <f t="shared" si="16"/>
        <v>189671437</v>
      </c>
      <c r="Q28" s="458">
        <f>SUMIF(RIC!$D:$D,PL!H28,RIC!F:F)</f>
        <v>0</v>
      </c>
      <c r="R28" s="459">
        <f>SUMIF(RIC!G:G,PL!H28,RIC!I:I)</f>
        <v>0</v>
      </c>
      <c r="S28" s="1161">
        <f t="shared" si="20"/>
        <v>189671437</v>
      </c>
      <c r="T28" s="461">
        <f>SUMIF(RIT!H:H,PL!H28,RIT!J:J)</f>
        <v>0</v>
      </c>
      <c r="U28" s="462">
        <f>SUMIF(RIT!K:K,PL!H28,RIT!M:M)</f>
        <v>0</v>
      </c>
      <c r="V28" s="1161">
        <f t="shared" si="21"/>
        <v>189671437</v>
      </c>
      <c r="W28" s="739">
        <f>SUMIF(지분법및기타!$D:$D,PL!H28,지분법및기타!$F:$F)</f>
        <v>0</v>
      </c>
      <c r="X28" s="739">
        <f>SUMIF(지분법및기타!$G:$G,PL!H28,지분법및기타!$I:$I)</f>
        <v>0</v>
      </c>
      <c r="Y28" s="1163">
        <f t="shared" si="22"/>
        <v>189671437</v>
      </c>
      <c r="Z28" s="645"/>
      <c r="AA28" s="645"/>
      <c r="AB28" s="463" t="s">
        <v>82</v>
      </c>
      <c r="AC28" s="463" t="s">
        <v>1716</v>
      </c>
      <c r="AF28" s="1166">
        <f t="shared" si="10"/>
        <v>0</v>
      </c>
    </row>
    <row r="29" spans="1:32" ht="17.25" thickBot="1">
      <c r="A29" s="747"/>
      <c r="B29" s="426"/>
      <c r="C29" s="427"/>
      <c r="D29" s="428"/>
      <c r="E29" s="429"/>
      <c r="F29" s="430" t="s">
        <v>1718</v>
      </c>
      <c r="G29" s="431"/>
      <c r="H29" s="493"/>
      <c r="I29" s="433">
        <f>I32-I33-I34</f>
        <v>0</v>
      </c>
      <c r="J29" s="433">
        <f t="shared" ref="J29:N29" si="32">J32-J33-J34</f>
        <v>0</v>
      </c>
      <c r="K29" s="433">
        <f t="shared" si="32"/>
        <v>0</v>
      </c>
      <c r="L29" s="433">
        <f t="shared" si="32"/>
        <v>0</v>
      </c>
      <c r="M29" s="433">
        <f t="shared" si="32"/>
        <v>0</v>
      </c>
      <c r="N29" s="433">
        <f t="shared" si="32"/>
        <v>0</v>
      </c>
      <c r="O29" s="433"/>
      <c r="P29" s="457">
        <f t="shared" si="16"/>
        <v>0</v>
      </c>
      <c r="Q29" s="458">
        <f>SUMIF(RIC!$D:$D,PL!H29,RIC!F:F)</f>
        <v>0</v>
      </c>
      <c r="R29" s="459">
        <f>SUMIF(RIC!G:G,PL!H29,RIC!I:I)</f>
        <v>0</v>
      </c>
      <c r="S29" s="1161">
        <f t="shared" si="20"/>
        <v>0</v>
      </c>
      <c r="T29" s="461">
        <f>SUMIF(RIT!H:H,PL!H29,RIT!J:J)</f>
        <v>0</v>
      </c>
      <c r="U29" s="462">
        <f>SUMIF(RIT!K:K,PL!H29,RIT!M:M)</f>
        <v>0</v>
      </c>
      <c r="V29" s="1161">
        <f t="shared" si="21"/>
        <v>0</v>
      </c>
      <c r="W29" s="739">
        <f>SUMIF(지분법및기타!$D:$D,PL!H29,지분법및기타!$F:$F)</f>
        <v>0</v>
      </c>
      <c r="X29" s="739">
        <f>SUMIF(지분법및기타!$G:$G,PL!H29,지분법및기타!$I:$I)</f>
        <v>0</v>
      </c>
      <c r="Y29" s="1163">
        <f t="shared" si="22"/>
        <v>0</v>
      </c>
      <c r="Z29" s="645"/>
      <c r="AA29" s="645"/>
      <c r="AB29" s="463" t="s">
        <v>82</v>
      </c>
      <c r="AC29" s="463" t="s">
        <v>1387</v>
      </c>
    </row>
    <row r="30" spans="1:32" ht="17.25" thickBot="1">
      <c r="A30" s="747"/>
      <c r="B30" s="426"/>
      <c r="C30" s="427"/>
      <c r="D30" s="428"/>
      <c r="E30" s="429"/>
      <c r="F30" s="430" t="s">
        <v>1720</v>
      </c>
      <c r="G30" s="431"/>
      <c r="H30" s="770" t="s">
        <v>1754</v>
      </c>
      <c r="I30" s="433">
        <f>SUMIF(별도정산표!$G:$G,PL!H30,별도정산표!$E:$E)</f>
        <v>0</v>
      </c>
      <c r="J30" s="433">
        <f>SUMIF(울트라팜_FS!$H:$H,PL!H30,울트라팜_FS!$J:$J)</f>
        <v>0</v>
      </c>
      <c r="K30" s="433">
        <f>SUMIF(HK_PL!$A:$A,PL!H30,HK_PL!$K:$K)</f>
        <v>0</v>
      </c>
      <c r="L30" s="433">
        <f>SUMIF(DHK_PL!$A:$A,PL!H30,DHK_PL!$K:$K)</f>
        <v>0</v>
      </c>
      <c r="M30" s="433">
        <f>SUMIF(상해_PL!$A:$A,PL!H30,상해_PL!$K:$K)</f>
        <v>0</v>
      </c>
      <c r="N30" s="433">
        <f>SUMIF(SG_PL!$A:$A,PL!H30,SG_PL!$K:$K)</f>
        <v>0</v>
      </c>
      <c r="O30" s="433"/>
      <c r="P30" s="457">
        <f t="shared" si="16"/>
        <v>0</v>
      </c>
      <c r="Q30" s="458">
        <f>SUMIF(RIC!$D:$D,PL!H30,RIC!F:F)</f>
        <v>0</v>
      </c>
      <c r="R30" s="459">
        <f>SUMIF(RIC!G:G,PL!H30,RIC!I:I)</f>
        <v>0</v>
      </c>
      <c r="S30" s="1161">
        <f t="shared" si="20"/>
        <v>0</v>
      </c>
      <c r="T30" s="461">
        <f>SUMIF(RIT!H:H,PL!H30,RIT!J:J)</f>
        <v>0</v>
      </c>
      <c r="U30" s="462">
        <f>SUMIF(RIT!K:K,PL!H30,RIT!M:M)</f>
        <v>0</v>
      </c>
      <c r="V30" s="1161">
        <f t="shared" si="21"/>
        <v>0</v>
      </c>
      <c r="W30" s="739">
        <f>SUMIF(지분법및기타!$D:$D,PL!H30,지분법및기타!$F:$F)</f>
        <v>0</v>
      </c>
      <c r="X30" s="739">
        <f>SUMIF(지분법및기타!$G:$G,PL!H30,지분법및기타!$I:$I)</f>
        <v>0</v>
      </c>
      <c r="Y30" s="1163">
        <f t="shared" si="22"/>
        <v>0</v>
      </c>
      <c r="Z30" s="645"/>
      <c r="AA30" s="645"/>
      <c r="AB30" s="463" t="s">
        <v>82</v>
      </c>
      <c r="AC30" s="463" t="s">
        <v>1719</v>
      </c>
    </row>
    <row r="31" spans="1:32" ht="17.25" thickBot="1">
      <c r="A31" s="747"/>
      <c r="B31" s="426"/>
      <c r="C31" s="427"/>
      <c r="D31" s="428"/>
      <c r="E31" s="429"/>
      <c r="F31" s="430" t="s">
        <v>1722</v>
      </c>
      <c r="G31" s="431"/>
      <c r="H31" s="770" t="s">
        <v>1756</v>
      </c>
      <c r="I31" s="433">
        <f>SUMIF(별도정산표!$G:$G,PL!H31,별도정산표!$E:$E)</f>
        <v>0</v>
      </c>
      <c r="J31" s="433">
        <f>SUMIF(울트라팜_FS!$H:$H,PL!H31,울트라팜_FS!$J:$J)</f>
        <v>0</v>
      </c>
      <c r="K31" s="433">
        <f>SUMIF(HK_PL!$A:$A,PL!H31,HK_PL!$K:$K)</f>
        <v>0</v>
      </c>
      <c r="L31" s="433">
        <f>SUMIF(DHK_PL!$A:$A,PL!H31,DHK_PL!$K:$K)</f>
        <v>0</v>
      </c>
      <c r="M31" s="433">
        <f>SUMIF(상해_PL!$A:$A,PL!H31,상해_PL!$K:$K)</f>
        <v>0</v>
      </c>
      <c r="N31" s="433">
        <f>SUMIF(SG_PL!$A:$A,PL!H31,SG_PL!$K:$K)</f>
        <v>0</v>
      </c>
      <c r="O31" s="433"/>
      <c r="P31" s="457">
        <f t="shared" si="16"/>
        <v>0</v>
      </c>
      <c r="Q31" s="458">
        <f>SUMIF(RIC!$D:$D,PL!H31,RIC!F:F)</f>
        <v>0</v>
      </c>
      <c r="R31" s="459">
        <f>SUMIF(RIC!G:G,PL!H31,RIC!I:I)</f>
        <v>0</v>
      </c>
      <c r="S31" s="1161">
        <f t="shared" si="20"/>
        <v>0</v>
      </c>
      <c r="T31" s="461">
        <f>SUMIF(RIT!H:H,PL!H31,RIT!J:J)</f>
        <v>0</v>
      </c>
      <c r="U31" s="462">
        <f>SUMIF(RIT!K:K,PL!H31,RIT!M:M)</f>
        <v>0</v>
      </c>
      <c r="V31" s="1161">
        <f t="shared" si="21"/>
        <v>0</v>
      </c>
      <c r="W31" s="739">
        <f>SUMIF(지분법및기타!$D:$D,PL!H31,지분법및기타!$F:$F)</f>
        <v>0</v>
      </c>
      <c r="X31" s="739">
        <f>SUMIF(지분법및기타!$G:$G,PL!H31,지분법및기타!$I:$I)</f>
        <v>0</v>
      </c>
      <c r="Y31" s="1163">
        <f t="shared" si="22"/>
        <v>0</v>
      </c>
      <c r="Z31" s="645"/>
      <c r="AA31" s="645"/>
      <c r="AB31" s="463" t="s">
        <v>82</v>
      </c>
      <c r="AC31" s="463" t="s">
        <v>1721</v>
      </c>
    </row>
    <row r="32" spans="1:32" ht="17.25" thickBot="1">
      <c r="A32" s="747"/>
      <c r="B32" s="426"/>
      <c r="C32" s="427"/>
      <c r="D32" s="428"/>
      <c r="E32" s="429"/>
      <c r="F32" s="430" t="s">
        <v>1724</v>
      </c>
      <c r="G32" s="431"/>
      <c r="H32" s="493"/>
      <c r="I32" s="433">
        <f>SUM(I30:I31)</f>
        <v>0</v>
      </c>
      <c r="J32" s="433">
        <f t="shared" ref="J32:N32" si="33">SUM(J30:J31)</f>
        <v>0</v>
      </c>
      <c r="K32" s="433">
        <f t="shared" si="33"/>
        <v>0</v>
      </c>
      <c r="L32" s="433">
        <f t="shared" si="33"/>
        <v>0</v>
      </c>
      <c r="M32" s="433">
        <f t="shared" si="33"/>
        <v>0</v>
      </c>
      <c r="N32" s="433">
        <f t="shared" si="33"/>
        <v>0</v>
      </c>
      <c r="O32" s="433"/>
      <c r="P32" s="457">
        <f t="shared" si="16"/>
        <v>0</v>
      </c>
      <c r="Q32" s="458">
        <f>SUMIF(RIC!$D:$D,PL!H32,RIC!F:F)</f>
        <v>0</v>
      </c>
      <c r="R32" s="459">
        <f>SUMIF(RIC!G:G,PL!H32,RIC!I:I)</f>
        <v>0</v>
      </c>
      <c r="S32" s="1161">
        <f t="shared" si="20"/>
        <v>0</v>
      </c>
      <c r="T32" s="461">
        <f>SUMIF(RIT!H:H,PL!H32,RIT!J:J)</f>
        <v>0</v>
      </c>
      <c r="U32" s="462">
        <f>SUMIF(RIT!K:K,PL!H32,RIT!M:M)</f>
        <v>0</v>
      </c>
      <c r="V32" s="1161">
        <f t="shared" si="21"/>
        <v>0</v>
      </c>
      <c r="W32" s="739">
        <f>SUMIF(지분법및기타!$D:$D,PL!H32,지분법및기타!$F:$F)</f>
        <v>0</v>
      </c>
      <c r="X32" s="739">
        <f>SUMIF(지분법및기타!$G:$G,PL!H32,지분법및기타!$I:$I)</f>
        <v>0</v>
      </c>
      <c r="Y32" s="1163">
        <f t="shared" si="22"/>
        <v>0</v>
      </c>
      <c r="Z32" s="645"/>
      <c r="AA32" s="645"/>
      <c r="AB32" s="463" t="s">
        <v>82</v>
      </c>
      <c r="AC32" s="463" t="s">
        <v>1723</v>
      </c>
    </row>
    <row r="33" spans="1:32" ht="17.25" thickBot="1">
      <c r="A33" s="747"/>
      <c r="B33" s="426"/>
      <c r="C33" s="427"/>
      <c r="D33" s="428"/>
      <c r="E33" s="429"/>
      <c r="F33" s="430" t="s">
        <v>1726</v>
      </c>
      <c r="G33" s="431"/>
      <c r="H33" s="770" t="s">
        <v>1757</v>
      </c>
      <c r="I33" s="433">
        <f>SUMIF(별도정산표!$G:$G,PL!H33,별도정산표!$E:$E)</f>
        <v>0</v>
      </c>
      <c r="J33" s="433">
        <f>SUMIF(울트라팜_FS!$H:$H,PL!H33,울트라팜_FS!$J:$J)</f>
        <v>0</v>
      </c>
      <c r="K33" s="433">
        <f>SUMIF(HK_PL!$A:$A,PL!H33,HK_PL!$K:$K)</f>
        <v>0</v>
      </c>
      <c r="L33" s="433">
        <f>SUMIF(DHK_PL!$A:$A,PL!H33,DHK_PL!$K:$K)</f>
        <v>0</v>
      </c>
      <c r="M33" s="433">
        <f>SUMIF(상해_PL!$A:$A,PL!H33,상해_PL!$K:$K)</f>
        <v>0</v>
      </c>
      <c r="N33" s="433">
        <f>SUMIF(SG_PL!$A:$A,PL!H33,SG_PL!$K:$K)</f>
        <v>0</v>
      </c>
      <c r="O33" s="433"/>
      <c r="P33" s="457">
        <f t="shared" si="16"/>
        <v>0</v>
      </c>
      <c r="Q33" s="458">
        <f>SUMIF(RIC!$D:$D,PL!H33,RIC!F:F)</f>
        <v>0</v>
      </c>
      <c r="R33" s="459">
        <f>SUMIF(RIC!G:G,PL!H33,RIC!I:I)</f>
        <v>0</v>
      </c>
      <c r="S33" s="1161">
        <f t="shared" si="20"/>
        <v>0</v>
      </c>
      <c r="T33" s="461">
        <f>SUMIF(RIT!H:H,PL!H33,RIT!J:J)</f>
        <v>0</v>
      </c>
      <c r="U33" s="462">
        <f>SUMIF(RIT!K:K,PL!H33,RIT!M:M)</f>
        <v>0</v>
      </c>
      <c r="V33" s="1161">
        <f t="shared" si="21"/>
        <v>0</v>
      </c>
      <c r="W33" s="739">
        <f>SUMIF(지분법및기타!$D:$D,PL!H33,지분법및기타!$F:$F)</f>
        <v>0</v>
      </c>
      <c r="X33" s="739">
        <f>SUMIF(지분법및기타!$G:$G,PL!H33,지분법및기타!$I:$I)</f>
        <v>0</v>
      </c>
      <c r="Y33" s="1163">
        <f t="shared" si="22"/>
        <v>0</v>
      </c>
      <c r="Z33" s="645"/>
      <c r="AA33" s="645"/>
      <c r="AB33" s="463" t="s">
        <v>82</v>
      </c>
      <c r="AC33" s="463" t="s">
        <v>1725</v>
      </c>
    </row>
    <row r="34" spans="1:32" ht="17.25" thickBot="1">
      <c r="A34" s="747"/>
      <c r="B34" s="426"/>
      <c r="C34" s="427"/>
      <c r="D34" s="428"/>
      <c r="E34" s="429"/>
      <c r="F34" s="430" t="s">
        <v>1728</v>
      </c>
      <c r="G34" s="431"/>
      <c r="H34" s="770" t="s">
        <v>1758</v>
      </c>
      <c r="I34" s="433">
        <f>SUMIF(별도정산표!$G:$G,PL!H34,별도정산표!$E:$E)</f>
        <v>0</v>
      </c>
      <c r="J34" s="433">
        <f>SUMIF(울트라팜_FS!$H:$H,PL!H34,울트라팜_FS!$J:$J)</f>
        <v>0</v>
      </c>
      <c r="K34" s="433">
        <f>SUMIF(HK_PL!$A:$A,PL!H34,HK_PL!$K:$K)</f>
        <v>0</v>
      </c>
      <c r="L34" s="433">
        <f>SUMIF(DHK_PL!$A:$A,PL!H34,DHK_PL!$K:$K)</f>
        <v>0</v>
      </c>
      <c r="M34" s="433">
        <f>SUMIF(상해_PL!$A:$A,PL!H34,상해_PL!$K:$K)</f>
        <v>0</v>
      </c>
      <c r="N34" s="433">
        <f>SUMIF(SG_PL!$A:$A,PL!H34,SG_PL!$K:$K)</f>
        <v>0</v>
      </c>
      <c r="O34" s="433"/>
      <c r="P34" s="457">
        <f t="shared" si="16"/>
        <v>0</v>
      </c>
      <c r="Q34" s="458">
        <f>SUMIF(RIC!$D:$D,PL!H34,RIC!F:F)</f>
        <v>0</v>
      </c>
      <c r="R34" s="459">
        <f>SUMIF(RIC!G:G,PL!H34,RIC!I:I)</f>
        <v>0</v>
      </c>
      <c r="S34" s="1161">
        <f t="shared" si="20"/>
        <v>0</v>
      </c>
      <c r="T34" s="461">
        <f>SUMIF(RIT!H:H,PL!H34,RIT!J:J)</f>
        <v>0</v>
      </c>
      <c r="U34" s="462">
        <f>SUMIF(RIT!K:K,PL!H34,RIT!M:M)</f>
        <v>0</v>
      </c>
      <c r="V34" s="1161">
        <f t="shared" si="21"/>
        <v>0</v>
      </c>
      <c r="W34" s="739">
        <f>SUMIF(지분법및기타!$D:$D,PL!H34,지분법및기타!$F:$F)</f>
        <v>0</v>
      </c>
      <c r="X34" s="739">
        <f>SUMIF(지분법및기타!$G:$G,PL!H34,지분법및기타!$I:$I)</f>
        <v>0</v>
      </c>
      <c r="Y34" s="1163">
        <f t="shared" si="22"/>
        <v>0</v>
      </c>
      <c r="Z34" s="645"/>
      <c r="AA34" s="645"/>
      <c r="AB34" s="463" t="s">
        <v>82</v>
      </c>
      <c r="AC34" s="463" t="s">
        <v>1727</v>
      </c>
    </row>
    <row r="35" spans="1:32" ht="17.25" thickBot="1">
      <c r="A35" s="747"/>
      <c r="B35" s="426"/>
      <c r="C35" s="427"/>
      <c r="D35" s="428"/>
      <c r="E35" s="429"/>
      <c r="F35" s="430" t="s">
        <v>1729</v>
      </c>
      <c r="G35" s="431"/>
      <c r="H35" s="493"/>
      <c r="I35" s="433">
        <f>I38-I39-I40</f>
        <v>10236844</v>
      </c>
      <c r="J35" s="433">
        <f t="shared" ref="J35:N35" si="34">J38-J39-J40</f>
        <v>0</v>
      </c>
      <c r="K35" s="433">
        <f t="shared" si="34"/>
        <v>0</v>
      </c>
      <c r="L35" s="433">
        <f t="shared" si="34"/>
        <v>0</v>
      </c>
      <c r="M35" s="433">
        <f t="shared" si="34"/>
        <v>0</v>
      </c>
      <c r="N35" s="433">
        <f t="shared" si="34"/>
        <v>0</v>
      </c>
      <c r="O35" s="433"/>
      <c r="P35" s="457">
        <f t="shared" si="16"/>
        <v>10236844</v>
      </c>
      <c r="Q35" s="458">
        <f>SUMIF(RIC!$D:$D,PL!H35,RIC!F:F)</f>
        <v>0</v>
      </c>
      <c r="R35" s="459">
        <f>SUMIF(RIC!G:G,PL!H35,RIC!I:I)</f>
        <v>0</v>
      </c>
      <c r="S35" s="1161">
        <f t="shared" si="20"/>
        <v>10236844</v>
      </c>
      <c r="T35" s="461">
        <f>SUMIF(RIT!H:H,PL!H35,RIT!J:J)</f>
        <v>0</v>
      </c>
      <c r="U35" s="462">
        <f>SUMIF(RIT!K:K,PL!H35,RIT!M:M)</f>
        <v>0</v>
      </c>
      <c r="V35" s="1161">
        <f>S35+T35-U35</f>
        <v>10236844</v>
      </c>
      <c r="W35" s="739">
        <f>SUMIF(지분법및기타!$D:$D,PL!H35,지분법및기타!$F:$F)</f>
        <v>0</v>
      </c>
      <c r="X35" s="739">
        <f>SUMIF(지분법및기타!$G:$G,PL!H35,지분법및기타!$I:$I)</f>
        <v>0</v>
      </c>
      <c r="Y35" s="1163">
        <f t="shared" si="22"/>
        <v>10236844</v>
      </c>
      <c r="Z35" s="645"/>
      <c r="AA35" s="645"/>
      <c r="AB35" s="463" t="s">
        <v>82</v>
      </c>
      <c r="AC35" s="463" t="s">
        <v>1388</v>
      </c>
      <c r="AF35" s="1166">
        <f t="shared" ref="AF35:AF38" si="35">Y35-P35</f>
        <v>0</v>
      </c>
    </row>
    <row r="36" spans="1:32" ht="17.25" thickBot="1">
      <c r="A36" s="747"/>
      <c r="B36" s="426"/>
      <c r="C36" s="427"/>
      <c r="D36" s="428"/>
      <c r="E36" s="429"/>
      <c r="F36" s="430" t="s">
        <v>1731</v>
      </c>
      <c r="G36" s="431"/>
      <c r="H36" s="770" t="s">
        <v>1760</v>
      </c>
      <c r="I36" s="433">
        <f>SUMIF(별도정산표!$G:$G,PL!H36,별도정산표!$E:$E)</f>
        <v>0</v>
      </c>
      <c r="J36" s="433">
        <f>SUMIF(울트라팜_FS!$H:$H,PL!H36,울트라팜_FS!$J:$J)</f>
        <v>0</v>
      </c>
      <c r="K36" s="433">
        <f>SUMIF(HK_PL!$A:$A,PL!H36,HK_PL!$K:$K)</f>
        <v>0</v>
      </c>
      <c r="L36" s="433">
        <f>SUMIF(DHK_PL!$A:$A,PL!H36,DHK_PL!$K:$K)</f>
        <v>0</v>
      </c>
      <c r="M36" s="433">
        <f>SUMIF(상해_PL!$A:$A,PL!H36,상해_PL!$K:$K)</f>
        <v>0</v>
      </c>
      <c r="N36" s="433">
        <f>SUMIF(SG_PL!$A:$A,PL!H36,SG_PL!$K:$K)</f>
        <v>0</v>
      </c>
      <c r="O36" s="433"/>
      <c r="P36" s="457">
        <f t="shared" si="16"/>
        <v>0</v>
      </c>
      <c r="Q36" s="458">
        <f>SUMIF(RIC!$D:$D,PL!H36,RIC!F:F)</f>
        <v>0</v>
      </c>
      <c r="R36" s="459">
        <f>SUMIF(RIC!G:G,PL!H36,RIC!I:I)</f>
        <v>0</v>
      </c>
      <c r="S36" s="1161">
        <f t="shared" si="20"/>
        <v>0</v>
      </c>
      <c r="T36" s="461">
        <f>SUMIF(RIT!H:H,PL!H36,RIT!J:J)</f>
        <v>0</v>
      </c>
      <c r="U36" s="462">
        <f>SUMIF(RIT!K:K,PL!H36,RIT!M:M)</f>
        <v>0</v>
      </c>
      <c r="V36" s="1161">
        <f t="shared" si="21"/>
        <v>0</v>
      </c>
      <c r="W36" s="739">
        <f>SUMIF(지분법및기타!$D:$D,PL!H36,지분법및기타!$F:$F)</f>
        <v>0</v>
      </c>
      <c r="X36" s="739">
        <f>SUMIF(지분법및기타!$G:$G,PL!H36,지분법및기타!$I:$I)</f>
        <v>0</v>
      </c>
      <c r="Y36" s="1163">
        <f t="shared" si="22"/>
        <v>0</v>
      </c>
      <c r="Z36" s="645"/>
      <c r="AA36" s="645"/>
      <c r="AB36" s="463" t="s">
        <v>82</v>
      </c>
      <c r="AC36" s="463" t="s">
        <v>1730</v>
      </c>
      <c r="AF36" s="1166">
        <f t="shared" si="35"/>
        <v>0</v>
      </c>
    </row>
    <row r="37" spans="1:32" ht="17.25" thickBot="1">
      <c r="A37" s="747"/>
      <c r="B37" s="426"/>
      <c r="C37" s="427"/>
      <c r="D37" s="428"/>
      <c r="E37" s="429"/>
      <c r="F37" s="430" t="s">
        <v>1733</v>
      </c>
      <c r="G37" s="431"/>
      <c r="H37" s="770" t="s">
        <v>1762</v>
      </c>
      <c r="I37" s="433">
        <f>SUMIF(별도정산표!$G:$G,PL!H37,별도정산표!$E:$E)</f>
        <v>10236844</v>
      </c>
      <c r="J37" s="433">
        <f>SUMIF(울트라팜_FS!$H:$H,PL!H37,울트라팜_FS!$J:$J)</f>
        <v>0</v>
      </c>
      <c r="K37" s="433">
        <f>SUMIF(HK_PL!$A:$A,PL!H37,HK_PL!$K:$K)</f>
        <v>0</v>
      </c>
      <c r="L37" s="433">
        <f>SUMIF(DHK_PL!$A:$A,PL!H37,DHK_PL!$K:$K)</f>
        <v>0</v>
      </c>
      <c r="M37" s="433">
        <f>SUMIF(상해_PL!$A:$A,PL!H37,상해_PL!$K:$K)</f>
        <v>0</v>
      </c>
      <c r="N37" s="433">
        <f>SUMIF(SG_PL!$A:$A,PL!H37,SG_PL!$K:$K)</f>
        <v>0</v>
      </c>
      <c r="O37" s="433"/>
      <c r="P37" s="457">
        <f t="shared" si="16"/>
        <v>10236844</v>
      </c>
      <c r="Q37" s="458">
        <f>SUMIF(RIC!$D:$D,PL!H37,RIC!F:F)</f>
        <v>0</v>
      </c>
      <c r="R37" s="459">
        <f>SUMIF(RIC!G:G,PL!H37,RIC!I:I)</f>
        <v>0</v>
      </c>
      <c r="S37" s="1161">
        <f t="shared" si="20"/>
        <v>10236844</v>
      </c>
      <c r="T37" s="461">
        <f>SUMIF(RIT!H:H,PL!H37,RIT!J:J)</f>
        <v>0</v>
      </c>
      <c r="U37" s="462">
        <f>SUMIF(RIT!K:K,PL!H37,RIT!M:M)</f>
        <v>0</v>
      </c>
      <c r="V37" s="1161">
        <f t="shared" si="21"/>
        <v>10236844</v>
      </c>
      <c r="W37" s="739">
        <f>SUMIF(지분법및기타!$D:$D,PL!H37,지분법및기타!$F:$F)</f>
        <v>0</v>
      </c>
      <c r="X37" s="739">
        <f>SUMIF(지분법및기타!$G:$G,PL!H37,지분법및기타!$I:$I)</f>
        <v>0</v>
      </c>
      <c r="Y37" s="1163">
        <f t="shared" si="22"/>
        <v>10236844</v>
      </c>
      <c r="Z37" s="645"/>
      <c r="AA37" s="645"/>
      <c r="AB37" s="463" t="s">
        <v>82</v>
      </c>
      <c r="AC37" s="463" t="s">
        <v>1732</v>
      </c>
      <c r="AF37" s="1166">
        <f t="shared" si="35"/>
        <v>0</v>
      </c>
    </row>
    <row r="38" spans="1:32" ht="17.25" thickBot="1">
      <c r="A38" s="747"/>
      <c r="B38" s="426"/>
      <c r="C38" s="427"/>
      <c r="D38" s="428"/>
      <c r="E38" s="429"/>
      <c r="F38" s="430" t="s">
        <v>1735</v>
      </c>
      <c r="G38" s="431"/>
      <c r="H38" s="493"/>
      <c r="I38" s="433">
        <f>SUM(I36:I37)</f>
        <v>10236844</v>
      </c>
      <c r="J38" s="433">
        <f t="shared" ref="J38:N38" si="36">SUM(J36:J37)</f>
        <v>0</v>
      </c>
      <c r="K38" s="433">
        <f t="shared" si="36"/>
        <v>0</v>
      </c>
      <c r="L38" s="433">
        <f t="shared" si="36"/>
        <v>0</v>
      </c>
      <c r="M38" s="433">
        <f t="shared" si="36"/>
        <v>0</v>
      </c>
      <c r="N38" s="433">
        <f t="shared" si="36"/>
        <v>0</v>
      </c>
      <c r="O38" s="433"/>
      <c r="P38" s="457">
        <f t="shared" si="16"/>
        <v>10236844</v>
      </c>
      <c r="Q38" s="458">
        <f>SUMIF(RIC!$D:$D,PL!H38,RIC!F:F)</f>
        <v>0</v>
      </c>
      <c r="R38" s="459">
        <f>SUMIF(RIC!G:G,PL!H38,RIC!I:I)</f>
        <v>0</v>
      </c>
      <c r="S38" s="1161">
        <f t="shared" si="20"/>
        <v>10236844</v>
      </c>
      <c r="T38" s="461">
        <f>SUMIF(RIT!H:H,PL!H38,RIT!J:J)</f>
        <v>0</v>
      </c>
      <c r="U38" s="462">
        <f>SUMIF(RIT!K:K,PL!H38,RIT!M:M)</f>
        <v>0</v>
      </c>
      <c r="V38" s="1161">
        <f t="shared" si="21"/>
        <v>10236844</v>
      </c>
      <c r="W38" s="739">
        <f>SUMIF(지분법및기타!$D:$D,PL!H38,지분법및기타!$F:$F)</f>
        <v>0</v>
      </c>
      <c r="X38" s="739">
        <f>SUMIF(지분법및기타!$G:$G,PL!H38,지분법및기타!$I:$I)</f>
        <v>0</v>
      </c>
      <c r="Y38" s="1163">
        <f t="shared" si="22"/>
        <v>10236844</v>
      </c>
      <c r="Z38" s="645"/>
      <c r="AA38" s="645"/>
      <c r="AB38" s="463" t="s">
        <v>82</v>
      </c>
      <c r="AC38" s="463" t="s">
        <v>1734</v>
      </c>
      <c r="AF38" s="1166">
        <f t="shared" si="35"/>
        <v>0</v>
      </c>
    </row>
    <row r="39" spans="1:32" ht="17.25" thickBot="1">
      <c r="A39" s="747"/>
      <c r="B39" s="426"/>
      <c r="C39" s="427"/>
      <c r="D39" s="428"/>
      <c r="E39" s="429"/>
      <c r="F39" s="430" t="s">
        <v>1737</v>
      </c>
      <c r="G39" s="431"/>
      <c r="H39" s="770" t="s">
        <v>1763</v>
      </c>
      <c r="I39" s="433">
        <f>SUMIF(별도정산표!$G:$G,PL!H39,별도정산표!$E:$E)</f>
        <v>0</v>
      </c>
      <c r="J39" s="433">
        <f>SUMIF(울트라팜_FS!$H:$H,PL!H39,울트라팜_FS!$J:$J)</f>
        <v>0</v>
      </c>
      <c r="K39" s="433">
        <f>SUMIF(HK_PL!$A:$A,PL!H39,HK_PL!$K:$K)</f>
        <v>0</v>
      </c>
      <c r="L39" s="433">
        <f>SUMIF(DHK_PL!$A:$A,PL!H39,DHK_PL!$K:$K)</f>
        <v>0</v>
      </c>
      <c r="M39" s="433">
        <f>SUMIF(상해_PL!$A:$A,PL!H39,상해_PL!$K:$K)</f>
        <v>0</v>
      </c>
      <c r="N39" s="433">
        <f>SUMIF(SG_PL!$A:$A,PL!H39,SG_PL!$K:$K)</f>
        <v>0</v>
      </c>
      <c r="O39" s="433"/>
      <c r="P39" s="457">
        <f t="shared" si="16"/>
        <v>0</v>
      </c>
      <c r="Q39" s="458">
        <f>SUMIF(RIC!$D:$D,PL!H39,RIC!F:F)</f>
        <v>0</v>
      </c>
      <c r="R39" s="459">
        <f>SUMIF(RIC!G:G,PL!H39,RIC!I:I)</f>
        <v>0</v>
      </c>
      <c r="S39" s="1161">
        <f t="shared" si="20"/>
        <v>0</v>
      </c>
      <c r="T39" s="461">
        <f>SUMIF(RIT!H:H,PL!H39,RIT!J:J)</f>
        <v>0</v>
      </c>
      <c r="U39" s="462">
        <f>SUMIF(RIT!K:K,PL!H39,RIT!M:M)</f>
        <v>0</v>
      </c>
      <c r="V39" s="1161">
        <f t="shared" si="21"/>
        <v>0</v>
      </c>
      <c r="W39" s="739">
        <f>SUMIF(지분법및기타!$D:$D,PL!H39,지분법및기타!$F:$F)</f>
        <v>0</v>
      </c>
      <c r="X39" s="739">
        <f>SUMIF(지분법및기타!$G:$G,PL!H39,지분법및기타!$I:$I)</f>
        <v>0</v>
      </c>
      <c r="Y39" s="1163">
        <f t="shared" si="22"/>
        <v>0</v>
      </c>
      <c r="Z39" s="645"/>
      <c r="AA39" s="645"/>
      <c r="AB39" s="463" t="s">
        <v>82</v>
      </c>
      <c r="AC39" s="463" t="s">
        <v>1736</v>
      </c>
    </row>
    <row r="40" spans="1:32" ht="17.25" thickBot="1">
      <c r="A40" s="747"/>
      <c r="B40" s="426"/>
      <c r="C40" s="427"/>
      <c r="D40" s="428"/>
      <c r="E40" s="429"/>
      <c r="F40" s="430" t="s">
        <v>1739</v>
      </c>
      <c r="G40" s="431"/>
      <c r="H40" s="770" t="s">
        <v>1765</v>
      </c>
      <c r="I40" s="433">
        <f>SUMIF(별도정산표!$G:$G,PL!H40,별도정산표!$E:$E)</f>
        <v>0</v>
      </c>
      <c r="J40" s="433">
        <f>SUMIF(울트라팜_FS!$H:$H,PL!H40,울트라팜_FS!$J:$J)</f>
        <v>0</v>
      </c>
      <c r="K40" s="433">
        <f>SUMIF(HK_PL!$A:$A,PL!H40,HK_PL!$K:$K)</f>
        <v>0</v>
      </c>
      <c r="L40" s="433">
        <f>SUMIF(DHK_PL!$A:$A,PL!H40,DHK_PL!$K:$K)</f>
        <v>0</v>
      </c>
      <c r="M40" s="433">
        <f>SUMIF(상해_PL!$A:$A,PL!H40,상해_PL!$K:$K)</f>
        <v>0</v>
      </c>
      <c r="N40" s="433">
        <f>SUMIF(SG_PL!$A:$A,PL!H40,SG_PL!$K:$K)</f>
        <v>0</v>
      </c>
      <c r="O40" s="433"/>
      <c r="P40" s="457">
        <f t="shared" si="16"/>
        <v>0</v>
      </c>
      <c r="Q40" s="458">
        <f>SUMIF(RIC!$D:$D,PL!H40,RIC!F:F)</f>
        <v>0</v>
      </c>
      <c r="R40" s="459">
        <f>SUMIF(RIC!G:G,PL!H40,RIC!I:I)</f>
        <v>0</v>
      </c>
      <c r="S40" s="1161">
        <f t="shared" si="20"/>
        <v>0</v>
      </c>
      <c r="T40" s="461">
        <f>SUMIF(RIT!H:H,PL!H40,RIT!J:J)</f>
        <v>0</v>
      </c>
      <c r="U40" s="462">
        <f>SUMIF(RIT!K:K,PL!H40,RIT!M:M)</f>
        <v>0</v>
      </c>
      <c r="V40" s="1161">
        <f t="shared" si="21"/>
        <v>0</v>
      </c>
      <c r="W40" s="739">
        <f>SUMIF(지분법및기타!$D:$D,PL!H40,지분법및기타!$F:$F)</f>
        <v>0</v>
      </c>
      <c r="X40" s="739">
        <f>SUMIF(지분법및기타!$G:$G,PL!H40,지분법및기타!$I:$I)</f>
        <v>0</v>
      </c>
      <c r="Y40" s="1163">
        <f t="shared" si="22"/>
        <v>0</v>
      </c>
      <c r="Z40" s="645"/>
      <c r="AA40" s="645"/>
      <c r="AB40" s="463" t="s">
        <v>82</v>
      </c>
      <c r="AC40" s="463" t="s">
        <v>1738</v>
      </c>
    </row>
    <row r="41" spans="1:32" ht="17.25" thickBot="1">
      <c r="A41" s="747"/>
      <c r="B41" s="426">
        <v>4</v>
      </c>
      <c r="C41" s="427"/>
      <c r="D41" s="428"/>
      <c r="E41" s="429"/>
      <c r="F41" s="430" t="s">
        <v>824</v>
      </c>
      <c r="G41" s="431"/>
      <c r="H41" s="493"/>
      <c r="I41" s="433">
        <f>SUMIF(별도정산표!$G:$G,PL!H41,별도정산표!$E:$E)</f>
        <v>0</v>
      </c>
      <c r="J41" s="433">
        <f>SUMIF(울트라팜_FS!$H:$H,PL!H41,울트라팜_FS!$J:$J)</f>
        <v>0</v>
      </c>
      <c r="K41" s="433">
        <f>SUMIF(HK_PL!$A:$A,PL!H41,HK_PL!$K:$K)</f>
        <v>0</v>
      </c>
      <c r="L41" s="433">
        <f>SUMIF(DHK_PL!$A:$A,PL!H41,DHK_PL!$K:$K)</f>
        <v>0</v>
      </c>
      <c r="M41" s="433">
        <f>SUMIF(상해_PL!$A:$A,PL!H41,상해_PL!$K:$K)</f>
        <v>0</v>
      </c>
      <c r="N41" s="433">
        <f>SUMIF(SG_PL!$A:$A,PL!H41,SG_PL!$K:$K)</f>
        <v>0</v>
      </c>
      <c r="O41" s="433"/>
      <c r="P41" s="457">
        <f t="shared" si="16"/>
        <v>0</v>
      </c>
      <c r="Q41" s="458">
        <f>SUMIF(RIC!$D:$D,PL!H41,RIC!F:F)</f>
        <v>0</v>
      </c>
      <c r="R41" s="459">
        <f>SUMIF(RIC!G:G,PL!H41,RIC!I:I)</f>
        <v>0</v>
      </c>
      <c r="S41" s="460">
        <f t="shared" ref="S41" si="37">P41+Q41-R41</f>
        <v>0</v>
      </c>
      <c r="T41" s="461">
        <f>SUMIF(RIT!H:H,PL!H41,RIT!J:J)</f>
        <v>0</v>
      </c>
      <c r="U41" s="462">
        <f>SUMIF(RIT!K:K,PL!H41,RIT!M:M)</f>
        <v>0</v>
      </c>
      <c r="V41" s="460">
        <f t="shared" ref="V41" si="38">S41+T41-U41</f>
        <v>0</v>
      </c>
      <c r="W41" s="739">
        <f>SUMIF(지분법및기타!$D:$D,PL!H41,지분법및기타!$F:$F)</f>
        <v>0</v>
      </c>
      <c r="X41" s="739">
        <f>SUMIF(지분법및기타!$G:$G,PL!H41,지분법및기타!$I:$I)</f>
        <v>0</v>
      </c>
      <c r="Y41" s="1163">
        <f t="shared" si="22"/>
        <v>0</v>
      </c>
      <c r="Z41" s="645"/>
      <c r="AA41" s="645"/>
      <c r="AB41" s="463" t="s">
        <v>82</v>
      </c>
      <c r="AC41" s="463"/>
    </row>
    <row r="42" spans="1:32" ht="17.25" thickBot="1">
      <c r="A42" s="747"/>
      <c r="B42" s="426">
        <v>2</v>
      </c>
      <c r="C42" s="427"/>
      <c r="D42" s="428" t="s">
        <v>85</v>
      </c>
      <c r="E42" s="429"/>
      <c r="F42" s="430"/>
      <c r="G42" s="431"/>
      <c r="H42" s="493"/>
      <c r="I42" s="425">
        <f t="shared" ref="I42:P42" si="39">SUM(I43:I77)</f>
        <v>5378351282</v>
      </c>
      <c r="J42" s="425">
        <f t="shared" si="39"/>
        <v>0</v>
      </c>
      <c r="K42" s="425">
        <f t="shared" si="39"/>
        <v>382954300</v>
      </c>
      <c r="L42" s="425">
        <f t="shared" si="39"/>
        <v>182867798</v>
      </c>
      <c r="M42" s="425">
        <f t="shared" si="39"/>
        <v>15619049</v>
      </c>
      <c r="N42" s="425">
        <f t="shared" si="39"/>
        <v>8656005</v>
      </c>
      <c r="O42" s="425">
        <f t="shared" si="39"/>
        <v>0</v>
      </c>
      <c r="P42" s="457">
        <f t="shared" si="39"/>
        <v>5968448434</v>
      </c>
      <c r="Q42" s="458"/>
      <c r="R42" s="459"/>
      <c r="S42" s="460">
        <f>SUM(S43:S77)</f>
        <v>5968448434</v>
      </c>
      <c r="T42" s="461"/>
      <c r="U42" s="462"/>
      <c r="V42" s="460">
        <f>SUM(V43:V77)</f>
        <v>5969068326</v>
      </c>
      <c r="W42" s="739"/>
      <c r="X42" s="739"/>
      <c r="Y42" s="744">
        <f>SUM(Y43:Y77)</f>
        <v>5969068326</v>
      </c>
      <c r="Z42" s="645">
        <f>SUM(Z43:Z77)</f>
        <v>0</v>
      </c>
      <c r="AA42" s="645">
        <f>SUM(AA43:AA77)</f>
        <v>0</v>
      </c>
      <c r="AB42" s="463"/>
      <c r="AC42" s="463"/>
      <c r="AF42" s="1166">
        <f t="shared" ref="AF42:AF63" si="40">Y42-P42</f>
        <v>619892</v>
      </c>
    </row>
    <row r="43" spans="1:32" ht="17.25" thickBot="1">
      <c r="A43" s="747"/>
      <c r="B43" s="426">
        <v>4</v>
      </c>
      <c r="C43" s="427"/>
      <c r="D43" s="428"/>
      <c r="E43" s="429"/>
      <c r="F43" s="430" t="s">
        <v>752</v>
      </c>
      <c r="G43" s="431"/>
      <c r="H43" s="493" t="s">
        <v>751</v>
      </c>
      <c r="I43" s="433">
        <f>SUMIF(별도정산표!$G:$G,PL!H43,별도정산표!$E:$E)</f>
        <v>1192275225</v>
      </c>
      <c r="J43" s="433">
        <f>SUMIF(울트라팜_FS!$H:$H,PL!H43,울트라팜_FS!$J:$J)</f>
        <v>0</v>
      </c>
      <c r="K43" s="433">
        <f>SUMIF(HK_PL!$A:$A,PL!H43,HK_PL!$K:$K)</f>
        <v>271298424</v>
      </c>
      <c r="L43" s="433">
        <f>SUMIF(DHK_PL!$A:$A,PL!H43,DHK_PL!$K:$K)</f>
        <v>39828600</v>
      </c>
      <c r="M43" s="433">
        <f>SUMIF(상해_PL!$A:$A,PL!H43,상해_PL!$K:$K)</f>
        <v>0</v>
      </c>
      <c r="N43" s="433">
        <f>SUMIF(SG_PL!$A:$A,PL!H43,SG_PL!$K:$K)</f>
        <v>0</v>
      </c>
      <c r="O43" s="433"/>
      <c r="P43" s="457">
        <f t="shared" ref="P43:P77" si="41">SUM(I43:O43)</f>
        <v>1503402249</v>
      </c>
      <c r="Q43" s="458">
        <f>SUMIF(RIC!$D:$D,PL!H43,RIC!F:F)</f>
        <v>0</v>
      </c>
      <c r="R43" s="459">
        <f>SUMIF(RIC!G:G,PL!H43,RIC!I:I)</f>
        <v>0</v>
      </c>
      <c r="S43" s="460">
        <f t="shared" ref="S43:S77" si="42">P43+Q43-R43</f>
        <v>1503402249</v>
      </c>
      <c r="T43" s="461">
        <f>SUMIF(RIT!H:H,PL!H43,RIT!J:J)</f>
        <v>0</v>
      </c>
      <c r="U43" s="462">
        <f>SUMIF(RIT!K:K,PL!H43,RIT!M:M)</f>
        <v>0</v>
      </c>
      <c r="V43" s="460">
        <f t="shared" ref="V43:V77" si="43">S43+T43-U43</f>
        <v>1503402249</v>
      </c>
      <c r="W43" s="739">
        <f>SUMIF(지분법및기타!$D:$D,PL!H43,지분법및기타!$F:$F)</f>
        <v>0</v>
      </c>
      <c r="X43" s="739">
        <f>SUMIF(지분법및기타!$G:$G,PL!H43,지분법및기타!$I:$I)</f>
        <v>0</v>
      </c>
      <c r="Y43" s="744">
        <f t="shared" ref="Y43:Y77" si="44">V43+W43-X43</f>
        <v>1503402249</v>
      </c>
      <c r="Z43" s="645"/>
      <c r="AA43" s="645"/>
      <c r="AB43" s="463" t="s">
        <v>85</v>
      </c>
      <c r="AC43" s="463" t="s">
        <v>392</v>
      </c>
      <c r="AD43" s="418" t="s">
        <v>384</v>
      </c>
      <c r="AF43" s="1166">
        <f t="shared" si="40"/>
        <v>0</v>
      </c>
    </row>
    <row r="44" spans="1:32" ht="17.25" thickBot="1">
      <c r="A44" s="747"/>
      <c r="B44" s="426">
        <v>4</v>
      </c>
      <c r="C44" s="427"/>
      <c r="D44" s="428"/>
      <c r="E44" s="429"/>
      <c r="F44" s="430" t="s">
        <v>725</v>
      </c>
      <c r="G44" s="431"/>
      <c r="H44" s="493" t="s">
        <v>753</v>
      </c>
      <c r="I44" s="433">
        <f>SUMIF(별도정산표!$G:$G,PL!H44,별도정산표!$E:$E)</f>
        <v>0</v>
      </c>
      <c r="J44" s="433">
        <f>SUMIF(울트라팜_FS!$H:$H,PL!H44,울트라팜_FS!$J:$J)</f>
        <v>0</v>
      </c>
      <c r="K44" s="433">
        <f>SUMIF(HK_PL!$A:$A,PL!H44,HK_PL!$K:$K)</f>
        <v>0</v>
      </c>
      <c r="L44" s="433">
        <f>SUMIF(DHK_PL!$A:$A,PL!H44,DHK_PL!$K:$K)</f>
        <v>0</v>
      </c>
      <c r="M44" s="433">
        <f>SUMIF(상해_PL!$A:$A,PL!H44,상해_PL!$K:$K)</f>
        <v>0</v>
      </c>
      <c r="N44" s="433">
        <f>SUMIF(SG_PL!$A:$A,PL!H44,SG_PL!$K:$K)</f>
        <v>0</v>
      </c>
      <c r="O44" s="433"/>
      <c r="P44" s="457">
        <f t="shared" si="41"/>
        <v>0</v>
      </c>
      <c r="Q44" s="458">
        <f>SUMIF(RIC!$D:$D,PL!H44,RIC!F:F)</f>
        <v>0</v>
      </c>
      <c r="R44" s="459">
        <f>SUMIF(RIC!G:G,PL!H44,RIC!I:I)</f>
        <v>0</v>
      </c>
      <c r="S44" s="460">
        <f t="shared" si="42"/>
        <v>0</v>
      </c>
      <c r="T44" s="461">
        <f>SUMIF(RIT!H:H,PL!H44,RIT!J:J)</f>
        <v>0</v>
      </c>
      <c r="U44" s="462">
        <f>SUMIF(RIT!K:K,PL!H44,RIT!M:M)</f>
        <v>0</v>
      </c>
      <c r="V44" s="460">
        <f t="shared" si="43"/>
        <v>0</v>
      </c>
      <c r="W44" s="739">
        <f>SUMIF(지분법및기타!$D:$D,PL!H44,지분법및기타!$F:$F)</f>
        <v>0</v>
      </c>
      <c r="X44" s="739">
        <f>SUMIF(지분법및기타!$G:$G,PL!H44,지분법및기타!$I:$I)</f>
        <v>0</v>
      </c>
      <c r="Y44" s="744">
        <f t="shared" si="44"/>
        <v>0</v>
      </c>
      <c r="Z44" s="645"/>
      <c r="AA44" s="645"/>
      <c r="AB44" s="463" t="s">
        <v>85</v>
      </c>
      <c r="AC44" s="463" t="s">
        <v>392</v>
      </c>
      <c r="AD44" s="418" t="s">
        <v>384</v>
      </c>
      <c r="AF44" s="1166">
        <f t="shared" si="40"/>
        <v>0</v>
      </c>
    </row>
    <row r="45" spans="1:32">
      <c r="A45" s="747"/>
      <c r="B45" s="426">
        <v>4</v>
      </c>
      <c r="C45" s="427"/>
      <c r="D45" s="428"/>
      <c r="E45" s="429"/>
      <c r="F45" s="430" t="s">
        <v>178</v>
      </c>
      <c r="G45" s="431"/>
      <c r="H45" s="493" t="s">
        <v>754</v>
      </c>
      <c r="I45" s="433">
        <f>SUMIF(별도정산표!$G:$G,PL!H45,별도정산표!$E:$E)</f>
        <v>110359296</v>
      </c>
      <c r="J45" s="433">
        <f>SUMIF(울트라팜_FS!$H:$H,PL!H45,울트라팜_FS!$J:$J)</f>
        <v>0</v>
      </c>
      <c r="K45" s="433">
        <f>SUMIF(HK_PL!$A:$A,PL!H45,HK_PL!$K:$K)</f>
        <v>0</v>
      </c>
      <c r="L45" s="433">
        <f>SUMIF(DHK_PL!$A:$A,PL!H45,DHK_PL!$K:$K)</f>
        <v>0</v>
      </c>
      <c r="M45" s="433">
        <f>SUMIF(상해_PL!$A:$A,PL!H45,상해_PL!$K:$K)</f>
        <v>0</v>
      </c>
      <c r="N45" s="433">
        <f>SUMIF(SG_PL!$A:$A,PL!H45,SG_PL!$K:$K)</f>
        <v>0</v>
      </c>
      <c r="O45" s="433"/>
      <c r="P45" s="457">
        <f t="shared" si="41"/>
        <v>110359296</v>
      </c>
      <c r="Q45" s="458">
        <f>SUMIF(RIC!$D:$D,PL!H45,RIC!F:F)</f>
        <v>0</v>
      </c>
      <c r="R45" s="459">
        <f>SUMIF(RIC!G:G,PL!H45,RIC!I:I)</f>
        <v>0</v>
      </c>
      <c r="S45" s="460">
        <f t="shared" si="42"/>
        <v>110359296</v>
      </c>
      <c r="T45" s="461">
        <f>SUMIF(RIT!H:H,PL!H45,RIT!J:J)</f>
        <v>0</v>
      </c>
      <c r="U45" s="462">
        <f>SUMIF(RIT!K:K,PL!H45,RIT!M:M)</f>
        <v>0</v>
      </c>
      <c r="V45" s="460">
        <f t="shared" si="43"/>
        <v>110359296</v>
      </c>
      <c r="W45" s="739">
        <f>SUMIF(지분법및기타!$D:$D,PL!H45,지분법및기타!$F:$F)</f>
        <v>0</v>
      </c>
      <c r="X45" s="739">
        <f>SUMIF(지분법및기타!$G:$G,PL!H45,지분법및기타!$I:$I)</f>
        <v>0</v>
      </c>
      <c r="Y45" s="744">
        <f t="shared" si="44"/>
        <v>110359296</v>
      </c>
      <c r="Z45" s="645"/>
      <c r="AA45" s="645"/>
      <c r="AB45" s="463" t="s">
        <v>85</v>
      </c>
      <c r="AC45" s="463" t="s">
        <v>178</v>
      </c>
      <c r="AD45" s="418" t="s">
        <v>384</v>
      </c>
      <c r="AF45" s="1166">
        <f t="shared" si="40"/>
        <v>0</v>
      </c>
    </row>
    <row r="46" spans="1:32">
      <c r="A46" s="747"/>
      <c r="B46" s="426">
        <v>4</v>
      </c>
      <c r="C46" s="427"/>
      <c r="D46" s="428"/>
      <c r="E46" s="429"/>
      <c r="F46" s="430" t="s">
        <v>3459</v>
      </c>
      <c r="G46" s="431"/>
      <c r="H46" s="493">
        <v>85200</v>
      </c>
      <c r="I46" s="433">
        <f>SUMIF(별도정산표!$G:$G,PL!H46,별도정산표!$E:$E)</f>
        <v>45930430</v>
      </c>
      <c r="J46" s="433">
        <f>SUMIF(울트라팜_FS!$H:$H,PL!H46,울트라팜_FS!$J:$J)</f>
        <v>0</v>
      </c>
      <c r="K46" s="433">
        <f>SUMIF(HK_PL!$A:$A,PL!H46,HK_PL!$K:$K)</f>
        <v>0</v>
      </c>
      <c r="L46" s="433">
        <f>SUMIF(DHK_PL!$A:$A,PL!H46,DHK_PL!$K:$K)</f>
        <v>0</v>
      </c>
      <c r="M46" s="433">
        <f>SUMIF(상해_PL!$A:$A,PL!H46,상해_PL!$K:$K)</f>
        <v>0</v>
      </c>
      <c r="N46" s="433">
        <f>SUMIF(SG_PL!$A:$A,PL!H46,SG_PL!$K:$K)</f>
        <v>0</v>
      </c>
      <c r="O46" s="433"/>
      <c r="P46" s="457">
        <f t="shared" ref="P46" si="45">SUM(I46:O46)</f>
        <v>45930430</v>
      </c>
      <c r="Q46" s="458">
        <f>SUMIF(RIC!$D:$D,PL!H46,RIC!F:F)</f>
        <v>0</v>
      </c>
      <c r="R46" s="459">
        <f>SUMIF(RIC!G:G,PL!H46,RIC!I:I)</f>
        <v>0</v>
      </c>
      <c r="S46" s="460">
        <f t="shared" ref="S46" si="46">P46+Q46-R46</f>
        <v>45930430</v>
      </c>
      <c r="T46" s="461">
        <f>SUMIF(RIT!H:H,PL!H46,RIT!J:J)</f>
        <v>0</v>
      </c>
      <c r="U46" s="462">
        <f>SUMIF(RIT!K:K,PL!H46,RIT!M:M)</f>
        <v>0</v>
      </c>
      <c r="V46" s="460">
        <f t="shared" ref="V46" si="47">S46+T46-U46</f>
        <v>45930430</v>
      </c>
      <c r="W46" s="739">
        <f>SUMIF(지분법및기타!$D:$D,PL!H46,지분법및기타!$F:$F)</f>
        <v>0</v>
      </c>
      <c r="X46" s="739">
        <f>SUMIF(지분법및기타!$G:$G,PL!H46,지분법및기타!$I:$I)</f>
        <v>0</v>
      </c>
      <c r="Y46" s="744">
        <f t="shared" ref="Y46" si="48">V46+W46-X46</f>
        <v>45930430</v>
      </c>
      <c r="Z46" s="645"/>
      <c r="AA46" s="645"/>
      <c r="AB46" s="463" t="s">
        <v>85</v>
      </c>
      <c r="AC46" s="463" t="s">
        <v>3459</v>
      </c>
      <c r="AD46" s="418" t="s">
        <v>384</v>
      </c>
      <c r="AF46" s="1166">
        <f t="shared" ref="AF46" si="49">Y46-P46</f>
        <v>0</v>
      </c>
    </row>
    <row r="47" spans="1:32">
      <c r="A47" s="747"/>
      <c r="B47" s="426">
        <v>4</v>
      </c>
      <c r="C47" s="427"/>
      <c r="D47" s="428"/>
      <c r="E47" s="429"/>
      <c r="F47" s="430" t="s">
        <v>756</v>
      </c>
      <c r="G47" s="431"/>
      <c r="H47" s="493" t="s">
        <v>755</v>
      </c>
      <c r="I47" s="433">
        <f>SUMIF(별도정산표!$G:$G,PL!H47,별도정산표!$E:$E)</f>
        <v>0</v>
      </c>
      <c r="J47" s="433">
        <f>SUMIF(울트라팜_FS!$H:$H,PL!H47,울트라팜_FS!$J:$J)</f>
        <v>0</v>
      </c>
      <c r="K47" s="433">
        <f>SUMIF(HK_PL!$A:$A,PL!H47,HK_PL!$K:$K)</f>
        <v>0</v>
      </c>
      <c r="L47" s="433">
        <f>SUMIF(DHK_PL!$A:$A,PL!H47,DHK_PL!$K:$K)</f>
        <v>0</v>
      </c>
      <c r="M47" s="433">
        <f>SUMIF(상해_PL!$A:$A,PL!H47,상해_PL!$K:$K)</f>
        <v>0</v>
      </c>
      <c r="N47" s="433">
        <f>SUMIF(SG_PL!$A:$A,PL!H47,SG_PL!$K:$K)</f>
        <v>0</v>
      </c>
      <c r="O47" s="433"/>
      <c r="P47" s="457">
        <f t="shared" si="41"/>
        <v>0</v>
      </c>
      <c r="Q47" s="458">
        <f>SUMIF(RIC!$D:$D,PL!H47,RIC!F:F)</f>
        <v>0</v>
      </c>
      <c r="R47" s="459">
        <f>SUMIF(RIC!G:G,PL!H47,RIC!I:I)</f>
        <v>0</v>
      </c>
      <c r="S47" s="460">
        <f t="shared" si="42"/>
        <v>0</v>
      </c>
      <c r="T47" s="461">
        <f>SUMIF(RIT!H:H,PL!H47,RIT!J:J)</f>
        <v>0</v>
      </c>
      <c r="U47" s="462">
        <f>SUMIF(RIT!K:K,PL!H47,RIT!M:M)</f>
        <v>0</v>
      </c>
      <c r="V47" s="460">
        <f t="shared" si="43"/>
        <v>0</v>
      </c>
      <c r="W47" s="739">
        <f>SUMIF(지분법및기타!$D:$D,PL!H47,지분법및기타!$F:$F)</f>
        <v>0</v>
      </c>
      <c r="X47" s="739">
        <f>SUMIF(지분법및기타!$G:$G,PL!H47,지분법및기타!$I:$I)</f>
        <v>0</v>
      </c>
      <c r="Y47" s="744">
        <f t="shared" si="44"/>
        <v>0</v>
      </c>
      <c r="Z47" s="645"/>
      <c r="AA47" s="645"/>
      <c r="AB47" s="463" t="s">
        <v>85</v>
      </c>
      <c r="AC47" s="463" t="s">
        <v>756</v>
      </c>
      <c r="AD47" s="418" t="s">
        <v>2234</v>
      </c>
      <c r="AF47" s="1166">
        <f t="shared" si="40"/>
        <v>0</v>
      </c>
    </row>
    <row r="48" spans="1:32" ht="17.25" thickBot="1">
      <c r="A48" s="747"/>
      <c r="B48" s="426">
        <v>4</v>
      </c>
      <c r="C48" s="427"/>
      <c r="D48" s="428"/>
      <c r="E48" s="429"/>
      <c r="F48" s="430" t="s">
        <v>393</v>
      </c>
      <c r="G48" s="431"/>
      <c r="H48" s="493" t="s">
        <v>757</v>
      </c>
      <c r="I48" s="433">
        <f>SUMIF(별도정산표!$G:$G,PL!H48,별도정산표!$E:$E)</f>
        <v>187719099</v>
      </c>
      <c r="J48" s="433">
        <f>SUMIF(울트라팜_FS!$H:$H,PL!H48,울트라팜_FS!$J:$J)</f>
        <v>0</v>
      </c>
      <c r="K48" s="433">
        <f>SUMIF(HK_PL!$A:$A,PL!H48,HK_PL!$K:$K)</f>
        <v>7738595</v>
      </c>
      <c r="L48" s="433">
        <f>SUMIF(DHK_PL!$A:$A,PL!H48,DHK_PL!$K:$K)</f>
        <v>1706940</v>
      </c>
      <c r="M48" s="433">
        <f>SUMIF(상해_PL!$A:$A,PL!H48,상해_PL!$K:$K)</f>
        <v>0</v>
      </c>
      <c r="N48" s="433">
        <f>SUMIF(SG_PL!$A:$A,PL!H48,SG_PL!$K:$K)</f>
        <v>0</v>
      </c>
      <c r="O48" s="433"/>
      <c r="P48" s="457">
        <f t="shared" si="41"/>
        <v>197164634</v>
      </c>
      <c r="Q48" s="458">
        <f>SUMIF(RIC!$D:$D,PL!H48,RIC!F:F)</f>
        <v>0</v>
      </c>
      <c r="R48" s="459">
        <f>SUMIF(RIC!G:G,PL!H48,RIC!I:I)</f>
        <v>0</v>
      </c>
      <c r="S48" s="460">
        <f t="shared" si="42"/>
        <v>197164634</v>
      </c>
      <c r="T48" s="461">
        <f>SUMIF(RIT!H:H,PL!H48,RIT!J:J)</f>
        <v>0</v>
      </c>
      <c r="U48" s="462">
        <f>SUMIF(RIT!K:K,PL!H48,RIT!M:M)</f>
        <v>0</v>
      </c>
      <c r="V48" s="460">
        <f t="shared" si="43"/>
        <v>197164634</v>
      </c>
      <c r="W48" s="739">
        <f>SUMIF(지분법및기타!$D:$D,PL!H48,지분법및기타!$F:$F)</f>
        <v>0</v>
      </c>
      <c r="X48" s="739">
        <f>SUMIF(지분법및기타!$G:$G,PL!H48,지분법및기타!$I:$I)</f>
        <v>0</v>
      </c>
      <c r="Y48" s="744">
        <f t="shared" si="44"/>
        <v>197164634</v>
      </c>
      <c r="Z48" s="645"/>
      <c r="AA48" s="645"/>
      <c r="AB48" s="463" t="s">
        <v>85</v>
      </c>
      <c r="AC48" s="463" t="s">
        <v>393</v>
      </c>
      <c r="AD48" s="418" t="s">
        <v>2235</v>
      </c>
      <c r="AF48" s="1166">
        <f t="shared" si="40"/>
        <v>0</v>
      </c>
    </row>
    <row r="49" spans="1:32" ht="17.25" thickBot="1">
      <c r="A49" s="747"/>
      <c r="B49" s="426">
        <v>4</v>
      </c>
      <c r="C49" s="427"/>
      <c r="D49" s="428"/>
      <c r="E49" s="429"/>
      <c r="F49" s="430" t="s">
        <v>508</v>
      </c>
      <c r="G49" s="431"/>
      <c r="H49" s="493" t="s">
        <v>758</v>
      </c>
      <c r="I49" s="433">
        <f>SUMIF(별도정산표!$G:$G,PL!H49,별도정산표!$E:$E)</f>
        <v>224812833</v>
      </c>
      <c r="J49" s="433">
        <f>SUMIF(울트라팜_FS!$H:$H,PL!H49,울트라팜_FS!$J:$J)</f>
        <v>0</v>
      </c>
      <c r="K49" s="433">
        <f>SUMIF(HK_PL!$A:$A,PL!H49,HK_PL!$K:$K)</f>
        <v>6958128</v>
      </c>
      <c r="L49" s="433">
        <f>SUMIF(DHK_PL!$A:$A,PL!H49,DHK_PL!$K:$K)</f>
        <v>0</v>
      </c>
      <c r="M49" s="433">
        <f>SUMIF(상해_PL!$A:$A,PL!H49,상해_PL!$K:$K)</f>
        <v>0</v>
      </c>
      <c r="N49" s="433">
        <f>SUMIF(SG_PL!$A:$A,PL!H49,SG_PL!$K:$K)</f>
        <v>0</v>
      </c>
      <c r="O49" s="433"/>
      <c r="P49" s="457">
        <f t="shared" si="41"/>
        <v>231770961</v>
      </c>
      <c r="Q49" s="458">
        <f>SUMIF(RIC!$D:$D,PL!H49,RIC!F:F)</f>
        <v>0</v>
      </c>
      <c r="R49" s="459">
        <f>SUMIF(RIC!G:G,PL!H49,RIC!I:I)</f>
        <v>0</v>
      </c>
      <c r="S49" s="460">
        <f t="shared" si="42"/>
        <v>231770961</v>
      </c>
      <c r="T49" s="461">
        <f>SUMIF(RIT!H:H,PL!H49,RIT!J:J)</f>
        <v>0</v>
      </c>
      <c r="U49" s="462">
        <f>SUMIF(RIT!K:K,PL!H49,RIT!M:M)</f>
        <v>0</v>
      </c>
      <c r="V49" s="460">
        <f t="shared" si="43"/>
        <v>231770961</v>
      </c>
      <c r="W49" s="739">
        <f>SUMIF(지분법및기타!$D:$D,PL!H49,지분법및기타!$F:$F)</f>
        <v>0</v>
      </c>
      <c r="X49" s="739">
        <f>SUMIF(지분법및기타!$G:$G,PL!H49,지분법및기타!$I:$I)</f>
        <v>0</v>
      </c>
      <c r="Y49" s="744">
        <f t="shared" si="44"/>
        <v>231770961</v>
      </c>
      <c r="Z49" s="645"/>
      <c r="AA49" s="645"/>
      <c r="AB49" s="463" t="s">
        <v>85</v>
      </c>
      <c r="AC49" s="463" t="s">
        <v>508</v>
      </c>
      <c r="AD49" s="418" t="s">
        <v>508</v>
      </c>
      <c r="AF49" s="1166">
        <f t="shared" si="40"/>
        <v>0</v>
      </c>
    </row>
    <row r="50" spans="1:32" ht="17.25" thickBot="1">
      <c r="A50" s="747"/>
      <c r="B50" s="426">
        <v>4</v>
      </c>
      <c r="C50" s="427"/>
      <c r="D50" s="428"/>
      <c r="E50" s="429"/>
      <c r="F50" s="430" t="s">
        <v>511</v>
      </c>
      <c r="G50" s="431"/>
      <c r="H50" s="493" t="s">
        <v>759</v>
      </c>
      <c r="I50" s="433">
        <f>SUMIF(별도정산표!$G:$G,PL!H50,별도정산표!$E:$E)</f>
        <v>25692474</v>
      </c>
      <c r="J50" s="433">
        <f>SUMIF(울트라팜_FS!$H:$H,PL!H50,울트라팜_FS!$J:$J)</f>
        <v>0</v>
      </c>
      <c r="K50" s="433">
        <f>SUMIF(HK_PL!$A:$A,PL!H50,HK_PL!$K:$K)</f>
        <v>9721611</v>
      </c>
      <c r="L50" s="433">
        <f>SUMIF(DHK_PL!$A:$A,PL!H50,DHK_PL!$K:$K)</f>
        <v>333005</v>
      </c>
      <c r="M50" s="433">
        <f>SUMIF(상해_PL!$A:$A,PL!H50,상해_PL!$K:$K)</f>
        <v>0</v>
      </c>
      <c r="N50" s="433">
        <f>SUMIF(SG_PL!$A:$A,PL!H50,SG_PL!$K:$K)</f>
        <v>0</v>
      </c>
      <c r="O50" s="433"/>
      <c r="P50" s="457">
        <f t="shared" si="41"/>
        <v>35747090</v>
      </c>
      <c r="Q50" s="458">
        <f>SUMIF(RIC!$D:$D,PL!H50,RIC!F:F)</f>
        <v>0</v>
      </c>
      <c r="R50" s="459">
        <f>SUMIF(RIC!G:G,PL!H50,RIC!I:I)</f>
        <v>0</v>
      </c>
      <c r="S50" s="460">
        <f t="shared" si="42"/>
        <v>35747090</v>
      </c>
      <c r="T50" s="461">
        <f>SUMIF(RIT!H:H,PL!H50,RIT!J:J)</f>
        <v>0</v>
      </c>
      <c r="U50" s="462">
        <f>SUMIF(RIT!K:K,PL!H50,RIT!M:M)</f>
        <v>0</v>
      </c>
      <c r="V50" s="460">
        <f t="shared" si="43"/>
        <v>35747090</v>
      </c>
      <c r="W50" s="739">
        <f>SUMIF(지분법및기타!$D:$D,PL!H50,지분법및기타!$F:$F)</f>
        <v>0</v>
      </c>
      <c r="X50" s="739">
        <f>SUMIF(지분법및기타!$G:$G,PL!H50,지분법및기타!$I:$I)</f>
        <v>0</v>
      </c>
      <c r="Y50" s="744">
        <f t="shared" si="44"/>
        <v>35747090</v>
      </c>
      <c r="Z50" s="645"/>
      <c r="AA50" s="645"/>
      <c r="AB50" s="463" t="s">
        <v>85</v>
      </c>
      <c r="AC50" s="463" t="s">
        <v>511</v>
      </c>
      <c r="AD50" s="418" t="s">
        <v>88</v>
      </c>
      <c r="AF50" s="1166">
        <f t="shared" si="40"/>
        <v>0</v>
      </c>
    </row>
    <row r="51" spans="1:32" ht="17.25" thickBot="1">
      <c r="A51" s="747"/>
      <c r="B51" s="426">
        <v>4</v>
      </c>
      <c r="C51" s="427"/>
      <c r="D51" s="428"/>
      <c r="E51" s="429"/>
      <c r="F51" s="430" t="s">
        <v>509</v>
      </c>
      <c r="G51" s="431"/>
      <c r="H51" s="493" t="s">
        <v>760</v>
      </c>
      <c r="I51" s="433">
        <f>SUMIF(별도정산표!$G:$G,PL!H51,별도정산표!$E:$E)</f>
        <v>8042843</v>
      </c>
      <c r="J51" s="433">
        <f>SUMIF(울트라팜_FS!$H:$H,PL!H51,울트라팜_FS!$J:$J)</f>
        <v>0</v>
      </c>
      <c r="K51" s="433">
        <f>SUMIF(HK_PL!$A:$A,PL!H51,HK_PL!$K:$K)</f>
        <v>5377430</v>
      </c>
      <c r="L51" s="433">
        <f>SUMIF(DHK_PL!$A:$A,PL!H51,DHK_PL!$K:$K)</f>
        <v>414117</v>
      </c>
      <c r="M51" s="433">
        <f>SUMIF(상해_PL!$A:$A,PL!H51,상해_PL!$K:$K)</f>
        <v>0</v>
      </c>
      <c r="N51" s="433">
        <f>SUMIF(SG_PL!$A:$A,PL!H51,SG_PL!$K:$K)</f>
        <v>0</v>
      </c>
      <c r="O51" s="433"/>
      <c r="P51" s="457">
        <f t="shared" si="41"/>
        <v>13834390</v>
      </c>
      <c r="Q51" s="458">
        <f>SUMIF(RIC!$D:$D,PL!H51,RIC!F:F)</f>
        <v>0</v>
      </c>
      <c r="R51" s="459">
        <f>SUMIF(RIC!G:G,PL!H51,RIC!I:I)</f>
        <v>0</v>
      </c>
      <c r="S51" s="460">
        <f t="shared" si="42"/>
        <v>13834390</v>
      </c>
      <c r="T51" s="461">
        <f>SUMIF(RIT!H:H,PL!H51,RIT!J:J)</f>
        <v>0</v>
      </c>
      <c r="U51" s="462">
        <f>SUMIF(RIT!K:K,PL!H51,RIT!M:M)</f>
        <v>0</v>
      </c>
      <c r="V51" s="460">
        <f t="shared" si="43"/>
        <v>13834390</v>
      </c>
      <c r="W51" s="739">
        <f>SUMIF(지분법및기타!$D:$D,PL!H51,지분법및기타!$F:$F)</f>
        <v>0</v>
      </c>
      <c r="X51" s="739">
        <f>SUMIF(지분법및기타!$G:$G,PL!H51,지분법및기타!$I:$I)</f>
        <v>0</v>
      </c>
      <c r="Y51" s="744">
        <f t="shared" si="44"/>
        <v>13834390</v>
      </c>
      <c r="Z51" s="645"/>
      <c r="AA51" s="645"/>
      <c r="AB51" s="463" t="s">
        <v>85</v>
      </c>
      <c r="AC51" s="463" t="s">
        <v>509</v>
      </c>
      <c r="AD51" s="418" t="s">
        <v>88</v>
      </c>
      <c r="AF51" s="1166">
        <f t="shared" si="40"/>
        <v>0</v>
      </c>
    </row>
    <row r="52" spans="1:32" ht="17.25" thickBot="1">
      <c r="A52" s="747"/>
      <c r="B52" s="426">
        <v>4</v>
      </c>
      <c r="C52" s="427"/>
      <c r="D52" s="428"/>
      <c r="E52" s="429"/>
      <c r="F52" s="430" t="s">
        <v>515</v>
      </c>
      <c r="G52" s="431"/>
      <c r="H52" s="493" t="s">
        <v>761</v>
      </c>
      <c r="I52" s="433">
        <f>SUMIF(별도정산표!$G:$G,PL!H52,별도정산표!$E:$E)</f>
        <v>2933840</v>
      </c>
      <c r="J52" s="433">
        <f>SUMIF(울트라팜_FS!$H:$H,PL!H52,울트라팜_FS!$J:$J)</f>
        <v>0</v>
      </c>
      <c r="K52" s="433">
        <f>SUMIF(HK_PL!$A:$A,PL!H52,HK_PL!$K:$K)</f>
        <v>0</v>
      </c>
      <c r="L52" s="433">
        <f>SUMIF(DHK_PL!$A:$A,PL!H52,DHK_PL!$K:$K)</f>
        <v>1778108</v>
      </c>
      <c r="M52" s="433">
        <f>SUMIF(상해_PL!$A:$A,PL!H52,상해_PL!$K:$K)</f>
        <v>0</v>
      </c>
      <c r="N52" s="433">
        <f>SUMIF(SG_PL!$A:$A,PL!H52,SG_PL!$K:$K)</f>
        <v>0</v>
      </c>
      <c r="O52" s="433"/>
      <c r="P52" s="457">
        <f t="shared" si="41"/>
        <v>4711948</v>
      </c>
      <c r="Q52" s="458">
        <f>SUMIF(RIC!$D:$D,PL!H52,RIC!F:F)</f>
        <v>0</v>
      </c>
      <c r="R52" s="459">
        <f>SUMIF(RIC!G:G,PL!H52,RIC!I:I)</f>
        <v>0</v>
      </c>
      <c r="S52" s="460">
        <f t="shared" si="42"/>
        <v>4711948</v>
      </c>
      <c r="T52" s="461">
        <f>SUMIF(RIT!H:H,PL!H52,RIT!J:J)</f>
        <v>0</v>
      </c>
      <c r="U52" s="462">
        <f>SUMIF(RIT!K:K,PL!H52,RIT!M:M)</f>
        <v>0</v>
      </c>
      <c r="V52" s="460">
        <f t="shared" si="43"/>
        <v>4711948</v>
      </c>
      <c r="W52" s="739">
        <f>SUMIF(지분법및기타!$D:$D,PL!H52,지분법및기타!$F:$F)</f>
        <v>0</v>
      </c>
      <c r="X52" s="739">
        <f>SUMIF(지분법및기타!$G:$G,PL!H52,지분법및기타!$I:$I)</f>
        <v>0</v>
      </c>
      <c r="Y52" s="744">
        <f t="shared" si="44"/>
        <v>4711948</v>
      </c>
      <c r="Z52" s="645"/>
      <c r="AA52" s="645"/>
      <c r="AB52" s="463" t="s">
        <v>85</v>
      </c>
      <c r="AC52" s="463" t="s">
        <v>515</v>
      </c>
      <c r="AD52" s="418" t="s">
        <v>88</v>
      </c>
      <c r="AF52" s="1166">
        <f t="shared" si="40"/>
        <v>0</v>
      </c>
    </row>
    <row r="53" spans="1:32" ht="17.25" thickBot="1">
      <c r="A53" s="747"/>
      <c r="B53" s="426"/>
      <c r="C53" s="427"/>
      <c r="D53" s="428"/>
      <c r="E53" s="429"/>
      <c r="F53" s="430" t="s">
        <v>1389</v>
      </c>
      <c r="G53" s="431"/>
      <c r="H53" s="493">
        <v>81600</v>
      </c>
      <c r="I53" s="433">
        <f>SUMIF(별도정산표!$G:$G,PL!H53,별도정산표!$E:$E)</f>
        <v>3879022</v>
      </c>
      <c r="J53" s="433">
        <f>SUMIF(울트라팜_FS!$H:$H,PL!H53,울트라팜_FS!$J:$J)</f>
        <v>0</v>
      </c>
      <c r="K53" s="433">
        <f>SUMIF(HK_PL!$A:$A,PL!H53,HK_PL!$K:$K)</f>
        <v>0</v>
      </c>
      <c r="L53" s="433">
        <f>SUMIF(DHK_PL!$A:$A,PL!H53,DHK_PL!$K:$K)</f>
        <v>0</v>
      </c>
      <c r="M53" s="433">
        <f>SUMIF(상해_PL!$A:$A,PL!H53,상해_PL!$K:$K)</f>
        <v>0</v>
      </c>
      <c r="N53" s="433">
        <f>SUMIF(SG_PL!$A:$A,PL!H53,SG_PL!$K:$K)</f>
        <v>0</v>
      </c>
      <c r="O53" s="433"/>
      <c r="P53" s="457">
        <f t="shared" ref="P53" si="50">SUM(I53:O53)</f>
        <v>3879022</v>
      </c>
      <c r="Q53" s="458">
        <f>SUMIF(RIC!$D:$D,PL!H53,RIC!F:F)</f>
        <v>0</v>
      </c>
      <c r="R53" s="459">
        <f>SUMIF(RIC!G:G,PL!H53,RIC!I:I)</f>
        <v>0</v>
      </c>
      <c r="S53" s="460">
        <f t="shared" ref="S53" si="51">P53+Q53-R53</f>
        <v>3879022</v>
      </c>
      <c r="T53" s="461">
        <f>SUMIF(RIT!H:H,PL!H53,RIT!J:J)</f>
        <v>0</v>
      </c>
      <c r="U53" s="462">
        <f>SUMIF(RIT!K:K,PL!H53,RIT!M:M)</f>
        <v>0</v>
      </c>
      <c r="V53" s="460">
        <f t="shared" si="43"/>
        <v>3879022</v>
      </c>
      <c r="W53" s="739">
        <f>SUMIF(지분법및기타!$D:$D,PL!H53,지분법및기타!$F:$F)</f>
        <v>0</v>
      </c>
      <c r="X53" s="739">
        <f>SUMIF(지분법및기타!$G:$G,PL!H53,지분법및기타!$I:$I)</f>
        <v>0</v>
      </c>
      <c r="Y53" s="744">
        <f t="shared" si="44"/>
        <v>3879022</v>
      </c>
      <c r="Z53" s="645"/>
      <c r="AA53" s="645"/>
      <c r="AB53" s="463" t="s">
        <v>85</v>
      </c>
      <c r="AC53" s="463" t="s">
        <v>731</v>
      </c>
      <c r="AD53" s="418" t="s">
        <v>88</v>
      </c>
      <c r="AF53" s="1166">
        <f t="shared" si="40"/>
        <v>0</v>
      </c>
    </row>
    <row r="54" spans="1:32" ht="17.25" thickBot="1">
      <c r="A54" s="747"/>
      <c r="B54" s="426">
        <v>4</v>
      </c>
      <c r="C54" s="427"/>
      <c r="D54" s="428"/>
      <c r="E54" s="429"/>
      <c r="F54" s="430" t="s">
        <v>733</v>
      </c>
      <c r="G54" s="431"/>
      <c r="H54" s="493" t="s">
        <v>762</v>
      </c>
      <c r="I54" s="433">
        <f>SUMIF(별도정산표!$G:$G,PL!H54,별도정산표!$E:$E)</f>
        <v>8506220</v>
      </c>
      <c r="J54" s="433">
        <f>SUMIF(울트라팜_FS!$H:$H,PL!H54,울트라팜_FS!$J:$J)</f>
        <v>0</v>
      </c>
      <c r="K54" s="433">
        <f>SUMIF(HK_PL!$A:$A,PL!H54,HK_PL!$K:$K)</f>
        <v>0</v>
      </c>
      <c r="L54" s="433">
        <f>SUMIF(DHK_PL!$A:$A,PL!H54,DHK_PL!$K:$K)</f>
        <v>0</v>
      </c>
      <c r="M54" s="433">
        <f>SUMIF(상해_PL!$A:$A,PL!H54,상해_PL!$K:$K)</f>
        <v>3829</v>
      </c>
      <c r="N54" s="433">
        <f>SUMIF(SG_PL!$A:$A,PL!H54,SG_PL!$K:$K)</f>
        <v>0</v>
      </c>
      <c r="O54" s="433"/>
      <c r="P54" s="457">
        <f t="shared" si="41"/>
        <v>8510049</v>
      </c>
      <c r="Q54" s="458">
        <f>SUMIF(RIC!$D:$D,PL!H54,RIC!F:F)</f>
        <v>0</v>
      </c>
      <c r="R54" s="459">
        <f>SUMIF(RIC!G:G,PL!H54,RIC!I:I)</f>
        <v>0</v>
      </c>
      <c r="S54" s="460">
        <f t="shared" si="42"/>
        <v>8510049</v>
      </c>
      <c r="T54" s="461">
        <f>SUMIF(RIT!H:H,PL!H54,RIT!J:J)</f>
        <v>0</v>
      </c>
      <c r="U54" s="462">
        <f>SUMIF(RIT!K:K,PL!H54,RIT!M:M)</f>
        <v>0</v>
      </c>
      <c r="V54" s="460">
        <f t="shared" si="43"/>
        <v>8510049</v>
      </c>
      <c r="W54" s="739">
        <f>SUMIF(지분법및기타!$D:$D,PL!H54,지분법및기타!$F:$F)</f>
        <v>0</v>
      </c>
      <c r="X54" s="739">
        <f>SUMIF(지분법및기타!$G:$G,PL!H54,지분법및기타!$I:$I)</f>
        <v>0</v>
      </c>
      <c r="Y54" s="744">
        <f t="shared" si="44"/>
        <v>8510049</v>
      </c>
      <c r="Z54" s="645"/>
      <c r="AA54" s="645"/>
      <c r="AB54" s="463" t="s">
        <v>85</v>
      </c>
      <c r="AC54" s="463" t="s">
        <v>733</v>
      </c>
      <c r="AD54" s="418" t="s">
        <v>88</v>
      </c>
      <c r="AF54" s="1166">
        <f t="shared" si="40"/>
        <v>0</v>
      </c>
    </row>
    <row r="55" spans="1:32" ht="17.25" thickBot="1">
      <c r="A55" s="747"/>
      <c r="B55" s="426">
        <v>4</v>
      </c>
      <c r="C55" s="427"/>
      <c r="D55" s="428"/>
      <c r="E55" s="429"/>
      <c r="F55" s="430" t="s">
        <v>176</v>
      </c>
      <c r="G55" s="431"/>
      <c r="H55" s="493" t="s">
        <v>763</v>
      </c>
      <c r="I55" s="433">
        <f>SUMIF(별도정산표!$G:$G,PL!H55,별도정산표!$E:$E)</f>
        <v>119880341</v>
      </c>
      <c r="J55" s="433">
        <f>SUMIF(울트라팜_FS!$H:$H,PL!H55,울트라팜_FS!$J:$J)</f>
        <v>0</v>
      </c>
      <c r="K55" s="433">
        <f>SUMIF(HK_PL!$A:$A,PL!H55,HK_PL!$K:$K)</f>
        <v>4176323</v>
      </c>
      <c r="L55" s="433">
        <f>SUMIF(DHK_PL!$A:$A,PL!H55,DHK_PL!$K:$K)</f>
        <v>56277298</v>
      </c>
      <c r="M55" s="433">
        <f>SUMIF(상해_PL!$A:$A,PL!H55,상해_PL!$K:$K)</f>
        <v>0</v>
      </c>
      <c r="N55" s="433">
        <f>SUMIF(SG_PL!$A:$A,PL!H55,SG_PL!$K:$K)</f>
        <v>0</v>
      </c>
      <c r="O55" s="433"/>
      <c r="P55" s="457">
        <f t="shared" si="41"/>
        <v>180333962</v>
      </c>
      <c r="Q55" s="458">
        <f>SUMIF(RIC!$D:$D,PL!H55,RIC!F:F)</f>
        <v>0</v>
      </c>
      <c r="R55" s="459">
        <f>SUMIF(RIC!G:G,PL!H55,RIC!I:I)</f>
        <v>0</v>
      </c>
      <c r="S55" s="460">
        <f t="shared" si="42"/>
        <v>180333962</v>
      </c>
      <c r="T55" s="461">
        <f>SUMIF(RIT!H:H,PL!H55,RIT!J:J)</f>
        <v>1038187</v>
      </c>
      <c r="U55" s="462">
        <f>SUMIF(RIT!K:K,PL!H55,RIT!M:M)</f>
        <v>0</v>
      </c>
      <c r="V55" s="460">
        <f t="shared" si="43"/>
        <v>181372149</v>
      </c>
      <c r="W55" s="739">
        <f>SUMIF(지분법및기타!$D:$D,PL!H55,지분법및기타!$F:$F)</f>
        <v>0</v>
      </c>
      <c r="X55" s="739">
        <f>SUMIF(지분법및기타!$G:$G,PL!H55,지분법및기타!$I:$I)</f>
        <v>0</v>
      </c>
      <c r="Y55" s="744">
        <f t="shared" si="44"/>
        <v>181372149</v>
      </c>
      <c r="Z55" s="645"/>
      <c r="AA55" s="645"/>
      <c r="AB55" s="463" t="s">
        <v>85</v>
      </c>
      <c r="AC55" s="463" t="s">
        <v>176</v>
      </c>
      <c r="AD55" s="418" t="s">
        <v>2086</v>
      </c>
      <c r="AF55" s="1166">
        <f t="shared" si="40"/>
        <v>1038187</v>
      </c>
    </row>
    <row r="56" spans="1:32" ht="17.25" thickBot="1">
      <c r="A56" s="747"/>
      <c r="B56" s="426">
        <v>4</v>
      </c>
      <c r="C56" s="427"/>
      <c r="D56" s="428"/>
      <c r="E56" s="429"/>
      <c r="F56" s="430" t="s">
        <v>394</v>
      </c>
      <c r="G56" s="431"/>
      <c r="H56" s="493" t="s">
        <v>764</v>
      </c>
      <c r="I56" s="433">
        <f>SUMIF(별도정산표!$G:$G,PL!H56,별도정산표!$E:$E)</f>
        <v>508414</v>
      </c>
      <c r="J56" s="433">
        <f>SUMIF(울트라팜_FS!$H:$H,PL!H56,울트라팜_FS!$J:$J)</f>
        <v>0</v>
      </c>
      <c r="K56" s="433">
        <f>SUMIF(HK_PL!$A:$A,PL!H56,HK_PL!$K:$K)</f>
        <v>29164967</v>
      </c>
      <c r="L56" s="433">
        <f>SUMIF(DHK_PL!$A:$A,PL!H56,DHK_PL!$K:$K)</f>
        <v>59897852</v>
      </c>
      <c r="M56" s="433">
        <f>SUMIF(상해_PL!$A:$A,PL!H56,상해_PL!$K:$K)</f>
        <v>0</v>
      </c>
      <c r="N56" s="433">
        <f>SUMIF(SG_PL!$A:$A,PL!H56,SG_PL!$K:$K)</f>
        <v>0</v>
      </c>
      <c r="O56" s="433"/>
      <c r="P56" s="457">
        <f t="shared" si="41"/>
        <v>89571233</v>
      </c>
      <c r="Q56" s="458">
        <f>SUMIF(RIC!$D:$D,PL!H56,RIC!F:F)</f>
        <v>0</v>
      </c>
      <c r="R56" s="459">
        <f>SUMIF(RIC!G:G,PL!H56,RIC!I:I)</f>
        <v>0</v>
      </c>
      <c r="S56" s="460">
        <f t="shared" si="42"/>
        <v>89571233</v>
      </c>
      <c r="T56" s="461">
        <f>SUMIF(RIT!H:H,PL!H56,RIT!J:J)</f>
        <v>0</v>
      </c>
      <c r="U56" s="462">
        <f>SUMIF(RIT!K:K,PL!H56,RIT!M:M)</f>
        <v>0</v>
      </c>
      <c r="V56" s="460">
        <f t="shared" si="43"/>
        <v>89571233</v>
      </c>
      <c r="W56" s="739">
        <f>SUMIF(지분법및기타!$D:$D,PL!H56,지분법및기타!$F:$F)</f>
        <v>0</v>
      </c>
      <c r="X56" s="739">
        <f>SUMIF(지분법및기타!$G:$G,PL!H56,지분법및기타!$I:$I)</f>
        <v>0</v>
      </c>
      <c r="Y56" s="744">
        <f t="shared" si="44"/>
        <v>89571233</v>
      </c>
      <c r="Z56" s="645"/>
      <c r="AA56" s="645"/>
      <c r="AB56" s="463" t="s">
        <v>85</v>
      </c>
      <c r="AC56" s="463" t="s">
        <v>394</v>
      </c>
      <c r="AD56" s="418" t="s">
        <v>88</v>
      </c>
      <c r="AF56" s="1166">
        <f t="shared" si="40"/>
        <v>0</v>
      </c>
    </row>
    <row r="57" spans="1:32" ht="17.25" thickBot="1">
      <c r="A57" s="747"/>
      <c r="B57" s="426">
        <v>4</v>
      </c>
      <c r="C57" s="427"/>
      <c r="D57" s="428"/>
      <c r="E57" s="429"/>
      <c r="F57" s="430" t="s">
        <v>390</v>
      </c>
      <c r="G57" s="431"/>
      <c r="H57" s="493" t="s">
        <v>765</v>
      </c>
      <c r="I57" s="433">
        <f>SUMIF(별도정산표!$G:$G,PL!H57,별도정산표!$E:$E)</f>
        <v>1111000</v>
      </c>
      <c r="J57" s="433">
        <f>SUMIF(울트라팜_FS!$H:$H,PL!H57,울트라팜_FS!$J:$J)</f>
        <v>0</v>
      </c>
      <c r="K57" s="433">
        <f>SUMIF(HK_PL!$A:$A,PL!H57,HK_PL!$K:$K)</f>
        <v>94830</v>
      </c>
      <c r="L57" s="433">
        <f>SUMIF(DHK_PL!$A:$A,PL!H57,DHK_PL!$K:$K)</f>
        <v>921748</v>
      </c>
      <c r="M57" s="433">
        <f>SUMIF(상해_PL!$A:$A,PL!H57,상해_PL!$K:$K)</f>
        <v>0</v>
      </c>
      <c r="N57" s="433">
        <f>SUMIF(SG_PL!$A:$A,PL!H57,SG_PL!$K:$K)</f>
        <v>0</v>
      </c>
      <c r="O57" s="433"/>
      <c r="P57" s="457">
        <f t="shared" si="41"/>
        <v>2127578</v>
      </c>
      <c r="Q57" s="458">
        <f>SUMIF(RIC!$D:$D,PL!H57,RIC!F:F)</f>
        <v>0</v>
      </c>
      <c r="R57" s="459">
        <f>SUMIF(RIC!G:G,PL!H57,RIC!I:I)</f>
        <v>0</v>
      </c>
      <c r="S57" s="460">
        <f t="shared" si="42"/>
        <v>2127578</v>
      </c>
      <c r="T57" s="461">
        <f>SUMIF(RIT!H:H,PL!H57,RIT!J:J)</f>
        <v>0</v>
      </c>
      <c r="U57" s="462">
        <f>SUMIF(RIT!K:K,PL!H57,RIT!M:M)</f>
        <v>0</v>
      </c>
      <c r="V57" s="460">
        <f t="shared" si="43"/>
        <v>2127578</v>
      </c>
      <c r="W57" s="739">
        <f>SUMIF(지분법및기타!$D:$D,PL!H57,지분법및기타!$F:$F)</f>
        <v>0</v>
      </c>
      <c r="X57" s="739">
        <f>SUMIF(지분법및기타!$G:$G,PL!H57,지분법및기타!$I:$I)</f>
        <v>0</v>
      </c>
      <c r="Y57" s="744">
        <f t="shared" si="44"/>
        <v>2127578</v>
      </c>
      <c r="Z57" s="645"/>
      <c r="AA57" s="645"/>
      <c r="AB57" s="463" t="s">
        <v>85</v>
      </c>
      <c r="AC57" s="463" t="s">
        <v>390</v>
      </c>
      <c r="AD57" s="418" t="s">
        <v>88</v>
      </c>
      <c r="AF57" s="1166">
        <f t="shared" si="40"/>
        <v>0</v>
      </c>
    </row>
    <row r="58" spans="1:32" ht="17.25" thickBot="1">
      <c r="A58" s="747"/>
      <c r="B58" s="426">
        <v>4</v>
      </c>
      <c r="C58" s="427"/>
      <c r="D58" s="428"/>
      <c r="E58" s="429"/>
      <c r="F58" s="430" t="s">
        <v>510</v>
      </c>
      <c r="G58" s="431"/>
      <c r="H58" s="493" t="s">
        <v>766</v>
      </c>
      <c r="I58" s="433">
        <f>SUMIF(별도정산표!$G:$G,PL!H58,별도정산표!$E:$E)</f>
        <v>3257116</v>
      </c>
      <c r="J58" s="433">
        <f>SUMIF(울트라팜_FS!$H:$H,PL!H58,울트라팜_FS!$J:$J)</f>
        <v>0</v>
      </c>
      <c r="K58" s="433">
        <f>SUMIF(HK_PL!$A:$A,PL!H58,HK_PL!$K:$K)</f>
        <v>1176336</v>
      </c>
      <c r="L58" s="433">
        <f>SUMIF(DHK_PL!$A:$A,PL!H58,DHK_PL!$K:$K)</f>
        <v>64833</v>
      </c>
      <c r="M58" s="433">
        <f>SUMIF(상해_PL!$A:$A,PL!H58,상해_PL!$K:$K)</f>
        <v>0</v>
      </c>
      <c r="N58" s="433">
        <f>SUMIF(SG_PL!$A:$A,PL!H58,SG_PL!$K:$K)</f>
        <v>0</v>
      </c>
      <c r="O58" s="433"/>
      <c r="P58" s="457">
        <f t="shared" si="41"/>
        <v>4498285</v>
      </c>
      <c r="Q58" s="458">
        <f>SUMIF(RIC!$D:$D,PL!H58,RIC!F:F)</f>
        <v>0</v>
      </c>
      <c r="R58" s="459">
        <f>SUMIF(RIC!G:G,PL!H58,RIC!I:I)</f>
        <v>0</v>
      </c>
      <c r="S58" s="460">
        <f t="shared" si="42"/>
        <v>4498285</v>
      </c>
      <c r="T58" s="461">
        <f>SUMIF(RIT!H:H,PL!H58,RIT!J:J)</f>
        <v>0</v>
      </c>
      <c r="U58" s="462">
        <f>SUMIF(RIT!K:K,PL!H58,RIT!M:M)</f>
        <v>0</v>
      </c>
      <c r="V58" s="460">
        <f t="shared" si="43"/>
        <v>4498285</v>
      </c>
      <c r="W58" s="739">
        <f>SUMIF(지분법및기타!$D:$D,PL!H58,지분법및기타!$F:$F)</f>
        <v>0</v>
      </c>
      <c r="X58" s="739">
        <f>SUMIF(지분법및기타!$G:$G,PL!H58,지분법및기타!$I:$I)</f>
        <v>0</v>
      </c>
      <c r="Y58" s="744">
        <f t="shared" si="44"/>
        <v>4498285</v>
      </c>
      <c r="Z58" s="645"/>
      <c r="AA58" s="645"/>
      <c r="AB58" s="463" t="s">
        <v>85</v>
      </c>
      <c r="AC58" s="463" t="s">
        <v>510</v>
      </c>
      <c r="AD58" s="418" t="s">
        <v>88</v>
      </c>
      <c r="AF58" s="1166">
        <f t="shared" si="40"/>
        <v>0</v>
      </c>
    </row>
    <row r="59" spans="1:32" ht="17.25" thickBot="1">
      <c r="A59" s="747"/>
      <c r="B59" s="426">
        <v>4</v>
      </c>
      <c r="C59" s="427"/>
      <c r="D59" s="428"/>
      <c r="E59" s="429"/>
      <c r="F59" s="430" t="s">
        <v>512</v>
      </c>
      <c r="G59" s="431"/>
      <c r="H59" s="493" t="s">
        <v>767</v>
      </c>
      <c r="I59" s="433">
        <f>SUMIF(별도정산표!$G:$G,PL!H59,별도정산표!$E:$E)</f>
        <v>720800</v>
      </c>
      <c r="J59" s="433">
        <f>SUMIF(울트라팜_FS!$H:$H,PL!H59,울트라팜_FS!$J:$J)</f>
        <v>0</v>
      </c>
      <c r="K59" s="433">
        <f>SUMIF(HK_PL!$A:$A,PL!H59,HK_PL!$K:$K)</f>
        <v>0</v>
      </c>
      <c r="L59" s="433">
        <f>SUMIF(DHK_PL!$A:$A,PL!H59,DHK_PL!$K:$K)</f>
        <v>0</v>
      </c>
      <c r="M59" s="433">
        <f>SUMIF(상해_PL!$A:$A,PL!H59,상해_PL!$K:$K)</f>
        <v>0</v>
      </c>
      <c r="N59" s="433">
        <f>SUMIF(SG_PL!$A:$A,PL!H59,SG_PL!$K:$K)</f>
        <v>0</v>
      </c>
      <c r="O59" s="433"/>
      <c r="P59" s="457">
        <f t="shared" si="41"/>
        <v>720800</v>
      </c>
      <c r="Q59" s="458">
        <f>SUMIF(RIC!$D:$D,PL!H59,RIC!F:F)</f>
        <v>0</v>
      </c>
      <c r="R59" s="459">
        <f>SUMIF(RIC!G:G,PL!H59,RIC!I:I)</f>
        <v>0</v>
      </c>
      <c r="S59" s="460">
        <f t="shared" si="42"/>
        <v>720800</v>
      </c>
      <c r="T59" s="461">
        <f>SUMIF(RIT!H:H,PL!H59,RIT!J:J)</f>
        <v>0</v>
      </c>
      <c r="U59" s="462">
        <f>SUMIF(RIT!K:K,PL!H59,RIT!M:M)</f>
        <v>0</v>
      </c>
      <c r="V59" s="460">
        <f t="shared" si="43"/>
        <v>720800</v>
      </c>
      <c r="W59" s="739">
        <f>SUMIF(지분법및기타!$D:$D,PL!H59,지분법및기타!$F:$F)</f>
        <v>0</v>
      </c>
      <c r="X59" s="739">
        <f>SUMIF(지분법및기타!$G:$G,PL!H59,지분법및기타!$I:$I)</f>
        <v>0</v>
      </c>
      <c r="Y59" s="744">
        <f t="shared" si="44"/>
        <v>720800</v>
      </c>
      <c r="Z59" s="645"/>
      <c r="AA59" s="645"/>
      <c r="AB59" s="463" t="s">
        <v>85</v>
      </c>
      <c r="AC59" s="463" t="s">
        <v>512</v>
      </c>
      <c r="AD59" s="418" t="s">
        <v>88</v>
      </c>
      <c r="AF59" s="1166">
        <f t="shared" si="40"/>
        <v>0</v>
      </c>
    </row>
    <row r="60" spans="1:32" ht="17.25" thickBot="1">
      <c r="A60" s="747"/>
      <c r="B60" s="426">
        <v>4</v>
      </c>
      <c r="C60" s="427"/>
      <c r="D60" s="428"/>
      <c r="E60" s="429"/>
      <c r="F60" s="430" t="s">
        <v>396</v>
      </c>
      <c r="G60" s="431"/>
      <c r="H60" s="493" t="s">
        <v>768</v>
      </c>
      <c r="I60" s="433">
        <f>SUMIF(별도정산표!$G:$G,PL!H60,별도정산표!$E:$E)</f>
        <v>364625079</v>
      </c>
      <c r="J60" s="433">
        <f>SUMIF(울트라팜_FS!$H:$H,PL!H60,울트라팜_FS!$J:$J)</f>
        <v>0</v>
      </c>
      <c r="K60" s="433">
        <f>SUMIF(HK_PL!$A:$A,PL!H60,HK_PL!$K:$K)</f>
        <v>0</v>
      </c>
      <c r="L60" s="433">
        <f>SUMIF(DHK_PL!$A:$A,PL!H60,DHK_PL!$K:$K)</f>
        <v>0</v>
      </c>
      <c r="M60" s="433">
        <f>SUMIF(상해_PL!$A:$A,PL!H60,상해_PL!$K:$K)</f>
        <v>0</v>
      </c>
      <c r="N60" s="433">
        <f>SUMIF(SG_PL!$A:$A,PL!H60,SG_PL!$K:$K)</f>
        <v>0</v>
      </c>
      <c r="O60" s="433"/>
      <c r="P60" s="457">
        <f t="shared" si="41"/>
        <v>364625079</v>
      </c>
      <c r="Q60" s="458">
        <f>SUMIF(RIC!$D:$D,PL!H60,RIC!F:F)</f>
        <v>0</v>
      </c>
      <c r="R60" s="459">
        <f>SUMIF(RIC!G:G,PL!H60,RIC!I:I)</f>
        <v>0</v>
      </c>
      <c r="S60" s="460">
        <f t="shared" si="42"/>
        <v>364625079</v>
      </c>
      <c r="T60" s="461">
        <f>SUMIF(RIT!H:H,PL!H60,RIT!J:J)</f>
        <v>0</v>
      </c>
      <c r="U60" s="462">
        <f>SUMIF(RIT!K:K,PL!H60,RIT!M:M)</f>
        <v>0</v>
      </c>
      <c r="V60" s="460">
        <f t="shared" si="43"/>
        <v>364625079</v>
      </c>
      <c r="W60" s="739">
        <f>SUMIF(지분법및기타!$D:$D,PL!H60,지분법및기타!$F:$F)</f>
        <v>0</v>
      </c>
      <c r="X60" s="739">
        <f>SUMIF(지분법및기타!$G:$G,PL!H60,지분법및기타!$I:$I)</f>
        <v>0</v>
      </c>
      <c r="Y60" s="744">
        <f t="shared" si="44"/>
        <v>364625079</v>
      </c>
      <c r="Z60" s="645"/>
      <c r="AA60" s="645"/>
      <c r="AB60" s="463" t="s">
        <v>85</v>
      </c>
      <c r="AC60" s="463" t="s">
        <v>396</v>
      </c>
      <c r="AD60" s="418" t="s">
        <v>88</v>
      </c>
      <c r="AF60" s="1166">
        <f t="shared" si="40"/>
        <v>0</v>
      </c>
    </row>
    <row r="61" spans="1:32" ht="17.25" thickBot="1">
      <c r="A61" s="747"/>
      <c r="B61" s="426">
        <v>4</v>
      </c>
      <c r="C61" s="427"/>
      <c r="D61" s="428"/>
      <c r="E61" s="429"/>
      <c r="F61" s="430" t="s">
        <v>388</v>
      </c>
      <c r="G61" s="431"/>
      <c r="H61" s="493" t="s">
        <v>769</v>
      </c>
      <c r="I61" s="433">
        <f>SUMIF(별도정산표!$G:$G,PL!H61,별도정산표!$E:$E)</f>
        <v>9018081</v>
      </c>
      <c r="J61" s="433">
        <f>SUMIF(울트라팜_FS!$H:$H,PL!H61,울트라팜_FS!$J:$J)</f>
        <v>0</v>
      </c>
      <c r="K61" s="433">
        <f>SUMIF(HK_PL!$A:$A,PL!H61,HK_PL!$K:$K)</f>
        <v>0</v>
      </c>
      <c r="L61" s="433">
        <f>SUMIF(DHK_PL!$A:$A,PL!H61,DHK_PL!$K:$K)</f>
        <v>0</v>
      </c>
      <c r="M61" s="433">
        <f>SUMIF(상해_PL!$A:$A,PL!H61,상해_PL!$K:$K)</f>
        <v>0</v>
      </c>
      <c r="N61" s="433">
        <f>SUMIF(SG_PL!$A:$A,PL!H61,SG_PL!$K:$K)</f>
        <v>0</v>
      </c>
      <c r="O61" s="433"/>
      <c r="P61" s="457">
        <f t="shared" si="41"/>
        <v>9018081</v>
      </c>
      <c r="Q61" s="458">
        <f>SUMIF(RIC!$D:$D,PL!H61,RIC!F:F)</f>
        <v>0</v>
      </c>
      <c r="R61" s="459">
        <f>SUMIF(RIC!G:G,PL!H61,RIC!I:I)</f>
        <v>0</v>
      </c>
      <c r="S61" s="460">
        <f t="shared" si="42"/>
        <v>9018081</v>
      </c>
      <c r="T61" s="461">
        <f>SUMIF(RIT!H:H,PL!H61,RIT!J:J)</f>
        <v>0</v>
      </c>
      <c r="U61" s="462">
        <f>SUMIF(RIT!K:K,PL!H61,RIT!M:M)</f>
        <v>0</v>
      </c>
      <c r="V61" s="460">
        <f t="shared" si="43"/>
        <v>9018081</v>
      </c>
      <c r="W61" s="739">
        <f>SUMIF(지분법및기타!$D:$D,PL!H61,지분법및기타!$F:$F)</f>
        <v>0</v>
      </c>
      <c r="X61" s="739">
        <f>SUMIF(지분법및기타!$G:$G,PL!H61,지분법및기타!$I:$I)</f>
        <v>0</v>
      </c>
      <c r="Y61" s="744">
        <f t="shared" si="44"/>
        <v>9018081</v>
      </c>
      <c r="Z61" s="645"/>
      <c r="AA61" s="645"/>
      <c r="AB61" s="463" t="s">
        <v>85</v>
      </c>
      <c r="AC61" s="463" t="s">
        <v>388</v>
      </c>
      <c r="AD61" s="418" t="s">
        <v>388</v>
      </c>
      <c r="AF61" s="1166">
        <f t="shared" si="40"/>
        <v>0</v>
      </c>
    </row>
    <row r="62" spans="1:32" ht="17.25" thickBot="1">
      <c r="A62" s="747"/>
      <c r="B62" s="426">
        <v>4</v>
      </c>
      <c r="C62" s="427"/>
      <c r="D62" s="428"/>
      <c r="E62" s="429"/>
      <c r="F62" s="430" t="s">
        <v>514</v>
      </c>
      <c r="G62" s="431"/>
      <c r="H62" s="493" t="s">
        <v>770</v>
      </c>
      <c r="I62" s="433">
        <f>SUMIF(별도정산표!$G:$G,PL!H62,별도정산표!$E:$E)</f>
        <v>1066181</v>
      </c>
      <c r="J62" s="433">
        <f>SUMIF(울트라팜_FS!$H:$H,PL!H62,울트라팜_FS!$J:$J)</f>
        <v>0</v>
      </c>
      <c r="K62" s="433">
        <f>SUMIF(HK_PL!$A:$A,PL!H62,HK_PL!$K:$K)</f>
        <v>0</v>
      </c>
      <c r="L62" s="433">
        <f>SUMIF(DHK_PL!$A:$A,PL!H62,DHK_PL!$K:$K)</f>
        <v>0</v>
      </c>
      <c r="M62" s="433">
        <f>SUMIF(상해_PL!$A:$A,PL!H62,상해_PL!$K:$K)</f>
        <v>0</v>
      </c>
      <c r="N62" s="433">
        <f>SUMIF(SG_PL!$A:$A,PL!H62,SG_PL!$K:$K)</f>
        <v>0</v>
      </c>
      <c r="O62" s="433"/>
      <c r="P62" s="457">
        <f t="shared" si="41"/>
        <v>1066181</v>
      </c>
      <c r="Q62" s="458">
        <f>SUMIF(RIC!$D:$D,PL!H62,RIC!F:F)</f>
        <v>0</v>
      </c>
      <c r="R62" s="459">
        <f>SUMIF(RIC!G:G,PL!H62,RIC!I:I)</f>
        <v>0</v>
      </c>
      <c r="S62" s="460">
        <f t="shared" si="42"/>
        <v>1066181</v>
      </c>
      <c r="T62" s="461">
        <f>SUMIF(RIT!H:H,PL!H62,RIT!J:J)</f>
        <v>0</v>
      </c>
      <c r="U62" s="462">
        <f>SUMIF(RIT!K:K,PL!H62,RIT!M:M)</f>
        <v>0</v>
      </c>
      <c r="V62" s="460">
        <f t="shared" si="43"/>
        <v>1066181</v>
      </c>
      <c r="W62" s="739">
        <f>SUMIF(지분법및기타!$D:$D,PL!H62,지분법및기타!$F:$F)</f>
        <v>0</v>
      </c>
      <c r="X62" s="739">
        <f>SUMIF(지분법및기타!$G:$G,PL!H62,지분법및기타!$I:$I)</f>
        <v>0</v>
      </c>
      <c r="Y62" s="744">
        <f t="shared" si="44"/>
        <v>1066181</v>
      </c>
      <c r="Z62" s="645"/>
      <c r="AA62" s="645"/>
      <c r="AB62" s="463" t="s">
        <v>85</v>
      </c>
      <c r="AC62" s="463" t="s">
        <v>514</v>
      </c>
      <c r="AD62" s="418" t="s">
        <v>88</v>
      </c>
      <c r="AF62" s="1166">
        <f t="shared" si="40"/>
        <v>0</v>
      </c>
    </row>
    <row r="63" spans="1:32" ht="17.25" thickBot="1">
      <c r="A63" s="747"/>
      <c r="B63" s="426">
        <v>4</v>
      </c>
      <c r="C63" s="427"/>
      <c r="D63" s="428"/>
      <c r="E63" s="429"/>
      <c r="F63" s="430" t="s">
        <v>513</v>
      </c>
      <c r="G63" s="431"/>
      <c r="H63" s="493" t="s">
        <v>771</v>
      </c>
      <c r="I63" s="433">
        <f>SUMIF(별도정산표!$G:$G,PL!H63,별도정산표!$E:$E)</f>
        <v>4820923</v>
      </c>
      <c r="J63" s="433">
        <f>SUMIF(울트라팜_FS!$H:$H,PL!H63,울트라팜_FS!$J:$J)</f>
        <v>0</v>
      </c>
      <c r="K63" s="433">
        <f>SUMIF(HK_PL!$A:$A,PL!H63,HK_PL!$K:$K)</f>
        <v>0</v>
      </c>
      <c r="L63" s="433">
        <f>SUMIF(DHK_PL!$A:$A,PL!H63,DHK_PL!$K:$K)</f>
        <v>0</v>
      </c>
      <c r="M63" s="433">
        <f>SUMIF(상해_PL!$A:$A,PL!H63,상해_PL!$K:$K)</f>
        <v>0</v>
      </c>
      <c r="N63" s="433">
        <f>SUMIF(SG_PL!$A:$A,PL!H63,SG_PL!$K:$K)</f>
        <v>0</v>
      </c>
      <c r="O63" s="433"/>
      <c r="P63" s="457">
        <f t="shared" si="41"/>
        <v>4820923</v>
      </c>
      <c r="Q63" s="458">
        <f>SUMIF(RIC!$D:$D,PL!H63,RIC!F:F)</f>
        <v>0</v>
      </c>
      <c r="R63" s="459">
        <f>SUMIF(RIC!G:G,PL!H63,RIC!I:I)</f>
        <v>0</v>
      </c>
      <c r="S63" s="460">
        <f t="shared" si="42"/>
        <v>4820923</v>
      </c>
      <c r="T63" s="461">
        <f>SUMIF(RIT!H:H,PL!H63,RIT!J:J)</f>
        <v>0</v>
      </c>
      <c r="U63" s="462">
        <f>SUMIF(RIT!K:K,PL!H63,RIT!M:M)</f>
        <v>0</v>
      </c>
      <c r="V63" s="460">
        <f t="shared" si="43"/>
        <v>4820923</v>
      </c>
      <c r="W63" s="739">
        <f>SUMIF(지분법및기타!$D:$D,PL!H63,지분법및기타!$F:$F)</f>
        <v>0</v>
      </c>
      <c r="X63" s="739">
        <f>SUMIF(지분법및기타!$G:$G,PL!H63,지분법및기타!$I:$I)</f>
        <v>0</v>
      </c>
      <c r="Y63" s="744">
        <f t="shared" si="44"/>
        <v>4820923</v>
      </c>
      <c r="Z63" s="645"/>
      <c r="AA63" s="645"/>
      <c r="AB63" s="463" t="s">
        <v>85</v>
      </c>
      <c r="AC63" s="463" t="s">
        <v>513</v>
      </c>
      <c r="AD63" s="418" t="s">
        <v>88</v>
      </c>
      <c r="AF63" s="1166">
        <f t="shared" si="40"/>
        <v>0</v>
      </c>
    </row>
    <row r="64" spans="1:32" ht="17.25" thickBot="1">
      <c r="A64" s="747"/>
      <c r="B64" s="426">
        <v>4</v>
      </c>
      <c r="C64" s="427"/>
      <c r="D64" s="428"/>
      <c r="E64" s="429"/>
      <c r="F64" s="430" t="s">
        <v>773</v>
      </c>
      <c r="G64" s="431"/>
      <c r="H64" s="493" t="s">
        <v>772</v>
      </c>
      <c r="I64" s="433">
        <f>SUMIF(별도정산표!$G:$G,PL!H64,별도정산표!$E:$E)</f>
        <v>0</v>
      </c>
      <c r="J64" s="433">
        <f>SUMIF(울트라팜_FS!$H:$H,PL!H64,울트라팜_FS!$J:$J)</f>
        <v>0</v>
      </c>
      <c r="K64" s="433">
        <f>SUMIF(HK_PL!$A:$A,PL!H64,HK_PL!$K:$K)</f>
        <v>0</v>
      </c>
      <c r="L64" s="433">
        <f>SUMIF(DHK_PL!$A:$A,PL!H64,DHK_PL!$K:$K)</f>
        <v>0</v>
      </c>
      <c r="M64" s="433">
        <f>SUMIF(상해_PL!$A:$A,PL!H64,상해_PL!$K:$K)</f>
        <v>0</v>
      </c>
      <c r="N64" s="433">
        <f>SUMIF(SG_PL!$A:$A,PL!H64,SG_PL!$K:$K)</f>
        <v>0</v>
      </c>
      <c r="O64" s="433"/>
      <c r="P64" s="457">
        <f t="shared" si="41"/>
        <v>0</v>
      </c>
      <c r="Q64" s="458">
        <f>SUMIF(RIC!$D:$D,PL!H64,RIC!F:F)</f>
        <v>0</v>
      </c>
      <c r="R64" s="459">
        <f>SUMIF(RIC!G:G,PL!H64,RIC!I:I)</f>
        <v>0</v>
      </c>
      <c r="S64" s="460">
        <f t="shared" si="42"/>
        <v>0</v>
      </c>
      <c r="T64" s="461">
        <f>SUMIF(RIT!H:H,PL!H64,RIT!J:J)</f>
        <v>0</v>
      </c>
      <c r="U64" s="462">
        <f>SUMIF(RIT!K:K,PL!H64,RIT!M:M)</f>
        <v>0</v>
      </c>
      <c r="V64" s="460">
        <f t="shared" si="43"/>
        <v>0</v>
      </c>
      <c r="W64" s="739">
        <f>SUMIF(지분법및기타!$D:$D,PL!H64,지분법및기타!$F:$F)</f>
        <v>0</v>
      </c>
      <c r="X64" s="739">
        <f>SUMIF(지분법및기타!$G:$G,PL!H64,지분법및기타!$I:$I)</f>
        <v>0</v>
      </c>
      <c r="Y64" s="744">
        <f t="shared" si="44"/>
        <v>0</v>
      </c>
      <c r="Z64" s="645"/>
      <c r="AA64" s="645"/>
      <c r="AB64" s="463" t="s">
        <v>85</v>
      </c>
      <c r="AC64" s="463" t="s">
        <v>773</v>
      </c>
      <c r="AD64" s="418" t="s">
        <v>88</v>
      </c>
    </row>
    <row r="65" spans="1:32" ht="17.25" thickBot="1">
      <c r="A65" s="747"/>
      <c r="B65" s="426">
        <v>4</v>
      </c>
      <c r="C65" s="427"/>
      <c r="D65" s="428"/>
      <c r="E65" s="429"/>
      <c r="F65" s="430" t="s">
        <v>742</v>
      </c>
      <c r="G65" s="431"/>
      <c r="H65" s="493" t="s">
        <v>774</v>
      </c>
      <c r="I65" s="433">
        <f>SUMIF(별도정산표!$G:$G,PL!H65,별도정산표!$E:$E)</f>
        <v>236327</v>
      </c>
      <c r="J65" s="433">
        <f>SUMIF(울트라팜_FS!$H:$H,PL!H65,울트라팜_FS!$J:$J)</f>
        <v>0</v>
      </c>
      <c r="K65" s="433">
        <f>SUMIF(HK_PL!$A:$A,PL!H65,HK_PL!$K:$K)</f>
        <v>0</v>
      </c>
      <c r="L65" s="433">
        <f>SUMIF(DHK_PL!$A:$A,PL!H65,DHK_PL!$K:$K)</f>
        <v>0</v>
      </c>
      <c r="M65" s="433">
        <f>SUMIF(상해_PL!$A:$A,PL!H65,상해_PL!$K:$K)</f>
        <v>0</v>
      </c>
      <c r="N65" s="433">
        <f>SUMIF(SG_PL!$A:$A,PL!H65,SG_PL!$K:$K)</f>
        <v>0</v>
      </c>
      <c r="O65" s="433"/>
      <c r="P65" s="457">
        <f t="shared" si="41"/>
        <v>236327</v>
      </c>
      <c r="Q65" s="458">
        <f>SUMIF(RIC!$D:$D,PL!H65,RIC!F:F)</f>
        <v>0</v>
      </c>
      <c r="R65" s="459">
        <f>SUMIF(RIC!G:G,PL!H65,RIC!I:I)</f>
        <v>0</v>
      </c>
      <c r="S65" s="460">
        <f t="shared" si="42"/>
        <v>236327</v>
      </c>
      <c r="T65" s="461">
        <f>SUMIF(RIT!H:H,PL!H65,RIT!J:J)</f>
        <v>0</v>
      </c>
      <c r="U65" s="462">
        <f>SUMIF(RIT!K:K,PL!H65,RIT!M:M)</f>
        <v>0</v>
      </c>
      <c r="V65" s="460">
        <f t="shared" si="43"/>
        <v>236327</v>
      </c>
      <c r="W65" s="739">
        <f>SUMIF(지분법및기타!$D:$D,PL!H65,지분법및기타!$F:$F)</f>
        <v>0</v>
      </c>
      <c r="X65" s="739">
        <f>SUMIF(지분법및기타!$G:$G,PL!H65,지분법및기타!$I:$I)</f>
        <v>0</v>
      </c>
      <c r="Y65" s="744">
        <f t="shared" si="44"/>
        <v>236327</v>
      </c>
      <c r="Z65" s="645"/>
      <c r="AA65" s="645"/>
      <c r="AB65" s="463" t="s">
        <v>85</v>
      </c>
      <c r="AC65" s="463" t="s">
        <v>742</v>
      </c>
      <c r="AD65" s="418" t="s">
        <v>88</v>
      </c>
      <c r="AF65" s="1166">
        <f t="shared" ref="AF65:AF67" si="52">Y65-P65</f>
        <v>0</v>
      </c>
    </row>
    <row r="66" spans="1:32" ht="17.25" thickBot="1">
      <c r="A66" s="747"/>
      <c r="B66" s="426">
        <v>4</v>
      </c>
      <c r="C66" s="427"/>
      <c r="D66" s="428"/>
      <c r="E66" s="429"/>
      <c r="F66" s="430" t="s">
        <v>387</v>
      </c>
      <c r="G66" s="431"/>
      <c r="H66" s="493" t="s">
        <v>775</v>
      </c>
      <c r="I66" s="433">
        <f>SUMIF(별도정산표!$G:$G,PL!H66,별도정산표!$E:$E)</f>
        <v>19873909</v>
      </c>
      <c r="J66" s="433">
        <f>SUMIF(울트라팜_FS!$H:$H,PL!H66,울트라팜_FS!$J:$J)</f>
        <v>0</v>
      </c>
      <c r="K66" s="433">
        <f>SUMIF(HK_PL!$A:$A,PL!H66,HK_PL!$K:$K)</f>
        <v>2026331</v>
      </c>
      <c r="L66" s="433">
        <f>SUMIF(DHK_PL!$A:$A,PL!H66,DHK_PL!$K:$K)</f>
        <v>141297</v>
      </c>
      <c r="M66" s="433">
        <f>SUMIF(상해_PL!$A:$A,PL!H66,상해_PL!$K:$K)</f>
        <v>0</v>
      </c>
      <c r="N66" s="433">
        <f>SUMIF(SG_PL!$A:$A,PL!H66,SG_PL!$K:$K)</f>
        <v>0</v>
      </c>
      <c r="O66" s="433"/>
      <c r="P66" s="457">
        <f t="shared" si="41"/>
        <v>22041537</v>
      </c>
      <c r="Q66" s="458">
        <f>SUMIF(RIC!$D:$D,PL!H66,RIC!F:F)</f>
        <v>0</v>
      </c>
      <c r="R66" s="459">
        <f>SUMIF(RIC!G:G,PL!H66,RIC!I:I)</f>
        <v>0</v>
      </c>
      <c r="S66" s="460">
        <f t="shared" si="42"/>
        <v>22041537</v>
      </c>
      <c r="T66" s="461">
        <f>SUMIF(RIT!H:H,PL!H66,RIT!J:J)</f>
        <v>0</v>
      </c>
      <c r="U66" s="462">
        <f>SUMIF(RIT!K:K,PL!H66,RIT!M:M)</f>
        <v>0</v>
      </c>
      <c r="V66" s="460">
        <f t="shared" si="43"/>
        <v>22041537</v>
      </c>
      <c r="W66" s="739">
        <f>SUMIF(지분법및기타!$D:$D,PL!H66,지분법및기타!$F:$F)</f>
        <v>0</v>
      </c>
      <c r="X66" s="739">
        <f>SUMIF(지분법및기타!$G:$G,PL!H66,지분법및기타!$I:$I)</f>
        <v>0</v>
      </c>
      <c r="Y66" s="744">
        <f t="shared" si="44"/>
        <v>22041537</v>
      </c>
      <c r="Z66" s="645"/>
      <c r="AA66" s="645"/>
      <c r="AB66" s="463" t="s">
        <v>85</v>
      </c>
      <c r="AC66" s="463" t="s">
        <v>387</v>
      </c>
      <c r="AD66" s="418" t="s">
        <v>88</v>
      </c>
      <c r="AF66" s="1166">
        <f t="shared" si="52"/>
        <v>0</v>
      </c>
    </row>
    <row r="67" spans="1:32" ht="17.25" thickBot="1">
      <c r="A67" s="747"/>
      <c r="B67" s="426">
        <v>4</v>
      </c>
      <c r="C67" s="427"/>
      <c r="D67" s="428"/>
      <c r="E67" s="429"/>
      <c r="F67" s="430" t="s">
        <v>385</v>
      </c>
      <c r="G67" s="431"/>
      <c r="H67" s="493" t="s">
        <v>776</v>
      </c>
      <c r="I67" s="433">
        <f>SUMIF(별도정산표!$G:$G,PL!H67,별도정산표!$E:$E)</f>
        <v>1082143476</v>
      </c>
      <c r="J67" s="433">
        <f>SUMIF(울트라팜_FS!$H:$H,PL!H67,울트라팜_FS!$J:$J)</f>
        <v>0</v>
      </c>
      <c r="K67" s="433">
        <f>SUMIF(HK_PL!$A:$A,PL!H67,HK_PL!$K:$K)</f>
        <v>12437835</v>
      </c>
      <c r="L67" s="433">
        <f>SUMIF(DHK_PL!$A:$A,PL!H67,DHK_PL!$K:$K)</f>
        <v>11638076</v>
      </c>
      <c r="M67" s="433">
        <f>SUMIF(상해_PL!$A:$A,PL!H67,상해_PL!$K:$K)</f>
        <v>15615220</v>
      </c>
      <c r="N67" s="433">
        <f>SUMIF(SG_PL!$A:$A,PL!H67,SG_PL!$K:$K)</f>
        <v>8656005</v>
      </c>
      <c r="O67" s="433"/>
      <c r="P67" s="457">
        <f t="shared" si="41"/>
        <v>1130490612</v>
      </c>
      <c r="Q67" s="458">
        <f>SUMIF(RIC!$D:$D,PL!H67,RIC!F:F)</f>
        <v>0</v>
      </c>
      <c r="R67" s="459">
        <f>SUMIF(RIC!G:G,PL!H67,RIC!I:I)</f>
        <v>0</v>
      </c>
      <c r="S67" s="460">
        <f t="shared" si="42"/>
        <v>1130490612</v>
      </c>
      <c r="T67" s="461">
        <f>SUMIF(RIT!H:H,PL!H67,RIT!J:J)</f>
        <v>0</v>
      </c>
      <c r="U67" s="462">
        <f>SUMIF(RIT!K:K,PL!H67,RIT!M:M)</f>
        <v>0</v>
      </c>
      <c r="V67" s="460">
        <f t="shared" si="43"/>
        <v>1130490612</v>
      </c>
      <c r="W67" s="739">
        <f>SUMIF(지분법및기타!$D:$D,PL!H67,지분법및기타!$F:$F)</f>
        <v>0</v>
      </c>
      <c r="X67" s="739">
        <f>SUMIF(지분법및기타!$G:$G,PL!H67,지분법및기타!$I:$I)</f>
        <v>0</v>
      </c>
      <c r="Y67" s="744">
        <f t="shared" si="44"/>
        <v>1130490612</v>
      </c>
      <c r="Z67" s="645"/>
      <c r="AA67" s="645"/>
      <c r="AB67" s="463" t="s">
        <v>85</v>
      </c>
      <c r="AC67" s="463" t="s">
        <v>385</v>
      </c>
      <c r="AD67" s="418" t="s">
        <v>385</v>
      </c>
      <c r="AF67" s="1166">
        <f t="shared" si="52"/>
        <v>0</v>
      </c>
    </row>
    <row r="68" spans="1:32" ht="17.25" thickBot="1">
      <c r="A68" s="747"/>
      <c r="B68" s="426">
        <v>4</v>
      </c>
      <c r="C68" s="427"/>
      <c r="D68" s="428"/>
      <c r="E68" s="429"/>
      <c r="F68" s="430" t="s">
        <v>1533</v>
      </c>
      <c r="G68" s="431"/>
      <c r="H68" s="493" t="s">
        <v>1393</v>
      </c>
      <c r="I68" s="433">
        <f>SUMIF(별도정산표!$G:$G,PL!H68,별도정산표!$E:$E)</f>
        <v>0</v>
      </c>
      <c r="J68" s="433">
        <f>SUMIF(울트라팜_FS!$H:$H,PL!H68,울트라팜_FS!$J:$J)</f>
        <v>0</v>
      </c>
      <c r="K68" s="433">
        <f>SUMIF(HK_PL!$A:$A,PL!H68,HK_PL!$K:$K)</f>
        <v>0</v>
      </c>
      <c r="L68" s="433">
        <f>SUMIF(DHK_PL!$A:$A,PL!H68,DHK_PL!$K:$K)</f>
        <v>0</v>
      </c>
      <c r="M68" s="433">
        <f>SUMIF(상해_PL!$A:$A,PL!H68,상해_PL!$K:$K)</f>
        <v>0</v>
      </c>
      <c r="N68" s="433">
        <f>SUMIF(SG_PL!$A:$A,PL!H68,SG_PL!$K:$K)</f>
        <v>0</v>
      </c>
      <c r="O68" s="433"/>
      <c r="P68" s="457">
        <f t="shared" ref="P68" si="53">SUM(I68:O68)</f>
        <v>0</v>
      </c>
      <c r="Q68" s="458">
        <f>SUMIF(RIC!$D:$D,PL!H68,RIC!F:F)</f>
        <v>0</v>
      </c>
      <c r="R68" s="459">
        <f>SUMIF(RIC!G:G,PL!H68,RIC!I:I)</f>
        <v>0</v>
      </c>
      <c r="S68" s="460">
        <f t="shared" ref="S68" si="54">P68+Q68-R68</f>
        <v>0</v>
      </c>
      <c r="T68" s="461">
        <f>SUMIF(RIT!H:H,PL!H68,RIT!J:J)</f>
        <v>0</v>
      </c>
      <c r="U68" s="462">
        <f>SUMIF(RIT!K:K,PL!H68,RIT!M:M)</f>
        <v>0</v>
      </c>
      <c r="V68" s="460">
        <f t="shared" ref="V68" si="55">S68+T68-U68</f>
        <v>0</v>
      </c>
      <c r="W68" s="739">
        <f>SUMIF(지분법및기타!$D:$D,PL!H68,지분법및기타!$F:$F)</f>
        <v>0</v>
      </c>
      <c r="X68" s="739">
        <f>SUMIF(지분법및기타!$G:$G,PL!H68,지분법및기타!$I:$I)</f>
        <v>0</v>
      </c>
      <c r="Y68" s="744">
        <f t="shared" ref="Y68" si="56">V68+W68-X68</f>
        <v>0</v>
      </c>
      <c r="Z68" s="645"/>
      <c r="AA68" s="645"/>
      <c r="AB68" s="463" t="s">
        <v>85</v>
      </c>
      <c r="AC68" s="463" t="s">
        <v>520</v>
      </c>
      <c r="AD68" s="418" t="s">
        <v>88</v>
      </c>
    </row>
    <row r="69" spans="1:32" ht="17.25" thickBot="1">
      <c r="A69" s="747"/>
      <c r="B69" s="426">
        <v>4</v>
      </c>
      <c r="C69" s="427"/>
      <c r="D69" s="428"/>
      <c r="E69" s="429"/>
      <c r="F69" s="430" t="s">
        <v>386</v>
      </c>
      <c r="G69" s="431"/>
      <c r="H69" s="493" t="s">
        <v>777</v>
      </c>
      <c r="I69" s="433">
        <f>SUMIF(별도정산표!$G:$G,PL!H69,별도정산표!$E:$E)</f>
        <v>1875294553</v>
      </c>
      <c r="J69" s="433">
        <f>SUMIF(울트라팜_FS!$H:$H,PL!H69,울트라팜_FS!$J:$J)</f>
        <v>0</v>
      </c>
      <c r="K69" s="433">
        <f>SUMIF(HK_PL!$A:$A,PL!H69,HK_PL!$K:$K)</f>
        <v>20607318</v>
      </c>
      <c r="L69" s="433">
        <f>SUMIF(DHK_PL!$A:$A,PL!H69,DHK_PL!$K:$K)</f>
        <v>0</v>
      </c>
      <c r="M69" s="433">
        <f>SUMIF(상해_PL!$A:$A,PL!H69,상해_PL!$K:$K)</f>
        <v>0</v>
      </c>
      <c r="N69" s="433">
        <f>SUMIF(SG_PL!$A:$A,PL!H69,SG_PL!$K:$K)</f>
        <v>0</v>
      </c>
      <c r="O69" s="433"/>
      <c r="P69" s="457">
        <f t="shared" si="41"/>
        <v>1895901871</v>
      </c>
      <c r="Q69" s="458">
        <f>SUMIF(RIC!$D:$D,PL!H69,RIC!F:F)</f>
        <v>0</v>
      </c>
      <c r="R69" s="459">
        <f>SUMIF(RIC!G:G,PL!H69,RIC!I:I)</f>
        <v>0</v>
      </c>
      <c r="S69" s="460">
        <f t="shared" si="42"/>
        <v>1895901871</v>
      </c>
      <c r="T69" s="461">
        <f>SUMIF(RIT!H:H,PL!H69,RIT!J:J)</f>
        <v>0</v>
      </c>
      <c r="U69" s="462">
        <f>SUMIF(RIT!K:K,PL!H69,RIT!M:M)</f>
        <v>0</v>
      </c>
      <c r="V69" s="460">
        <f t="shared" si="43"/>
        <v>1895901871</v>
      </c>
      <c r="W69" s="739">
        <f>SUMIF(지분법및기타!$D:$D,PL!H69,지분법및기타!$F:$F)</f>
        <v>0</v>
      </c>
      <c r="X69" s="739">
        <f>SUMIF(지분법및기타!$G:$G,PL!H69,지분법및기타!$I:$I)</f>
        <v>0</v>
      </c>
      <c r="Y69" s="744">
        <f t="shared" si="44"/>
        <v>1895901871</v>
      </c>
      <c r="Z69" s="645"/>
      <c r="AA69" s="645"/>
      <c r="AB69" s="463" t="s">
        <v>85</v>
      </c>
      <c r="AC69" s="463" t="s">
        <v>386</v>
      </c>
      <c r="AD69" s="418" t="s">
        <v>386</v>
      </c>
      <c r="AF69" s="1166">
        <f t="shared" ref="AF69:AF76" si="57">Y69-P69</f>
        <v>0</v>
      </c>
    </row>
    <row r="70" spans="1:32" ht="17.25" thickBot="1">
      <c r="A70" s="747"/>
      <c r="B70" s="426">
        <v>4</v>
      </c>
      <c r="C70" s="427"/>
      <c r="D70" s="428"/>
      <c r="E70" s="429"/>
      <c r="F70" s="430" t="s">
        <v>174</v>
      </c>
      <c r="G70" s="431"/>
      <c r="H70" s="493" t="s">
        <v>778</v>
      </c>
      <c r="I70" s="433">
        <f>SUMIF(별도정산표!$G:$G,PL!H70,별도정산표!$E:$E)</f>
        <v>-82887417</v>
      </c>
      <c r="J70" s="433">
        <f>SUMIF(울트라팜_FS!$H:$H,PL!H70,울트라팜_FS!$J:$J)</f>
        <v>0</v>
      </c>
      <c r="K70" s="433">
        <f>SUMIF(HK_PL!$A:$A,PL!H70,HK_PL!$K:$K)</f>
        <v>0</v>
      </c>
      <c r="L70" s="433">
        <f>SUMIF(DHK_PL!$A:$A,PL!H70,DHK_PL!$K:$K)</f>
        <v>0</v>
      </c>
      <c r="M70" s="433">
        <f>SUMIF(상해_PL!$A:$A,PL!H70,상해_PL!$K:$K)</f>
        <v>0</v>
      </c>
      <c r="N70" s="433">
        <f>SUMIF(SG_PL!$A:$A,PL!H70,SG_PL!$K:$K)</f>
        <v>0</v>
      </c>
      <c r="O70" s="433"/>
      <c r="P70" s="457">
        <f t="shared" si="41"/>
        <v>-82887417</v>
      </c>
      <c r="Q70" s="458">
        <f>SUMIF(RIC!$D:$D,PL!H70,RIC!F:F)</f>
        <v>0</v>
      </c>
      <c r="R70" s="459">
        <f>SUMIF(RIC!G:G,PL!H70,RIC!I:I)</f>
        <v>0</v>
      </c>
      <c r="S70" s="460">
        <f t="shared" si="42"/>
        <v>-82887417</v>
      </c>
      <c r="T70" s="461">
        <f>SUMIF(RIT!H:H,PL!H70,RIT!J:J)</f>
        <v>0</v>
      </c>
      <c r="U70" s="462">
        <f>SUMIF(RIT!K:K,PL!H70,RIT!M:M)</f>
        <v>418295</v>
      </c>
      <c r="V70" s="460">
        <f t="shared" si="43"/>
        <v>-83305712</v>
      </c>
      <c r="W70" s="739">
        <f>SUMIF(지분법및기타!$D:$D,PL!H70,지분법및기타!$F:$F)</f>
        <v>0</v>
      </c>
      <c r="X70" s="739">
        <f>SUMIF(지분법및기타!$G:$G,PL!H70,지분법및기타!$I:$I)</f>
        <v>0</v>
      </c>
      <c r="Y70" s="744">
        <f t="shared" si="44"/>
        <v>-83305712</v>
      </c>
      <c r="Z70" s="645"/>
      <c r="AA70" s="645"/>
      <c r="AB70" s="463" t="s">
        <v>85</v>
      </c>
      <c r="AC70" s="463" t="s">
        <v>174</v>
      </c>
      <c r="AD70" s="418" t="s">
        <v>88</v>
      </c>
      <c r="AF70" s="1166">
        <f t="shared" si="57"/>
        <v>-418295</v>
      </c>
    </row>
    <row r="71" spans="1:32" ht="17.25" thickBot="1">
      <c r="A71" s="747"/>
      <c r="B71" s="426">
        <v>4</v>
      </c>
      <c r="C71" s="427"/>
      <c r="D71" s="428"/>
      <c r="E71" s="429"/>
      <c r="F71" s="430" t="s">
        <v>747</v>
      </c>
      <c r="G71" s="431"/>
      <c r="H71" s="493" t="s">
        <v>779</v>
      </c>
      <c r="I71" s="433">
        <f>SUMIF(별도정산표!$G:$G,PL!H71,별도정산표!$E:$E)</f>
        <v>16390898</v>
      </c>
      <c r="J71" s="433">
        <f>SUMIF(울트라팜_FS!$H:$H,PL!H71,울트라팜_FS!$J:$J)</f>
        <v>0</v>
      </c>
      <c r="K71" s="433">
        <f>SUMIF(HK_PL!$A:$A,PL!H71,HK_PL!$K:$K)</f>
        <v>12176172</v>
      </c>
      <c r="L71" s="433">
        <f>SUMIF(DHK_PL!$A:$A,PL!H71,DHK_PL!$K:$K)</f>
        <v>9865924</v>
      </c>
      <c r="M71" s="433">
        <f>SUMIF(상해_PL!$A:$A,PL!H71,상해_PL!$K:$K)</f>
        <v>0</v>
      </c>
      <c r="N71" s="433">
        <f>SUMIF(SG_PL!$A:$A,PL!H71,SG_PL!$K:$K)</f>
        <v>0</v>
      </c>
      <c r="O71" s="433"/>
      <c r="P71" s="457">
        <f t="shared" si="41"/>
        <v>38432994</v>
      </c>
      <c r="Q71" s="458">
        <f>SUMIF(RIC!$D:$D,PL!H71,RIC!F:F)</f>
        <v>0</v>
      </c>
      <c r="R71" s="459">
        <f>SUMIF(RIC!G:G,PL!H71,RIC!I:I)</f>
        <v>0</v>
      </c>
      <c r="S71" s="460">
        <f t="shared" si="42"/>
        <v>38432994</v>
      </c>
      <c r="T71" s="461">
        <f>SUMIF(RIT!H:H,PL!H71,RIT!J:J)</f>
        <v>0</v>
      </c>
      <c r="U71" s="462">
        <f>SUMIF(RIT!K:K,PL!H71,RIT!M:M)</f>
        <v>0</v>
      </c>
      <c r="V71" s="460">
        <f t="shared" si="43"/>
        <v>38432994</v>
      </c>
      <c r="W71" s="739">
        <f>SUMIF(지분법및기타!$D:$D,PL!H71,지분법및기타!$F:$F)</f>
        <v>0</v>
      </c>
      <c r="X71" s="739">
        <f>SUMIF(지분법및기타!$G:$G,PL!H71,지분법및기타!$I:$I)</f>
        <v>0</v>
      </c>
      <c r="Y71" s="744">
        <f t="shared" si="44"/>
        <v>38432994</v>
      </c>
      <c r="Z71" s="645"/>
      <c r="AA71" s="645"/>
      <c r="AB71" s="463" t="s">
        <v>85</v>
      </c>
      <c r="AC71" s="463" t="s">
        <v>747</v>
      </c>
      <c r="AD71" s="418" t="s">
        <v>88</v>
      </c>
      <c r="AF71" s="1166">
        <f t="shared" si="57"/>
        <v>0</v>
      </c>
    </row>
    <row r="72" spans="1:32" ht="17.25" thickBot="1">
      <c r="A72" s="747"/>
      <c r="B72" s="426">
        <v>4</v>
      </c>
      <c r="C72" s="427"/>
      <c r="D72" s="428"/>
      <c r="E72" s="429"/>
      <c r="F72" s="430" t="s">
        <v>781</v>
      </c>
      <c r="G72" s="431"/>
      <c r="H72" s="493" t="s">
        <v>780</v>
      </c>
      <c r="I72" s="433">
        <f>SUMIF(별도정산표!$G:$G,PL!H72,별도정산표!$E:$E)</f>
        <v>33162410</v>
      </c>
      <c r="J72" s="433">
        <f>SUMIF(울트라팜_FS!$H:$H,PL!H72,울트라팜_FS!$J:$J)</f>
        <v>0</v>
      </c>
      <c r="K72" s="433">
        <f>SUMIF(HK_PL!$A:$A,PL!H72,HK_PL!$K:$K)</f>
        <v>0</v>
      </c>
      <c r="L72" s="433">
        <f>SUMIF(DHK_PL!$A:$A,PL!H72,DHK_PL!$K:$K)</f>
        <v>0</v>
      </c>
      <c r="M72" s="433">
        <f>SUMIF(상해_PL!$A:$A,PL!H72,상해_PL!$K:$K)</f>
        <v>0</v>
      </c>
      <c r="N72" s="433">
        <f>SUMIF(SG_PL!$A:$A,PL!H72,SG_PL!$K:$K)</f>
        <v>0</v>
      </c>
      <c r="O72" s="433"/>
      <c r="P72" s="457">
        <f t="shared" si="41"/>
        <v>33162410</v>
      </c>
      <c r="Q72" s="458">
        <f>SUMIF(RIC!$D:$D,PL!H72,RIC!F:F)</f>
        <v>0</v>
      </c>
      <c r="R72" s="459">
        <f>SUMIF(RIC!G:G,PL!H72,RIC!I:I)</f>
        <v>0</v>
      </c>
      <c r="S72" s="460">
        <f t="shared" si="42"/>
        <v>33162410</v>
      </c>
      <c r="T72" s="461">
        <f>SUMIF(RIT!H:H,PL!H72,RIT!J:J)</f>
        <v>0</v>
      </c>
      <c r="U72" s="462">
        <f>SUMIF(RIT!K:K,PL!H72,RIT!M:M)</f>
        <v>0</v>
      </c>
      <c r="V72" s="460">
        <f t="shared" si="43"/>
        <v>33162410</v>
      </c>
      <c r="W72" s="739">
        <f>SUMIF(지분법및기타!$D:$D,PL!H72,지분법및기타!$F:$F)</f>
        <v>0</v>
      </c>
      <c r="X72" s="739">
        <f>SUMIF(지분법및기타!$G:$G,PL!H72,지분법및기타!$I:$I)</f>
        <v>0</v>
      </c>
      <c r="Y72" s="744">
        <f t="shared" si="44"/>
        <v>33162410</v>
      </c>
      <c r="Z72" s="645"/>
      <c r="AA72" s="645"/>
      <c r="AB72" s="463" t="s">
        <v>85</v>
      </c>
      <c r="AC72" s="463" t="s">
        <v>781</v>
      </c>
      <c r="AD72" s="418" t="s">
        <v>88</v>
      </c>
      <c r="AF72" s="1166">
        <f t="shared" si="57"/>
        <v>0</v>
      </c>
    </row>
    <row r="73" spans="1:32" ht="17.25" thickBot="1">
      <c r="A73" s="747"/>
      <c r="B73" s="426">
        <v>4</v>
      </c>
      <c r="C73" s="427"/>
      <c r="D73" s="428"/>
      <c r="E73" s="429"/>
      <c r="F73" s="430" t="s">
        <v>397</v>
      </c>
      <c r="G73" s="431"/>
      <c r="H73" s="493" t="s">
        <v>782</v>
      </c>
      <c r="I73" s="433">
        <f>SUMIF(별도정산표!$G:$G,PL!H73,별도정산표!$E:$E)</f>
        <v>96068802</v>
      </c>
      <c r="J73" s="433">
        <f>SUMIF(울트라팜_FS!$H:$H,PL!H73,울트라팜_FS!$J:$J)</f>
        <v>0</v>
      </c>
      <c r="K73" s="433">
        <f>SUMIF(HK_PL!$A:$A,PL!H73,HK_PL!$K:$K)</f>
        <v>0</v>
      </c>
      <c r="L73" s="433">
        <f>SUMIF(DHK_PL!$A:$A,PL!H73,DHK_PL!$K:$K)</f>
        <v>0</v>
      </c>
      <c r="M73" s="433">
        <f>SUMIF(상해_PL!$A:$A,PL!H73,상해_PL!$K:$K)</f>
        <v>0</v>
      </c>
      <c r="N73" s="433">
        <f>SUMIF(SG_PL!$A:$A,PL!H73,SG_PL!$K:$K)</f>
        <v>0</v>
      </c>
      <c r="O73" s="433"/>
      <c r="P73" s="457">
        <f t="shared" si="41"/>
        <v>96068802</v>
      </c>
      <c r="Q73" s="458">
        <f>SUMIF(RIC!$D:$D,PL!H73,RIC!F:F)</f>
        <v>0</v>
      </c>
      <c r="R73" s="459">
        <f>SUMIF(RIC!G:G,PL!H73,RIC!I:I)</f>
        <v>0</v>
      </c>
      <c r="S73" s="460">
        <f t="shared" si="42"/>
        <v>96068802</v>
      </c>
      <c r="T73" s="461">
        <f>SUMIF(RIT!H:H,PL!H73,RIT!J:J)</f>
        <v>0</v>
      </c>
      <c r="U73" s="462">
        <f>SUMIF(RIT!K:K,PL!H73,RIT!M:M)</f>
        <v>0</v>
      </c>
      <c r="V73" s="460">
        <f t="shared" si="43"/>
        <v>96068802</v>
      </c>
      <c r="W73" s="739">
        <f>SUMIF(지분법및기타!$D:$D,PL!H73,지분법및기타!$F:$F)</f>
        <v>0</v>
      </c>
      <c r="X73" s="739">
        <f>SUMIF(지분법및기타!$G:$G,PL!H73,지분법및기타!$I:$I)</f>
        <v>0</v>
      </c>
      <c r="Y73" s="744">
        <f t="shared" si="44"/>
        <v>96068802</v>
      </c>
      <c r="Z73" s="645"/>
      <c r="AA73" s="645"/>
      <c r="AB73" s="463" t="s">
        <v>85</v>
      </c>
      <c r="AC73" s="463" t="s">
        <v>397</v>
      </c>
      <c r="AD73" s="418" t="s">
        <v>397</v>
      </c>
      <c r="AF73" s="1166">
        <f t="shared" si="57"/>
        <v>0</v>
      </c>
    </row>
    <row r="74" spans="1:32" ht="17.25" thickBot="1">
      <c r="A74" s="747"/>
      <c r="B74" s="426">
        <v>4</v>
      </c>
      <c r="C74" s="427"/>
      <c r="D74" s="428"/>
      <c r="E74" s="429"/>
      <c r="F74" s="430" t="s">
        <v>749</v>
      </c>
      <c r="G74" s="431"/>
      <c r="H74" s="493" t="s">
        <v>783</v>
      </c>
      <c r="I74" s="433">
        <f>SUMIF(별도정산표!$G:$G,PL!H74,별도정산표!$E:$E)</f>
        <v>21529107</v>
      </c>
      <c r="J74" s="433">
        <f>SUMIF(울트라팜_FS!$H:$H,PL!H74,울트라팜_FS!$J:$J)</f>
        <v>0</v>
      </c>
      <c r="K74" s="433">
        <f>SUMIF(HK_PL!$A:$A,PL!H74,HK_PL!$K:$K)</f>
        <v>0</v>
      </c>
      <c r="L74" s="433">
        <f>SUMIF(DHK_PL!$A:$A,PL!H74,DHK_PL!$K:$K)</f>
        <v>0</v>
      </c>
      <c r="M74" s="433">
        <f>SUMIF(상해_PL!$A:$A,PL!H74,상해_PL!$K:$K)</f>
        <v>0</v>
      </c>
      <c r="N74" s="433">
        <f>SUMIF(SG_PL!$A:$A,PL!H74,SG_PL!$K:$K)</f>
        <v>0</v>
      </c>
      <c r="O74" s="433"/>
      <c r="P74" s="457">
        <f t="shared" si="41"/>
        <v>21529107</v>
      </c>
      <c r="Q74" s="458">
        <f>SUMIF(RIC!$D:$D,PL!H74,RIC!F:F)</f>
        <v>0</v>
      </c>
      <c r="R74" s="459">
        <f>SUMIF(RIC!G:G,PL!H74,RIC!I:I)</f>
        <v>0</v>
      </c>
      <c r="S74" s="460">
        <f t="shared" si="42"/>
        <v>21529107</v>
      </c>
      <c r="T74" s="461">
        <f>SUMIF(RIT!H:H,PL!H74,RIT!J:J)</f>
        <v>0</v>
      </c>
      <c r="U74" s="462">
        <f>SUMIF(RIT!K:K,PL!H74,RIT!M:M)</f>
        <v>0</v>
      </c>
      <c r="V74" s="460">
        <f t="shared" si="43"/>
        <v>21529107</v>
      </c>
      <c r="W74" s="739">
        <f>SUMIF(지분법및기타!$D:$D,PL!H74,지분법및기타!$F:$F)</f>
        <v>0</v>
      </c>
      <c r="X74" s="739">
        <f>SUMIF(지분법및기타!$G:$G,PL!H74,지분법및기타!$I:$I)</f>
        <v>0</v>
      </c>
      <c r="Y74" s="744">
        <f t="shared" si="44"/>
        <v>21529107</v>
      </c>
      <c r="Z74" s="645"/>
      <c r="AA74" s="645"/>
      <c r="AB74" s="463" t="s">
        <v>85</v>
      </c>
      <c r="AC74" s="463" t="s">
        <v>749</v>
      </c>
      <c r="AD74" s="418" t="s">
        <v>2086</v>
      </c>
      <c r="AF74" s="1166">
        <f t="shared" si="57"/>
        <v>0</v>
      </c>
    </row>
    <row r="75" spans="1:32" ht="17.25" thickBot="1">
      <c r="A75" s="747"/>
      <c r="B75" s="426"/>
      <c r="C75" s="427"/>
      <c r="D75" s="428"/>
      <c r="E75" s="429"/>
      <c r="F75" s="430" t="s">
        <v>2870</v>
      </c>
      <c r="G75" s="431"/>
      <c r="H75" s="1291" t="s">
        <v>2871</v>
      </c>
      <c r="I75" s="433">
        <f>SUMIF(별도정산표!$G:$G,PL!H75,별도정산표!$E:$E)</f>
        <v>0</v>
      </c>
      <c r="J75" s="433">
        <f>SUMIF(울트라팜_FS!$H:$H,PL!H75,울트라팜_FS!$J:$J)</f>
        <v>0</v>
      </c>
      <c r="K75" s="433">
        <f>SUMIF(HK_PL!$A:$A,PL!H75,HK_PL!$K:$K)</f>
        <v>0</v>
      </c>
      <c r="L75" s="433">
        <f>SUMIF(DHK_PL!$A:$A,PL!H75,DHK_PL!$K:$K)</f>
        <v>0</v>
      </c>
      <c r="M75" s="433">
        <f>SUMIF(상해_PL!$A:$A,PL!H75,상해_PL!$K:$K)</f>
        <v>0</v>
      </c>
      <c r="N75" s="433">
        <f>SUMIF(SG_PL!$A:$A,PL!H75,SG_PL!$K:$K)</f>
        <v>0</v>
      </c>
      <c r="O75" s="433"/>
      <c r="P75" s="457">
        <f t="shared" ref="P75" si="58">SUM(I75:O75)</f>
        <v>0</v>
      </c>
      <c r="Q75" s="458">
        <f>SUMIF(RIC!$D:$D,PL!H75,RIC!F:F)</f>
        <v>0</v>
      </c>
      <c r="R75" s="459">
        <f>SUMIF(RIC!G:G,PL!H75,RIC!I:I)</f>
        <v>0</v>
      </c>
      <c r="S75" s="460">
        <f t="shared" ref="S75" si="59">P75+Q75-R75</f>
        <v>0</v>
      </c>
      <c r="T75" s="461">
        <f>SUMIF(RIT!H:H,PL!H75,RIT!J:J)</f>
        <v>0</v>
      </c>
      <c r="U75" s="462">
        <f>SUMIF(RIT!K:K,PL!H75,RIT!M:M)</f>
        <v>0</v>
      </c>
      <c r="V75" s="460">
        <f t="shared" ref="V75" si="60">S75+T75-U75</f>
        <v>0</v>
      </c>
      <c r="W75" s="739">
        <f>SUMIF(지분법및기타!$D:$D,PL!H75,지분법및기타!$F:$F)</f>
        <v>0</v>
      </c>
      <c r="X75" s="739">
        <f>SUMIF(지분법및기타!$G:$G,PL!H75,지분법및기타!$I:$I)</f>
        <v>0</v>
      </c>
      <c r="Y75" s="744">
        <f t="shared" ref="Y75" si="61">V75+W75-X75</f>
        <v>0</v>
      </c>
      <c r="Z75" s="645"/>
      <c r="AA75" s="645"/>
      <c r="AB75" s="463" t="s">
        <v>85</v>
      </c>
      <c r="AC75" s="463" t="s">
        <v>2870</v>
      </c>
      <c r="AD75" s="418" t="s">
        <v>88</v>
      </c>
      <c r="AF75" s="1166"/>
    </row>
    <row r="76" spans="1:32" ht="17.25" thickBot="1">
      <c r="A76" s="747"/>
      <c r="B76" s="426">
        <v>4</v>
      </c>
      <c r="C76" s="427"/>
      <c r="D76" s="428"/>
      <c r="E76" s="429"/>
      <c r="F76" s="430" t="s">
        <v>787</v>
      </c>
      <c r="G76" s="431"/>
      <c r="H76" s="493" t="s">
        <v>786</v>
      </c>
      <c r="I76" s="433">
        <f>SUMIF(별도정산표!$G:$G,PL!H76,별도정산표!$E:$E)</f>
        <v>1380000</v>
      </c>
      <c r="J76" s="433">
        <f>SUMIF(울트라팜_FS!$H:$H,PL!H76,울트라팜_FS!$J:$J)</f>
        <v>0</v>
      </c>
      <c r="K76" s="433">
        <f>SUMIF(HK_PL!$A:$A,PL!H76,HK_PL!$K:$K)</f>
        <v>0</v>
      </c>
      <c r="L76" s="433">
        <f>SUMIF(DHK_PL!$A:$A,PL!H76,DHK_PL!$K:$K)</f>
        <v>0</v>
      </c>
      <c r="M76" s="433">
        <f>SUMIF(상해_PL!$A:$A,PL!H76,상해_PL!$K:$K)</f>
        <v>0</v>
      </c>
      <c r="N76" s="433">
        <f>SUMIF(SG_PL!$A:$A,PL!H76,SG_PL!$K:$K)</f>
        <v>0</v>
      </c>
      <c r="O76" s="433"/>
      <c r="P76" s="457">
        <f t="shared" si="41"/>
        <v>1380000</v>
      </c>
      <c r="Q76" s="458">
        <f>SUMIF(RIC!$D:$D,PL!H76,RIC!F:F)</f>
        <v>0</v>
      </c>
      <c r="R76" s="459">
        <f>SUMIF(RIC!G:G,PL!H76,RIC!I:I)</f>
        <v>0</v>
      </c>
      <c r="S76" s="460">
        <f t="shared" si="42"/>
        <v>1380000</v>
      </c>
      <c r="T76" s="461">
        <f>SUMIF(RIT!H:H,PL!H76,RIT!J:J)</f>
        <v>0</v>
      </c>
      <c r="U76" s="462">
        <f>SUMIF(RIT!K:K,PL!H76,RIT!M:M)</f>
        <v>0</v>
      </c>
      <c r="V76" s="460">
        <f t="shared" si="43"/>
        <v>1380000</v>
      </c>
      <c r="W76" s="739">
        <f>SUMIF(지분법및기타!$D:$D,PL!H76,지분법및기타!$F:$F)</f>
        <v>0</v>
      </c>
      <c r="X76" s="739">
        <f>SUMIF(지분법및기타!$G:$G,PL!H76,지분법및기타!$I:$I)</f>
        <v>0</v>
      </c>
      <c r="Y76" s="744">
        <f t="shared" si="44"/>
        <v>1380000</v>
      </c>
      <c r="Z76" s="645"/>
      <c r="AA76" s="645"/>
      <c r="AB76" s="463" t="s">
        <v>85</v>
      </c>
      <c r="AC76" s="463" t="s">
        <v>787</v>
      </c>
      <c r="AD76" s="418" t="s">
        <v>88</v>
      </c>
      <c r="AF76" s="1166">
        <f t="shared" si="57"/>
        <v>0</v>
      </c>
    </row>
    <row r="77" spans="1:32" ht="17.25" thickBot="1">
      <c r="A77" s="747"/>
      <c r="B77" s="426">
        <v>4</v>
      </c>
      <c r="C77" s="427"/>
      <c r="D77" s="428"/>
      <c r="E77" s="429"/>
      <c r="F77" s="430" t="s">
        <v>824</v>
      </c>
      <c r="G77" s="431"/>
      <c r="H77" s="493"/>
      <c r="I77" s="433">
        <f>SUMIF(별도정산표!$G:$G,PL!H77,별도정산표!$E:$E)</f>
        <v>0</v>
      </c>
      <c r="J77" s="433">
        <f>SUMIF(울트라팜_FS!$H:$H,PL!H77,울트라팜_FS!$J:$J)</f>
        <v>0</v>
      </c>
      <c r="K77" s="433">
        <f>SUMIF(HK_PL!$A:$A,PL!H77,HK_PL!$K:$K)</f>
        <v>0</v>
      </c>
      <c r="L77" s="433">
        <f>SUMIF(DHK_PL!$A:$A,PL!H77,DHK_PL!$K:$K)</f>
        <v>0</v>
      </c>
      <c r="M77" s="433">
        <f>SUMIF(상해_PL!$A:$A,PL!H77,상해_PL!$K:$K)</f>
        <v>0</v>
      </c>
      <c r="N77" s="433">
        <f>SUMIF(SG_PL!$A:$A,PL!H77,SG_PL!$K:$K)</f>
        <v>0</v>
      </c>
      <c r="O77" s="433"/>
      <c r="P77" s="457">
        <f t="shared" si="41"/>
        <v>0</v>
      </c>
      <c r="Q77" s="458">
        <f>SUMIF(RIC!$D:$D,PL!H77,RIC!F:F)</f>
        <v>0</v>
      </c>
      <c r="R77" s="459">
        <f>SUMIF(RIC!G:G,PL!H77,RIC!I:I)</f>
        <v>0</v>
      </c>
      <c r="S77" s="460">
        <f t="shared" si="42"/>
        <v>0</v>
      </c>
      <c r="T77" s="461">
        <f>SUMIF(RIT!H:H,PL!H77,RIT!J:J)</f>
        <v>0</v>
      </c>
      <c r="U77" s="462">
        <f>SUMIF(RIT!K:K,PL!H77,RIT!M:M)</f>
        <v>0</v>
      </c>
      <c r="V77" s="460">
        <f t="shared" si="43"/>
        <v>0</v>
      </c>
      <c r="W77" s="739">
        <f>SUMIF(지분법및기타!$D:$D,PL!H77,지분법및기타!$F:$F)</f>
        <v>0</v>
      </c>
      <c r="X77" s="739">
        <f>SUMIF(지분법및기타!$G:$G,PL!H77,지분법및기타!$I:$I)</f>
        <v>0</v>
      </c>
      <c r="Y77" s="744">
        <f t="shared" si="44"/>
        <v>0</v>
      </c>
      <c r="Z77" s="645"/>
      <c r="AA77" s="645"/>
      <c r="AB77" s="463" t="s">
        <v>85</v>
      </c>
      <c r="AC77" s="463" t="s">
        <v>518</v>
      </c>
      <c r="AD77" s="418" t="s">
        <v>88</v>
      </c>
    </row>
    <row r="78" spans="1:32" ht="17.25" thickBot="1">
      <c r="A78" s="747"/>
      <c r="B78" s="426">
        <v>2</v>
      </c>
      <c r="C78" s="427"/>
      <c r="D78" s="428" t="s">
        <v>86</v>
      </c>
      <c r="E78" s="429"/>
      <c r="F78" s="430"/>
      <c r="G78" s="431"/>
      <c r="H78" s="493"/>
      <c r="I78" s="425">
        <f t="shared" ref="I78:O78" si="62">I6-I13-I42</f>
        <v>-686814117</v>
      </c>
      <c r="J78" s="425">
        <f t="shared" si="62"/>
        <v>0</v>
      </c>
      <c r="K78" s="425">
        <f t="shared" si="62"/>
        <v>46570058</v>
      </c>
      <c r="L78" s="425">
        <f t="shared" si="62"/>
        <v>-96914714</v>
      </c>
      <c r="M78" s="425">
        <f t="shared" si="62"/>
        <v>-15619049</v>
      </c>
      <c r="N78" s="425">
        <f t="shared" si="62"/>
        <v>-8656005</v>
      </c>
      <c r="O78" s="425">
        <f t="shared" si="62"/>
        <v>0</v>
      </c>
      <c r="P78" s="457">
        <f>P6-P13-P42</f>
        <v>-761433827</v>
      </c>
      <c r="Q78" s="458"/>
      <c r="R78" s="459"/>
      <c r="S78" s="460">
        <f>S6-S13-S42</f>
        <v>-761433827</v>
      </c>
      <c r="T78" s="461"/>
      <c r="U78" s="462"/>
      <c r="V78" s="460">
        <f>V6-V13-V42</f>
        <v>-791041478</v>
      </c>
      <c r="W78" s="739"/>
      <c r="X78" s="739"/>
      <c r="Y78" s="744">
        <f>Y6-Y13-Y42</f>
        <v>-791041478</v>
      </c>
      <c r="Z78" s="645">
        <f>Z6-Z13-Z42</f>
        <v>0</v>
      </c>
      <c r="AA78" s="645">
        <f>AA6-AA13-AA42</f>
        <v>0</v>
      </c>
      <c r="AB78" s="463"/>
      <c r="AC78" s="463"/>
      <c r="AF78" s="1166">
        <f t="shared" ref="AF78:AF79" si="63">Y78-P78</f>
        <v>-29607651</v>
      </c>
    </row>
    <row r="79" spans="1:32" ht="17.25" thickBot="1">
      <c r="A79" s="747"/>
      <c r="B79" s="426">
        <v>3</v>
      </c>
      <c r="C79" s="427"/>
      <c r="D79" s="428"/>
      <c r="E79" s="429" t="s">
        <v>119</v>
      </c>
      <c r="F79" s="430"/>
      <c r="G79" s="431"/>
      <c r="H79" s="493"/>
      <c r="I79" s="425">
        <f t="shared" ref="I79:P79" si="64">SUM(I80:I86)</f>
        <v>4395999</v>
      </c>
      <c r="J79" s="425">
        <f t="shared" si="64"/>
        <v>0</v>
      </c>
      <c r="K79" s="425">
        <f t="shared" si="64"/>
        <v>8686</v>
      </c>
      <c r="L79" s="425">
        <f t="shared" si="64"/>
        <v>1183</v>
      </c>
      <c r="M79" s="425">
        <f t="shared" si="64"/>
        <v>37250539</v>
      </c>
      <c r="N79" s="425">
        <f t="shared" si="64"/>
        <v>0</v>
      </c>
      <c r="O79" s="425">
        <f t="shared" si="64"/>
        <v>0</v>
      </c>
      <c r="P79" s="457">
        <f t="shared" si="64"/>
        <v>41656407</v>
      </c>
      <c r="Q79" s="458"/>
      <c r="R79" s="459"/>
      <c r="S79" s="425">
        <f>SUM(S80:S86)</f>
        <v>2109602184</v>
      </c>
      <c r="T79" s="461"/>
      <c r="U79" s="462"/>
      <c r="V79" s="460">
        <f>SUM(V80:V86)</f>
        <v>2109602184</v>
      </c>
      <c r="W79" s="739"/>
      <c r="X79" s="739"/>
      <c r="Y79" s="744">
        <f>SUM(Y80:Y86)</f>
        <v>2109602184</v>
      </c>
      <c r="Z79" s="500">
        <f>SUM(Z80:Z86)</f>
        <v>0</v>
      </c>
      <c r="AA79" s="425">
        <f>SUM(AA80:AA86)</f>
        <v>0</v>
      </c>
      <c r="AB79" s="463"/>
      <c r="AC79" s="463"/>
      <c r="AF79" s="1166">
        <f t="shared" si="63"/>
        <v>2067945777</v>
      </c>
    </row>
    <row r="80" spans="1:32" ht="17.25" thickBot="1">
      <c r="A80" s="747"/>
      <c r="B80" s="426">
        <v>4</v>
      </c>
      <c r="C80" s="427"/>
      <c r="D80" s="428"/>
      <c r="E80" s="429"/>
      <c r="F80" s="430" t="s">
        <v>790</v>
      </c>
      <c r="G80" s="431"/>
      <c r="H80" s="493" t="s">
        <v>789</v>
      </c>
      <c r="I80" s="433">
        <f>SUMIF(별도정산표!$G:$G,PL!H80,별도정산표!$E:$E)</f>
        <v>0</v>
      </c>
      <c r="J80" s="433">
        <f>SUMIF(울트라팜_FS!$H:$H,PL!H80,울트라팜_FS!$J:$J)</f>
        <v>0</v>
      </c>
      <c r="K80" s="433">
        <f>SUMIF(HK_PL!$A:$A,PL!H80,HK_PL!$K:$K)</f>
        <v>0</v>
      </c>
      <c r="L80" s="433">
        <f>SUMIF(DHK_PL!$A:$A,PL!H80,DHK_PL!$K:$K)</f>
        <v>0</v>
      </c>
      <c r="M80" s="433">
        <f>SUMIF(상해_PL!$A:$A,PL!H80,상해_PL!$K:$K)</f>
        <v>0</v>
      </c>
      <c r="N80" s="433">
        <f>SUMIF(SG_PL!$A:$A,PL!H80,SG_PL!$K:$K)</f>
        <v>0</v>
      </c>
      <c r="O80" s="433"/>
      <c r="P80" s="457">
        <f t="shared" ref="P80:P86" si="65">SUM(I80:O80)</f>
        <v>0</v>
      </c>
      <c r="Q80" s="458">
        <f>SUMIF(RIC!$D:$D,PL!H80,RIC!F:F)</f>
        <v>0</v>
      </c>
      <c r="R80" s="459">
        <f>SUMIF(RIC!G:G,PL!H80,RIC!I:I)</f>
        <v>0</v>
      </c>
      <c r="S80" s="460">
        <f t="shared" ref="S80:S86" si="66">P80+R80-Q80</f>
        <v>0</v>
      </c>
      <c r="T80" s="461">
        <f>SUMIF(RIT!H:H,PL!H80,RIT!J:J)</f>
        <v>0</v>
      </c>
      <c r="U80" s="462">
        <f>SUMIF(RIT!K:K,PL!H80,RIT!M:M)</f>
        <v>0</v>
      </c>
      <c r="V80" s="460">
        <f t="shared" ref="V80:V86" si="67">S80+U80-T80</f>
        <v>0</v>
      </c>
      <c r="W80" s="739">
        <f>SUMIF(지분법및기타!$D:$D,PL!H80,지분법및기타!$F:$F)</f>
        <v>0</v>
      </c>
      <c r="X80" s="739">
        <f>SUMIF(지분법및기타!$G:$G,PL!H80,지분법및기타!$I:$I)</f>
        <v>0</v>
      </c>
      <c r="Y80" s="744">
        <f t="shared" ref="Y80:Y86" si="68">V80+X80-W80</f>
        <v>0</v>
      </c>
      <c r="Z80" s="645"/>
      <c r="AA80" s="645"/>
      <c r="AB80" s="463" t="s">
        <v>119</v>
      </c>
      <c r="AC80" s="463"/>
    </row>
    <row r="81" spans="1:32" ht="17.25" thickBot="1">
      <c r="A81" s="747"/>
      <c r="B81" s="426">
        <v>4</v>
      </c>
      <c r="C81" s="427"/>
      <c r="D81" s="428"/>
      <c r="E81" s="429"/>
      <c r="F81" s="430" t="s">
        <v>792</v>
      </c>
      <c r="G81" s="431"/>
      <c r="H81" s="493" t="s">
        <v>791</v>
      </c>
      <c r="I81" s="433">
        <f>SUMIF(별도정산표!$G:$G,PL!H81,별도정산표!$E:$E)</f>
        <v>0</v>
      </c>
      <c r="J81" s="433">
        <f>SUMIF(울트라팜_FS!$H:$H,PL!H81,울트라팜_FS!$J:$J)</f>
        <v>0</v>
      </c>
      <c r="K81" s="433">
        <f>SUMIF(HK_PL!$A:$A,PL!H81,HK_PL!$K:$K)</f>
        <v>0</v>
      </c>
      <c r="L81" s="433">
        <f>SUMIF(DHK_PL!$A:$A,PL!H81,DHK_PL!$K:$K)</f>
        <v>0</v>
      </c>
      <c r="M81" s="433">
        <f>SUMIF(상해_PL!$A:$A,PL!H81,상해_PL!$K:$K)</f>
        <v>0</v>
      </c>
      <c r="N81" s="433">
        <f>SUMIF(SG_PL!$A:$A,PL!H81,SG_PL!$K:$K)</f>
        <v>0</v>
      </c>
      <c r="O81" s="433"/>
      <c r="P81" s="457">
        <f t="shared" si="65"/>
        <v>0</v>
      </c>
      <c r="Q81" s="458">
        <f>SUMIF(RIC!$D:$D,PL!H81,RIC!F:F)</f>
        <v>0</v>
      </c>
      <c r="R81" s="459">
        <f>SUMIF(RIC!G:G,PL!H81,RIC!I:I)</f>
        <v>0</v>
      </c>
      <c r="S81" s="460">
        <f t="shared" si="66"/>
        <v>0</v>
      </c>
      <c r="T81" s="461">
        <f>SUMIF(RIT!H:H,PL!H81,RIT!J:J)</f>
        <v>0</v>
      </c>
      <c r="U81" s="462">
        <f>SUMIF(RIT!K:K,PL!H81,RIT!M:M)</f>
        <v>0</v>
      </c>
      <c r="V81" s="460">
        <f t="shared" si="67"/>
        <v>0</v>
      </c>
      <c r="W81" s="739">
        <f>SUMIF(지분법및기타!$D:$D,PL!H81,지분법및기타!$F:$F)</f>
        <v>0</v>
      </c>
      <c r="X81" s="739">
        <f>SUMIF(지분법및기타!$G:$G,PL!H81,지분법및기타!$I:$I)</f>
        <v>0</v>
      </c>
      <c r="Y81" s="744">
        <f t="shared" si="68"/>
        <v>0</v>
      </c>
      <c r="Z81" s="645"/>
      <c r="AA81" s="645"/>
      <c r="AB81" s="463" t="s">
        <v>119</v>
      </c>
      <c r="AC81" s="463"/>
    </row>
    <row r="82" spans="1:32" ht="17.25" thickBot="1">
      <c r="A82" s="747"/>
      <c r="B82" s="426"/>
      <c r="C82" s="427"/>
      <c r="D82" s="428"/>
      <c r="E82" s="429"/>
      <c r="F82" s="430" t="s">
        <v>797</v>
      </c>
      <c r="G82" s="431"/>
      <c r="H82" s="493" t="s">
        <v>796</v>
      </c>
      <c r="I82" s="433">
        <f>SUMIF(별도정산표!$G:$G,PL!H82,별도정산표!$E:$E)</f>
        <v>0</v>
      </c>
      <c r="J82" s="433">
        <f>SUMIF(울트라팜_FS!$H:$H,PL!H82,울트라팜_FS!$J:$J)</f>
        <v>0</v>
      </c>
      <c r="K82" s="433">
        <f>SUMIF(HK_PL!$A:$A,PL!H82,HK_PL!$K:$K)</f>
        <v>0</v>
      </c>
      <c r="L82" s="433">
        <f>SUMIF(DHK_PL!$A:$A,PL!H82,DHK_PL!$K:$K)</f>
        <v>0</v>
      </c>
      <c r="M82" s="433">
        <f>SUMIF(상해_PL!$A:$A,PL!H82,상해_PL!$K:$K)</f>
        <v>0</v>
      </c>
      <c r="N82" s="433">
        <f>SUMIF(SG_PL!$A:$A,PL!H82,SG_PL!$K:$K)</f>
        <v>0</v>
      </c>
      <c r="O82" s="433"/>
      <c r="P82" s="457">
        <f t="shared" si="65"/>
        <v>0</v>
      </c>
      <c r="Q82" s="458">
        <f>SUMIF(RIC!$D:$D,PL!H82,RIC!F:F)</f>
        <v>0</v>
      </c>
      <c r="R82" s="459">
        <f>SUMIF(RIC!G:G,PL!H82,RIC!I:I)</f>
        <v>0</v>
      </c>
      <c r="S82" s="460">
        <f t="shared" si="66"/>
        <v>0</v>
      </c>
      <c r="T82" s="461">
        <f>SUMIF(RIT!H:H,PL!H82,RIT!J:J)</f>
        <v>0</v>
      </c>
      <c r="U82" s="462">
        <f>SUMIF(RIT!K:K,PL!H82,RIT!M:M)</f>
        <v>0</v>
      </c>
      <c r="V82" s="460">
        <f t="shared" si="67"/>
        <v>0</v>
      </c>
      <c r="W82" s="739">
        <f>SUMIF(지분법및기타!$D:$D,PL!H82,지분법및기타!$F:$F)</f>
        <v>0</v>
      </c>
      <c r="X82" s="739">
        <f>SUMIF(지분법및기타!$G:$G,PL!H82,지분법및기타!$I:$I)</f>
        <v>0</v>
      </c>
      <c r="Y82" s="744">
        <f t="shared" si="68"/>
        <v>0</v>
      </c>
      <c r="Z82" s="645"/>
      <c r="AA82" s="645"/>
      <c r="AB82" s="463" t="s">
        <v>124</v>
      </c>
      <c r="AC82" s="463"/>
    </row>
    <row r="83" spans="1:32" ht="17.25" thickBot="1">
      <c r="A83" s="747"/>
      <c r="B83" s="426">
        <v>4</v>
      </c>
      <c r="C83" s="427"/>
      <c r="D83" s="428"/>
      <c r="E83" s="429"/>
      <c r="F83" s="430" t="s">
        <v>123</v>
      </c>
      <c r="G83" s="431"/>
      <c r="H83" s="493" t="s">
        <v>798</v>
      </c>
      <c r="I83" s="433">
        <f>SUMIF(별도정산표!$G:$G,PL!H83,별도정산표!$E:$E)</f>
        <v>193864</v>
      </c>
      <c r="J83" s="433">
        <f>SUMIF(울트라팜_FS!$H:$H,PL!H83,울트라팜_FS!$J:$J)</f>
        <v>0</v>
      </c>
      <c r="K83" s="433">
        <f>SUMIF(HK_PL!$A:$A,PL!H83,HK_PL!$K:$K)</f>
        <v>8686</v>
      </c>
      <c r="L83" s="433">
        <f>SUMIF(DHK_PL!$A:$A,PL!H83,DHK_PL!$K:$K)</f>
        <v>1183</v>
      </c>
      <c r="M83" s="433">
        <f>SUMIF(상해_PL!$A:$A,PL!H83,상해_PL!$K:$K)</f>
        <v>37250539</v>
      </c>
      <c r="N83" s="433">
        <f>SUMIF(SG_PL!$A:$A,PL!H83,SG_PL!$K:$K)</f>
        <v>0</v>
      </c>
      <c r="O83" s="433"/>
      <c r="P83" s="457">
        <f t="shared" si="65"/>
        <v>37454272</v>
      </c>
      <c r="Q83" s="458">
        <f>SUMIF(RIC!$D:$D,PL!H83,RIC!F:F)</f>
        <v>0</v>
      </c>
      <c r="R83" s="459">
        <f>SUMIF(RIC!G:G,PL!H83,RIC!I:I)</f>
        <v>0</v>
      </c>
      <c r="S83" s="460">
        <f t="shared" si="66"/>
        <v>37454272</v>
      </c>
      <c r="T83" s="461">
        <f>SUMIF(RIT!H:H,PL!H83,RIT!J:J)</f>
        <v>0</v>
      </c>
      <c r="U83" s="462">
        <f>SUMIF(RIT!K:K,PL!H83,RIT!M:M)</f>
        <v>0</v>
      </c>
      <c r="V83" s="460">
        <f t="shared" si="67"/>
        <v>37454272</v>
      </c>
      <c r="W83" s="739">
        <f>SUMIF(지분법및기타!$D:$D,PL!H83,지분법및기타!$F:$F)</f>
        <v>0</v>
      </c>
      <c r="X83" s="739">
        <f>SUMIF(지분법및기타!$G:$G,PL!H83,지분법및기타!$I:$I)</f>
        <v>0</v>
      </c>
      <c r="Y83" s="744">
        <f t="shared" si="68"/>
        <v>37454272</v>
      </c>
      <c r="Z83" s="645"/>
      <c r="AA83" s="645"/>
      <c r="AB83" s="463" t="s">
        <v>124</v>
      </c>
      <c r="AC83" s="463" t="s">
        <v>123</v>
      </c>
      <c r="AF83" s="1166">
        <f>Y83-P83</f>
        <v>0</v>
      </c>
    </row>
    <row r="84" spans="1:32" ht="17.25" thickBot="1">
      <c r="A84" s="747"/>
      <c r="B84" s="426"/>
      <c r="C84" s="427"/>
      <c r="D84" s="428"/>
      <c r="E84" s="429"/>
      <c r="F84" s="430" t="s">
        <v>349</v>
      </c>
      <c r="G84" s="431"/>
      <c r="H84" s="493">
        <v>92100</v>
      </c>
      <c r="I84" s="433">
        <f>SUMIF(별도정산표!$G:$G,PL!H84,별도정산표!$E:$E)</f>
        <v>1202135</v>
      </c>
      <c r="J84" s="433">
        <f>SUMIF(울트라팜_FS!$H:$H,PL!H84,울트라팜_FS!$J:$J)</f>
        <v>0</v>
      </c>
      <c r="K84" s="433">
        <f>SUMIF(HK_PL!$A:$A,PL!H84,HK_PL!$K:$K)</f>
        <v>0</v>
      </c>
      <c r="L84" s="433">
        <f>SUMIF(DHK_PL!$A:$A,PL!H84,DHK_PL!$K:$K)</f>
        <v>0</v>
      </c>
      <c r="M84" s="433">
        <f>SUMIF(상해_PL!$A:$A,PL!H84,상해_PL!$K:$K)</f>
        <v>0</v>
      </c>
      <c r="N84" s="433">
        <f>SUMIF(SG_PL!$A:$A,PL!H84,SG_PL!$K:$K)</f>
        <v>0</v>
      </c>
      <c r="O84" s="433"/>
      <c r="P84" s="457">
        <f t="shared" si="65"/>
        <v>1202135</v>
      </c>
      <c r="Q84" s="458">
        <f>SUMIF(RIC!$D:$D,PL!H84,RIC!F:F)</f>
        <v>0</v>
      </c>
      <c r="R84" s="459">
        <f>SUMIF(RIC!G:G,PL!H84,RIC!I:I)</f>
        <v>0</v>
      </c>
      <c r="S84" s="460">
        <f t="shared" si="66"/>
        <v>1202135</v>
      </c>
      <c r="T84" s="461">
        <f>SUMIF(RIT!H:H,PL!H84,RIT!J:J)</f>
        <v>0</v>
      </c>
      <c r="U84" s="462">
        <f>SUMIF(RIT!K:K,PL!H84,RIT!M:M)</f>
        <v>0</v>
      </c>
      <c r="V84" s="460">
        <f t="shared" si="67"/>
        <v>1202135</v>
      </c>
      <c r="W84" s="739">
        <f>SUMIF(지분법및기타!$D:$D,PL!H84,지분법및기타!$F:$F)</f>
        <v>0</v>
      </c>
      <c r="X84" s="739">
        <f>SUMIF(지분법및기타!$G:$G,PL!H84,지분법및기타!$I:$I)</f>
        <v>0</v>
      </c>
      <c r="Y84" s="744">
        <f t="shared" si="68"/>
        <v>1202135</v>
      </c>
      <c r="Z84" s="645"/>
      <c r="AA84" s="645"/>
      <c r="AB84" s="463" t="s">
        <v>126</v>
      </c>
      <c r="AC84" s="463" t="s">
        <v>122</v>
      </c>
    </row>
    <row r="85" spans="1:32" ht="17.25" thickBot="1">
      <c r="A85" s="747"/>
      <c r="B85" s="426"/>
      <c r="C85" s="427"/>
      <c r="D85" s="428"/>
      <c r="E85" s="429"/>
      <c r="F85" s="430" t="s">
        <v>2679</v>
      </c>
      <c r="G85" s="431"/>
      <c r="H85" s="493">
        <v>92200</v>
      </c>
      <c r="I85" s="433">
        <f>SUMIF(별도정산표!$G:$G,PL!H85,별도정산표!$E:$E)</f>
        <v>0</v>
      </c>
      <c r="J85" s="433">
        <f>SUMIF(울트라팜_FS!$H:$H,PL!H85,울트라팜_FS!$J:$J)</f>
        <v>0</v>
      </c>
      <c r="K85" s="433">
        <f>SUMIF(HK_PL!$A:$A,PL!H85,HK_PL!$K:$K)</f>
        <v>0</v>
      </c>
      <c r="L85" s="433">
        <f>SUMIF(DHK_PL!$A:$A,PL!H85,DHK_PL!$K:$K)</f>
        <v>0</v>
      </c>
      <c r="M85" s="433">
        <f>SUMIF(상해_PL!$A:$A,PL!H85,상해_PL!$K:$K)</f>
        <v>0</v>
      </c>
      <c r="N85" s="433">
        <f>SUMIF(SG_PL!$A:$A,PL!H85,SG_PL!$K:$K)</f>
        <v>0</v>
      </c>
      <c r="O85" s="433"/>
      <c r="P85" s="457">
        <f t="shared" ref="P85" si="69">SUM(I85:O85)</f>
        <v>0</v>
      </c>
      <c r="Q85" s="458">
        <f>SUMIF(RIC!$D:$D,PL!H85,RIC!F:F)</f>
        <v>0</v>
      </c>
      <c r="R85" s="459">
        <f>SUMIF(RIC!G:G,PL!H85,RIC!I:I)</f>
        <v>2067945777</v>
      </c>
      <c r="S85" s="460">
        <f t="shared" ref="S85" si="70">P85+R85-Q85</f>
        <v>2067945777</v>
      </c>
      <c r="T85" s="461">
        <f>SUMIF(RIT!H:H,PL!H85,RIT!J:J)</f>
        <v>0</v>
      </c>
      <c r="U85" s="462">
        <f>SUMIF(RIT!K:K,PL!H85,RIT!M:M)</f>
        <v>0</v>
      </c>
      <c r="V85" s="460">
        <f t="shared" ref="V85" si="71">S85+U85-T85</f>
        <v>2067945777</v>
      </c>
      <c r="W85" s="739">
        <f>SUMIF(지분법및기타!$D:$D,PL!H85,지분법및기타!$F:$F)</f>
        <v>0</v>
      </c>
      <c r="X85" s="739">
        <f>SUMIF(지분법및기타!$G:$G,PL!H85,지분법및기타!$I:$I)</f>
        <v>0</v>
      </c>
      <c r="Y85" s="744">
        <f t="shared" ref="Y85" si="72">V85+X85-W85</f>
        <v>2067945777</v>
      </c>
      <c r="Z85" s="645"/>
      <c r="AA85" s="645"/>
      <c r="AB85" s="463" t="s">
        <v>119</v>
      </c>
      <c r="AC85" s="463" t="s">
        <v>2679</v>
      </c>
    </row>
    <row r="86" spans="1:32" ht="17.25" thickBot="1">
      <c r="A86" s="747"/>
      <c r="B86" s="426">
        <v>4</v>
      </c>
      <c r="C86" s="427"/>
      <c r="D86" s="428"/>
      <c r="E86" s="429"/>
      <c r="F86" s="430" t="s">
        <v>2762</v>
      </c>
      <c r="G86" s="431"/>
      <c r="H86" s="493" t="s">
        <v>2869</v>
      </c>
      <c r="I86" s="433">
        <f>SUMIF(별도정산표!$G:$G,PL!H86,별도정산표!$E:$E)</f>
        <v>3000000</v>
      </c>
      <c r="J86" s="433">
        <f>SUMIF(울트라팜_FS!$H:$H,PL!H86,울트라팜_FS!$J:$J)</f>
        <v>0</v>
      </c>
      <c r="K86" s="433">
        <f>SUMIF(HK_PL!$A:$A,PL!H86,HK_PL!$K:$K)</f>
        <v>0</v>
      </c>
      <c r="L86" s="433">
        <f>SUMIF(DHK_PL!$A:$A,PL!H86,DHK_PL!$K:$K)</f>
        <v>0</v>
      </c>
      <c r="M86" s="433">
        <f>SUMIF(상해_PL!$A:$A,PL!H86,상해_PL!$K:$K)</f>
        <v>0</v>
      </c>
      <c r="N86" s="433">
        <f>SUMIF(SG_PL!$A:$A,PL!H86,SG_PL!$K:$K)</f>
        <v>0</v>
      </c>
      <c r="O86" s="433"/>
      <c r="P86" s="457">
        <f t="shared" si="65"/>
        <v>3000000</v>
      </c>
      <c r="Q86" s="458">
        <f>SUMIF(RIC!$D:$D,PL!H86,RIC!F:F)</f>
        <v>0</v>
      </c>
      <c r="R86" s="459">
        <f>SUMIF(RIC!G:G,PL!H86,RIC!I:I)</f>
        <v>0</v>
      </c>
      <c r="S86" s="460">
        <f t="shared" si="66"/>
        <v>3000000</v>
      </c>
      <c r="T86" s="461">
        <f>SUMIF(RIT!H:H,PL!H86,RIT!J:J)</f>
        <v>0</v>
      </c>
      <c r="U86" s="462">
        <f>SUMIF(RIT!K:K,PL!H86,RIT!M:M)</f>
        <v>0</v>
      </c>
      <c r="V86" s="460">
        <f t="shared" si="67"/>
        <v>3000000</v>
      </c>
      <c r="W86" s="739">
        <f>SUMIF(지분법및기타!$D:$D,PL!H86,지분법및기타!$F:$F)</f>
        <v>0</v>
      </c>
      <c r="X86" s="739">
        <f>SUMIF(지분법및기타!$G:$G,PL!H86,지분법및기타!$I:$I)</f>
        <v>0</v>
      </c>
      <c r="Y86" s="744">
        <f t="shared" si="68"/>
        <v>3000000</v>
      </c>
      <c r="Z86" s="645"/>
      <c r="AA86" s="645"/>
      <c r="AB86" s="463" t="s">
        <v>124</v>
      </c>
      <c r="AC86" s="463" t="s">
        <v>2762</v>
      </c>
    </row>
    <row r="87" spans="1:32" ht="17.25" thickBot="1">
      <c r="A87" s="747"/>
      <c r="B87" s="426">
        <v>4</v>
      </c>
      <c r="C87" s="427"/>
      <c r="D87" s="428"/>
      <c r="E87" s="429" t="s">
        <v>88</v>
      </c>
      <c r="F87" s="430"/>
      <c r="G87" s="431"/>
      <c r="H87" s="493"/>
      <c r="I87" s="425">
        <f t="shared" ref="I87:P87" si="73">SUM(I88:I95)</f>
        <v>4825612</v>
      </c>
      <c r="J87" s="425">
        <f t="shared" si="73"/>
        <v>0</v>
      </c>
      <c r="K87" s="425">
        <f t="shared" si="73"/>
        <v>542081</v>
      </c>
      <c r="L87" s="425">
        <f t="shared" si="73"/>
        <v>12707</v>
      </c>
      <c r="M87" s="425">
        <f t="shared" si="73"/>
        <v>4108372</v>
      </c>
      <c r="N87" s="425">
        <f t="shared" si="73"/>
        <v>0</v>
      </c>
      <c r="O87" s="425">
        <f t="shared" si="73"/>
        <v>0</v>
      </c>
      <c r="P87" s="457">
        <f t="shared" si="73"/>
        <v>9488772</v>
      </c>
      <c r="Q87" s="458"/>
      <c r="R87" s="459"/>
      <c r="S87" s="425">
        <f>SUM(S88:S95)</f>
        <v>9488772</v>
      </c>
      <c r="T87" s="461"/>
      <c r="U87" s="462"/>
      <c r="V87" s="460">
        <f>SUM(V88:V95)</f>
        <v>9488772</v>
      </c>
      <c r="W87" s="739"/>
      <c r="X87" s="739"/>
      <c r="Y87" s="744">
        <f>SUM(Y88:Y95)</f>
        <v>9488772</v>
      </c>
      <c r="Z87" s="645">
        <f>SUM(Z88:Z95)</f>
        <v>0</v>
      </c>
      <c r="AA87" s="645">
        <f>SUM(AA88:AA95)</f>
        <v>0</v>
      </c>
      <c r="AB87" s="463"/>
      <c r="AC87" s="463"/>
      <c r="AF87" s="1166">
        <f t="shared" ref="AF87:AF88" si="74">Y87-P87</f>
        <v>0</v>
      </c>
    </row>
    <row r="88" spans="1:32" ht="17.25" thickBot="1">
      <c r="A88" s="747"/>
      <c r="B88" s="426">
        <v>4</v>
      </c>
      <c r="C88" s="427"/>
      <c r="D88" s="428"/>
      <c r="E88" s="429"/>
      <c r="F88" s="430" t="s">
        <v>129</v>
      </c>
      <c r="G88" s="431"/>
      <c r="H88" s="493" t="s">
        <v>800</v>
      </c>
      <c r="I88" s="433">
        <f>SUMIF(별도정산표!$G:$G,PL!H88,별도정산표!$E:$E)</f>
        <v>4825402</v>
      </c>
      <c r="J88" s="433">
        <f>SUMIF(울트라팜_FS!$H:$H,PL!H88,울트라팜_FS!$J:$J)</f>
        <v>0</v>
      </c>
      <c r="K88" s="433">
        <f>SUMIF(HK_PL!$A:$A,PL!H88,HK_PL!$K:$K)</f>
        <v>0</v>
      </c>
      <c r="L88" s="433">
        <f>SUMIF(DHK_PL!$A:$A,PL!H88,DHK_PL!$K:$K)</f>
        <v>0</v>
      </c>
      <c r="M88" s="433">
        <f>SUMIF(상해_PL!$A:$A,PL!H88,상해_PL!$K:$K)</f>
        <v>0</v>
      </c>
      <c r="N88" s="433">
        <f>SUMIF(SG_PL!$A:$A,PL!H88,SG_PL!$K:$K)</f>
        <v>0</v>
      </c>
      <c r="O88" s="433"/>
      <c r="P88" s="457">
        <f t="shared" ref="P88:P95" si="75">SUM(I88:O88)</f>
        <v>4825402</v>
      </c>
      <c r="Q88" s="458">
        <f>SUMIF(RIC!$D:$D,PL!H88,RIC!F:F)</f>
        <v>0</v>
      </c>
      <c r="R88" s="459">
        <f>SUMIF(RIC!G:G,PL!H88,RIC!I:I)</f>
        <v>0</v>
      </c>
      <c r="S88" s="460">
        <f t="shared" ref="S88:S95" si="76">P88+Q88-R88</f>
        <v>4825402</v>
      </c>
      <c r="T88" s="461">
        <f>SUMIF(RIT!H:H,PL!H88,RIT!J:J)</f>
        <v>0</v>
      </c>
      <c r="U88" s="462">
        <f>SUMIF(RIT!K:K,PL!H88,RIT!M:M)</f>
        <v>0</v>
      </c>
      <c r="V88" s="460">
        <f t="shared" ref="V88:V95" si="77">S88+T88-U88</f>
        <v>4825402</v>
      </c>
      <c r="W88" s="739">
        <f>SUMIF(지분법및기타!$D:$D,PL!H88,지분법및기타!$F:$F)</f>
        <v>0</v>
      </c>
      <c r="X88" s="739">
        <f>SUMIF(지분법및기타!$G:$G,PL!H88,지분법및기타!$I:$I)</f>
        <v>0</v>
      </c>
      <c r="Y88" s="744">
        <f t="shared" ref="Y88:Y95" si="78">V88+W88-X88</f>
        <v>4825402</v>
      </c>
      <c r="Z88" s="645"/>
      <c r="AA88" s="645"/>
      <c r="AB88" s="463" t="s">
        <v>126</v>
      </c>
      <c r="AC88" s="463" t="s">
        <v>129</v>
      </c>
      <c r="AF88" s="1166">
        <f t="shared" si="74"/>
        <v>0</v>
      </c>
    </row>
    <row r="89" spans="1:32" ht="17.25" thickBot="1">
      <c r="A89" s="747"/>
      <c r="B89" s="426">
        <v>4</v>
      </c>
      <c r="C89" s="427"/>
      <c r="D89" s="428"/>
      <c r="E89" s="429"/>
      <c r="F89" s="430" t="s">
        <v>128</v>
      </c>
      <c r="G89" s="431"/>
      <c r="H89" s="493" t="s">
        <v>804</v>
      </c>
      <c r="I89" s="433">
        <f>SUMIF(별도정산표!$G:$G,PL!H89,별도정산표!$E:$E)</f>
        <v>0</v>
      </c>
      <c r="J89" s="433">
        <f>SUMIF(울트라팜_FS!$H:$H,PL!H89,울트라팜_FS!$J:$J)</f>
        <v>0</v>
      </c>
      <c r="K89" s="433">
        <f>SUMIF(HK_PL!$A:$A,PL!H89,HK_PL!$K:$K)</f>
        <v>132762</v>
      </c>
      <c r="L89" s="433">
        <f>SUMIF(DHK_PL!$A:$A,PL!H89,DHK_PL!$K:$K)</f>
        <v>0</v>
      </c>
      <c r="M89" s="433">
        <f>SUMIF(상해_PL!$A:$A,PL!H89,상해_PL!$K:$K)</f>
        <v>0</v>
      </c>
      <c r="N89" s="433">
        <f>SUMIF(SG_PL!$A:$A,PL!H89,SG_PL!$K:$K)</f>
        <v>0</v>
      </c>
      <c r="O89" s="433"/>
      <c r="P89" s="457">
        <f t="shared" si="75"/>
        <v>132762</v>
      </c>
      <c r="Q89" s="458">
        <f>SUMIF(RIC!$D:$D,PL!H89,RIC!F:F)</f>
        <v>0</v>
      </c>
      <c r="R89" s="459">
        <f>SUMIF(RIC!G:G,PL!H89,RIC!I:I)</f>
        <v>0</v>
      </c>
      <c r="S89" s="460">
        <f t="shared" si="76"/>
        <v>132762</v>
      </c>
      <c r="T89" s="461">
        <f>SUMIF(RIT!H:H,PL!H89,RIT!J:J)</f>
        <v>0</v>
      </c>
      <c r="U89" s="462">
        <f>SUMIF(RIT!K:K,PL!H89,RIT!M:M)</f>
        <v>0</v>
      </c>
      <c r="V89" s="460">
        <f t="shared" si="77"/>
        <v>132762</v>
      </c>
      <c r="W89" s="739">
        <f>SUMIF(지분법및기타!$D:$D,PL!H89,지분법및기타!$F:$F)</f>
        <v>0</v>
      </c>
      <c r="X89" s="739">
        <f>SUMIF(지분법및기타!$G:$G,PL!H89,지분법및기타!$I:$I)</f>
        <v>0</v>
      </c>
      <c r="Y89" s="744">
        <f t="shared" si="78"/>
        <v>132762</v>
      </c>
      <c r="Z89" s="645"/>
      <c r="AA89" s="645"/>
      <c r="AB89" s="463" t="s">
        <v>126</v>
      </c>
      <c r="AC89" s="463" t="s">
        <v>128</v>
      </c>
    </row>
    <row r="90" spans="1:32" ht="17.25" thickBot="1">
      <c r="A90" s="747"/>
      <c r="B90" s="426">
        <v>4</v>
      </c>
      <c r="C90" s="427"/>
      <c r="D90" s="428"/>
      <c r="E90" s="429"/>
      <c r="F90" s="430" t="s">
        <v>807</v>
      </c>
      <c r="G90" s="431"/>
      <c r="H90" s="493" t="s">
        <v>806</v>
      </c>
      <c r="I90" s="433">
        <f>SUMIF(별도정산표!$G:$G,PL!H90,별도정산표!$E:$E)</f>
        <v>0</v>
      </c>
      <c r="J90" s="433">
        <f>SUMIF(울트라팜_FS!$H:$H,PL!H90,울트라팜_FS!$J:$J)</f>
        <v>0</v>
      </c>
      <c r="K90" s="433">
        <f>SUMIF(HK_PL!$A:$A,PL!H90,HK_PL!$K:$K)</f>
        <v>0</v>
      </c>
      <c r="L90" s="433">
        <f>SUMIF(DHK_PL!$A:$A,PL!H90,DHK_PL!$K:$K)</f>
        <v>0</v>
      </c>
      <c r="M90" s="433">
        <f>SUMIF(상해_PL!$A:$A,PL!H90,상해_PL!$K:$K)</f>
        <v>0</v>
      </c>
      <c r="N90" s="433">
        <f>SUMIF(SG_PL!$A:$A,PL!H90,SG_PL!$K:$K)</f>
        <v>0</v>
      </c>
      <c r="O90" s="433"/>
      <c r="P90" s="457">
        <f t="shared" si="75"/>
        <v>0</v>
      </c>
      <c r="Q90" s="458">
        <f>SUMIF(RIC!$D:$D,PL!H90,RIC!F:F)</f>
        <v>0</v>
      </c>
      <c r="R90" s="459">
        <f>SUMIF(RIC!G:G,PL!H90,RIC!I:I)</f>
        <v>0</v>
      </c>
      <c r="S90" s="460">
        <f t="shared" si="76"/>
        <v>0</v>
      </c>
      <c r="T90" s="461">
        <f>SUMIF(RIT!H:H,PL!H90,RIT!J:J)</f>
        <v>0</v>
      </c>
      <c r="U90" s="462">
        <f>SUMIF(RIT!K:K,PL!H90,RIT!M:M)</f>
        <v>0</v>
      </c>
      <c r="V90" s="460">
        <f t="shared" si="77"/>
        <v>0</v>
      </c>
      <c r="W90" s="739">
        <f>SUMIF(지분법및기타!$D:$D,PL!H90,지분법및기타!$F:$F)</f>
        <v>0</v>
      </c>
      <c r="X90" s="739">
        <f>SUMIF(지분법및기타!$G:$G,PL!H90,지분법및기타!$I:$I)</f>
        <v>0</v>
      </c>
      <c r="Y90" s="744">
        <f t="shared" si="78"/>
        <v>0</v>
      </c>
      <c r="Z90" s="645"/>
      <c r="AA90" s="645"/>
      <c r="AB90" s="463" t="s">
        <v>126</v>
      </c>
      <c r="AC90" s="463" t="s">
        <v>807</v>
      </c>
    </row>
    <row r="91" spans="1:32" ht="17.25" thickBot="1">
      <c r="A91" s="747"/>
      <c r="B91" s="426">
        <v>4</v>
      </c>
      <c r="C91" s="427"/>
      <c r="D91" s="428"/>
      <c r="E91" s="429"/>
      <c r="F91" s="430" t="s">
        <v>809</v>
      </c>
      <c r="G91" s="431"/>
      <c r="H91" s="493" t="s">
        <v>808</v>
      </c>
      <c r="I91" s="433">
        <f>SUMIF(별도정산표!$G:$G,PL!H91,별도정산표!$E:$E)</f>
        <v>0</v>
      </c>
      <c r="J91" s="433">
        <f>SUMIF(울트라팜_FS!$H:$H,PL!H91,울트라팜_FS!$J:$J)</f>
        <v>0</v>
      </c>
      <c r="K91" s="433">
        <f>SUMIF(HK_PL!$A:$A,PL!H91,HK_PL!$K:$K)</f>
        <v>0</v>
      </c>
      <c r="L91" s="433">
        <f>SUMIF(DHK_PL!$A:$A,PL!H91,DHK_PL!$K:$K)</f>
        <v>0</v>
      </c>
      <c r="M91" s="433">
        <f>SUMIF(상해_PL!$A:$A,PL!H91,상해_PL!$K:$K)</f>
        <v>0</v>
      </c>
      <c r="N91" s="433">
        <f>SUMIF(SG_PL!$A:$A,PL!H91,SG_PL!$K:$K)</f>
        <v>0</v>
      </c>
      <c r="O91" s="433"/>
      <c r="P91" s="457">
        <f t="shared" si="75"/>
        <v>0</v>
      </c>
      <c r="Q91" s="458">
        <f>SUMIF(RIC!$D:$D,PL!H91,RIC!F:F)</f>
        <v>0</v>
      </c>
      <c r="R91" s="459">
        <f>SUMIF(RIC!G:G,PL!H91,RIC!I:I)</f>
        <v>0</v>
      </c>
      <c r="S91" s="460">
        <f t="shared" si="76"/>
        <v>0</v>
      </c>
      <c r="T91" s="461">
        <f>SUMIF(RIT!H:H,PL!H91,RIT!J:J)</f>
        <v>0</v>
      </c>
      <c r="U91" s="462">
        <f>SUMIF(RIT!K:K,PL!H91,RIT!M:M)</f>
        <v>0</v>
      </c>
      <c r="V91" s="460">
        <f t="shared" si="77"/>
        <v>0</v>
      </c>
      <c r="W91" s="739">
        <f>SUMIF(지분법및기타!$D:$D,PL!H91,지분법및기타!$F:$F)</f>
        <v>0</v>
      </c>
      <c r="X91" s="739">
        <f>SUMIF(지분법및기타!$G:$G,PL!H91,지분법및기타!$I:$I)</f>
        <v>0</v>
      </c>
      <c r="Y91" s="744">
        <f t="shared" si="78"/>
        <v>0</v>
      </c>
      <c r="Z91" s="645"/>
      <c r="AA91" s="645"/>
      <c r="AB91" s="463" t="s">
        <v>126</v>
      </c>
      <c r="AC91" s="463" t="s">
        <v>809</v>
      </c>
    </row>
    <row r="92" spans="1:32" ht="17.25" thickBot="1">
      <c r="A92" s="747"/>
      <c r="B92" s="426"/>
      <c r="C92" s="427"/>
      <c r="D92" s="428"/>
      <c r="E92" s="429"/>
      <c r="F92" s="430" t="s">
        <v>130</v>
      </c>
      <c r="G92" s="431"/>
      <c r="H92" s="493" t="s">
        <v>810</v>
      </c>
      <c r="I92" s="433">
        <f>SUMIF(별도정산표!$G:$G,PL!H92,별도정산표!$E:$E)</f>
        <v>210</v>
      </c>
      <c r="J92" s="433">
        <f>SUMIF(울트라팜_FS!$H:$H,PL!H92,울트라팜_FS!$J:$J)</f>
        <v>0</v>
      </c>
      <c r="K92" s="433">
        <f>SUMIF(HK_PL!$A:$A,PL!H92,HK_PL!$K:$K)</f>
        <v>409319</v>
      </c>
      <c r="L92" s="433">
        <f>SUMIF(DHK_PL!$A:$A,PL!H92,DHK_PL!$K:$K)</f>
        <v>12707</v>
      </c>
      <c r="M92" s="433">
        <f>SUMIF(상해_PL!$A:$A,PL!H92,상해_PL!$K:$K)</f>
        <v>4108372</v>
      </c>
      <c r="N92" s="433">
        <f>SUMIF(SG_PL!$A:$A,PL!H92,SG_PL!$K:$K)</f>
        <v>0</v>
      </c>
      <c r="O92" s="433"/>
      <c r="P92" s="457">
        <f t="shared" si="75"/>
        <v>4530608</v>
      </c>
      <c r="Q92" s="458">
        <f>SUMIF(RIC!$D:$D,PL!H92,RIC!F:F)</f>
        <v>0</v>
      </c>
      <c r="R92" s="459">
        <f>SUMIF(RIC!G:G,PL!H92,RIC!I:I)</f>
        <v>0</v>
      </c>
      <c r="S92" s="460">
        <f t="shared" si="76"/>
        <v>4530608</v>
      </c>
      <c r="T92" s="461">
        <f>SUMIF(RIT!H:H,PL!H92,RIT!J:J)</f>
        <v>0</v>
      </c>
      <c r="U92" s="462">
        <f>SUMIF(RIT!K:K,PL!H92,RIT!M:M)</f>
        <v>0</v>
      </c>
      <c r="V92" s="460">
        <f t="shared" si="77"/>
        <v>4530608</v>
      </c>
      <c r="W92" s="739">
        <f>SUMIF(지분법및기타!$D:$D,PL!H92,지분법및기타!$F:$F)</f>
        <v>0</v>
      </c>
      <c r="X92" s="739">
        <f>SUMIF(지분법및기타!$G:$G,PL!H92,지분법및기타!$I:$I)</f>
        <v>0</v>
      </c>
      <c r="Y92" s="744">
        <f t="shared" si="78"/>
        <v>4530608</v>
      </c>
      <c r="Z92" s="645"/>
      <c r="AA92" s="645"/>
      <c r="AB92" s="463" t="s">
        <v>126</v>
      </c>
      <c r="AC92" s="463" t="s">
        <v>130</v>
      </c>
      <c r="AF92" s="1166">
        <f t="shared" ref="AF92:AF99" si="79">Y92-P92</f>
        <v>0</v>
      </c>
    </row>
    <row r="93" spans="1:32" ht="17.25" thickBot="1">
      <c r="A93" s="747"/>
      <c r="B93" s="426"/>
      <c r="C93" s="427"/>
      <c r="D93" s="428"/>
      <c r="E93" s="429"/>
      <c r="F93" s="430" t="s">
        <v>2668</v>
      </c>
      <c r="G93" s="431"/>
      <c r="H93" s="493" t="s">
        <v>2666</v>
      </c>
      <c r="I93" s="433">
        <f>SUMIF(별도정산표!$G:$G,PL!H93,별도정산표!$E:$E)</f>
        <v>0</v>
      </c>
      <c r="J93" s="433">
        <f>SUMIF(울트라팜_FS!$H:$H,PL!H93,울트라팜_FS!$J:$J)</f>
        <v>0</v>
      </c>
      <c r="K93" s="433">
        <f>SUMIF(HK_PL!$A:$A,PL!H93,HK_PL!$K:$K)</f>
        <v>0</v>
      </c>
      <c r="L93" s="433">
        <f>SUMIF(DHK_PL!$A:$A,PL!H93,DHK_PL!$K:$K)</f>
        <v>0</v>
      </c>
      <c r="M93" s="433">
        <f>SUMIF(상해_PL!$A:$A,PL!H93,상해_PL!$K:$K)</f>
        <v>0</v>
      </c>
      <c r="N93" s="433">
        <f>SUMIF(SG_PL!$A:$A,PL!H93,SG_PL!$K:$K)</f>
        <v>0</v>
      </c>
      <c r="O93" s="433"/>
      <c r="P93" s="457">
        <f t="shared" ref="P93" si="80">SUM(I93:O93)</f>
        <v>0</v>
      </c>
      <c r="Q93" s="458">
        <f>SUMIF(RIC!$D:$D,PL!H93,RIC!F:F)</f>
        <v>0</v>
      </c>
      <c r="R93" s="459">
        <f>SUMIF(RIC!G:G,PL!H93,RIC!I:I)</f>
        <v>0</v>
      </c>
      <c r="S93" s="460">
        <f t="shared" ref="S93" si="81">P93+Q93-R93</f>
        <v>0</v>
      </c>
      <c r="T93" s="461">
        <f>SUMIF(RIT!H:H,PL!H93,RIT!J:J)</f>
        <v>0</v>
      </c>
      <c r="U93" s="462">
        <f>SUMIF(RIT!K:K,PL!H93,RIT!M:M)</f>
        <v>0</v>
      </c>
      <c r="V93" s="460">
        <f t="shared" ref="V93" si="82">S93+T93-U93</f>
        <v>0</v>
      </c>
      <c r="W93" s="739">
        <f>SUMIF(지분법및기타!$D:$D,PL!H93,지분법및기타!$F:$F)</f>
        <v>0</v>
      </c>
      <c r="X93" s="739">
        <f>SUMIF(지분법및기타!$G:$G,PL!H93,지분법및기타!$I:$I)</f>
        <v>0</v>
      </c>
      <c r="Y93" s="744">
        <f t="shared" ref="Y93" si="83">V93+W93-X93</f>
        <v>0</v>
      </c>
      <c r="Z93" s="645"/>
      <c r="AA93" s="645"/>
      <c r="AB93" s="463" t="s">
        <v>126</v>
      </c>
      <c r="AC93" s="463" t="s">
        <v>2665</v>
      </c>
      <c r="AF93" s="1166">
        <f t="shared" si="79"/>
        <v>0</v>
      </c>
    </row>
    <row r="94" spans="1:32" ht="17.25" thickBot="1">
      <c r="A94" s="747"/>
      <c r="B94" s="426"/>
      <c r="C94" s="427"/>
      <c r="D94" s="428"/>
      <c r="E94" s="429"/>
      <c r="F94" s="430" t="s">
        <v>2873</v>
      </c>
      <c r="G94" s="431"/>
      <c r="H94" s="1290" t="s">
        <v>2872</v>
      </c>
      <c r="I94" s="433">
        <f>SUMIF(별도정산표!$G:$G,PL!H94,별도정산표!$E:$E)</f>
        <v>0</v>
      </c>
      <c r="J94" s="433">
        <f>SUMIF(울트라팜_FS!$H:$H,PL!H94,울트라팜_FS!$J:$J)</f>
        <v>0</v>
      </c>
      <c r="K94" s="433">
        <f>SUMIF(HK_PL!$A:$A,PL!H94,HK_PL!$K:$K)</f>
        <v>0</v>
      </c>
      <c r="L94" s="433">
        <f>SUMIF(DHK_PL!$A:$A,PL!H94,DHK_PL!$K:$K)</f>
        <v>0</v>
      </c>
      <c r="M94" s="433">
        <f>SUMIF(상해_PL!$A:$A,PL!H94,상해_PL!$K:$K)</f>
        <v>0</v>
      </c>
      <c r="N94" s="433">
        <f>SUMIF(SG_PL!$A:$A,PL!H94,SG_PL!$K:$K)</f>
        <v>0</v>
      </c>
      <c r="O94" s="433"/>
      <c r="P94" s="457">
        <f t="shared" ref="P94" si="84">SUM(I94:O94)</f>
        <v>0</v>
      </c>
      <c r="Q94" s="458">
        <f>SUMIF(RIC!$D:$D,PL!H94,RIC!F:F)</f>
        <v>0</v>
      </c>
      <c r="R94" s="459">
        <f>SUMIF(RIC!G:G,PL!H94,RIC!I:I)</f>
        <v>0</v>
      </c>
      <c r="S94" s="460">
        <f t="shared" ref="S94" si="85">P94+Q94-R94</f>
        <v>0</v>
      </c>
      <c r="T94" s="461">
        <f>SUMIF(RIT!H:H,PL!H94,RIT!J:J)</f>
        <v>0</v>
      </c>
      <c r="U94" s="462">
        <f>SUMIF(RIT!K:K,PL!H94,RIT!M:M)</f>
        <v>0</v>
      </c>
      <c r="V94" s="460">
        <f t="shared" ref="V94" si="86">S94+T94-U94</f>
        <v>0</v>
      </c>
      <c r="W94" s="739">
        <f>SUMIF(지분법및기타!$D:$D,PL!H94,지분법및기타!$F:$F)</f>
        <v>0</v>
      </c>
      <c r="X94" s="739">
        <f>SUMIF(지분법및기타!$G:$G,PL!H94,지분법및기타!$I:$I)</f>
        <v>0</v>
      </c>
      <c r="Y94" s="744">
        <f t="shared" ref="Y94" si="87">V94+W94-X94</f>
        <v>0</v>
      </c>
      <c r="Z94" s="645"/>
      <c r="AA94" s="645"/>
      <c r="AB94" s="463" t="s">
        <v>126</v>
      </c>
      <c r="AC94" s="463" t="s">
        <v>175</v>
      </c>
      <c r="AF94" s="1166"/>
    </row>
    <row r="95" spans="1:32" ht="17.25" thickBot="1">
      <c r="A95" s="747"/>
      <c r="B95" s="426">
        <v>4</v>
      </c>
      <c r="C95" s="427"/>
      <c r="D95" s="428"/>
      <c r="E95" s="429"/>
      <c r="F95" s="430" t="s">
        <v>2661</v>
      </c>
      <c r="G95" s="431"/>
      <c r="H95" s="493" t="s">
        <v>2660</v>
      </c>
      <c r="I95" s="433">
        <f>SUMIF(별도정산표!$G:$G,PL!H95,별도정산표!$E:$E)</f>
        <v>0</v>
      </c>
      <c r="J95" s="433">
        <f>SUMIF(울트라팜_FS!$H:$H,PL!H95,울트라팜_FS!$J:$J)</f>
        <v>0</v>
      </c>
      <c r="K95" s="433">
        <f>SUMIF(HK_PL!$A:$A,PL!H95,HK_PL!$K:$K)</f>
        <v>0</v>
      </c>
      <c r="L95" s="433">
        <f>SUMIF(DHK_PL!$A:$A,PL!H95,DHK_PL!$K:$K)</f>
        <v>0</v>
      </c>
      <c r="M95" s="433">
        <f>SUMIF(상해_PL!$A:$A,PL!H95,상해_PL!$K:$K)</f>
        <v>0</v>
      </c>
      <c r="N95" s="433">
        <f>SUMIF(SG_PL!$A:$A,PL!H95,SG_PL!$K:$K)</f>
        <v>0</v>
      </c>
      <c r="O95" s="433"/>
      <c r="P95" s="457">
        <f t="shared" si="75"/>
        <v>0</v>
      </c>
      <c r="Q95" s="458">
        <f>SUMIF(RIC!$D:$D,PL!H95,RIC!F:F)</f>
        <v>0</v>
      </c>
      <c r="R95" s="459">
        <f>SUMIF(RIC!G:G,PL!H95,RIC!I:I)</f>
        <v>0</v>
      </c>
      <c r="S95" s="460">
        <f t="shared" si="76"/>
        <v>0</v>
      </c>
      <c r="T95" s="461">
        <f>SUMIF(RIT!H:H,PL!H95,RIT!J:J)</f>
        <v>0</v>
      </c>
      <c r="U95" s="462">
        <f>SUMIF(RIT!K:K,PL!H95,RIT!M:M)</f>
        <v>0</v>
      </c>
      <c r="V95" s="460">
        <f t="shared" si="77"/>
        <v>0</v>
      </c>
      <c r="W95" s="739">
        <f>SUMIF(지분법및기타!$D:$D,PL!H95,지분법및기타!$F:$F)</f>
        <v>0</v>
      </c>
      <c r="X95" s="739">
        <f>SUMIF(지분법및기타!$G:$G,PL!H95,지분법및기타!$I:$I)</f>
        <v>0</v>
      </c>
      <c r="Y95" s="744">
        <f t="shared" si="78"/>
        <v>0</v>
      </c>
      <c r="Z95" s="645"/>
      <c r="AA95" s="645"/>
      <c r="AB95" s="463" t="s">
        <v>131</v>
      </c>
      <c r="AC95" s="463" t="s">
        <v>2661</v>
      </c>
      <c r="AF95" s="1166">
        <f t="shared" si="79"/>
        <v>0</v>
      </c>
    </row>
    <row r="96" spans="1:32" ht="17.25" thickBot="1">
      <c r="A96" s="747"/>
      <c r="B96" s="426">
        <v>4</v>
      </c>
      <c r="C96" s="427"/>
      <c r="D96" s="428"/>
      <c r="E96" s="429" t="s">
        <v>90</v>
      </c>
      <c r="F96" s="430"/>
      <c r="G96" s="431"/>
      <c r="H96" s="493"/>
      <c r="I96" s="425">
        <f t="shared" ref="I96:P96" si="88">SUM(I97:I101)</f>
        <v>169543833</v>
      </c>
      <c r="J96" s="425">
        <f t="shared" si="88"/>
        <v>0</v>
      </c>
      <c r="K96" s="425">
        <f t="shared" si="88"/>
        <v>658</v>
      </c>
      <c r="L96" s="425">
        <f t="shared" si="88"/>
        <v>53</v>
      </c>
      <c r="M96" s="425">
        <f t="shared" si="88"/>
        <v>2182</v>
      </c>
      <c r="N96" s="425">
        <f t="shared" si="88"/>
        <v>0</v>
      </c>
      <c r="O96" s="425">
        <f t="shared" si="88"/>
        <v>0</v>
      </c>
      <c r="P96" s="457">
        <f t="shared" si="88"/>
        <v>169546726</v>
      </c>
      <c r="Q96" s="458"/>
      <c r="R96" s="459"/>
      <c r="S96" s="425">
        <f>SUM(S97:S101)</f>
        <v>169546726</v>
      </c>
      <c r="T96" s="461"/>
      <c r="U96" s="462"/>
      <c r="V96" s="460">
        <f>SUM(V97:V101)</f>
        <v>169546726</v>
      </c>
      <c r="W96" s="739"/>
      <c r="X96" s="739"/>
      <c r="Y96" s="744">
        <f>SUM(Y97:Y101)</f>
        <v>169546726</v>
      </c>
      <c r="Z96" s="645">
        <f>SUM(Z97:Z101)</f>
        <v>0</v>
      </c>
      <c r="AA96" s="645">
        <f>SUM(AA97:AA101)</f>
        <v>0</v>
      </c>
      <c r="AB96" s="463"/>
      <c r="AC96" s="463"/>
      <c r="AF96" s="1166">
        <f t="shared" si="79"/>
        <v>0</v>
      </c>
    </row>
    <row r="97" spans="1:32" ht="17.25" thickBot="1">
      <c r="A97" s="747"/>
      <c r="B97" s="426">
        <v>4</v>
      </c>
      <c r="C97" s="427"/>
      <c r="D97" s="428"/>
      <c r="E97" s="429"/>
      <c r="F97" s="430" t="s">
        <v>133</v>
      </c>
      <c r="G97" s="431"/>
      <c r="H97" s="493" t="s">
        <v>793</v>
      </c>
      <c r="I97" s="433">
        <f>SUMIF(별도정산표!$G:$G,PL!H97,별도정산표!$E:$E)</f>
        <v>22098561</v>
      </c>
      <c r="J97" s="433">
        <f>SUMIF(울트라팜_FS!$H:$H,PL!H97,울트라팜_FS!$J:$J)</f>
        <v>0</v>
      </c>
      <c r="K97" s="433">
        <f>SUMIF(HK_PL!$A:$A,PL!H97,HK_PL!$K:$K)</f>
        <v>658</v>
      </c>
      <c r="L97" s="433">
        <f>SUMIF(DHK_PL!$A:$A,PL!H97,DHK_PL!$K:$K)</f>
        <v>53</v>
      </c>
      <c r="M97" s="433">
        <f>SUMIF(상해_PL!$A:$A,PL!H97,상해_PL!$K:$K)</f>
        <v>2182</v>
      </c>
      <c r="N97" s="433">
        <f>SUMIF(SG_PL!$A:$A,PL!H97,SG_PL!$K:$K)</f>
        <v>0</v>
      </c>
      <c r="O97" s="433"/>
      <c r="P97" s="457">
        <f t="shared" ref="P97:P101" si="89">SUM(I97:O97)</f>
        <v>22101454</v>
      </c>
      <c r="Q97" s="458">
        <f>SUMIF(RIC!$D:$D,PL!H97,RIC!F:F)</f>
        <v>0</v>
      </c>
      <c r="R97" s="459">
        <f>SUMIF(RIC!G:G,PL!H97,RIC!I:I)</f>
        <v>0</v>
      </c>
      <c r="S97" s="460">
        <f t="shared" ref="S97:S101" si="90">P97+R97-Q97</f>
        <v>22101454</v>
      </c>
      <c r="T97" s="461">
        <f>SUMIF(RIT!H:H,PL!H97,RIT!J:J)</f>
        <v>0</v>
      </c>
      <c r="U97" s="462">
        <f>SUMIF(RIT!K:K,PL!H97,RIT!M:M)</f>
        <v>0</v>
      </c>
      <c r="V97" s="460">
        <f t="shared" ref="V97:V101" si="91">S97+U97-T97</f>
        <v>22101454</v>
      </c>
      <c r="W97" s="739">
        <f>SUMIF(지분법및기타!$D:$D,PL!H97,지분법및기타!$F:$F)</f>
        <v>0</v>
      </c>
      <c r="X97" s="739">
        <f>SUMIF(지분법및기타!$G:$G,PL!H97,지분법및기타!$I:$I)</f>
        <v>0</v>
      </c>
      <c r="Y97" s="744">
        <f t="shared" ref="Y97:Y101" si="92">V97+X97-W97</f>
        <v>22101454</v>
      </c>
      <c r="Z97" s="645"/>
      <c r="AA97" s="645"/>
      <c r="AB97" s="463" t="s">
        <v>134</v>
      </c>
      <c r="AC97" s="463" t="s">
        <v>1671</v>
      </c>
      <c r="AF97" s="1166">
        <f t="shared" si="79"/>
        <v>0</v>
      </c>
    </row>
    <row r="98" spans="1:32" ht="17.25" thickBot="1">
      <c r="A98" s="747"/>
      <c r="B98" s="426">
        <v>4</v>
      </c>
      <c r="C98" s="427"/>
      <c r="D98" s="428"/>
      <c r="E98" s="429"/>
      <c r="F98" s="430" t="s">
        <v>120</v>
      </c>
      <c r="G98" s="431"/>
      <c r="H98" s="493" t="s">
        <v>794</v>
      </c>
      <c r="I98" s="433">
        <f>SUMIF(별도정산표!$G:$G,PL!H98,별도정산표!$E:$E)</f>
        <v>109841433</v>
      </c>
      <c r="J98" s="433">
        <f>SUMIF(울트라팜_FS!$H:$H,PL!H98,울트라팜_FS!$J:$J)</f>
        <v>0</v>
      </c>
      <c r="K98" s="433">
        <f>SUMIF(HK_PL!$A:$A,PL!H98,HK_PL!$K:$K)</f>
        <v>0</v>
      </c>
      <c r="L98" s="433">
        <f>SUMIF(DHK_PL!$A:$A,PL!H98,DHK_PL!$K:$K)</f>
        <v>0</v>
      </c>
      <c r="M98" s="433">
        <f>SUMIF(상해_PL!$A:$A,PL!H98,상해_PL!$K:$K)</f>
        <v>0</v>
      </c>
      <c r="N98" s="433">
        <f>SUMIF(SG_PL!$A:$A,PL!H98,SG_PL!$K:$K)</f>
        <v>0</v>
      </c>
      <c r="O98" s="433"/>
      <c r="P98" s="457">
        <f t="shared" si="89"/>
        <v>109841433</v>
      </c>
      <c r="Q98" s="458">
        <f>SUMIF(RIC!$D:$D,PL!H98,RIC!F:F)</f>
        <v>0</v>
      </c>
      <c r="R98" s="459">
        <f>SUMIF(RIC!G:G,PL!H98,RIC!I:I)</f>
        <v>0</v>
      </c>
      <c r="S98" s="460">
        <f t="shared" si="90"/>
        <v>109841433</v>
      </c>
      <c r="T98" s="461">
        <f>SUMIF(RIT!H:H,PL!H98,RIT!J:J)</f>
        <v>0</v>
      </c>
      <c r="U98" s="462">
        <f>SUMIF(RIT!K:K,PL!H98,RIT!M:M)</f>
        <v>0</v>
      </c>
      <c r="V98" s="460">
        <f t="shared" si="91"/>
        <v>109841433</v>
      </c>
      <c r="W98" s="739">
        <f>SUMIF(지분법및기타!$D:$D,PL!H98,지분법및기타!$F:$F)</f>
        <v>0</v>
      </c>
      <c r="X98" s="739">
        <f>SUMIF(지분법및기타!$G:$G,PL!H98,지분법및기타!$I:$I)</f>
        <v>0</v>
      </c>
      <c r="Y98" s="744">
        <f t="shared" si="92"/>
        <v>109841433</v>
      </c>
      <c r="Z98" s="645"/>
      <c r="AA98" s="645"/>
      <c r="AB98" s="463" t="s">
        <v>134</v>
      </c>
      <c r="AC98" s="463" t="s">
        <v>120</v>
      </c>
      <c r="AF98" s="1166">
        <f t="shared" si="79"/>
        <v>0</v>
      </c>
    </row>
    <row r="99" spans="1:32" ht="17.25" thickBot="1">
      <c r="A99" s="747"/>
      <c r="B99" s="426">
        <v>4</v>
      </c>
      <c r="C99" s="427"/>
      <c r="D99" s="428"/>
      <c r="E99" s="429"/>
      <c r="F99" s="430" t="s">
        <v>121</v>
      </c>
      <c r="G99" s="431"/>
      <c r="H99" s="493" t="s">
        <v>795</v>
      </c>
      <c r="I99" s="433">
        <f>SUMIF(별도정산표!$G:$G,PL!H99,별도정산표!$E:$E)</f>
        <v>37603839</v>
      </c>
      <c r="J99" s="433">
        <f>SUMIF(울트라팜_FS!$H:$H,PL!H99,울트라팜_FS!$J:$J)</f>
        <v>0</v>
      </c>
      <c r="K99" s="433">
        <f>SUMIF(HK_PL!$A:$A,PL!H99,HK_PL!$K:$K)</f>
        <v>0</v>
      </c>
      <c r="L99" s="433">
        <f>SUMIF(DHK_PL!$A:$A,PL!H99,DHK_PL!$K:$K)</f>
        <v>0</v>
      </c>
      <c r="M99" s="433">
        <f>SUMIF(상해_PL!$A:$A,PL!H99,상해_PL!$K:$K)</f>
        <v>0</v>
      </c>
      <c r="N99" s="433">
        <f>SUMIF(SG_PL!$A:$A,PL!H99,SG_PL!$K:$K)</f>
        <v>0</v>
      </c>
      <c r="O99" s="433"/>
      <c r="P99" s="457">
        <f t="shared" si="89"/>
        <v>37603839</v>
      </c>
      <c r="Q99" s="458">
        <f>SUMIF(RIC!$D:$D,PL!H99,RIC!F:F)</f>
        <v>0</v>
      </c>
      <c r="R99" s="459">
        <f>SUMIF(RIC!G:G,PL!H99,RIC!I:I)</f>
        <v>0</v>
      </c>
      <c r="S99" s="460">
        <f t="shared" si="90"/>
        <v>37603839</v>
      </c>
      <c r="T99" s="461">
        <f>SUMIF(RIT!H:H,PL!H99,RIT!J:J)</f>
        <v>0</v>
      </c>
      <c r="U99" s="462">
        <f>SUMIF(RIT!K:K,PL!H99,RIT!M:M)</f>
        <v>0</v>
      </c>
      <c r="V99" s="460">
        <f t="shared" si="91"/>
        <v>37603839</v>
      </c>
      <c r="W99" s="739">
        <f>SUMIF(지분법및기타!$D:$D,PL!H99,지분법및기타!$F:$F)</f>
        <v>0</v>
      </c>
      <c r="X99" s="739">
        <f>SUMIF(지분법및기타!$G:$G,PL!H99,지분법및기타!$I:$I)</f>
        <v>0</v>
      </c>
      <c r="Y99" s="744">
        <f t="shared" si="92"/>
        <v>37603839</v>
      </c>
      <c r="Z99" s="645"/>
      <c r="AA99" s="645"/>
      <c r="AB99" s="463" t="s">
        <v>134</v>
      </c>
      <c r="AC99" s="463" t="s">
        <v>121</v>
      </c>
      <c r="AF99" s="1166">
        <f t="shared" si="79"/>
        <v>0</v>
      </c>
    </row>
    <row r="100" spans="1:32" ht="17.25" thickBot="1">
      <c r="A100" s="747"/>
      <c r="B100" s="426">
        <v>4</v>
      </c>
      <c r="C100" s="427"/>
      <c r="D100" s="428"/>
      <c r="E100" s="429"/>
      <c r="F100" s="430" t="s">
        <v>824</v>
      </c>
      <c r="G100" s="431"/>
      <c r="H100" s="493"/>
      <c r="I100" s="433">
        <f>SUMIF(별도정산표!$G:$G,PL!H100,별도정산표!$E:$E)</f>
        <v>0</v>
      </c>
      <c r="J100" s="433">
        <f>SUMIF(울트라팜_FS!$H:$H,PL!H100,울트라팜_FS!$J:$J)</f>
        <v>0</v>
      </c>
      <c r="K100" s="433">
        <f>SUMIF(HK_PL!$A:$A,PL!H100,HK_PL!$K:$K)</f>
        <v>0</v>
      </c>
      <c r="L100" s="433">
        <f>SUMIF(DHK_PL!$A:$A,PL!H100,DHK_PL!$K:$K)</f>
        <v>0</v>
      </c>
      <c r="M100" s="433">
        <f>SUMIF(상해_PL!$A:$A,PL!H100,상해_PL!$K:$K)</f>
        <v>0</v>
      </c>
      <c r="N100" s="433">
        <f>SUMIF(SG_PL!$A:$A,PL!H100,SG_PL!$K:$K)</f>
        <v>0</v>
      </c>
      <c r="O100" s="433"/>
      <c r="P100" s="457">
        <f t="shared" si="89"/>
        <v>0</v>
      </c>
      <c r="Q100" s="458">
        <f>SUMIF(RIC!$D:$D,PL!H100,RIC!F:F)</f>
        <v>0</v>
      </c>
      <c r="R100" s="459">
        <f>SUMIF(RIC!G:G,PL!H100,RIC!I:I)</f>
        <v>0</v>
      </c>
      <c r="S100" s="460">
        <f t="shared" si="90"/>
        <v>0</v>
      </c>
      <c r="T100" s="461">
        <f>SUMIF(RIT!H:H,PL!H100,RIT!J:J)</f>
        <v>0</v>
      </c>
      <c r="U100" s="462">
        <f>SUMIF(RIT!K:K,PL!H100,RIT!M:M)</f>
        <v>0</v>
      </c>
      <c r="V100" s="460">
        <f t="shared" si="91"/>
        <v>0</v>
      </c>
      <c r="W100" s="739">
        <f>SUMIF(지분법및기타!$D:$D,PL!H100,지분법및기타!$F:$F)</f>
        <v>0</v>
      </c>
      <c r="X100" s="739">
        <f>SUMIF(지분법및기타!$G:$G,PL!H100,지분법및기타!$I:$I)</f>
        <v>0</v>
      </c>
      <c r="Y100" s="744">
        <f t="shared" si="92"/>
        <v>0</v>
      </c>
      <c r="Z100" s="645"/>
      <c r="AA100" s="645"/>
      <c r="AB100" s="463" t="s">
        <v>134</v>
      </c>
      <c r="AC100" s="463"/>
    </row>
    <row r="101" spans="1:32" ht="17.25" thickBot="1">
      <c r="A101" s="747"/>
      <c r="B101" s="426">
        <v>4</v>
      </c>
      <c r="C101" s="427"/>
      <c r="D101" s="428"/>
      <c r="E101" s="429"/>
      <c r="F101" s="430" t="s">
        <v>823</v>
      </c>
      <c r="G101" s="431"/>
      <c r="H101" s="493"/>
      <c r="I101" s="433">
        <f>SUMIF(별도정산표!$G:$G,PL!H101,별도정산표!$E:$E)</f>
        <v>0</v>
      </c>
      <c r="J101" s="433">
        <f>SUMIF(울트라팜_FS!$H:$H,PL!H101,울트라팜_FS!$J:$J)</f>
        <v>0</v>
      </c>
      <c r="K101" s="433">
        <f>SUMIF(HK_PL!$A:$A,PL!H101,HK_PL!$K:$K)</f>
        <v>0</v>
      </c>
      <c r="L101" s="433">
        <f>SUMIF(DHK_PL!$A:$A,PL!H101,DHK_PL!$K:$K)</f>
        <v>0</v>
      </c>
      <c r="M101" s="433">
        <f>SUMIF(상해_PL!$A:$A,PL!H101,상해_PL!$K:$K)</f>
        <v>0</v>
      </c>
      <c r="N101" s="433">
        <f>SUMIF(SG_PL!$A:$A,PL!H101,SG_PL!$K:$K)</f>
        <v>0</v>
      </c>
      <c r="O101" s="433"/>
      <c r="P101" s="457">
        <f t="shared" si="89"/>
        <v>0</v>
      </c>
      <c r="Q101" s="458">
        <f>SUMIF(RIC!$D:$D,PL!H101,RIC!F:F)</f>
        <v>0</v>
      </c>
      <c r="R101" s="459">
        <f>SUMIF(RIC!G:G,PL!H101,RIC!I:I)</f>
        <v>0</v>
      </c>
      <c r="S101" s="460">
        <f t="shared" si="90"/>
        <v>0</v>
      </c>
      <c r="T101" s="461">
        <f>SUMIF(RIT!H:H,PL!H101,RIT!J:J)</f>
        <v>0</v>
      </c>
      <c r="U101" s="462">
        <f>SUMIF(RIT!K:K,PL!H101,RIT!M:M)</f>
        <v>0</v>
      </c>
      <c r="V101" s="460">
        <f t="shared" si="91"/>
        <v>0</v>
      </c>
      <c r="W101" s="739">
        <f>SUMIF(지분법및기타!$D:$D,PL!H101,지분법및기타!$F:$F)</f>
        <v>0</v>
      </c>
      <c r="X101" s="739">
        <f>SUMIF(지분법및기타!$G:$G,PL!H101,지분법및기타!$I:$I)</f>
        <v>0</v>
      </c>
      <c r="Y101" s="744">
        <f t="shared" si="92"/>
        <v>0</v>
      </c>
      <c r="Z101" s="645"/>
      <c r="AA101" s="645"/>
      <c r="AB101" s="463" t="s">
        <v>134</v>
      </c>
      <c r="AC101" s="463"/>
    </row>
    <row r="102" spans="1:32" ht="17.25" thickBot="1">
      <c r="A102" s="747"/>
      <c r="B102" s="426">
        <v>4</v>
      </c>
      <c r="C102" s="427"/>
      <c r="D102" s="428"/>
      <c r="E102" s="429" t="s">
        <v>91</v>
      </c>
      <c r="F102" s="430"/>
      <c r="G102" s="431"/>
      <c r="H102" s="493"/>
      <c r="I102" s="425">
        <f t="shared" ref="I102:P102" si="93">SUM(I103:I107)</f>
        <v>271149913</v>
      </c>
      <c r="J102" s="425">
        <f t="shared" si="93"/>
        <v>0</v>
      </c>
      <c r="K102" s="425">
        <f t="shared" si="93"/>
        <v>1829430</v>
      </c>
      <c r="L102" s="425">
        <f t="shared" si="93"/>
        <v>144</v>
      </c>
      <c r="M102" s="425">
        <f t="shared" si="93"/>
        <v>233982</v>
      </c>
      <c r="N102" s="425">
        <f t="shared" si="93"/>
        <v>30026</v>
      </c>
      <c r="O102" s="425">
        <f t="shared" si="93"/>
        <v>0</v>
      </c>
      <c r="P102" s="457">
        <f t="shared" si="93"/>
        <v>273243495</v>
      </c>
      <c r="Q102" s="458"/>
      <c r="R102" s="459"/>
      <c r="S102" s="425">
        <f>SUM(S103:S107)</f>
        <v>273243495</v>
      </c>
      <c r="T102" s="461"/>
      <c r="U102" s="462"/>
      <c r="V102" s="460">
        <f>SUM(V103:V107)</f>
        <v>273243495</v>
      </c>
      <c r="W102" s="739"/>
      <c r="X102" s="739"/>
      <c r="Y102" s="744">
        <f>SUM(Y103:Y107)</f>
        <v>273243495</v>
      </c>
      <c r="Z102" s="645">
        <f>SUM(Z103:Z107)</f>
        <v>0</v>
      </c>
      <c r="AA102" s="645">
        <f>SUM(AA103:AA107)</f>
        <v>0</v>
      </c>
      <c r="AB102" s="463"/>
      <c r="AC102" s="463"/>
      <c r="AF102" s="1166">
        <f t="shared" ref="AF102:AF105" si="94">Y102-P102</f>
        <v>0</v>
      </c>
    </row>
    <row r="103" spans="1:32" ht="17.25" thickBot="1">
      <c r="A103" s="747"/>
      <c r="B103" s="426"/>
      <c r="C103" s="427"/>
      <c r="D103" s="428"/>
      <c r="E103" s="429"/>
      <c r="F103" s="430" t="s">
        <v>179</v>
      </c>
      <c r="G103" s="431"/>
      <c r="H103" s="493" t="s">
        <v>802</v>
      </c>
      <c r="I103" s="433">
        <f>SUMIF(별도정산표!$G:$G,PL!H103,별도정산표!$E:$E)</f>
        <v>98954951</v>
      </c>
      <c r="J103" s="433">
        <f>SUMIF(울트라팜_FS!$H:$H,PL!H103,울트라팜_FS!$J:$J)</f>
        <v>0</v>
      </c>
      <c r="K103" s="433">
        <f>SUMIF(HK_PL!$A:$A,PL!H103,HK_PL!$K:$K)</f>
        <v>0</v>
      </c>
      <c r="L103" s="433">
        <f>SUMIF(DHK_PL!$A:$A,PL!H103,DHK_PL!$K:$K)</f>
        <v>0</v>
      </c>
      <c r="M103" s="433">
        <f>SUMIF(상해_PL!$A:$A,PL!H103,상해_PL!$K:$K)</f>
        <v>0</v>
      </c>
      <c r="N103" s="433">
        <f>SUMIF(SG_PL!$A:$A,PL!H103,SG_PL!$K:$K)</f>
        <v>0</v>
      </c>
      <c r="O103" s="433"/>
      <c r="P103" s="457">
        <f t="shared" ref="P103:P107" si="95">SUM(I103:O103)</f>
        <v>98954951</v>
      </c>
      <c r="Q103" s="458">
        <f>SUMIF(RIC!$D:$D,PL!H103,RIC!F:F)</f>
        <v>0</v>
      </c>
      <c r="R103" s="459">
        <f>SUMIF(RIC!G:G,PL!H103,RIC!I:I)</f>
        <v>0</v>
      </c>
      <c r="S103" s="460">
        <f t="shared" ref="S103:S107" si="96">P103+Q103-R103</f>
        <v>98954951</v>
      </c>
      <c r="T103" s="461">
        <f>SUMIF(RIT!H:H,PL!H103,RIT!J:J)</f>
        <v>0</v>
      </c>
      <c r="U103" s="461">
        <f>SUMIF(RIT!K:K,PL!H103,RIT!M:M)</f>
        <v>0</v>
      </c>
      <c r="V103" s="460">
        <f t="shared" ref="V103:V107" si="97">S103+T103-U103</f>
        <v>98954951</v>
      </c>
      <c r="W103" s="739">
        <f>SUMIF(지분법및기타!$D:$D,PL!H103,지분법및기타!$F:$F)</f>
        <v>0</v>
      </c>
      <c r="X103" s="739">
        <f>SUMIF(지분법및기타!$G:$G,PL!H103,지분법및기타!$I:$I)</f>
        <v>0</v>
      </c>
      <c r="Y103" s="744">
        <f t="shared" ref="Y103:Y107" si="98">V103+W103-X103</f>
        <v>98954951</v>
      </c>
      <c r="Z103" s="645"/>
      <c r="AA103" s="645"/>
      <c r="AB103" s="463" t="s">
        <v>135</v>
      </c>
      <c r="AC103" s="463" t="s">
        <v>1672</v>
      </c>
      <c r="AF103" s="1166">
        <f t="shared" si="94"/>
        <v>0</v>
      </c>
    </row>
    <row r="104" spans="1:32" ht="17.25" thickBot="1">
      <c r="A104" s="747"/>
      <c r="B104" s="426">
        <v>4</v>
      </c>
      <c r="C104" s="427"/>
      <c r="D104" s="428"/>
      <c r="E104" s="429"/>
      <c r="F104" s="430" t="s">
        <v>125</v>
      </c>
      <c r="G104" s="431"/>
      <c r="H104" s="493" t="s">
        <v>803</v>
      </c>
      <c r="I104" s="433">
        <f>SUMIF(별도정산표!$G:$G,PL!H104,별도정산표!$E:$E)</f>
        <v>172194962</v>
      </c>
      <c r="J104" s="433">
        <f>SUMIF(울트라팜_FS!$H:$H,PL!H104,울트라팜_FS!$J:$J)</f>
        <v>0</v>
      </c>
      <c r="K104" s="433">
        <f>SUMIF(HK_PL!$A:$A,PL!H104,HK_PL!$K:$K)</f>
        <v>1829428</v>
      </c>
      <c r="L104" s="433">
        <f>SUMIF(DHK_PL!$A:$A,PL!H104,DHK_PL!$K:$K)</f>
        <v>144</v>
      </c>
      <c r="M104" s="433">
        <f>SUMIF(상해_PL!$A:$A,PL!H104,상해_PL!$K:$K)</f>
        <v>233982</v>
      </c>
      <c r="N104" s="433">
        <f>SUMIF(SG_PL!$A:$A,PL!H104,SG_PL!$K:$K)</f>
        <v>30026</v>
      </c>
      <c r="O104" s="433"/>
      <c r="P104" s="457">
        <f t="shared" si="95"/>
        <v>174288542</v>
      </c>
      <c r="Q104" s="458">
        <f>SUMIF(RIC!$D:$D,PL!H104,RIC!F:F)</f>
        <v>0</v>
      </c>
      <c r="R104" s="459">
        <f>SUMIF(RIC!G:G,PL!H104,RIC!I:I)</f>
        <v>0</v>
      </c>
      <c r="S104" s="460">
        <f t="shared" si="96"/>
        <v>174288542</v>
      </c>
      <c r="T104" s="461">
        <f>SUMIF(RIT!H:H,PL!H104,RIT!J:J)</f>
        <v>0</v>
      </c>
      <c r="U104" s="462">
        <f>SUMIF(RIT!K:K,PL!H104,RIT!M:M)</f>
        <v>0</v>
      </c>
      <c r="V104" s="460">
        <f t="shared" si="97"/>
        <v>174288542</v>
      </c>
      <c r="W104" s="739">
        <f>SUMIF(지분법및기타!$D:$D,PL!H104,지분법및기타!$F:$F)</f>
        <v>0</v>
      </c>
      <c r="X104" s="739">
        <f>SUMIF(지분법및기타!$G:$G,PL!H104,지분법및기타!$I:$I)</f>
        <v>0</v>
      </c>
      <c r="Y104" s="744">
        <f t="shared" si="98"/>
        <v>174288542</v>
      </c>
      <c r="Z104" s="645"/>
      <c r="AA104" s="645"/>
      <c r="AB104" s="463" t="s">
        <v>136</v>
      </c>
      <c r="AC104" s="463" t="s">
        <v>125</v>
      </c>
      <c r="AF104" s="1166">
        <f t="shared" si="94"/>
        <v>0</v>
      </c>
    </row>
    <row r="105" spans="1:32" ht="17.25" thickBot="1">
      <c r="A105" s="747"/>
      <c r="B105" s="426">
        <v>4</v>
      </c>
      <c r="C105" s="427"/>
      <c r="D105" s="428"/>
      <c r="E105" s="429"/>
      <c r="F105" s="430" t="s">
        <v>127</v>
      </c>
      <c r="G105" s="431"/>
      <c r="H105" s="493" t="s">
        <v>805</v>
      </c>
      <c r="I105" s="433">
        <f>SUMIF(별도정산표!$G:$G,PL!H105,별도정산표!$E:$E)</f>
        <v>0</v>
      </c>
      <c r="J105" s="433">
        <f>SUMIF(울트라팜_FS!$H:$H,PL!H105,울트라팜_FS!$J:$J)</f>
        <v>0</v>
      </c>
      <c r="K105" s="433">
        <f>SUMIF(HK_PL!$A:$A,PL!H105,HK_PL!$K:$K)</f>
        <v>2</v>
      </c>
      <c r="L105" s="433">
        <f>SUMIF(DHK_PL!$A:$A,PL!H105,DHK_PL!$K:$K)</f>
        <v>0</v>
      </c>
      <c r="M105" s="433">
        <f>SUMIF(상해_PL!$A:$A,PL!H105,상해_PL!$K:$K)</f>
        <v>0</v>
      </c>
      <c r="N105" s="433">
        <f>SUMIF(SG_PL!$A:$A,PL!H105,SG_PL!$K:$K)</f>
        <v>0</v>
      </c>
      <c r="O105" s="433"/>
      <c r="P105" s="457">
        <f t="shared" si="95"/>
        <v>2</v>
      </c>
      <c r="Q105" s="458">
        <f>SUMIF(RIC!$D:$D,PL!H105,RIC!F:F)</f>
        <v>0</v>
      </c>
      <c r="R105" s="459">
        <f>SUMIF(RIC!G:G,PL!H105,RIC!I:I)</f>
        <v>0</v>
      </c>
      <c r="S105" s="460">
        <f t="shared" si="96"/>
        <v>2</v>
      </c>
      <c r="T105" s="461">
        <f>SUMIF(RIT!H:H,PL!H105,RIT!J:J)</f>
        <v>0</v>
      </c>
      <c r="U105" s="462">
        <f>SUMIF(RIT!K:K,PL!H105,RIT!M:M)</f>
        <v>0</v>
      </c>
      <c r="V105" s="460">
        <f t="shared" si="97"/>
        <v>2</v>
      </c>
      <c r="W105" s="739">
        <f>SUMIF(지분법및기타!$D:$D,PL!H105,지분법및기타!$F:$F)</f>
        <v>0</v>
      </c>
      <c r="X105" s="739">
        <f>SUMIF(지분법및기타!$G:$G,PL!H105,지분법및기타!$I:$I)</f>
        <v>0</v>
      </c>
      <c r="Y105" s="744">
        <f t="shared" si="98"/>
        <v>2</v>
      </c>
      <c r="Z105" s="645"/>
      <c r="AA105" s="645"/>
      <c r="AB105" s="463" t="s">
        <v>136</v>
      </c>
      <c r="AC105" s="463" t="s">
        <v>127</v>
      </c>
      <c r="AF105" s="1166">
        <f t="shared" si="94"/>
        <v>0</v>
      </c>
    </row>
    <row r="106" spans="1:32" ht="17.25" thickBot="1">
      <c r="A106" s="747"/>
      <c r="B106" s="426">
        <v>4</v>
      </c>
      <c r="C106" s="427"/>
      <c r="D106" s="428"/>
      <c r="E106" s="429"/>
      <c r="F106" s="430" t="s">
        <v>2988</v>
      </c>
      <c r="G106" s="431"/>
      <c r="H106" s="493" t="s">
        <v>2991</v>
      </c>
      <c r="I106" s="433">
        <f>SUMIF(별도정산표!$G:$G,PL!H106,별도정산표!$E:$E)</f>
        <v>0</v>
      </c>
      <c r="J106" s="433">
        <f>SUMIF(울트라팜_FS!$H:$H,PL!H106,울트라팜_FS!$J:$J)</f>
        <v>0</v>
      </c>
      <c r="K106" s="433">
        <f>SUMIF(HK_PL!$A:$A,PL!H106,HK_PL!$K:$K)</f>
        <v>0</v>
      </c>
      <c r="L106" s="433">
        <f>SUMIF(DHK_PL!$A:$A,PL!H106,DHK_PL!$K:$K)</f>
        <v>0</v>
      </c>
      <c r="M106" s="433">
        <f>SUMIF(상해_PL!$A:$A,PL!H106,상해_PL!$K:$K)</f>
        <v>0</v>
      </c>
      <c r="N106" s="433">
        <f>SUMIF(SG_PL!$A:$A,PL!H106,SG_PL!$K:$K)</f>
        <v>0</v>
      </c>
      <c r="O106" s="433"/>
      <c r="P106" s="457">
        <f t="shared" si="95"/>
        <v>0</v>
      </c>
      <c r="Q106" s="458">
        <f>SUMIF(RIC!$D:$D,PL!H106,RIC!F:F)</f>
        <v>0</v>
      </c>
      <c r="R106" s="459">
        <f>SUMIF(RIC!G:G,PL!H106,RIC!I:I)</f>
        <v>0</v>
      </c>
      <c r="S106" s="460">
        <f t="shared" si="96"/>
        <v>0</v>
      </c>
      <c r="T106" s="461">
        <f>SUMIF(RIT!H:H,PL!H106,RIT!J:J)</f>
        <v>0</v>
      </c>
      <c r="U106" s="462">
        <f>SUMIF(RIT!K:K,PL!H106,RIT!M:M)</f>
        <v>0</v>
      </c>
      <c r="V106" s="460">
        <f t="shared" si="97"/>
        <v>0</v>
      </c>
      <c r="W106" s="739">
        <f>SUMIF(지분법및기타!$D:$D,PL!H106,지분법및기타!$F:$F)</f>
        <v>0</v>
      </c>
      <c r="X106" s="739">
        <f>SUMIF(지분법및기타!$G:$G,PL!H106,지분법및기타!$I:$I)</f>
        <v>0</v>
      </c>
      <c r="Y106" s="744">
        <f t="shared" si="98"/>
        <v>0</v>
      </c>
      <c r="Z106" s="645"/>
      <c r="AA106" s="645"/>
      <c r="AB106" s="463" t="s">
        <v>136</v>
      </c>
      <c r="AC106" s="463" t="s">
        <v>2988</v>
      </c>
    </row>
    <row r="107" spans="1:32" ht="17.25" thickBot="1">
      <c r="A107" s="747"/>
      <c r="B107" s="426">
        <v>4</v>
      </c>
      <c r="C107" s="427"/>
      <c r="D107" s="428"/>
      <c r="E107" s="429"/>
      <c r="F107" s="430" t="s">
        <v>823</v>
      </c>
      <c r="G107" s="431"/>
      <c r="H107" s="493"/>
      <c r="I107" s="433">
        <f>SUMIF(별도정산표!$G:$G,PL!H107,별도정산표!$E:$E)</f>
        <v>0</v>
      </c>
      <c r="J107" s="433">
        <f>SUMIF(울트라팜_FS!$H:$H,PL!H107,울트라팜_FS!$J:$J)</f>
        <v>0</v>
      </c>
      <c r="K107" s="433">
        <f>SUMIF(HK_PL!$A:$A,PL!H107,HK_PL!$K:$K)</f>
        <v>0</v>
      </c>
      <c r="L107" s="433">
        <f>SUMIF(DHK_PL!$A:$A,PL!H107,DHK_PL!$K:$K)</f>
        <v>0</v>
      </c>
      <c r="M107" s="433">
        <f>SUMIF(상해_PL!$A:$A,PL!H107,상해_PL!$K:$K)</f>
        <v>0</v>
      </c>
      <c r="N107" s="433">
        <f>SUMIF(SG_PL!$A:$A,PL!H107,SG_PL!$K:$K)</f>
        <v>0</v>
      </c>
      <c r="O107" s="433"/>
      <c r="P107" s="457">
        <f t="shared" si="95"/>
        <v>0</v>
      </c>
      <c r="Q107" s="458">
        <f>SUMIF(RIC!$D:$D,PL!H107,RIC!F:F)</f>
        <v>0</v>
      </c>
      <c r="R107" s="459">
        <f>SUMIF(RIC!G:G,PL!H107,RIC!I:I)</f>
        <v>0</v>
      </c>
      <c r="S107" s="460">
        <f t="shared" si="96"/>
        <v>0</v>
      </c>
      <c r="T107" s="461">
        <f>SUMIF(RIT!H:H,PL!H107,RIT!J:J)</f>
        <v>0</v>
      </c>
      <c r="U107" s="462">
        <f>SUMIF(RIT!K:K,PL!H107,RIT!M:M)</f>
        <v>0</v>
      </c>
      <c r="V107" s="460">
        <f t="shared" si="97"/>
        <v>0</v>
      </c>
      <c r="W107" s="739">
        <f>SUMIF(지분법및기타!$D:$D,PL!H107,지분법및기타!$F:$F)</f>
        <v>0</v>
      </c>
      <c r="X107" s="739">
        <f>SUMIF(지분법및기타!$G:$G,PL!H107,지분법및기타!$I:$I)</f>
        <v>0</v>
      </c>
      <c r="Y107" s="744">
        <f t="shared" si="98"/>
        <v>0</v>
      </c>
      <c r="Z107" s="645"/>
      <c r="AA107" s="645"/>
      <c r="AB107" s="463" t="s">
        <v>135</v>
      </c>
      <c r="AC107" s="463"/>
    </row>
    <row r="108" spans="1:32" ht="17.25" thickBot="1">
      <c r="A108" s="747"/>
      <c r="B108" s="426"/>
      <c r="C108" s="427"/>
      <c r="D108" s="428"/>
      <c r="E108" s="429" t="s">
        <v>137</v>
      </c>
      <c r="F108" s="430"/>
      <c r="G108" s="431"/>
      <c r="H108" s="493"/>
      <c r="I108" s="763">
        <f t="shared" ref="I108:O108" si="99">I109-I110</f>
        <v>0</v>
      </c>
      <c r="J108" s="763">
        <f t="shared" si="99"/>
        <v>0</v>
      </c>
      <c r="K108" s="763">
        <f t="shared" si="99"/>
        <v>0</v>
      </c>
      <c r="L108" s="763">
        <f t="shared" si="99"/>
        <v>0</v>
      </c>
      <c r="M108" s="763">
        <f t="shared" si="99"/>
        <v>0</v>
      </c>
      <c r="N108" s="763">
        <f t="shared" si="99"/>
        <v>0</v>
      </c>
      <c r="O108" s="763">
        <f t="shared" si="99"/>
        <v>0</v>
      </c>
      <c r="P108" s="764">
        <f>P109-P110</f>
        <v>0</v>
      </c>
      <c r="Q108" s="458"/>
      <c r="R108" s="459"/>
      <c r="S108" s="460">
        <f>S109-S110</f>
        <v>0</v>
      </c>
      <c r="T108" s="461"/>
      <c r="U108" s="462"/>
      <c r="V108" s="460">
        <f>V109-V110</f>
        <v>0</v>
      </c>
      <c r="W108" s="739"/>
      <c r="X108" s="739"/>
      <c r="Y108" s="744">
        <f>Y109-Y110</f>
        <v>-2067945777</v>
      </c>
      <c r="Z108" s="738"/>
      <c r="AA108" s="645"/>
      <c r="AB108" s="463" t="s">
        <v>137</v>
      </c>
      <c r="AC108" s="463"/>
      <c r="AF108" s="1166">
        <f t="shared" ref="AF108:AF109" si="100">Y108-P108</f>
        <v>-2067945777</v>
      </c>
    </row>
    <row r="109" spans="1:32" ht="17.25" thickBot="1">
      <c r="A109" s="747"/>
      <c r="B109" s="426"/>
      <c r="C109" s="427"/>
      <c r="D109" s="428"/>
      <c r="E109" s="429"/>
      <c r="F109" s="430" t="s">
        <v>1666</v>
      </c>
      <c r="G109" s="431"/>
      <c r="H109" s="493" t="s">
        <v>1660</v>
      </c>
      <c r="I109" s="433">
        <f>SUMIF(별도정산표!$G:$G,PL!H109,별도정산표!$E:$E)</f>
        <v>0</v>
      </c>
      <c r="J109" s="433">
        <f>SUMIF(울트라팜_FS!$H:$H,PL!H109,울트라팜_FS!$J:$J)</f>
        <v>0</v>
      </c>
      <c r="K109" s="433">
        <f>SUMIF(HK_PL!$A:$A,PL!H109,HK_PL!$K:$K)</f>
        <v>0</v>
      </c>
      <c r="L109" s="433">
        <f>SUMIF(DHK_PL!$A:$A,PL!H109,DHK_PL!$K:$K)</f>
        <v>0</v>
      </c>
      <c r="M109" s="433">
        <f>SUMIF(상해_PL!$A:$A,PL!H109,상해_PL!$K:$K)</f>
        <v>0</v>
      </c>
      <c r="N109" s="433">
        <f>SUMIF(SG_PL!$A:$A,PL!H109,SG_PL!$K:$K)</f>
        <v>0</v>
      </c>
      <c r="O109" s="433"/>
      <c r="P109" s="457">
        <f t="shared" ref="P109:P110" si="101">SUM(I109:O109)</f>
        <v>0</v>
      </c>
      <c r="Q109" s="458">
        <f>SUMIF(RIC!$D:$D,PL!H109,RIC!F:F)</f>
        <v>0</v>
      </c>
      <c r="R109" s="459">
        <f>SUMIF(RIC!G:G,PL!H109,RIC!I:I)</f>
        <v>0</v>
      </c>
      <c r="S109" s="460">
        <f t="shared" ref="S109:S110" si="102">P109+R109-Q109</f>
        <v>0</v>
      </c>
      <c r="T109" s="461">
        <f>SUMIF(RIT!H:H,PL!H109,RIT!J:J)</f>
        <v>0</v>
      </c>
      <c r="U109" s="462">
        <f>SUMIF(RIT!K:K,PL!H109,RIT!M:M)</f>
        <v>0</v>
      </c>
      <c r="V109" s="460">
        <f t="shared" ref="V109:V110" si="103">S109+T109-U109</f>
        <v>0</v>
      </c>
      <c r="W109" s="739">
        <f>SUMIF(지분법및기타!$D:$D,PL!H109,지분법및기타!$F:$F)</f>
        <v>0</v>
      </c>
      <c r="X109" s="739">
        <f>SUMIF(지분법및기타!$G:$G,PL!H109,지분법및기타!$I:$I)</f>
        <v>0</v>
      </c>
      <c r="Y109" s="744">
        <f>V109-W109+X109</f>
        <v>0</v>
      </c>
      <c r="Z109" s="738"/>
      <c r="AA109" s="645"/>
      <c r="AB109" s="463" t="s">
        <v>137</v>
      </c>
      <c r="AC109" s="463" t="s">
        <v>1666</v>
      </c>
      <c r="AF109" s="1166">
        <f t="shared" si="100"/>
        <v>0</v>
      </c>
    </row>
    <row r="110" spans="1:32" ht="17.25" thickBot="1">
      <c r="A110" s="747"/>
      <c r="B110" s="426"/>
      <c r="C110" s="427"/>
      <c r="D110" s="428"/>
      <c r="E110" s="429"/>
      <c r="F110" s="430" t="s">
        <v>1667</v>
      </c>
      <c r="G110" s="431"/>
      <c r="H110" s="493">
        <v>97100</v>
      </c>
      <c r="I110" s="433">
        <f>SUMIF(별도정산표!$G:$G,PL!H110,별도정산표!$E:$E)</f>
        <v>0</v>
      </c>
      <c r="J110" s="433">
        <f>SUMIF(울트라팜_FS!$H:$H,PL!H110,울트라팜_FS!$J:$J)</f>
        <v>0</v>
      </c>
      <c r="K110" s="433">
        <f>SUMIF(HK_PL!$A:$A,PL!H110,HK_PL!$K:$K)</f>
        <v>0</v>
      </c>
      <c r="L110" s="433">
        <f>SUMIF(DHK_PL!$A:$A,PL!H110,DHK_PL!$K:$K)</f>
        <v>0</v>
      </c>
      <c r="M110" s="433">
        <f>SUMIF(상해_PL!$A:$A,PL!H110,상해_PL!$K:$K)</f>
        <v>0</v>
      </c>
      <c r="N110" s="433">
        <f>SUMIF(SG_PL!$A:$A,PL!H110,SG_PL!$K:$K)</f>
        <v>0</v>
      </c>
      <c r="O110" s="433"/>
      <c r="P110" s="457">
        <f t="shared" si="101"/>
        <v>0</v>
      </c>
      <c r="Q110" s="458">
        <f>SUMIF(RIC!$D:$D,PL!H110,RIC!F:F)</f>
        <v>0</v>
      </c>
      <c r="R110" s="459">
        <f>SUMIF(RIC!G:G,PL!H110,RIC!I:I)</f>
        <v>0</v>
      </c>
      <c r="S110" s="460">
        <f t="shared" si="102"/>
        <v>0</v>
      </c>
      <c r="T110" s="461">
        <f>SUMIF(RIT!H:H,PL!H110,RIT!J:J)</f>
        <v>0</v>
      </c>
      <c r="U110" s="462">
        <f>SUMIF(RIT!K:K,PL!H110,RIT!M:M)</f>
        <v>0</v>
      </c>
      <c r="V110" s="460">
        <f t="shared" si="103"/>
        <v>0</v>
      </c>
      <c r="W110" s="739">
        <f>SUMIF(지분법및기타!$D:$D,PL!H110,지분법및기타!$F:$F)</f>
        <v>2067945777</v>
      </c>
      <c r="X110" s="739">
        <f>SUMIF(지분법및기타!$G:$G,PL!H110,지분법및기타!$I:$I)</f>
        <v>0</v>
      </c>
      <c r="Y110" s="744">
        <f>V110+W110-X110</f>
        <v>2067945777</v>
      </c>
      <c r="Z110" s="738"/>
      <c r="AA110" s="645"/>
      <c r="AB110" s="463" t="s">
        <v>137</v>
      </c>
      <c r="AC110" s="463" t="s">
        <v>1667</v>
      </c>
    </row>
    <row r="111" spans="1:32" ht="17.25" thickBot="1">
      <c r="A111" s="747"/>
      <c r="B111" s="426"/>
      <c r="C111" s="427"/>
      <c r="D111" s="428" t="s">
        <v>138</v>
      </c>
      <c r="E111" s="429"/>
      <c r="F111" s="430"/>
      <c r="G111" s="431"/>
      <c r="H111" s="493"/>
      <c r="I111" s="425">
        <f t="shared" ref="I111:O111" si="104">I78+I79-I87+I96-I102</f>
        <v>-788849810</v>
      </c>
      <c r="J111" s="425">
        <f t="shared" si="104"/>
        <v>0</v>
      </c>
      <c r="K111" s="425">
        <f t="shared" si="104"/>
        <v>44207891</v>
      </c>
      <c r="L111" s="425">
        <f t="shared" si="104"/>
        <v>-96926329</v>
      </c>
      <c r="M111" s="425">
        <f t="shared" si="104"/>
        <v>17291318</v>
      </c>
      <c r="N111" s="425">
        <f t="shared" si="104"/>
        <v>-8686031</v>
      </c>
      <c r="O111" s="425">
        <f t="shared" si="104"/>
        <v>0</v>
      </c>
      <c r="P111" s="457">
        <f>P78+P79-P87+P96-P102+P108</f>
        <v>-832962961</v>
      </c>
      <c r="Q111" s="458"/>
      <c r="R111" s="459"/>
      <c r="S111" s="425">
        <f>S78+S79-S87+S96-S102+S108</f>
        <v>1234982816</v>
      </c>
      <c r="T111" s="461"/>
      <c r="U111" s="462"/>
      <c r="V111" s="499">
        <f>V78+V79-V87+V96-V102+V108</f>
        <v>1205375165</v>
      </c>
      <c r="W111" s="739"/>
      <c r="X111" s="739"/>
      <c r="Y111" s="744">
        <f>Y78+Y79-Y87+Y96-Y102+Y108</f>
        <v>-862570612</v>
      </c>
      <c r="Z111" s="742">
        <f>Z78+Z79-Z87+Z96-Z102+Z108</f>
        <v>0</v>
      </c>
      <c r="AA111" s="500">
        <f>AA78+AA79-AA87+AA96-AA102+AA108</f>
        <v>0</v>
      </c>
      <c r="AB111" s="463"/>
      <c r="AC111" s="463"/>
      <c r="AF111" s="1166">
        <f t="shared" ref="AF111:AF113" si="105">Y111-P111</f>
        <v>-29607651</v>
      </c>
    </row>
    <row r="112" spans="1:32" ht="17.25" thickBot="1">
      <c r="A112" s="747"/>
      <c r="B112" s="426">
        <v>2</v>
      </c>
      <c r="C112" s="427"/>
      <c r="D112" s="428" t="s">
        <v>92</v>
      </c>
      <c r="E112" s="429"/>
      <c r="F112" s="430"/>
      <c r="G112" s="431"/>
      <c r="H112" s="493" t="s">
        <v>811</v>
      </c>
      <c r="I112" s="433">
        <f>SUMIF(별도정산표!$G:$G,PL!H112,별도정산표!$E:$E)</f>
        <v>0</v>
      </c>
      <c r="J112" s="433">
        <f>SUMIF(울트라팜_FS!$H:$H,PL!H112,울트라팜_FS!$J:$J)</f>
        <v>0</v>
      </c>
      <c r="K112" s="433">
        <f>SUMIF(HK_PL!$A:$A,PL!H112,HK_PL!$K:$K)</f>
        <v>0</v>
      </c>
      <c r="L112" s="433">
        <f>SUMIF(DHK_PL!$A:$A,PL!H112,DHK_PL!$K:$K)</f>
        <v>0</v>
      </c>
      <c r="M112" s="433">
        <f>SUMIF(상해_PL!$A:$A,PL!H112,상해_PL!$K:$K)</f>
        <v>0</v>
      </c>
      <c r="N112" s="433">
        <f>SUMIF(SG_PL!$A:$A,PL!H112,SG_PL!$K:$K)</f>
        <v>0</v>
      </c>
      <c r="O112" s="433"/>
      <c r="P112" s="457">
        <f>SUM(I112:O112)</f>
        <v>0</v>
      </c>
      <c r="Q112" s="458">
        <f>SUMIF(RIC!$D:$D,PL!H112,RIC!F:F)</f>
        <v>0</v>
      </c>
      <c r="R112" s="459">
        <f>SUMIF(RIC!G:G,PL!H112,RIC!I:I)</f>
        <v>0</v>
      </c>
      <c r="S112" s="460">
        <f>P112+Q112-R112</f>
        <v>0</v>
      </c>
      <c r="T112" s="461">
        <f>SUMIF(RIT!H:H,PL!H112,RIT!J:J)</f>
        <v>4983889</v>
      </c>
      <c r="U112" s="462">
        <f>SUMIF(RIT!K:K,PL!H112,RIT!M:M)</f>
        <v>0</v>
      </c>
      <c r="V112" s="460">
        <f>S112+T112-U112</f>
        <v>4983889</v>
      </c>
      <c r="W112" s="739">
        <f>SUMIF(지분법및기타!$D:$D,PL!H112,지분법및기타!$F:$F)</f>
        <v>0</v>
      </c>
      <c r="X112" s="739">
        <f>SUMIF(지분법및기타!$G:$G,PL!H112,지분법및기타!$I:$I)</f>
        <v>0</v>
      </c>
      <c r="Y112" s="744">
        <f>V112+W112-X112</f>
        <v>4983889</v>
      </c>
      <c r="Z112" s="645"/>
      <c r="AA112" s="645"/>
      <c r="AB112" s="463" t="s">
        <v>139</v>
      </c>
      <c r="AC112" s="463" t="s">
        <v>238</v>
      </c>
      <c r="AF112" s="1166">
        <f t="shared" si="105"/>
        <v>4983889</v>
      </c>
    </row>
    <row r="113" spans="1:32" s="478" customFormat="1" ht="17.25" thickBot="1">
      <c r="A113" s="749"/>
      <c r="B113" s="479"/>
      <c r="C113" s="480"/>
      <c r="D113" s="481" t="s">
        <v>140</v>
      </c>
      <c r="E113" s="482"/>
      <c r="F113" s="483"/>
      <c r="G113" s="484"/>
      <c r="H113" s="494"/>
      <c r="I113" s="485">
        <f t="shared" ref="I113:P113" si="106">I111-I112</f>
        <v>-788849810</v>
      </c>
      <c r="J113" s="485">
        <f t="shared" si="106"/>
        <v>0</v>
      </c>
      <c r="K113" s="485">
        <f t="shared" si="106"/>
        <v>44207891</v>
      </c>
      <c r="L113" s="485">
        <f t="shared" si="106"/>
        <v>-96926329</v>
      </c>
      <c r="M113" s="485">
        <f t="shared" si="106"/>
        <v>17291318</v>
      </c>
      <c r="N113" s="485">
        <f t="shared" ref="N113" si="107">N111-N112</f>
        <v>-8686031</v>
      </c>
      <c r="O113" s="489">
        <f t="shared" si="106"/>
        <v>0</v>
      </c>
      <c r="P113" s="490">
        <f t="shared" si="106"/>
        <v>-832962961</v>
      </c>
      <c r="Q113" s="750"/>
      <c r="R113" s="751"/>
      <c r="S113" s="485">
        <f>S111-S112</f>
        <v>1234982816</v>
      </c>
      <c r="T113" s="752"/>
      <c r="U113" s="753"/>
      <c r="V113" s="489">
        <f>V111-V112</f>
        <v>1200391276</v>
      </c>
      <c r="W113" s="754"/>
      <c r="X113" s="754"/>
      <c r="Y113" s="755">
        <f>Y111-Y112</f>
        <v>-867554501</v>
      </c>
      <c r="Z113" s="743">
        <f>Z111-Z112</f>
        <v>0</v>
      </c>
      <c r="AA113" s="501">
        <f>AA111-AA112</f>
        <v>0</v>
      </c>
      <c r="AB113" s="486"/>
      <c r="AC113" s="486"/>
      <c r="AF113" s="1166">
        <f t="shared" si="105"/>
        <v>-34591540</v>
      </c>
    </row>
    <row r="114" spans="1:32" s="101" customFormat="1" ht="14.25" thickBot="1">
      <c r="H114" s="961"/>
      <c r="I114" s="108">
        <f>별도정산표!E191</f>
        <v>-788849810</v>
      </c>
      <c r="J114" s="108">
        <f>-울트라팜_FS!K53</f>
        <v>0</v>
      </c>
      <c r="K114" s="108">
        <f>HK_PL!K84</f>
        <v>44207891</v>
      </c>
      <c r="L114" s="108">
        <f>DHK_PL!K84</f>
        <v>-96926329</v>
      </c>
      <c r="M114" s="108">
        <f>상해_PL!K84</f>
        <v>17291318</v>
      </c>
      <c r="N114" s="108">
        <f>SG_PL!K84</f>
        <v>-8686031</v>
      </c>
      <c r="O114" s="108"/>
      <c r="P114" s="108">
        <f>Y113-P113</f>
        <v>-34591540</v>
      </c>
      <c r="Q114" s="108">
        <f>SUM(Q5:Q113)</f>
        <v>0</v>
      </c>
      <c r="R114" s="108">
        <f>SUM(R5:R113)</f>
        <v>2067945777</v>
      </c>
      <c r="S114" s="108">
        <f>S113-P113</f>
        <v>2067945777</v>
      </c>
      <c r="T114" s="108">
        <f>SUM(T5:T113)</f>
        <v>480942980</v>
      </c>
      <c r="U114" s="108">
        <f>SUM(U5:U113)</f>
        <v>446351440</v>
      </c>
      <c r="V114" s="108">
        <f>V113-S113</f>
        <v>-34591540</v>
      </c>
      <c r="W114" s="108">
        <f>SUM(W5:W113)</f>
        <v>2067945777</v>
      </c>
      <c r="X114" s="108">
        <f>SUM(X5:X113)</f>
        <v>0</v>
      </c>
      <c r="Y114" s="108">
        <f>Y113-V113</f>
        <v>-2067945777</v>
      </c>
      <c r="Z114" s="108"/>
      <c r="AA114" s="108"/>
    </row>
    <row r="115" spans="1:32" s="101" customFormat="1" ht="14.25" thickBot="1">
      <c r="H115" s="399"/>
      <c r="I115" s="961" t="str">
        <f>IF(I114=I113,"TRUE",I114-I113)</f>
        <v>TRUE</v>
      </c>
      <c r="J115" s="961" t="str">
        <f>IF(J114=J113,"TRUE",J114-J113)</f>
        <v>TRUE</v>
      </c>
      <c r="K115" s="961" t="str">
        <f t="shared" ref="K115:M115" si="108">IF(K114=K113,"TRUE",K114-K113)</f>
        <v>TRUE</v>
      </c>
      <c r="L115" s="961" t="str">
        <f t="shared" si="108"/>
        <v>TRUE</v>
      </c>
      <c r="M115" s="961" t="str">
        <f t="shared" si="108"/>
        <v>TRUE</v>
      </c>
      <c r="N115" s="961" t="str">
        <f t="shared" ref="N115" si="109">IF(N114=N113,"TRUE",N114-N113)</f>
        <v>TRUE</v>
      </c>
      <c r="O115" s="961" t="str">
        <f t="shared" ref="O115" si="110">IF(O114=O113,"TRUE",O114-O113)</f>
        <v>TRUE</v>
      </c>
      <c r="Q115" s="108"/>
      <c r="R115" s="105">
        <f>Q114-R114</f>
        <v>-2067945777</v>
      </c>
      <c r="S115" s="108"/>
      <c r="T115" s="108"/>
      <c r="U115" s="105">
        <f>T114-U114</f>
        <v>34591540</v>
      </c>
      <c r="V115" s="105"/>
      <c r="W115" s="108"/>
      <c r="X115" s="105">
        <f>W114-X114</f>
        <v>2067945777</v>
      </c>
      <c r="Y115" s="108"/>
      <c r="Z115" s="108"/>
      <c r="AA115" s="108"/>
    </row>
    <row r="116" spans="1:32" s="105" customFormat="1" ht="13.5">
      <c r="F116" s="105" t="s">
        <v>354</v>
      </c>
      <c r="H116" s="495"/>
      <c r="I116" s="105">
        <f>SUM(I117:I119)</f>
        <v>0</v>
      </c>
      <c r="J116" s="105">
        <f t="shared" ref="J116:O116" si="111">SUM(J117:J119)</f>
        <v>0</v>
      </c>
      <c r="K116" s="105">
        <f t="shared" si="111"/>
        <v>99968525</v>
      </c>
      <c r="L116" s="105">
        <f t="shared" si="111"/>
        <v>-77454021</v>
      </c>
      <c r="M116" s="105">
        <f t="shared" si="111"/>
        <v>-693420</v>
      </c>
      <c r="N116" s="105">
        <f t="shared" si="111"/>
        <v>1741310</v>
      </c>
      <c r="O116" s="105">
        <f t="shared" si="111"/>
        <v>0</v>
      </c>
      <c r="P116" s="105">
        <f>SUM(I116:O116)</f>
        <v>23562394</v>
      </c>
      <c r="Q116" s="789"/>
      <c r="R116" s="790"/>
      <c r="S116" s="791">
        <f t="shared" ref="S116" si="112">SUM(S117:S119)</f>
        <v>11372394</v>
      </c>
      <c r="T116" s="792"/>
      <c r="U116" s="793"/>
      <c r="V116" s="791">
        <f t="shared" ref="V116" si="113">SUM(V117:V119)</f>
        <v>11298394</v>
      </c>
      <c r="W116" s="794"/>
      <c r="X116" s="794"/>
      <c r="Y116" s="795">
        <f t="shared" ref="Y116" si="114">SUM(Y117:Y119)</f>
        <v>11298394</v>
      </c>
      <c r="Z116" s="803"/>
      <c r="AA116" s="804"/>
      <c r="AB116" s="803"/>
      <c r="AC116" s="803"/>
    </row>
    <row r="117" spans="1:32" s="105" customFormat="1" ht="13.5">
      <c r="F117" s="105" t="s">
        <v>1786</v>
      </c>
      <c r="H117" s="495" t="s">
        <v>1790</v>
      </c>
      <c r="I117" s="105">
        <f>SUMIF(별도정산표!$G:$G,PL!H117,별도정산표!$E:$E)</f>
        <v>0</v>
      </c>
      <c r="J117" s="108">
        <f>SUMIF(울트라팜_FS!$H:$H,PL!H117,울트라팜_FS!$J:$J)</f>
        <v>0</v>
      </c>
      <c r="K117" s="108">
        <f>SUMIF(HK_PL!$A:$A,PL!H117,HK_PL!$H:$H)</f>
        <v>0</v>
      </c>
      <c r="L117" s="108">
        <f>SUMIF(DHK_PL!$A:$A,PL!H117,DHK_PL!$K:$K)</f>
        <v>0</v>
      </c>
      <c r="M117" s="108">
        <f>SUMIF(상해_PL!$A:$A,PL!H117,상해_PL!$K:$K)</f>
        <v>0</v>
      </c>
      <c r="N117" s="108">
        <f>SUMIF(SG_PL!$A:$A,PL!H117,SG_PL!$K:$K)</f>
        <v>0</v>
      </c>
      <c r="P117" s="108">
        <f t="shared" ref="P117:P119" si="115">SUM(I117:O117)</f>
        <v>0</v>
      </c>
      <c r="Q117" s="796">
        <f>SUMIF(RIC!$D:$D,PL!H117,RIC!F:F)</f>
        <v>0</v>
      </c>
      <c r="R117" s="459">
        <f>SUMIF(RIC!G:G,PL!H117,RIC!I:I)</f>
        <v>0</v>
      </c>
      <c r="S117" s="460">
        <f>P117-Q117+R117</f>
        <v>0</v>
      </c>
      <c r="T117" s="461">
        <f>SUMIF(RIT!H:H,PL!H117,RIT!J:J)</f>
        <v>0</v>
      </c>
      <c r="U117" s="462">
        <f>SUMIF(RIT!K:K,PL!H117,RIT!M:M)</f>
        <v>0</v>
      </c>
      <c r="V117" s="460">
        <f>S117-T117+U117</f>
        <v>0</v>
      </c>
      <c r="W117" s="739">
        <f>SUMIF(지분법및기타!$D:$D,PL!H117,지분법및기타!$F:$F)</f>
        <v>0</v>
      </c>
      <c r="X117" s="739">
        <f>SUMIF(지분법및기타!$G:$G,PL!H117,지분법및기타!$I:$I)</f>
        <v>0</v>
      </c>
      <c r="Y117" s="460">
        <f>V117-W117+X117</f>
        <v>0</v>
      </c>
      <c r="Z117" s="463"/>
      <c r="AA117" s="645"/>
      <c r="AB117" s="463"/>
      <c r="AC117" s="463" t="s">
        <v>903</v>
      </c>
    </row>
    <row r="118" spans="1:32" s="105" customFormat="1" ht="13.5">
      <c r="F118" s="105" t="s">
        <v>1788</v>
      </c>
      <c r="H118" s="495" t="s">
        <v>1792</v>
      </c>
      <c r="I118" s="105">
        <f>SUMIF(별도정산표!$G:$G,PL!H118,별도정산표!$E:$E)</f>
        <v>0</v>
      </c>
      <c r="J118" s="108">
        <f>SUMIF(울트라팜_FS!$H:$H,PL!H118,울트라팜_FS!$J:$J)</f>
        <v>0</v>
      </c>
      <c r="K118" s="108">
        <f>SUMIF(HK_PL!$A:$A,PL!H118,HK_PL!$H:$H)</f>
        <v>0</v>
      </c>
      <c r="L118" s="108">
        <f>SUMIF(DHK_PL!$A:$A,PL!H118,DHK_PL!$K:$K)</f>
        <v>0</v>
      </c>
      <c r="M118" s="108">
        <f>SUMIF(상해_PL!$A:$A,PL!H118,상해_PL!$K:$K)</f>
        <v>0</v>
      </c>
      <c r="N118" s="108">
        <f>SUMIF(SG_PL!$A:$A,PL!H118,SG_PL!$K:$K)</f>
        <v>0</v>
      </c>
      <c r="P118" s="108">
        <f t="shared" si="115"/>
        <v>0</v>
      </c>
      <c r="Q118" s="796">
        <f>SUMIF(RIC!$D:$D,PL!H118,RIC!F:F)</f>
        <v>0</v>
      </c>
      <c r="R118" s="459">
        <f>SUMIF(RIC!G:G,PL!H118,RIC!I:I)</f>
        <v>0</v>
      </c>
      <c r="S118" s="460">
        <f>P118-Q118+R118</f>
        <v>0</v>
      </c>
      <c r="T118" s="461">
        <f>SUMIF(RIT!H:H,PL!H118,RIT!J:J)</f>
        <v>0</v>
      </c>
      <c r="U118" s="462">
        <f>SUMIF(RIT!K:K,PL!H118,RIT!M:M)</f>
        <v>0</v>
      </c>
      <c r="V118" s="460">
        <f>S118-T118+U118</f>
        <v>0</v>
      </c>
      <c r="W118" s="739">
        <f>SUMIF(지분법및기타!$D:$D,PL!H118,지분법및기타!$F:$F)</f>
        <v>0</v>
      </c>
      <c r="X118" s="739">
        <f>SUMIF(지분법및기타!$G:$G,PL!H118,지분법및기타!$I:$I)</f>
        <v>0</v>
      </c>
      <c r="Y118" s="460">
        <f>V118-W118+X118</f>
        <v>0</v>
      </c>
      <c r="Z118" s="463"/>
      <c r="AA118" s="645"/>
      <c r="AB118" s="463"/>
      <c r="AC118" s="463"/>
    </row>
    <row r="119" spans="1:32" s="105" customFormat="1" ht="14.25" thickBot="1">
      <c r="F119" s="105" t="s">
        <v>1787</v>
      </c>
      <c r="H119" s="495" t="s">
        <v>1794</v>
      </c>
      <c r="I119" s="105">
        <f>SUMIF(별도정산표!$G:$G,PL!H119,별도정산표!$E:$E)</f>
        <v>0</v>
      </c>
      <c r="J119" s="108">
        <f>SUMIF(울트라팜_FS!$H:$H,PL!H119,울트라팜_FS!$J:$J)</f>
        <v>0</v>
      </c>
      <c r="K119" s="108">
        <f>SUMIF(HK_PL!$A:$A,PL!H119,HK_PL!$H:$H)</f>
        <v>99968525</v>
      </c>
      <c r="L119" s="108">
        <f>SUMIF(DHK_PL!$A:$A,PL!H119,DHK_PL!$K:$K)</f>
        <v>-77454021</v>
      </c>
      <c r="M119" s="108">
        <f>SUMIF(상해_PL!$A:$A,PL!H119,상해_PL!$K:$K)</f>
        <v>-693420</v>
      </c>
      <c r="N119" s="108">
        <f>SUMIF(SG_PL!$A:$A,PL!H119,SG_PL!$K:$K)</f>
        <v>1741310</v>
      </c>
      <c r="P119" s="108">
        <f t="shared" si="115"/>
        <v>23562394</v>
      </c>
      <c r="Q119" s="797">
        <f>SUMIF(RIC!$D:$D,PL!H119,RIC!F:F)</f>
        <v>0</v>
      </c>
      <c r="R119" s="798">
        <f>SUMIF(RIC!G:G,PL!H119,RIC!I:I)</f>
        <v>-12190000</v>
      </c>
      <c r="S119" s="799">
        <f>P119-Q119+R119</f>
        <v>11372394</v>
      </c>
      <c r="T119" s="800">
        <f>SUMIF(RIT!H:H,PL!H119,RIT!J:J)-RIT!J132</f>
        <v>74000</v>
      </c>
      <c r="U119" s="801">
        <f>SUMIF(RIT!K:K,PL!H119,RIT!M:M)-RIT!M132</f>
        <v>0</v>
      </c>
      <c r="V119" s="799">
        <f>S119-T119+U119</f>
        <v>11298394</v>
      </c>
      <c r="W119" s="802">
        <f>SUMIF(지분법및기타!$D:$D,PL!H119,지분법및기타!$F:$F)</f>
        <v>0</v>
      </c>
      <c r="X119" s="802">
        <f>SUMIF(지분법및기타!$G:$G,PL!H119,지분법및기타!$I:$I)</f>
        <v>0</v>
      </c>
      <c r="Y119" s="799">
        <f>V119-W119+X119</f>
        <v>11298394</v>
      </c>
      <c r="Z119" s="805"/>
      <c r="AA119" s="806"/>
      <c r="AB119" s="805"/>
      <c r="AC119" s="805" t="s">
        <v>1668</v>
      </c>
    </row>
    <row r="120" spans="1:32" s="105" customFormat="1" ht="13.5">
      <c r="F120" s="105" t="s">
        <v>355</v>
      </c>
      <c r="H120" s="495"/>
      <c r="I120" s="105">
        <f>I113+I116</f>
        <v>-788849810</v>
      </c>
      <c r="J120" s="105">
        <f>J113+J116</f>
        <v>0</v>
      </c>
      <c r="K120" s="105">
        <f t="shared" ref="K120:O120" si="116">K113+K116</f>
        <v>144176416</v>
      </c>
      <c r="L120" s="105">
        <f>L113+L116</f>
        <v>-174380350</v>
      </c>
      <c r="M120" s="105">
        <f>M113+M116</f>
        <v>16597898</v>
      </c>
      <c r="N120" s="105">
        <f>N113+N116</f>
        <v>-6944721</v>
      </c>
      <c r="O120" s="105">
        <f t="shared" si="116"/>
        <v>0</v>
      </c>
      <c r="P120" s="105">
        <f>SUM(I120:O120)</f>
        <v>-809400567</v>
      </c>
      <c r="S120" s="105">
        <f t="shared" ref="S120" si="117">S113+S116</f>
        <v>1246355210</v>
      </c>
      <c r="V120" s="105">
        <f>SUM(O120:U120)</f>
        <v>436954643</v>
      </c>
      <c r="Y120" s="105">
        <f>SUM(R120:X120)</f>
        <v>1683309853</v>
      </c>
      <c r="AC120" s="487"/>
    </row>
    <row r="121" spans="1:32" s="101" customFormat="1" ht="13.5">
      <c r="H121" s="399"/>
      <c r="T121" s="105">
        <f>+RIT!J124</f>
        <v>515889426</v>
      </c>
      <c r="U121" s="105">
        <f>RIT!M124</f>
        <v>625730958</v>
      </c>
      <c r="V121" s="105"/>
      <c r="W121" s="105"/>
      <c r="X121" s="105"/>
      <c r="Z121" s="105"/>
    </row>
    <row r="122" spans="1:32" s="101" customFormat="1" ht="13.5">
      <c r="H122" s="399"/>
      <c r="I122" s="488"/>
      <c r="T122" s="108">
        <f>T114-T121</f>
        <v>-34946446</v>
      </c>
      <c r="U122" s="108">
        <f>U114-U121</f>
        <v>-179379518</v>
      </c>
      <c r="V122" s="108"/>
      <c r="W122" s="108"/>
      <c r="X122" s="108"/>
      <c r="Z122" s="105"/>
    </row>
    <row r="123" spans="1:32" s="101" customFormat="1" ht="13.5">
      <c r="H123" s="399"/>
      <c r="N123" s="497"/>
      <c r="Z123" s="105"/>
    </row>
    <row r="124" spans="1:32" s="101" customFormat="1" ht="13.5">
      <c r="H124" s="399"/>
      <c r="N124" s="105"/>
      <c r="Y124" s="848"/>
      <c r="Z124" s="105"/>
    </row>
    <row r="125" spans="1:32" s="101" customFormat="1" ht="13.5">
      <c r="H125" s="399"/>
      <c r="N125" s="498"/>
      <c r="Y125" s="848"/>
      <c r="Z125" s="105"/>
    </row>
    <row r="126" spans="1:32" s="101" customFormat="1" ht="13.5">
      <c r="H126" s="399"/>
      <c r="Z126" s="105"/>
    </row>
    <row r="127" spans="1:32" s="101" customFormat="1" ht="13.5">
      <c r="H127" s="399"/>
      <c r="Z127" s="105"/>
    </row>
    <row r="128" spans="1:32" s="101" customFormat="1" ht="13.5">
      <c r="H128" s="399"/>
      <c r="Z128" s="105"/>
    </row>
  </sheetData>
  <autoFilter ref="A4:AD122" xr:uid="{00000000-0009-0000-0000-00000B000000}">
    <filterColumn colId="2" showButton="0"/>
    <filterColumn colId="3" showButton="0"/>
    <filterColumn colId="4" showButton="0"/>
    <filterColumn colId="5" showButton="0"/>
  </autoFilter>
  <mergeCells count="27">
    <mergeCell ref="AC2:AC4"/>
    <mergeCell ref="Z2:Z4"/>
    <mergeCell ref="AA2:AA4"/>
    <mergeCell ref="O2:O4"/>
    <mergeCell ref="P2:P4"/>
    <mergeCell ref="Q2:R2"/>
    <mergeCell ref="T2:U2"/>
    <mergeCell ref="B2:B4"/>
    <mergeCell ref="C2:G4"/>
    <mergeCell ref="H2:H4"/>
    <mergeCell ref="I2:I4"/>
    <mergeCell ref="J2:J4"/>
    <mergeCell ref="K2:K4"/>
    <mergeCell ref="M2:M4"/>
    <mergeCell ref="L2:L4"/>
    <mergeCell ref="AB2:AB4"/>
    <mergeCell ref="Q3:Q4"/>
    <mergeCell ref="R3:R4"/>
    <mergeCell ref="S3:S4"/>
    <mergeCell ref="T3:T4"/>
    <mergeCell ref="U3:U4"/>
    <mergeCell ref="Y3:Y4"/>
    <mergeCell ref="N2:N4"/>
    <mergeCell ref="V3:V4"/>
    <mergeCell ref="W2:X2"/>
    <mergeCell ref="W3:W4"/>
    <mergeCell ref="X3:X4"/>
  </mergeCells>
  <phoneticPr fontId="3" type="noConversion"/>
  <conditionalFormatting sqref="C5:G113">
    <cfRule type="cellIs" dxfId="146" priority="2" stopIfTrue="1" operator="equal">
      <formula>"지워라"</formula>
    </cfRule>
  </conditionalFormatting>
  <conditionalFormatting sqref="H5:H113">
    <cfRule type="duplicateValues" dxfId="145" priority="2485"/>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5">
    <tabColor theme="3"/>
    <outlinePr summaryBelow="0"/>
  </sheetPr>
  <dimension ref="A1:O198"/>
  <sheetViews>
    <sheetView zoomScale="85" zoomScaleNormal="85" zoomScaleSheetLayoutView="100" workbookViewId="0">
      <pane ySplit="3" topLeftCell="A4" activePane="bottomLeft" state="frozen"/>
      <selection activeCell="E105" sqref="E105"/>
      <selection pane="bottomLeft" activeCell="A4" sqref="A4"/>
    </sheetView>
  </sheetViews>
  <sheetFormatPr defaultRowHeight="13.5"/>
  <cols>
    <col min="1" max="1" width="25.625" style="556" bestFit="1" customWidth="1"/>
    <col min="2" max="5" width="15.625" style="556" customWidth="1"/>
    <col min="6" max="6" width="15.5" style="556" customWidth="1"/>
    <col min="7" max="7" width="19" style="565" customWidth="1"/>
    <col min="8" max="8" width="17.375" style="556" customWidth="1"/>
    <col min="9" max="9" width="18.625" style="556" customWidth="1"/>
    <col min="10" max="10" width="11" style="556" bestFit="1" customWidth="1"/>
    <col min="11" max="253" width="9" style="556"/>
    <col min="254" max="254" width="25.625" style="556" bestFit="1" customWidth="1"/>
    <col min="255" max="258" width="15.625" style="556" customWidth="1"/>
    <col min="259" max="260" width="0" style="556" hidden="1" customWidth="1"/>
    <col min="261" max="261" width="9" style="556"/>
    <col min="262" max="262" width="21.125" style="556" customWidth="1"/>
    <col min="263" max="263" width="19" style="556" customWidth="1"/>
    <col min="264" max="264" width="17.375" style="556" customWidth="1"/>
    <col min="265" max="265" width="18.625" style="556" customWidth="1"/>
    <col min="266" max="509" width="9" style="556"/>
    <col min="510" max="510" width="25.625" style="556" bestFit="1" customWidth="1"/>
    <col min="511" max="514" width="15.625" style="556" customWidth="1"/>
    <col min="515" max="516" width="0" style="556" hidden="1" customWidth="1"/>
    <col min="517" max="517" width="9" style="556"/>
    <col min="518" max="518" width="21.125" style="556" customWidth="1"/>
    <col min="519" max="519" width="19" style="556" customWidth="1"/>
    <col min="520" max="520" width="17.375" style="556" customWidth="1"/>
    <col min="521" max="521" width="18.625" style="556" customWidth="1"/>
    <col min="522" max="765" width="9" style="556"/>
    <col min="766" max="766" width="25.625" style="556" bestFit="1" customWidth="1"/>
    <col min="767" max="770" width="15.625" style="556" customWidth="1"/>
    <col min="771" max="772" width="0" style="556" hidden="1" customWidth="1"/>
    <col min="773" max="773" width="9" style="556"/>
    <col min="774" max="774" width="21.125" style="556" customWidth="1"/>
    <col min="775" max="775" width="19" style="556" customWidth="1"/>
    <col min="776" max="776" width="17.375" style="556" customWidth="1"/>
    <col min="777" max="777" width="18.625" style="556" customWidth="1"/>
    <col min="778" max="1021" width="9" style="556"/>
    <col min="1022" max="1022" width="25.625" style="556" bestFit="1" customWidth="1"/>
    <col min="1023" max="1026" width="15.625" style="556" customWidth="1"/>
    <col min="1027" max="1028" width="0" style="556" hidden="1" customWidth="1"/>
    <col min="1029" max="1029" width="9" style="556"/>
    <col min="1030" max="1030" width="21.125" style="556" customWidth="1"/>
    <col min="1031" max="1031" width="19" style="556" customWidth="1"/>
    <col min="1032" max="1032" width="17.375" style="556" customWidth="1"/>
    <col min="1033" max="1033" width="18.625" style="556" customWidth="1"/>
    <col min="1034" max="1277" width="9" style="556"/>
    <col min="1278" max="1278" width="25.625" style="556" bestFit="1" customWidth="1"/>
    <col min="1279" max="1282" width="15.625" style="556" customWidth="1"/>
    <col min="1283" max="1284" width="0" style="556" hidden="1" customWidth="1"/>
    <col min="1285" max="1285" width="9" style="556"/>
    <col min="1286" max="1286" width="21.125" style="556" customWidth="1"/>
    <col min="1287" max="1287" width="19" style="556" customWidth="1"/>
    <col min="1288" max="1288" width="17.375" style="556" customWidth="1"/>
    <col min="1289" max="1289" width="18.625" style="556" customWidth="1"/>
    <col min="1290" max="1533" width="9" style="556"/>
    <col min="1534" max="1534" width="25.625" style="556" bestFit="1" customWidth="1"/>
    <col min="1535" max="1538" width="15.625" style="556" customWidth="1"/>
    <col min="1539" max="1540" width="0" style="556" hidden="1" customWidth="1"/>
    <col min="1541" max="1541" width="9" style="556"/>
    <col min="1542" max="1542" width="21.125" style="556" customWidth="1"/>
    <col min="1543" max="1543" width="19" style="556" customWidth="1"/>
    <col min="1544" max="1544" width="17.375" style="556" customWidth="1"/>
    <col min="1545" max="1545" width="18.625" style="556" customWidth="1"/>
    <col min="1546" max="1789" width="9" style="556"/>
    <col min="1790" max="1790" width="25.625" style="556" bestFit="1" customWidth="1"/>
    <col min="1791" max="1794" width="15.625" style="556" customWidth="1"/>
    <col min="1795" max="1796" width="0" style="556" hidden="1" customWidth="1"/>
    <col min="1797" max="1797" width="9" style="556"/>
    <col min="1798" max="1798" width="21.125" style="556" customWidth="1"/>
    <col min="1799" max="1799" width="19" style="556" customWidth="1"/>
    <col min="1800" max="1800" width="17.375" style="556" customWidth="1"/>
    <col min="1801" max="1801" width="18.625" style="556" customWidth="1"/>
    <col min="1802" max="2045" width="9" style="556"/>
    <col min="2046" max="2046" width="25.625" style="556" bestFit="1" customWidth="1"/>
    <col min="2047" max="2050" width="15.625" style="556" customWidth="1"/>
    <col min="2051" max="2052" width="0" style="556" hidden="1" customWidth="1"/>
    <col min="2053" max="2053" width="9" style="556"/>
    <col min="2054" max="2054" width="21.125" style="556" customWidth="1"/>
    <col min="2055" max="2055" width="19" style="556" customWidth="1"/>
    <col min="2056" max="2056" width="17.375" style="556" customWidth="1"/>
    <col min="2057" max="2057" width="18.625" style="556" customWidth="1"/>
    <col min="2058" max="2301" width="9" style="556"/>
    <col min="2302" max="2302" width="25.625" style="556" bestFit="1" customWidth="1"/>
    <col min="2303" max="2306" width="15.625" style="556" customWidth="1"/>
    <col min="2307" max="2308" width="0" style="556" hidden="1" customWidth="1"/>
    <col min="2309" max="2309" width="9" style="556"/>
    <col min="2310" max="2310" width="21.125" style="556" customWidth="1"/>
    <col min="2311" max="2311" width="19" style="556" customWidth="1"/>
    <col min="2312" max="2312" width="17.375" style="556" customWidth="1"/>
    <col min="2313" max="2313" width="18.625" style="556" customWidth="1"/>
    <col min="2314" max="2557" width="9" style="556"/>
    <col min="2558" max="2558" width="25.625" style="556" bestFit="1" customWidth="1"/>
    <col min="2559" max="2562" width="15.625" style="556" customWidth="1"/>
    <col min="2563" max="2564" width="0" style="556" hidden="1" customWidth="1"/>
    <col min="2565" max="2565" width="9" style="556"/>
    <col min="2566" max="2566" width="21.125" style="556" customWidth="1"/>
    <col min="2567" max="2567" width="19" style="556" customWidth="1"/>
    <col min="2568" max="2568" width="17.375" style="556" customWidth="1"/>
    <col min="2569" max="2569" width="18.625" style="556" customWidth="1"/>
    <col min="2570" max="2813" width="9" style="556"/>
    <col min="2814" max="2814" width="25.625" style="556" bestFit="1" customWidth="1"/>
    <col min="2815" max="2818" width="15.625" style="556" customWidth="1"/>
    <col min="2819" max="2820" width="0" style="556" hidden="1" customWidth="1"/>
    <col min="2821" max="2821" width="9" style="556"/>
    <col min="2822" max="2822" width="21.125" style="556" customWidth="1"/>
    <col min="2823" max="2823" width="19" style="556" customWidth="1"/>
    <col min="2824" max="2824" width="17.375" style="556" customWidth="1"/>
    <col min="2825" max="2825" width="18.625" style="556" customWidth="1"/>
    <col min="2826" max="3069" width="9" style="556"/>
    <col min="3070" max="3070" width="25.625" style="556" bestFit="1" customWidth="1"/>
    <col min="3071" max="3074" width="15.625" style="556" customWidth="1"/>
    <col min="3075" max="3076" width="0" style="556" hidden="1" customWidth="1"/>
    <col min="3077" max="3077" width="9" style="556"/>
    <col min="3078" max="3078" width="21.125" style="556" customWidth="1"/>
    <col min="3079" max="3079" width="19" style="556" customWidth="1"/>
    <col min="3080" max="3080" width="17.375" style="556" customWidth="1"/>
    <col min="3081" max="3081" width="18.625" style="556" customWidth="1"/>
    <col min="3082" max="3325" width="9" style="556"/>
    <col min="3326" max="3326" width="25.625" style="556" bestFit="1" customWidth="1"/>
    <col min="3327" max="3330" width="15.625" style="556" customWidth="1"/>
    <col min="3331" max="3332" width="0" style="556" hidden="1" customWidth="1"/>
    <col min="3333" max="3333" width="9" style="556"/>
    <col min="3334" max="3334" width="21.125" style="556" customWidth="1"/>
    <col min="3335" max="3335" width="19" style="556" customWidth="1"/>
    <col min="3336" max="3336" width="17.375" style="556" customWidth="1"/>
    <col min="3337" max="3337" width="18.625" style="556" customWidth="1"/>
    <col min="3338" max="3581" width="9" style="556"/>
    <col min="3582" max="3582" width="25.625" style="556" bestFit="1" customWidth="1"/>
    <col min="3583" max="3586" width="15.625" style="556" customWidth="1"/>
    <col min="3587" max="3588" width="0" style="556" hidden="1" customWidth="1"/>
    <col min="3589" max="3589" width="9" style="556"/>
    <col min="3590" max="3590" width="21.125" style="556" customWidth="1"/>
    <col min="3591" max="3591" width="19" style="556" customWidth="1"/>
    <col min="3592" max="3592" width="17.375" style="556" customWidth="1"/>
    <col min="3593" max="3593" width="18.625" style="556" customWidth="1"/>
    <col min="3594" max="3837" width="9" style="556"/>
    <col min="3838" max="3838" width="25.625" style="556" bestFit="1" customWidth="1"/>
    <col min="3839" max="3842" width="15.625" style="556" customWidth="1"/>
    <col min="3843" max="3844" width="0" style="556" hidden="1" customWidth="1"/>
    <col min="3845" max="3845" width="9" style="556"/>
    <col min="3846" max="3846" width="21.125" style="556" customWidth="1"/>
    <col min="3847" max="3847" width="19" style="556" customWidth="1"/>
    <col min="3848" max="3848" width="17.375" style="556" customWidth="1"/>
    <col min="3849" max="3849" width="18.625" style="556" customWidth="1"/>
    <col min="3850" max="4093" width="9" style="556"/>
    <col min="4094" max="4094" width="25.625" style="556" bestFit="1" customWidth="1"/>
    <col min="4095" max="4098" width="15.625" style="556" customWidth="1"/>
    <col min="4099" max="4100" width="0" style="556" hidden="1" customWidth="1"/>
    <col min="4101" max="4101" width="9" style="556"/>
    <col min="4102" max="4102" width="21.125" style="556" customWidth="1"/>
    <col min="4103" max="4103" width="19" style="556" customWidth="1"/>
    <col min="4104" max="4104" width="17.375" style="556" customWidth="1"/>
    <col min="4105" max="4105" width="18.625" style="556" customWidth="1"/>
    <col min="4106" max="4349" width="9" style="556"/>
    <col min="4350" max="4350" width="25.625" style="556" bestFit="1" customWidth="1"/>
    <col min="4351" max="4354" width="15.625" style="556" customWidth="1"/>
    <col min="4355" max="4356" width="0" style="556" hidden="1" customWidth="1"/>
    <col min="4357" max="4357" width="9" style="556"/>
    <col min="4358" max="4358" width="21.125" style="556" customWidth="1"/>
    <col min="4359" max="4359" width="19" style="556" customWidth="1"/>
    <col min="4360" max="4360" width="17.375" style="556" customWidth="1"/>
    <col min="4361" max="4361" width="18.625" style="556" customWidth="1"/>
    <col min="4362" max="4605" width="9" style="556"/>
    <col min="4606" max="4606" width="25.625" style="556" bestFit="1" customWidth="1"/>
    <col min="4607" max="4610" width="15.625" style="556" customWidth="1"/>
    <col min="4611" max="4612" width="0" style="556" hidden="1" customWidth="1"/>
    <col min="4613" max="4613" width="9" style="556"/>
    <col min="4614" max="4614" width="21.125" style="556" customWidth="1"/>
    <col min="4615" max="4615" width="19" style="556" customWidth="1"/>
    <col min="4616" max="4616" width="17.375" style="556" customWidth="1"/>
    <col min="4617" max="4617" width="18.625" style="556" customWidth="1"/>
    <col min="4618" max="4861" width="9" style="556"/>
    <col min="4862" max="4862" width="25.625" style="556" bestFit="1" customWidth="1"/>
    <col min="4863" max="4866" width="15.625" style="556" customWidth="1"/>
    <col min="4867" max="4868" width="0" style="556" hidden="1" customWidth="1"/>
    <col min="4869" max="4869" width="9" style="556"/>
    <col min="4870" max="4870" width="21.125" style="556" customWidth="1"/>
    <col min="4871" max="4871" width="19" style="556" customWidth="1"/>
    <col min="4872" max="4872" width="17.375" style="556" customWidth="1"/>
    <col min="4873" max="4873" width="18.625" style="556" customWidth="1"/>
    <col min="4874" max="5117" width="9" style="556"/>
    <col min="5118" max="5118" width="25.625" style="556" bestFit="1" customWidth="1"/>
    <col min="5119" max="5122" width="15.625" style="556" customWidth="1"/>
    <col min="5123" max="5124" width="0" style="556" hidden="1" customWidth="1"/>
    <col min="5125" max="5125" width="9" style="556"/>
    <col min="5126" max="5126" width="21.125" style="556" customWidth="1"/>
    <col min="5127" max="5127" width="19" style="556" customWidth="1"/>
    <col min="5128" max="5128" width="17.375" style="556" customWidth="1"/>
    <col min="5129" max="5129" width="18.625" style="556" customWidth="1"/>
    <col min="5130" max="5373" width="9" style="556"/>
    <col min="5374" max="5374" width="25.625" style="556" bestFit="1" customWidth="1"/>
    <col min="5375" max="5378" width="15.625" style="556" customWidth="1"/>
    <col min="5379" max="5380" width="0" style="556" hidden="1" customWidth="1"/>
    <col min="5381" max="5381" width="9" style="556"/>
    <col min="5382" max="5382" width="21.125" style="556" customWidth="1"/>
    <col min="5383" max="5383" width="19" style="556" customWidth="1"/>
    <col min="5384" max="5384" width="17.375" style="556" customWidth="1"/>
    <col min="5385" max="5385" width="18.625" style="556" customWidth="1"/>
    <col min="5386" max="5629" width="9" style="556"/>
    <col min="5630" max="5630" width="25.625" style="556" bestFit="1" customWidth="1"/>
    <col min="5631" max="5634" width="15.625" style="556" customWidth="1"/>
    <col min="5635" max="5636" width="0" style="556" hidden="1" customWidth="1"/>
    <col min="5637" max="5637" width="9" style="556"/>
    <col min="5638" max="5638" width="21.125" style="556" customWidth="1"/>
    <col min="5639" max="5639" width="19" style="556" customWidth="1"/>
    <col min="5640" max="5640" width="17.375" style="556" customWidth="1"/>
    <col min="5641" max="5641" width="18.625" style="556" customWidth="1"/>
    <col min="5642" max="5885" width="9" style="556"/>
    <col min="5886" max="5886" width="25.625" style="556" bestFit="1" customWidth="1"/>
    <col min="5887" max="5890" width="15.625" style="556" customWidth="1"/>
    <col min="5891" max="5892" width="0" style="556" hidden="1" customWidth="1"/>
    <col min="5893" max="5893" width="9" style="556"/>
    <col min="5894" max="5894" width="21.125" style="556" customWidth="1"/>
    <col min="5895" max="5895" width="19" style="556" customWidth="1"/>
    <col min="5896" max="5896" width="17.375" style="556" customWidth="1"/>
    <col min="5897" max="5897" width="18.625" style="556" customWidth="1"/>
    <col min="5898" max="6141" width="9" style="556"/>
    <col min="6142" max="6142" width="25.625" style="556" bestFit="1" customWidth="1"/>
    <col min="6143" max="6146" width="15.625" style="556" customWidth="1"/>
    <col min="6147" max="6148" width="0" style="556" hidden="1" customWidth="1"/>
    <col min="6149" max="6149" width="9" style="556"/>
    <col min="6150" max="6150" width="21.125" style="556" customWidth="1"/>
    <col min="6151" max="6151" width="19" style="556" customWidth="1"/>
    <col min="6152" max="6152" width="17.375" style="556" customWidth="1"/>
    <col min="6153" max="6153" width="18.625" style="556" customWidth="1"/>
    <col min="6154" max="6397" width="9" style="556"/>
    <col min="6398" max="6398" width="25.625" style="556" bestFit="1" customWidth="1"/>
    <col min="6399" max="6402" width="15.625" style="556" customWidth="1"/>
    <col min="6403" max="6404" width="0" style="556" hidden="1" customWidth="1"/>
    <col min="6405" max="6405" width="9" style="556"/>
    <col min="6406" max="6406" width="21.125" style="556" customWidth="1"/>
    <col min="6407" max="6407" width="19" style="556" customWidth="1"/>
    <col min="6408" max="6408" width="17.375" style="556" customWidth="1"/>
    <col min="6409" max="6409" width="18.625" style="556" customWidth="1"/>
    <col min="6410" max="6653" width="9" style="556"/>
    <col min="6654" max="6654" width="25.625" style="556" bestFit="1" customWidth="1"/>
    <col min="6655" max="6658" width="15.625" style="556" customWidth="1"/>
    <col min="6659" max="6660" width="0" style="556" hidden="1" customWidth="1"/>
    <col min="6661" max="6661" width="9" style="556"/>
    <col min="6662" max="6662" width="21.125" style="556" customWidth="1"/>
    <col min="6663" max="6663" width="19" style="556" customWidth="1"/>
    <col min="6664" max="6664" width="17.375" style="556" customWidth="1"/>
    <col min="6665" max="6665" width="18.625" style="556" customWidth="1"/>
    <col min="6666" max="6909" width="9" style="556"/>
    <col min="6910" max="6910" width="25.625" style="556" bestFit="1" customWidth="1"/>
    <col min="6911" max="6914" width="15.625" style="556" customWidth="1"/>
    <col min="6915" max="6916" width="0" style="556" hidden="1" customWidth="1"/>
    <col min="6917" max="6917" width="9" style="556"/>
    <col min="6918" max="6918" width="21.125" style="556" customWidth="1"/>
    <col min="6919" max="6919" width="19" style="556" customWidth="1"/>
    <col min="6920" max="6920" width="17.375" style="556" customWidth="1"/>
    <col min="6921" max="6921" width="18.625" style="556" customWidth="1"/>
    <col min="6922" max="7165" width="9" style="556"/>
    <col min="7166" max="7166" width="25.625" style="556" bestFit="1" customWidth="1"/>
    <col min="7167" max="7170" width="15.625" style="556" customWidth="1"/>
    <col min="7171" max="7172" width="0" style="556" hidden="1" customWidth="1"/>
    <col min="7173" max="7173" width="9" style="556"/>
    <col min="7174" max="7174" width="21.125" style="556" customWidth="1"/>
    <col min="7175" max="7175" width="19" style="556" customWidth="1"/>
    <col min="7176" max="7176" width="17.375" style="556" customWidth="1"/>
    <col min="7177" max="7177" width="18.625" style="556" customWidth="1"/>
    <col min="7178" max="7421" width="9" style="556"/>
    <col min="7422" max="7422" width="25.625" style="556" bestFit="1" customWidth="1"/>
    <col min="7423" max="7426" width="15.625" style="556" customWidth="1"/>
    <col min="7427" max="7428" width="0" style="556" hidden="1" customWidth="1"/>
    <col min="7429" max="7429" width="9" style="556"/>
    <col min="7430" max="7430" width="21.125" style="556" customWidth="1"/>
    <col min="7431" max="7431" width="19" style="556" customWidth="1"/>
    <col min="7432" max="7432" width="17.375" style="556" customWidth="1"/>
    <col min="7433" max="7433" width="18.625" style="556" customWidth="1"/>
    <col min="7434" max="7677" width="9" style="556"/>
    <col min="7678" max="7678" width="25.625" style="556" bestFit="1" customWidth="1"/>
    <col min="7679" max="7682" width="15.625" style="556" customWidth="1"/>
    <col min="7683" max="7684" width="0" style="556" hidden="1" customWidth="1"/>
    <col min="7685" max="7685" width="9" style="556"/>
    <col min="7686" max="7686" width="21.125" style="556" customWidth="1"/>
    <col min="7687" max="7687" width="19" style="556" customWidth="1"/>
    <col min="7688" max="7688" width="17.375" style="556" customWidth="1"/>
    <col min="7689" max="7689" width="18.625" style="556" customWidth="1"/>
    <col min="7690" max="7933" width="9" style="556"/>
    <col min="7934" max="7934" width="25.625" style="556" bestFit="1" customWidth="1"/>
    <col min="7935" max="7938" width="15.625" style="556" customWidth="1"/>
    <col min="7939" max="7940" width="0" style="556" hidden="1" customWidth="1"/>
    <col min="7941" max="7941" width="9" style="556"/>
    <col min="7942" max="7942" width="21.125" style="556" customWidth="1"/>
    <col min="7943" max="7943" width="19" style="556" customWidth="1"/>
    <col min="7944" max="7944" width="17.375" style="556" customWidth="1"/>
    <col min="7945" max="7945" width="18.625" style="556" customWidth="1"/>
    <col min="7946" max="8189" width="9" style="556"/>
    <col min="8190" max="8190" width="25.625" style="556" bestFit="1" customWidth="1"/>
    <col min="8191" max="8194" width="15.625" style="556" customWidth="1"/>
    <col min="8195" max="8196" width="0" style="556" hidden="1" customWidth="1"/>
    <col min="8197" max="8197" width="9" style="556"/>
    <col min="8198" max="8198" width="21.125" style="556" customWidth="1"/>
    <col min="8199" max="8199" width="19" style="556" customWidth="1"/>
    <col min="8200" max="8200" width="17.375" style="556" customWidth="1"/>
    <col min="8201" max="8201" width="18.625" style="556" customWidth="1"/>
    <col min="8202" max="8445" width="9" style="556"/>
    <col min="8446" max="8446" width="25.625" style="556" bestFit="1" customWidth="1"/>
    <col min="8447" max="8450" width="15.625" style="556" customWidth="1"/>
    <col min="8451" max="8452" width="0" style="556" hidden="1" customWidth="1"/>
    <col min="8453" max="8453" width="9" style="556"/>
    <col min="8454" max="8454" width="21.125" style="556" customWidth="1"/>
    <col min="8455" max="8455" width="19" style="556" customWidth="1"/>
    <col min="8456" max="8456" width="17.375" style="556" customWidth="1"/>
    <col min="8457" max="8457" width="18.625" style="556" customWidth="1"/>
    <col min="8458" max="8701" width="9" style="556"/>
    <col min="8702" max="8702" width="25.625" style="556" bestFit="1" customWidth="1"/>
    <col min="8703" max="8706" width="15.625" style="556" customWidth="1"/>
    <col min="8707" max="8708" width="0" style="556" hidden="1" customWidth="1"/>
    <col min="8709" max="8709" width="9" style="556"/>
    <col min="8710" max="8710" width="21.125" style="556" customWidth="1"/>
    <col min="8711" max="8711" width="19" style="556" customWidth="1"/>
    <col min="8712" max="8712" width="17.375" style="556" customWidth="1"/>
    <col min="8713" max="8713" width="18.625" style="556" customWidth="1"/>
    <col min="8714" max="8957" width="9" style="556"/>
    <col min="8958" max="8958" width="25.625" style="556" bestFit="1" customWidth="1"/>
    <col min="8959" max="8962" width="15.625" style="556" customWidth="1"/>
    <col min="8963" max="8964" width="0" style="556" hidden="1" customWidth="1"/>
    <col min="8965" max="8965" width="9" style="556"/>
    <col min="8966" max="8966" width="21.125" style="556" customWidth="1"/>
    <col min="8967" max="8967" width="19" style="556" customWidth="1"/>
    <col min="8968" max="8968" width="17.375" style="556" customWidth="1"/>
    <col min="8969" max="8969" width="18.625" style="556" customWidth="1"/>
    <col min="8970" max="9213" width="9" style="556"/>
    <col min="9214" max="9214" width="25.625" style="556" bestFit="1" customWidth="1"/>
    <col min="9215" max="9218" width="15.625" style="556" customWidth="1"/>
    <col min="9219" max="9220" width="0" style="556" hidden="1" customWidth="1"/>
    <col min="9221" max="9221" width="9" style="556"/>
    <col min="9222" max="9222" width="21.125" style="556" customWidth="1"/>
    <col min="9223" max="9223" width="19" style="556" customWidth="1"/>
    <col min="9224" max="9224" width="17.375" style="556" customWidth="1"/>
    <col min="9225" max="9225" width="18.625" style="556" customWidth="1"/>
    <col min="9226" max="9469" width="9" style="556"/>
    <col min="9470" max="9470" width="25.625" style="556" bestFit="1" customWidth="1"/>
    <col min="9471" max="9474" width="15.625" style="556" customWidth="1"/>
    <col min="9475" max="9476" width="0" style="556" hidden="1" customWidth="1"/>
    <col min="9477" max="9477" width="9" style="556"/>
    <col min="9478" max="9478" width="21.125" style="556" customWidth="1"/>
    <col min="9479" max="9479" width="19" style="556" customWidth="1"/>
    <col min="9480" max="9480" width="17.375" style="556" customWidth="1"/>
    <col min="9481" max="9481" width="18.625" style="556" customWidth="1"/>
    <col min="9482" max="9725" width="9" style="556"/>
    <col min="9726" max="9726" width="25.625" style="556" bestFit="1" customWidth="1"/>
    <col min="9727" max="9730" width="15.625" style="556" customWidth="1"/>
    <col min="9731" max="9732" width="0" style="556" hidden="1" customWidth="1"/>
    <col min="9733" max="9733" width="9" style="556"/>
    <col min="9734" max="9734" width="21.125" style="556" customWidth="1"/>
    <col min="9735" max="9735" width="19" style="556" customWidth="1"/>
    <col min="9736" max="9736" width="17.375" style="556" customWidth="1"/>
    <col min="9737" max="9737" width="18.625" style="556" customWidth="1"/>
    <col min="9738" max="9981" width="9" style="556"/>
    <col min="9982" max="9982" width="25.625" style="556" bestFit="1" customWidth="1"/>
    <col min="9983" max="9986" width="15.625" style="556" customWidth="1"/>
    <col min="9987" max="9988" width="0" style="556" hidden="1" customWidth="1"/>
    <col min="9989" max="9989" width="9" style="556"/>
    <col min="9990" max="9990" width="21.125" style="556" customWidth="1"/>
    <col min="9991" max="9991" width="19" style="556" customWidth="1"/>
    <col min="9992" max="9992" width="17.375" style="556" customWidth="1"/>
    <col min="9993" max="9993" width="18.625" style="556" customWidth="1"/>
    <col min="9994" max="10237" width="9" style="556"/>
    <col min="10238" max="10238" width="25.625" style="556" bestFit="1" customWidth="1"/>
    <col min="10239" max="10242" width="15.625" style="556" customWidth="1"/>
    <col min="10243" max="10244" width="0" style="556" hidden="1" customWidth="1"/>
    <col min="10245" max="10245" width="9" style="556"/>
    <col min="10246" max="10246" width="21.125" style="556" customWidth="1"/>
    <col min="10247" max="10247" width="19" style="556" customWidth="1"/>
    <col min="10248" max="10248" width="17.375" style="556" customWidth="1"/>
    <col min="10249" max="10249" width="18.625" style="556" customWidth="1"/>
    <col min="10250" max="10493" width="9" style="556"/>
    <col min="10494" max="10494" width="25.625" style="556" bestFit="1" customWidth="1"/>
    <col min="10495" max="10498" width="15.625" style="556" customWidth="1"/>
    <col min="10499" max="10500" width="0" style="556" hidden="1" customWidth="1"/>
    <col min="10501" max="10501" width="9" style="556"/>
    <col min="10502" max="10502" width="21.125" style="556" customWidth="1"/>
    <col min="10503" max="10503" width="19" style="556" customWidth="1"/>
    <col min="10504" max="10504" width="17.375" style="556" customWidth="1"/>
    <col min="10505" max="10505" width="18.625" style="556" customWidth="1"/>
    <col min="10506" max="10749" width="9" style="556"/>
    <col min="10750" max="10750" width="25.625" style="556" bestFit="1" customWidth="1"/>
    <col min="10751" max="10754" width="15.625" style="556" customWidth="1"/>
    <col min="10755" max="10756" width="0" style="556" hidden="1" customWidth="1"/>
    <col min="10757" max="10757" width="9" style="556"/>
    <col min="10758" max="10758" width="21.125" style="556" customWidth="1"/>
    <col min="10759" max="10759" width="19" style="556" customWidth="1"/>
    <col min="10760" max="10760" width="17.375" style="556" customWidth="1"/>
    <col min="10761" max="10761" width="18.625" style="556" customWidth="1"/>
    <col min="10762" max="11005" width="9" style="556"/>
    <col min="11006" max="11006" width="25.625" style="556" bestFit="1" customWidth="1"/>
    <col min="11007" max="11010" width="15.625" style="556" customWidth="1"/>
    <col min="11011" max="11012" width="0" style="556" hidden="1" customWidth="1"/>
    <col min="11013" max="11013" width="9" style="556"/>
    <col min="11014" max="11014" width="21.125" style="556" customWidth="1"/>
    <col min="11015" max="11015" width="19" style="556" customWidth="1"/>
    <col min="11016" max="11016" width="17.375" style="556" customWidth="1"/>
    <col min="11017" max="11017" width="18.625" style="556" customWidth="1"/>
    <col min="11018" max="11261" width="9" style="556"/>
    <col min="11262" max="11262" width="25.625" style="556" bestFit="1" customWidth="1"/>
    <col min="11263" max="11266" width="15.625" style="556" customWidth="1"/>
    <col min="11267" max="11268" width="0" style="556" hidden="1" customWidth="1"/>
    <col min="11269" max="11269" width="9" style="556"/>
    <col min="11270" max="11270" width="21.125" style="556" customWidth="1"/>
    <col min="11271" max="11271" width="19" style="556" customWidth="1"/>
    <col min="11272" max="11272" width="17.375" style="556" customWidth="1"/>
    <col min="11273" max="11273" width="18.625" style="556" customWidth="1"/>
    <col min="11274" max="11517" width="9" style="556"/>
    <col min="11518" max="11518" width="25.625" style="556" bestFit="1" customWidth="1"/>
    <col min="11519" max="11522" width="15.625" style="556" customWidth="1"/>
    <col min="11523" max="11524" width="0" style="556" hidden="1" customWidth="1"/>
    <col min="11525" max="11525" width="9" style="556"/>
    <col min="11526" max="11526" width="21.125" style="556" customWidth="1"/>
    <col min="11527" max="11527" width="19" style="556" customWidth="1"/>
    <col min="11528" max="11528" width="17.375" style="556" customWidth="1"/>
    <col min="11529" max="11529" width="18.625" style="556" customWidth="1"/>
    <col min="11530" max="11773" width="9" style="556"/>
    <col min="11774" max="11774" width="25.625" style="556" bestFit="1" customWidth="1"/>
    <col min="11775" max="11778" width="15.625" style="556" customWidth="1"/>
    <col min="11779" max="11780" width="0" style="556" hidden="1" customWidth="1"/>
    <col min="11781" max="11781" width="9" style="556"/>
    <col min="11782" max="11782" width="21.125" style="556" customWidth="1"/>
    <col min="11783" max="11783" width="19" style="556" customWidth="1"/>
    <col min="11784" max="11784" width="17.375" style="556" customWidth="1"/>
    <col min="11785" max="11785" width="18.625" style="556" customWidth="1"/>
    <col min="11786" max="12029" width="9" style="556"/>
    <col min="12030" max="12030" width="25.625" style="556" bestFit="1" customWidth="1"/>
    <col min="12031" max="12034" width="15.625" style="556" customWidth="1"/>
    <col min="12035" max="12036" width="0" style="556" hidden="1" customWidth="1"/>
    <col min="12037" max="12037" width="9" style="556"/>
    <col min="12038" max="12038" width="21.125" style="556" customWidth="1"/>
    <col min="12039" max="12039" width="19" style="556" customWidth="1"/>
    <col min="12040" max="12040" width="17.375" style="556" customWidth="1"/>
    <col min="12041" max="12041" width="18.625" style="556" customWidth="1"/>
    <col min="12042" max="12285" width="9" style="556"/>
    <col min="12286" max="12286" width="25.625" style="556" bestFit="1" customWidth="1"/>
    <col min="12287" max="12290" width="15.625" style="556" customWidth="1"/>
    <col min="12291" max="12292" width="0" style="556" hidden="1" customWidth="1"/>
    <col min="12293" max="12293" width="9" style="556"/>
    <col min="12294" max="12294" width="21.125" style="556" customWidth="1"/>
    <col min="12295" max="12295" width="19" style="556" customWidth="1"/>
    <col min="12296" max="12296" width="17.375" style="556" customWidth="1"/>
    <col min="12297" max="12297" width="18.625" style="556" customWidth="1"/>
    <col min="12298" max="12541" width="9" style="556"/>
    <col min="12542" max="12542" width="25.625" style="556" bestFit="1" customWidth="1"/>
    <col min="12543" max="12546" width="15.625" style="556" customWidth="1"/>
    <col min="12547" max="12548" width="0" style="556" hidden="1" customWidth="1"/>
    <col min="12549" max="12549" width="9" style="556"/>
    <col min="12550" max="12550" width="21.125" style="556" customWidth="1"/>
    <col min="12551" max="12551" width="19" style="556" customWidth="1"/>
    <col min="12552" max="12552" width="17.375" style="556" customWidth="1"/>
    <col min="12553" max="12553" width="18.625" style="556" customWidth="1"/>
    <col min="12554" max="12797" width="9" style="556"/>
    <col min="12798" max="12798" width="25.625" style="556" bestFit="1" customWidth="1"/>
    <col min="12799" max="12802" width="15.625" style="556" customWidth="1"/>
    <col min="12803" max="12804" width="0" style="556" hidden="1" customWidth="1"/>
    <col min="12805" max="12805" width="9" style="556"/>
    <col min="12806" max="12806" width="21.125" style="556" customWidth="1"/>
    <col min="12807" max="12807" width="19" style="556" customWidth="1"/>
    <col min="12808" max="12808" width="17.375" style="556" customWidth="1"/>
    <col min="12809" max="12809" width="18.625" style="556" customWidth="1"/>
    <col min="12810" max="13053" width="9" style="556"/>
    <col min="13054" max="13054" width="25.625" style="556" bestFit="1" customWidth="1"/>
    <col min="13055" max="13058" width="15.625" style="556" customWidth="1"/>
    <col min="13059" max="13060" width="0" style="556" hidden="1" customWidth="1"/>
    <col min="13061" max="13061" width="9" style="556"/>
    <col min="13062" max="13062" width="21.125" style="556" customWidth="1"/>
    <col min="13063" max="13063" width="19" style="556" customWidth="1"/>
    <col min="13064" max="13064" width="17.375" style="556" customWidth="1"/>
    <col min="13065" max="13065" width="18.625" style="556" customWidth="1"/>
    <col min="13066" max="13309" width="9" style="556"/>
    <col min="13310" max="13310" width="25.625" style="556" bestFit="1" customWidth="1"/>
    <col min="13311" max="13314" width="15.625" style="556" customWidth="1"/>
    <col min="13315" max="13316" width="0" style="556" hidden="1" customWidth="1"/>
    <col min="13317" max="13317" width="9" style="556"/>
    <col min="13318" max="13318" width="21.125" style="556" customWidth="1"/>
    <col min="13319" max="13319" width="19" style="556" customWidth="1"/>
    <col min="13320" max="13320" width="17.375" style="556" customWidth="1"/>
    <col min="13321" max="13321" width="18.625" style="556" customWidth="1"/>
    <col min="13322" max="13565" width="9" style="556"/>
    <col min="13566" max="13566" width="25.625" style="556" bestFit="1" customWidth="1"/>
    <col min="13567" max="13570" width="15.625" style="556" customWidth="1"/>
    <col min="13571" max="13572" width="0" style="556" hidden="1" customWidth="1"/>
    <col min="13573" max="13573" width="9" style="556"/>
    <col min="13574" max="13574" width="21.125" style="556" customWidth="1"/>
    <col min="13575" max="13575" width="19" style="556" customWidth="1"/>
    <col min="13576" max="13576" width="17.375" style="556" customWidth="1"/>
    <col min="13577" max="13577" width="18.625" style="556" customWidth="1"/>
    <col min="13578" max="13821" width="9" style="556"/>
    <col min="13822" max="13822" width="25.625" style="556" bestFit="1" customWidth="1"/>
    <col min="13823" max="13826" width="15.625" style="556" customWidth="1"/>
    <col min="13827" max="13828" width="0" style="556" hidden="1" customWidth="1"/>
    <col min="13829" max="13829" width="9" style="556"/>
    <col min="13830" max="13830" width="21.125" style="556" customWidth="1"/>
    <col min="13831" max="13831" width="19" style="556" customWidth="1"/>
    <col min="13832" max="13832" width="17.375" style="556" customWidth="1"/>
    <col min="13833" max="13833" width="18.625" style="556" customWidth="1"/>
    <col min="13834" max="14077" width="9" style="556"/>
    <col min="14078" max="14078" width="25.625" style="556" bestFit="1" customWidth="1"/>
    <col min="14079" max="14082" width="15.625" style="556" customWidth="1"/>
    <col min="14083" max="14084" width="0" style="556" hidden="1" customWidth="1"/>
    <col min="14085" max="14085" width="9" style="556"/>
    <col min="14086" max="14086" width="21.125" style="556" customWidth="1"/>
    <col min="14087" max="14087" width="19" style="556" customWidth="1"/>
    <col min="14088" max="14088" width="17.375" style="556" customWidth="1"/>
    <col min="14089" max="14089" width="18.625" style="556" customWidth="1"/>
    <col min="14090" max="14333" width="9" style="556"/>
    <col min="14334" max="14334" width="25.625" style="556" bestFit="1" customWidth="1"/>
    <col min="14335" max="14338" width="15.625" style="556" customWidth="1"/>
    <col min="14339" max="14340" width="0" style="556" hidden="1" customWidth="1"/>
    <col min="14341" max="14341" width="9" style="556"/>
    <col min="14342" max="14342" width="21.125" style="556" customWidth="1"/>
    <col min="14343" max="14343" width="19" style="556" customWidth="1"/>
    <col min="14344" max="14344" width="17.375" style="556" customWidth="1"/>
    <col min="14345" max="14345" width="18.625" style="556" customWidth="1"/>
    <col min="14346" max="14589" width="9" style="556"/>
    <col min="14590" max="14590" width="25.625" style="556" bestFit="1" customWidth="1"/>
    <col min="14591" max="14594" width="15.625" style="556" customWidth="1"/>
    <col min="14595" max="14596" width="0" style="556" hidden="1" customWidth="1"/>
    <col min="14597" max="14597" width="9" style="556"/>
    <col min="14598" max="14598" width="21.125" style="556" customWidth="1"/>
    <col min="14599" max="14599" width="19" style="556" customWidth="1"/>
    <col min="14600" max="14600" width="17.375" style="556" customWidth="1"/>
    <col min="14601" max="14601" width="18.625" style="556" customWidth="1"/>
    <col min="14602" max="14845" width="9" style="556"/>
    <col min="14846" max="14846" width="25.625" style="556" bestFit="1" customWidth="1"/>
    <col min="14847" max="14850" width="15.625" style="556" customWidth="1"/>
    <col min="14851" max="14852" width="0" style="556" hidden="1" customWidth="1"/>
    <col min="14853" max="14853" width="9" style="556"/>
    <col min="14854" max="14854" width="21.125" style="556" customWidth="1"/>
    <col min="14855" max="14855" width="19" style="556" customWidth="1"/>
    <col min="14856" max="14856" width="17.375" style="556" customWidth="1"/>
    <col min="14857" max="14857" width="18.625" style="556" customWidth="1"/>
    <col min="14858" max="15101" width="9" style="556"/>
    <col min="15102" max="15102" width="25.625" style="556" bestFit="1" customWidth="1"/>
    <col min="15103" max="15106" width="15.625" style="556" customWidth="1"/>
    <col min="15107" max="15108" width="0" style="556" hidden="1" customWidth="1"/>
    <col min="15109" max="15109" width="9" style="556"/>
    <col min="15110" max="15110" width="21.125" style="556" customWidth="1"/>
    <col min="15111" max="15111" width="19" style="556" customWidth="1"/>
    <col min="15112" max="15112" width="17.375" style="556" customWidth="1"/>
    <col min="15113" max="15113" width="18.625" style="556" customWidth="1"/>
    <col min="15114" max="15357" width="9" style="556"/>
    <col min="15358" max="15358" width="25.625" style="556" bestFit="1" customWidth="1"/>
    <col min="15359" max="15362" width="15.625" style="556" customWidth="1"/>
    <col min="15363" max="15364" width="0" style="556" hidden="1" customWidth="1"/>
    <col min="15365" max="15365" width="9" style="556"/>
    <col min="15366" max="15366" width="21.125" style="556" customWidth="1"/>
    <col min="15367" max="15367" width="19" style="556" customWidth="1"/>
    <col min="15368" max="15368" width="17.375" style="556" customWidth="1"/>
    <col min="15369" max="15369" width="18.625" style="556" customWidth="1"/>
    <col min="15370" max="15613" width="9" style="556"/>
    <col min="15614" max="15614" width="25.625" style="556" bestFit="1" customWidth="1"/>
    <col min="15615" max="15618" width="15.625" style="556" customWidth="1"/>
    <col min="15619" max="15620" width="0" style="556" hidden="1" customWidth="1"/>
    <col min="15621" max="15621" width="9" style="556"/>
    <col min="15622" max="15622" width="21.125" style="556" customWidth="1"/>
    <col min="15623" max="15623" width="19" style="556" customWidth="1"/>
    <col min="15624" max="15624" width="17.375" style="556" customWidth="1"/>
    <col min="15625" max="15625" width="18.625" style="556" customWidth="1"/>
    <col min="15626" max="15869" width="9" style="556"/>
    <col min="15870" max="15870" width="25.625" style="556" bestFit="1" customWidth="1"/>
    <col min="15871" max="15874" width="15.625" style="556" customWidth="1"/>
    <col min="15875" max="15876" width="0" style="556" hidden="1" customWidth="1"/>
    <col min="15877" max="15877" width="9" style="556"/>
    <col min="15878" max="15878" width="21.125" style="556" customWidth="1"/>
    <col min="15879" max="15879" width="19" style="556" customWidth="1"/>
    <col min="15880" max="15880" width="17.375" style="556" customWidth="1"/>
    <col min="15881" max="15881" width="18.625" style="556" customWidth="1"/>
    <col min="15882" max="16125" width="9" style="556"/>
    <col min="16126" max="16126" width="25.625" style="556" bestFit="1" customWidth="1"/>
    <col min="16127" max="16130" width="15.625" style="556" customWidth="1"/>
    <col min="16131" max="16132" width="0" style="556" hidden="1" customWidth="1"/>
    <col min="16133" max="16133" width="9" style="556"/>
    <col min="16134" max="16134" width="21.125" style="556" customWidth="1"/>
    <col min="16135" max="16135" width="19" style="556" customWidth="1"/>
    <col min="16136" max="16136" width="17.375" style="556" customWidth="1"/>
    <col min="16137" max="16137" width="18.625" style="556" customWidth="1"/>
    <col min="16138" max="16384" width="9" style="556"/>
  </cols>
  <sheetData>
    <row r="1" spans="1:10">
      <c r="B1" s="556">
        <f>B71-B105</f>
        <v>0</v>
      </c>
      <c r="C1" s="556">
        <f>SUM(C5:C195)</f>
        <v>25009091519</v>
      </c>
      <c r="D1" s="556">
        <f>SUM(D5:D195)</f>
        <v>24999999500</v>
      </c>
      <c r="E1" s="556">
        <f>E71-E105</f>
        <v>0</v>
      </c>
    </row>
    <row r="2" spans="1:10" ht="14.25" thickBot="1">
      <c r="A2" s="557"/>
      <c r="B2" s="557"/>
      <c r="C2" s="557"/>
      <c r="D2" s="557">
        <f>C1-D1</f>
        <v>9092019</v>
      </c>
      <c r="E2" s="557"/>
    </row>
    <row r="3" spans="1:10" ht="14.25" thickBot="1">
      <c r="A3" s="558" t="s">
        <v>1247</v>
      </c>
      <c r="B3" s="558" t="s">
        <v>2708</v>
      </c>
      <c r="C3" s="558" t="s">
        <v>2709</v>
      </c>
      <c r="D3" s="558" t="s">
        <v>2710</v>
      </c>
      <c r="E3" s="558" t="s">
        <v>870</v>
      </c>
      <c r="G3" s="639" t="s">
        <v>486</v>
      </c>
    </row>
    <row r="4" spans="1:10" ht="14.25" thickBot="1">
      <c r="A4" s="945" t="s">
        <v>3</v>
      </c>
      <c r="B4" s="945"/>
      <c r="C4" s="945"/>
      <c r="D4" s="945"/>
      <c r="E4" s="559"/>
      <c r="G4" s="640"/>
      <c r="I4" s="556" t="s">
        <v>3</v>
      </c>
      <c r="J4" s="556" t="b">
        <f>I4=A4</f>
        <v>1</v>
      </c>
    </row>
    <row r="5" spans="1:10" ht="14.25" thickBot="1">
      <c r="A5" s="945" t="s">
        <v>4</v>
      </c>
      <c r="B5" s="945">
        <v>16937363250</v>
      </c>
      <c r="C5" s="945"/>
      <c r="D5" s="945"/>
      <c r="E5" s="559">
        <v>16937363250</v>
      </c>
      <c r="G5" s="640"/>
      <c r="I5" s="556" t="s">
        <v>4</v>
      </c>
      <c r="J5" s="556" t="b">
        <f t="shared" ref="J5:J68" si="0">I5=A5</f>
        <v>1</v>
      </c>
    </row>
    <row r="6" spans="1:10">
      <c r="A6" s="953" t="s">
        <v>359</v>
      </c>
      <c r="B6" s="954">
        <v>10968165061</v>
      </c>
      <c r="C6" s="954"/>
      <c r="D6" s="949"/>
      <c r="E6" s="561">
        <v>10968165061</v>
      </c>
      <c r="G6" s="640"/>
      <c r="I6" s="556" t="s">
        <v>359</v>
      </c>
      <c r="J6" s="556" t="b">
        <f t="shared" si="0"/>
        <v>1</v>
      </c>
    </row>
    <row r="7" spans="1:10">
      <c r="A7" s="952" t="s">
        <v>359</v>
      </c>
      <c r="B7" s="948">
        <v>10968165061</v>
      </c>
      <c r="C7" s="949">
        <v>0</v>
      </c>
      <c r="D7" s="949">
        <v>0</v>
      </c>
      <c r="E7" s="556">
        <v>10968165061</v>
      </c>
      <c r="G7" s="640" t="s">
        <v>624</v>
      </c>
      <c r="I7" s="556" t="s">
        <v>359</v>
      </c>
      <c r="J7" s="556" t="b">
        <f t="shared" si="0"/>
        <v>1</v>
      </c>
    </row>
    <row r="8" spans="1:10">
      <c r="A8" s="953" t="s">
        <v>8</v>
      </c>
      <c r="B8" s="955">
        <v>0</v>
      </c>
      <c r="C8" s="949">
        <v>0</v>
      </c>
      <c r="D8" s="949">
        <v>0</v>
      </c>
      <c r="E8" s="561">
        <v>0</v>
      </c>
      <c r="G8" s="640" t="s">
        <v>627</v>
      </c>
      <c r="I8" s="556" t="s">
        <v>8</v>
      </c>
      <c r="J8" s="556" t="b">
        <f t="shared" si="0"/>
        <v>1</v>
      </c>
    </row>
    <row r="9" spans="1:10">
      <c r="A9" s="953" t="s">
        <v>341</v>
      </c>
      <c r="B9" s="954">
        <v>1667306010</v>
      </c>
      <c r="C9" s="954"/>
      <c r="D9" s="954"/>
      <c r="E9" s="561">
        <v>1667306010</v>
      </c>
      <c r="G9" s="640"/>
      <c r="I9" s="556" t="s">
        <v>341</v>
      </c>
      <c r="J9" s="556" t="b">
        <f t="shared" si="0"/>
        <v>1</v>
      </c>
    </row>
    <row r="10" spans="1:10">
      <c r="A10" s="952" t="s">
        <v>10</v>
      </c>
      <c r="B10" s="948">
        <v>1535770100</v>
      </c>
      <c r="C10" s="949">
        <v>0</v>
      </c>
      <c r="D10" s="949">
        <v>0</v>
      </c>
      <c r="E10" s="556">
        <v>1535770100</v>
      </c>
      <c r="G10" s="640" t="s">
        <v>628</v>
      </c>
      <c r="I10" s="556" t="s">
        <v>10</v>
      </c>
      <c r="J10" s="556" t="b">
        <f t="shared" si="0"/>
        <v>1</v>
      </c>
    </row>
    <row r="11" spans="1:10">
      <c r="A11" s="952" t="s">
        <v>12</v>
      </c>
      <c r="B11" s="948">
        <v>-105342662</v>
      </c>
      <c r="C11" s="949">
        <v>0</v>
      </c>
      <c r="D11" s="949">
        <v>0</v>
      </c>
      <c r="E11" s="556">
        <v>-105342662</v>
      </c>
      <c r="G11" s="640" t="s">
        <v>629</v>
      </c>
      <c r="I11" s="556" t="s">
        <v>12</v>
      </c>
      <c r="J11" s="556" t="b">
        <f t="shared" si="0"/>
        <v>1</v>
      </c>
    </row>
    <row r="12" spans="1:10">
      <c r="A12" s="952" t="s">
        <v>15</v>
      </c>
      <c r="B12" s="948">
        <v>0</v>
      </c>
      <c r="C12" s="949">
        <v>0</v>
      </c>
      <c r="D12" s="949">
        <v>0</v>
      </c>
      <c r="E12" s="556">
        <v>0</v>
      </c>
      <c r="G12" s="640" t="s">
        <v>630</v>
      </c>
      <c r="I12" s="556" t="s">
        <v>15</v>
      </c>
      <c r="J12" s="556" t="b">
        <f t="shared" si="0"/>
        <v>1</v>
      </c>
    </row>
    <row r="13" spans="1:10">
      <c r="A13" s="952" t="s">
        <v>1504</v>
      </c>
      <c r="B13" s="948">
        <v>0</v>
      </c>
      <c r="C13" s="949">
        <v>0</v>
      </c>
      <c r="D13" s="949">
        <v>0</v>
      </c>
      <c r="E13" s="556">
        <v>0</v>
      </c>
      <c r="G13" s="640" t="s">
        <v>631</v>
      </c>
      <c r="I13" s="556" t="s">
        <v>1504</v>
      </c>
      <c r="J13" s="556" t="b">
        <f t="shared" si="0"/>
        <v>1</v>
      </c>
    </row>
    <row r="14" spans="1:10">
      <c r="A14" s="952" t="s">
        <v>13</v>
      </c>
      <c r="B14" s="948">
        <v>261017572</v>
      </c>
      <c r="C14" s="949">
        <v>0</v>
      </c>
      <c r="D14" s="949">
        <v>0</v>
      </c>
      <c r="E14" s="556">
        <v>261017572</v>
      </c>
      <c r="G14" s="640" t="s">
        <v>632</v>
      </c>
      <c r="I14" s="556" t="s">
        <v>13</v>
      </c>
      <c r="J14" s="556" t="b">
        <f t="shared" si="0"/>
        <v>1</v>
      </c>
    </row>
    <row r="15" spans="1:10">
      <c r="A15" s="952" t="s">
        <v>14</v>
      </c>
      <c r="B15" s="948">
        <v>-24139000</v>
      </c>
      <c r="C15" s="949">
        <v>0</v>
      </c>
      <c r="D15" s="949">
        <v>0</v>
      </c>
      <c r="E15" s="556">
        <v>-24139000</v>
      </c>
      <c r="G15" s="640" t="s">
        <v>633</v>
      </c>
      <c r="I15" s="556" t="s">
        <v>14</v>
      </c>
      <c r="J15" s="556" t="b">
        <f t="shared" si="0"/>
        <v>1</v>
      </c>
    </row>
    <row r="16" spans="1:10">
      <c r="A16" s="953" t="s">
        <v>20</v>
      </c>
      <c r="B16" s="955">
        <v>2202609621</v>
      </c>
      <c r="C16" s="955"/>
      <c r="D16" s="955"/>
      <c r="E16" s="563">
        <v>2202609621</v>
      </c>
      <c r="G16" s="640"/>
      <c r="I16" s="556" t="s">
        <v>20</v>
      </c>
      <c r="J16" s="556" t="b">
        <f t="shared" si="0"/>
        <v>1</v>
      </c>
    </row>
    <row r="17" spans="1:10">
      <c r="A17" s="952" t="s">
        <v>23</v>
      </c>
      <c r="B17" s="948">
        <v>47852743</v>
      </c>
      <c r="C17" s="949">
        <v>0</v>
      </c>
      <c r="D17" s="949">
        <v>0</v>
      </c>
      <c r="E17" s="556">
        <v>47852743</v>
      </c>
      <c r="G17" s="640" t="s">
        <v>645</v>
      </c>
      <c r="I17" s="556" t="s">
        <v>23</v>
      </c>
      <c r="J17" s="556" t="b">
        <f t="shared" si="0"/>
        <v>1</v>
      </c>
    </row>
    <row r="18" spans="1:10">
      <c r="A18" s="952" t="s">
        <v>1507</v>
      </c>
      <c r="B18" s="948">
        <v>0</v>
      </c>
      <c r="C18" s="949">
        <v>0</v>
      </c>
      <c r="D18" s="949">
        <v>0</v>
      </c>
      <c r="E18" s="556">
        <v>0</v>
      </c>
      <c r="G18" s="640" t="s">
        <v>643</v>
      </c>
      <c r="I18" s="556" t="s">
        <v>1507</v>
      </c>
      <c r="J18" s="556" t="b">
        <f t="shared" si="0"/>
        <v>1</v>
      </c>
    </row>
    <row r="19" spans="1:10">
      <c r="A19" s="952" t="s">
        <v>21</v>
      </c>
      <c r="B19" s="948">
        <v>2534717672</v>
      </c>
      <c r="C19" s="949">
        <v>0</v>
      </c>
      <c r="D19" s="949">
        <v>0</v>
      </c>
      <c r="E19" s="556">
        <v>2534717672</v>
      </c>
      <c r="G19" s="640" t="s">
        <v>646</v>
      </c>
      <c r="I19" s="556" t="s">
        <v>21</v>
      </c>
      <c r="J19" s="556" t="b">
        <f t="shared" si="0"/>
        <v>1</v>
      </c>
    </row>
    <row r="20" spans="1:10">
      <c r="A20" s="952" t="s">
        <v>1508</v>
      </c>
      <c r="B20" s="948">
        <v>-827921741</v>
      </c>
      <c r="C20" s="949">
        <v>0</v>
      </c>
      <c r="D20" s="949">
        <v>0</v>
      </c>
      <c r="E20" s="556">
        <v>-827921741</v>
      </c>
      <c r="G20" s="640" t="s">
        <v>647</v>
      </c>
      <c r="I20" s="556" t="s">
        <v>1508</v>
      </c>
      <c r="J20" s="556" t="b">
        <f t="shared" si="0"/>
        <v>1</v>
      </c>
    </row>
    <row r="21" spans="1:10">
      <c r="A21" s="952" t="s">
        <v>24</v>
      </c>
      <c r="B21" s="948">
        <v>464851515</v>
      </c>
      <c r="C21" s="949">
        <v>0</v>
      </c>
      <c r="D21" s="949">
        <v>0</v>
      </c>
      <c r="E21" s="556">
        <v>464851515</v>
      </c>
      <c r="G21" s="640" t="s">
        <v>649</v>
      </c>
      <c r="I21" s="556" t="s">
        <v>24</v>
      </c>
      <c r="J21" s="556" t="b">
        <f t="shared" si="0"/>
        <v>1</v>
      </c>
    </row>
    <row r="22" spans="1:10">
      <c r="A22" s="952" t="s">
        <v>1509</v>
      </c>
      <c r="B22" s="948">
        <v>-44697318</v>
      </c>
      <c r="C22" s="949">
        <v>0</v>
      </c>
      <c r="D22" s="949">
        <v>0</v>
      </c>
      <c r="E22" s="556">
        <v>-44697318</v>
      </c>
      <c r="G22" s="640" t="s">
        <v>650</v>
      </c>
      <c r="I22" s="556" t="s">
        <v>1509</v>
      </c>
      <c r="J22" s="556" t="b">
        <f t="shared" si="0"/>
        <v>1</v>
      </c>
    </row>
    <row r="23" spans="1:10">
      <c r="A23" s="952" t="s">
        <v>1372</v>
      </c>
      <c r="B23" s="948">
        <v>48405072</v>
      </c>
      <c r="C23" s="949">
        <v>0</v>
      </c>
      <c r="D23" s="949">
        <v>0</v>
      </c>
      <c r="E23" s="556">
        <v>48405072</v>
      </c>
      <c r="G23" s="958" t="s">
        <v>1368</v>
      </c>
      <c r="I23" s="556" t="s">
        <v>1372</v>
      </c>
      <c r="J23" s="556" t="b">
        <f t="shared" si="0"/>
        <v>1</v>
      </c>
    </row>
    <row r="24" spans="1:10">
      <c r="A24" s="952" t="s">
        <v>1848</v>
      </c>
      <c r="B24" s="948">
        <v>-20598322</v>
      </c>
      <c r="C24" s="949">
        <v>0</v>
      </c>
      <c r="D24" s="949">
        <v>0</v>
      </c>
      <c r="E24" s="556">
        <v>-20598322</v>
      </c>
      <c r="G24" s="958" t="s">
        <v>1370</v>
      </c>
      <c r="I24" s="556" t="s">
        <v>1848</v>
      </c>
      <c r="J24" s="556" t="b">
        <f t="shared" si="0"/>
        <v>1</v>
      </c>
    </row>
    <row r="25" spans="1:10">
      <c r="A25" s="952" t="s">
        <v>22</v>
      </c>
      <c r="B25" s="948">
        <v>0</v>
      </c>
      <c r="C25" s="949">
        <v>0</v>
      </c>
      <c r="D25" s="949">
        <v>0</v>
      </c>
      <c r="E25" s="556">
        <v>0</v>
      </c>
      <c r="G25" s="640" t="s">
        <v>652</v>
      </c>
      <c r="I25" s="556" t="s">
        <v>22</v>
      </c>
      <c r="J25" s="556" t="b">
        <f t="shared" si="0"/>
        <v>1</v>
      </c>
    </row>
    <row r="26" spans="1:10">
      <c r="A26" s="953" t="s">
        <v>105</v>
      </c>
      <c r="B26" s="955">
        <v>2097128278</v>
      </c>
      <c r="C26" s="949"/>
      <c r="D26" s="949"/>
      <c r="E26" s="563">
        <v>2097128278</v>
      </c>
      <c r="G26" s="640"/>
      <c r="I26" s="556" t="s">
        <v>105</v>
      </c>
      <c r="J26" s="556" t="b">
        <f t="shared" si="0"/>
        <v>1</v>
      </c>
    </row>
    <row r="27" spans="1:10">
      <c r="A27" s="952" t="s">
        <v>16</v>
      </c>
      <c r="B27" s="948">
        <v>394157762</v>
      </c>
      <c r="C27" s="949">
        <v>0</v>
      </c>
      <c r="D27" s="949">
        <v>0</v>
      </c>
      <c r="E27" s="556">
        <v>394157762</v>
      </c>
      <c r="G27" s="640" t="s">
        <v>634</v>
      </c>
      <c r="I27" s="556" t="s">
        <v>16</v>
      </c>
      <c r="J27" s="556" t="b">
        <f t="shared" si="0"/>
        <v>1</v>
      </c>
    </row>
    <row r="28" spans="1:10">
      <c r="A28" s="952" t="s">
        <v>1505</v>
      </c>
      <c r="B28" s="948">
        <v>0</v>
      </c>
      <c r="C28" s="949">
        <v>0</v>
      </c>
      <c r="D28" s="949">
        <v>0</v>
      </c>
      <c r="E28" s="556">
        <v>0</v>
      </c>
      <c r="G28" s="640" t="s">
        <v>635</v>
      </c>
      <c r="I28" s="556" t="s">
        <v>1505</v>
      </c>
      <c r="J28" s="556" t="b">
        <f t="shared" si="0"/>
        <v>1</v>
      </c>
    </row>
    <row r="29" spans="1:10">
      <c r="A29" s="952" t="s">
        <v>17</v>
      </c>
      <c r="B29" s="948">
        <v>1698698289</v>
      </c>
      <c r="C29" s="949">
        <v>0</v>
      </c>
      <c r="D29" s="949">
        <v>0</v>
      </c>
      <c r="E29" s="556">
        <v>1698698289</v>
      </c>
      <c r="G29" s="640" t="s">
        <v>636</v>
      </c>
      <c r="I29" s="556" t="s">
        <v>17</v>
      </c>
      <c r="J29" s="556" t="b">
        <f t="shared" si="0"/>
        <v>1</v>
      </c>
    </row>
    <row r="30" spans="1:10">
      <c r="A30" s="952" t="s">
        <v>2759</v>
      </c>
      <c r="B30" s="948">
        <v>4272227</v>
      </c>
      <c r="C30" s="949">
        <v>0</v>
      </c>
      <c r="D30" s="949">
        <v>0</v>
      </c>
      <c r="E30" s="556">
        <v>4272227</v>
      </c>
      <c r="G30" s="958" t="s">
        <v>2855</v>
      </c>
      <c r="I30" s="556" t="s">
        <v>2759</v>
      </c>
      <c r="J30" s="556" t="b">
        <f t="shared" si="0"/>
        <v>1</v>
      </c>
    </row>
    <row r="31" spans="1:10">
      <c r="A31" s="952" t="s">
        <v>640</v>
      </c>
      <c r="B31" s="948">
        <v>0</v>
      </c>
      <c r="C31" s="949">
        <v>0</v>
      </c>
      <c r="D31" s="949">
        <v>0</v>
      </c>
      <c r="E31" s="556">
        <v>0</v>
      </c>
      <c r="G31" s="958" t="s">
        <v>639</v>
      </c>
      <c r="I31" s="556" t="s">
        <v>640</v>
      </c>
      <c r="J31" s="556" t="b">
        <f t="shared" si="0"/>
        <v>1</v>
      </c>
    </row>
    <row r="32" spans="1:10">
      <c r="A32" s="762" t="s">
        <v>1063</v>
      </c>
      <c r="B32" s="955">
        <v>0</v>
      </c>
      <c r="C32" s="949"/>
      <c r="D32" s="949"/>
      <c r="E32" s="561">
        <v>0</v>
      </c>
      <c r="G32" s="958"/>
      <c r="I32" s="556" t="s">
        <v>1063</v>
      </c>
      <c r="J32" s="556" t="b">
        <f t="shared" si="0"/>
        <v>1</v>
      </c>
    </row>
    <row r="33" spans="1:10">
      <c r="A33" s="959" t="s">
        <v>2508</v>
      </c>
      <c r="B33" s="948">
        <v>0</v>
      </c>
      <c r="C33" s="949">
        <v>0</v>
      </c>
      <c r="D33" s="949">
        <v>0</v>
      </c>
      <c r="E33" s="556">
        <v>0</v>
      </c>
      <c r="G33" s="958" t="s">
        <v>2509</v>
      </c>
      <c r="I33" s="556" t="s">
        <v>2508</v>
      </c>
      <c r="J33" s="556" t="b">
        <f t="shared" si="0"/>
        <v>1</v>
      </c>
    </row>
    <row r="34" spans="1:10">
      <c r="A34" s="947" t="s">
        <v>1506</v>
      </c>
      <c r="B34" s="948">
        <v>0</v>
      </c>
      <c r="C34" s="949">
        <v>0</v>
      </c>
      <c r="D34" s="949">
        <v>0</v>
      </c>
      <c r="E34" s="556">
        <v>0</v>
      </c>
      <c r="G34" s="640" t="s">
        <v>637</v>
      </c>
      <c r="I34" s="556" t="s">
        <v>1506</v>
      </c>
      <c r="J34" s="556" t="b">
        <f t="shared" si="0"/>
        <v>1</v>
      </c>
    </row>
    <row r="35" spans="1:10" ht="14.25" thickBot="1">
      <c r="A35" s="953" t="s">
        <v>106</v>
      </c>
      <c r="B35" s="955">
        <v>2154280</v>
      </c>
      <c r="C35" s="949">
        <v>0</v>
      </c>
      <c r="D35" s="949">
        <v>0</v>
      </c>
      <c r="E35" s="561">
        <v>2154280</v>
      </c>
      <c r="G35" s="640" t="s">
        <v>641</v>
      </c>
      <c r="I35" s="556" t="s">
        <v>106</v>
      </c>
      <c r="J35" s="556" t="b">
        <f t="shared" si="0"/>
        <v>1</v>
      </c>
    </row>
    <row r="36" spans="1:10" ht="14.25" thickBot="1">
      <c r="A36" s="945" t="s">
        <v>25</v>
      </c>
      <c r="B36" s="945">
        <v>37614774674</v>
      </c>
      <c r="C36" s="945"/>
      <c r="D36" s="945"/>
      <c r="E36" s="559">
        <v>37605682655</v>
      </c>
      <c r="G36" s="640"/>
      <c r="I36" s="556" t="s">
        <v>25</v>
      </c>
      <c r="J36" s="556" t="b">
        <f t="shared" si="0"/>
        <v>1</v>
      </c>
    </row>
    <row r="37" spans="1:10">
      <c r="A37" s="762" t="s">
        <v>1115</v>
      </c>
      <c r="B37" s="1155">
        <v>386082376</v>
      </c>
      <c r="C37" s="1155"/>
      <c r="D37" s="1155"/>
      <c r="E37" s="561">
        <v>386082376</v>
      </c>
      <c r="G37" s="640"/>
      <c r="I37" s="556" t="s">
        <v>1115</v>
      </c>
      <c r="J37" s="556" t="b">
        <f t="shared" si="0"/>
        <v>1</v>
      </c>
    </row>
    <row r="38" spans="1:10">
      <c r="A38" s="959" t="s">
        <v>43</v>
      </c>
      <c r="B38" s="1156">
        <v>403800000</v>
      </c>
      <c r="C38" s="1157">
        <v>0</v>
      </c>
      <c r="D38" s="1157">
        <v>0</v>
      </c>
      <c r="E38" s="556">
        <v>403800000</v>
      </c>
      <c r="G38" s="640" t="s">
        <v>679</v>
      </c>
      <c r="I38" s="556" t="s">
        <v>43</v>
      </c>
      <c r="J38" s="556" t="b">
        <f t="shared" si="0"/>
        <v>1</v>
      </c>
    </row>
    <row r="39" spans="1:10">
      <c r="A39" s="1158" t="s">
        <v>2654</v>
      </c>
      <c r="B39" s="1156">
        <v>-27853494</v>
      </c>
      <c r="C39" s="1157">
        <v>0</v>
      </c>
      <c r="D39" s="1157">
        <v>0</v>
      </c>
      <c r="E39" s="556">
        <v>-27853494</v>
      </c>
      <c r="G39" s="958" t="s">
        <v>2653</v>
      </c>
      <c r="I39" s="556" t="s">
        <v>2654</v>
      </c>
      <c r="J39" s="556" t="b">
        <f t="shared" si="0"/>
        <v>1</v>
      </c>
    </row>
    <row r="40" spans="1:10">
      <c r="A40" s="959" t="s">
        <v>44</v>
      </c>
      <c r="B40" s="1156">
        <v>10135870</v>
      </c>
      <c r="C40" s="1157">
        <v>0</v>
      </c>
      <c r="D40" s="1157">
        <v>0</v>
      </c>
      <c r="E40" s="556">
        <v>10135870</v>
      </c>
      <c r="G40" s="640" t="s">
        <v>680</v>
      </c>
      <c r="I40" s="556" t="s">
        <v>44</v>
      </c>
      <c r="J40" s="556" t="b">
        <f t="shared" si="0"/>
        <v>1</v>
      </c>
    </row>
    <row r="41" spans="1:10">
      <c r="A41" s="762" t="s">
        <v>1511</v>
      </c>
      <c r="B41" s="1159">
        <v>172664940</v>
      </c>
      <c r="C41" s="1155">
        <v>0</v>
      </c>
      <c r="D41" s="1155">
        <v>0</v>
      </c>
      <c r="E41" s="561">
        <v>172664940</v>
      </c>
      <c r="G41" s="640" t="s">
        <v>2857</v>
      </c>
      <c r="I41" s="556" t="s">
        <v>1511</v>
      </c>
      <c r="J41" s="556" t="b">
        <f t="shared" si="0"/>
        <v>1</v>
      </c>
    </row>
    <row r="42" spans="1:10">
      <c r="A42" s="762" t="s">
        <v>269</v>
      </c>
      <c r="B42" s="1159">
        <v>25348225181</v>
      </c>
      <c r="C42" s="1157"/>
      <c r="D42" s="1157"/>
      <c r="E42" s="561">
        <v>25348225181</v>
      </c>
      <c r="G42" s="640"/>
      <c r="I42" s="556" t="s">
        <v>269</v>
      </c>
      <c r="J42" s="556" t="b">
        <f t="shared" si="0"/>
        <v>1</v>
      </c>
    </row>
    <row r="43" spans="1:10">
      <c r="A43" s="959" t="s">
        <v>904</v>
      </c>
      <c r="B43" s="1156">
        <v>348225681</v>
      </c>
      <c r="C43" s="1157">
        <v>24999999500</v>
      </c>
      <c r="D43" s="1157">
        <v>0</v>
      </c>
      <c r="E43" s="556">
        <v>25348225181</v>
      </c>
      <c r="G43" s="640" t="s">
        <v>2652</v>
      </c>
      <c r="I43" s="556" t="s">
        <v>904</v>
      </c>
      <c r="J43" s="556" t="b">
        <f t="shared" si="0"/>
        <v>1</v>
      </c>
    </row>
    <row r="44" spans="1:10">
      <c r="A44" s="959" t="s">
        <v>905</v>
      </c>
      <c r="B44" s="1156">
        <v>24999999500</v>
      </c>
      <c r="C44" s="1157">
        <v>0</v>
      </c>
      <c r="D44" s="1157">
        <v>24999999500</v>
      </c>
      <c r="E44" s="556">
        <v>0</v>
      </c>
      <c r="G44" s="640" t="s">
        <v>907</v>
      </c>
      <c r="I44" s="556" t="s">
        <v>905</v>
      </c>
      <c r="J44" s="556" t="b">
        <f t="shared" si="0"/>
        <v>1</v>
      </c>
    </row>
    <row r="45" spans="1:10">
      <c r="A45" s="959" t="s">
        <v>654</v>
      </c>
      <c r="B45" s="1156">
        <v>0</v>
      </c>
      <c r="C45" s="1157">
        <v>0</v>
      </c>
      <c r="D45" s="1157">
        <v>0</v>
      </c>
      <c r="E45" s="556">
        <v>0</v>
      </c>
      <c r="G45" s="958" t="s">
        <v>653</v>
      </c>
      <c r="I45" s="556" t="s">
        <v>654</v>
      </c>
      <c r="J45" s="556" t="b">
        <f t="shared" si="0"/>
        <v>1</v>
      </c>
    </row>
    <row r="46" spans="1:10">
      <c r="A46" s="762" t="s">
        <v>27</v>
      </c>
      <c r="B46" s="1155">
        <v>9027975084</v>
      </c>
      <c r="C46" s="1157"/>
      <c r="D46" s="1157"/>
      <c r="E46" s="561">
        <v>9018883065</v>
      </c>
      <c r="G46" s="640"/>
      <c r="I46" s="556" t="s">
        <v>27</v>
      </c>
      <c r="J46" s="556" t="b">
        <f t="shared" si="0"/>
        <v>1</v>
      </c>
    </row>
    <row r="47" spans="1:10">
      <c r="A47" s="959" t="s">
        <v>28</v>
      </c>
      <c r="B47" s="1156">
        <v>1115280040</v>
      </c>
      <c r="C47" s="1157">
        <v>0</v>
      </c>
      <c r="D47" s="1157">
        <v>0</v>
      </c>
      <c r="E47" s="556">
        <v>1115280040</v>
      </c>
      <c r="G47" s="958" t="s">
        <v>2512</v>
      </c>
      <c r="I47" s="556" t="s">
        <v>28</v>
      </c>
      <c r="J47" s="556" t="b">
        <f t="shared" si="0"/>
        <v>1</v>
      </c>
    </row>
    <row r="48" spans="1:10">
      <c r="A48" s="959" t="s">
        <v>29</v>
      </c>
      <c r="B48" s="1156">
        <v>2832428420</v>
      </c>
      <c r="C48" s="1157">
        <v>0</v>
      </c>
      <c r="D48" s="1157">
        <v>0</v>
      </c>
      <c r="E48" s="556">
        <v>2832428420</v>
      </c>
      <c r="G48" s="960" t="s">
        <v>2859</v>
      </c>
      <c r="I48" s="556" t="s">
        <v>29</v>
      </c>
      <c r="J48" s="556" t="b">
        <f t="shared" si="0"/>
        <v>1</v>
      </c>
    </row>
    <row r="49" spans="1:10">
      <c r="A49" s="959" t="s">
        <v>237</v>
      </c>
      <c r="B49" s="1156">
        <v>-61959374</v>
      </c>
      <c r="C49" s="1157">
        <v>0</v>
      </c>
      <c r="D49" s="1157">
        <v>0</v>
      </c>
      <c r="E49" s="556">
        <v>-61959374</v>
      </c>
      <c r="G49" s="960" t="s">
        <v>2860</v>
      </c>
      <c r="I49" s="556" t="s">
        <v>237</v>
      </c>
      <c r="J49" s="556" t="b">
        <f t="shared" si="0"/>
        <v>1</v>
      </c>
    </row>
    <row r="50" spans="1:10">
      <c r="A50" s="959" t="s">
        <v>31</v>
      </c>
      <c r="B50" s="1156">
        <v>2674264961</v>
      </c>
      <c r="C50" s="1157">
        <v>0</v>
      </c>
      <c r="D50" s="1157">
        <v>0</v>
      </c>
      <c r="E50" s="556">
        <v>2674264961</v>
      </c>
      <c r="G50" s="640" t="s">
        <v>655</v>
      </c>
      <c r="I50" s="556" t="s">
        <v>31</v>
      </c>
      <c r="J50" s="556" t="b">
        <f t="shared" si="0"/>
        <v>1</v>
      </c>
    </row>
    <row r="51" spans="1:10">
      <c r="A51" s="959" t="s">
        <v>237</v>
      </c>
      <c r="B51" s="1156">
        <v>-1323604760</v>
      </c>
      <c r="C51" s="1157">
        <v>0</v>
      </c>
      <c r="D51" s="1157">
        <v>0</v>
      </c>
      <c r="E51" s="556">
        <v>-1323604760</v>
      </c>
      <c r="G51" s="640" t="s">
        <v>656</v>
      </c>
      <c r="I51" s="556" t="s">
        <v>237</v>
      </c>
      <c r="J51" s="556" t="b">
        <f t="shared" si="0"/>
        <v>1</v>
      </c>
    </row>
    <row r="52" spans="1:10">
      <c r="A52" s="959" t="s">
        <v>33</v>
      </c>
      <c r="B52" s="1156">
        <v>7974819</v>
      </c>
      <c r="C52" s="1157">
        <v>0</v>
      </c>
      <c r="D52" s="1157">
        <v>0</v>
      </c>
      <c r="E52" s="556">
        <v>7974819</v>
      </c>
      <c r="G52" s="640" t="s">
        <v>658</v>
      </c>
      <c r="I52" s="556" t="s">
        <v>33</v>
      </c>
      <c r="J52" s="556" t="b">
        <f t="shared" si="0"/>
        <v>1</v>
      </c>
    </row>
    <row r="53" spans="1:10">
      <c r="A53" s="959" t="s">
        <v>237</v>
      </c>
      <c r="B53" s="1156">
        <v>-7972819</v>
      </c>
      <c r="C53" s="1157">
        <v>0</v>
      </c>
      <c r="D53" s="1157">
        <v>0</v>
      </c>
      <c r="E53" s="556">
        <v>-7972819</v>
      </c>
      <c r="G53" s="640" t="s">
        <v>659</v>
      </c>
      <c r="I53" s="556" t="s">
        <v>237</v>
      </c>
      <c r="J53" s="556" t="b">
        <f t="shared" si="0"/>
        <v>1</v>
      </c>
    </row>
    <row r="54" spans="1:10">
      <c r="A54" s="959" t="s">
        <v>662</v>
      </c>
      <c r="B54" s="1156">
        <v>131100000</v>
      </c>
      <c r="C54" s="1157">
        <v>0</v>
      </c>
      <c r="D54" s="1157">
        <v>0</v>
      </c>
      <c r="E54" s="556">
        <v>131100000</v>
      </c>
      <c r="G54" s="640" t="s">
        <v>661</v>
      </c>
      <c r="I54" s="556" t="s">
        <v>662</v>
      </c>
      <c r="J54" s="556" t="b">
        <f t="shared" si="0"/>
        <v>1</v>
      </c>
    </row>
    <row r="55" spans="1:10">
      <c r="A55" s="959" t="s">
        <v>237</v>
      </c>
      <c r="B55" s="1156">
        <v>-67838194</v>
      </c>
      <c r="C55" s="1157">
        <v>0</v>
      </c>
      <c r="D55" s="1157">
        <v>0</v>
      </c>
      <c r="E55" s="556">
        <v>-67838194</v>
      </c>
      <c r="G55" s="640" t="s">
        <v>663</v>
      </c>
      <c r="I55" s="556" t="s">
        <v>237</v>
      </c>
      <c r="J55" s="556" t="b">
        <f t="shared" si="0"/>
        <v>1</v>
      </c>
    </row>
    <row r="56" spans="1:10">
      <c r="A56" s="959" t="s">
        <v>874</v>
      </c>
      <c r="B56" s="1156">
        <v>368187065</v>
      </c>
      <c r="C56" s="1157">
        <v>0</v>
      </c>
      <c r="D56" s="1157">
        <v>0</v>
      </c>
      <c r="E56" s="556">
        <v>368187065</v>
      </c>
      <c r="G56" s="640" t="s">
        <v>665</v>
      </c>
      <c r="I56" s="556" t="s">
        <v>874</v>
      </c>
      <c r="J56" s="556" t="b">
        <f t="shared" si="0"/>
        <v>1</v>
      </c>
    </row>
    <row r="57" spans="1:10">
      <c r="A57" s="959" t="s">
        <v>237</v>
      </c>
      <c r="B57" s="1156">
        <v>-189699106</v>
      </c>
      <c r="C57" s="1157">
        <v>0</v>
      </c>
      <c r="D57" s="1157">
        <v>0</v>
      </c>
      <c r="E57" s="556">
        <v>-189699106</v>
      </c>
      <c r="G57" s="640" t="s">
        <v>666</v>
      </c>
      <c r="I57" s="556" t="s">
        <v>237</v>
      </c>
      <c r="J57" s="556" t="b">
        <f t="shared" si="0"/>
        <v>1</v>
      </c>
    </row>
    <row r="58" spans="1:10">
      <c r="A58" s="959" t="s">
        <v>34</v>
      </c>
      <c r="B58" s="1156">
        <v>1385305194</v>
      </c>
      <c r="C58" s="1157">
        <v>0</v>
      </c>
      <c r="D58" s="1157">
        <v>9092019</v>
      </c>
      <c r="E58" s="556">
        <v>1376213175</v>
      </c>
      <c r="G58" s="958" t="s">
        <v>2515</v>
      </c>
      <c r="I58" s="556" t="s">
        <v>34</v>
      </c>
      <c r="J58" s="556" t="b">
        <f t="shared" si="0"/>
        <v>1</v>
      </c>
    </row>
    <row r="59" spans="1:10">
      <c r="A59" s="959" t="s">
        <v>669</v>
      </c>
      <c r="B59" s="1156">
        <v>131819200</v>
      </c>
      <c r="C59" s="1157">
        <v>0</v>
      </c>
      <c r="D59" s="1157">
        <v>0</v>
      </c>
      <c r="E59" s="556">
        <v>131819200</v>
      </c>
      <c r="G59" s="640" t="s">
        <v>668</v>
      </c>
      <c r="I59" s="556" t="s">
        <v>669</v>
      </c>
      <c r="J59" s="556" t="b">
        <f t="shared" si="0"/>
        <v>1</v>
      </c>
    </row>
    <row r="60" spans="1:10">
      <c r="A60" s="959" t="s">
        <v>237</v>
      </c>
      <c r="B60" s="1156">
        <v>-131811200</v>
      </c>
      <c r="C60" s="1157">
        <v>0</v>
      </c>
      <c r="D60" s="1157">
        <v>0</v>
      </c>
      <c r="E60" s="556">
        <v>-131811200</v>
      </c>
      <c r="G60" s="640" t="s">
        <v>670</v>
      </c>
      <c r="I60" s="556" t="s">
        <v>237</v>
      </c>
      <c r="J60" s="556" t="b">
        <f t="shared" si="0"/>
        <v>1</v>
      </c>
    </row>
    <row r="61" spans="1:10">
      <c r="A61" s="959" t="s">
        <v>1366</v>
      </c>
      <c r="B61" s="1156">
        <v>972487904</v>
      </c>
      <c r="C61" s="1157">
        <v>0</v>
      </c>
      <c r="D61" s="1157">
        <v>0</v>
      </c>
      <c r="E61" s="556">
        <v>972487904</v>
      </c>
      <c r="G61" s="958" t="s">
        <v>2517</v>
      </c>
      <c r="I61" s="556" t="s">
        <v>1366</v>
      </c>
      <c r="J61" s="556" t="b">
        <f t="shared" si="0"/>
        <v>1</v>
      </c>
    </row>
    <row r="62" spans="1:10">
      <c r="A62" s="959" t="s">
        <v>237</v>
      </c>
      <c r="B62" s="1156">
        <v>-169400862</v>
      </c>
      <c r="C62" s="1157">
        <v>0</v>
      </c>
      <c r="D62" s="1157">
        <v>0</v>
      </c>
      <c r="E62" s="556">
        <v>-169400862</v>
      </c>
      <c r="G62" s="958" t="s">
        <v>2519</v>
      </c>
      <c r="I62" s="556" t="s">
        <v>237</v>
      </c>
      <c r="J62" s="556" t="b">
        <f t="shared" si="0"/>
        <v>1</v>
      </c>
    </row>
    <row r="63" spans="1:10">
      <c r="A63" s="959" t="s">
        <v>346</v>
      </c>
      <c r="B63" s="1156">
        <v>1731999794</v>
      </c>
      <c r="C63" s="1157">
        <v>0</v>
      </c>
      <c r="D63" s="1157">
        <v>0</v>
      </c>
      <c r="E63" s="556">
        <v>1731999794</v>
      </c>
      <c r="G63" s="640" t="s">
        <v>672</v>
      </c>
      <c r="I63" s="556" t="s">
        <v>346</v>
      </c>
      <c r="J63" s="556" t="b">
        <f t="shared" si="0"/>
        <v>1</v>
      </c>
    </row>
    <row r="64" spans="1:10">
      <c r="A64" s="959" t="s">
        <v>2463</v>
      </c>
      <c r="B64" s="1156">
        <v>-370585998</v>
      </c>
      <c r="C64" s="1157">
        <v>0</v>
      </c>
      <c r="D64" s="1157">
        <v>0</v>
      </c>
      <c r="E64" s="556">
        <v>-370585998</v>
      </c>
      <c r="G64" s="640" t="s">
        <v>673</v>
      </c>
      <c r="I64" s="556" t="s">
        <v>2463</v>
      </c>
      <c r="J64" s="556" t="b">
        <f t="shared" si="0"/>
        <v>1</v>
      </c>
    </row>
    <row r="65" spans="1:13">
      <c r="A65" s="762" t="s">
        <v>35</v>
      </c>
      <c r="B65" s="1155">
        <v>124722122</v>
      </c>
      <c r="C65" s="1157"/>
      <c r="D65" s="1157"/>
      <c r="E65" s="561">
        <v>124722122</v>
      </c>
      <c r="G65" s="640"/>
      <c r="I65" s="556" t="s">
        <v>35</v>
      </c>
      <c r="J65" s="556" t="b">
        <f t="shared" si="0"/>
        <v>1</v>
      </c>
    </row>
    <row r="66" spans="1:13">
      <c r="A66" s="959" t="s">
        <v>37</v>
      </c>
      <c r="B66" s="1156">
        <v>49108768</v>
      </c>
      <c r="C66" s="1157">
        <v>0</v>
      </c>
      <c r="D66" s="1157">
        <v>0</v>
      </c>
      <c r="E66" s="556">
        <v>49108768</v>
      </c>
      <c r="G66" s="640" t="s">
        <v>675</v>
      </c>
      <c r="I66" s="556" t="s">
        <v>37</v>
      </c>
      <c r="J66" s="556" t="b">
        <f t="shared" si="0"/>
        <v>1</v>
      </c>
    </row>
    <row r="67" spans="1:13">
      <c r="A67" s="959" t="s">
        <v>38</v>
      </c>
      <c r="B67" s="1156">
        <v>23719703</v>
      </c>
      <c r="C67" s="1157">
        <v>0</v>
      </c>
      <c r="D67" s="1157">
        <v>0</v>
      </c>
      <c r="E67" s="556">
        <v>23719703</v>
      </c>
      <c r="G67" s="640" t="s">
        <v>676</v>
      </c>
      <c r="I67" s="556" t="s">
        <v>38</v>
      </c>
      <c r="J67" s="556" t="b">
        <f t="shared" si="0"/>
        <v>1</v>
      </c>
    </row>
    <row r="68" spans="1:13">
      <c r="A68" s="959" t="s">
        <v>40</v>
      </c>
      <c r="B68" s="1156">
        <v>0</v>
      </c>
      <c r="C68" s="1157">
        <v>0</v>
      </c>
      <c r="D68" s="1157">
        <v>0</v>
      </c>
      <c r="E68" s="556">
        <v>0</v>
      </c>
      <c r="G68" s="640" t="s">
        <v>677</v>
      </c>
      <c r="I68" s="556" t="s">
        <v>40</v>
      </c>
      <c r="J68" s="556" t="b">
        <f t="shared" si="0"/>
        <v>1</v>
      </c>
    </row>
    <row r="69" spans="1:13">
      <c r="A69" s="959" t="s">
        <v>41</v>
      </c>
      <c r="B69" s="1156">
        <v>51893651</v>
      </c>
      <c r="C69" s="1157">
        <v>0</v>
      </c>
      <c r="D69" s="1157">
        <v>0</v>
      </c>
      <c r="E69" s="556">
        <v>51893651</v>
      </c>
      <c r="G69" s="640" t="s">
        <v>678</v>
      </c>
      <c r="I69" s="556" t="s">
        <v>41</v>
      </c>
      <c r="J69" s="556" t="b">
        <f t="shared" ref="J69:J105" si="1">I69=A69</f>
        <v>1</v>
      </c>
    </row>
    <row r="70" spans="1:13" ht="14.25" thickBot="1">
      <c r="A70" s="762" t="s">
        <v>19</v>
      </c>
      <c r="B70" s="1156">
        <v>2555104971</v>
      </c>
      <c r="C70" s="1157">
        <v>0</v>
      </c>
      <c r="D70" s="1157">
        <v>0</v>
      </c>
      <c r="E70" s="556">
        <v>2555104971</v>
      </c>
      <c r="G70" s="960" t="s">
        <v>2868</v>
      </c>
      <c r="I70" s="556" t="s">
        <v>19</v>
      </c>
      <c r="J70" s="556" t="b">
        <f t="shared" si="1"/>
        <v>1</v>
      </c>
    </row>
    <row r="71" spans="1:13" s="561" customFormat="1" ht="14.25" thickBot="1">
      <c r="A71" s="1160" t="s">
        <v>267</v>
      </c>
      <c r="B71" s="1160">
        <v>54552137924</v>
      </c>
      <c r="C71" s="1160"/>
      <c r="D71" s="1160"/>
      <c r="E71" s="559">
        <v>54543045905</v>
      </c>
      <c r="F71" s="556"/>
      <c r="G71" s="641"/>
      <c r="I71" s="556" t="s">
        <v>267</v>
      </c>
      <c r="J71" s="556" t="b">
        <f t="shared" si="1"/>
        <v>1</v>
      </c>
      <c r="K71" s="556"/>
      <c r="L71" s="556"/>
      <c r="M71" s="556"/>
    </row>
    <row r="72" spans="1:13" s="561" customFormat="1" ht="14.25" thickBot="1">
      <c r="A72" s="945" t="s">
        <v>46</v>
      </c>
      <c r="B72" s="945"/>
      <c r="C72" s="945"/>
      <c r="D72" s="945"/>
      <c r="E72" s="559"/>
      <c r="F72" s="556"/>
      <c r="G72" s="641"/>
      <c r="I72" s="556" t="s">
        <v>46</v>
      </c>
      <c r="J72" s="556" t="b">
        <f t="shared" si="1"/>
        <v>1</v>
      </c>
      <c r="K72" s="556"/>
      <c r="L72" s="556"/>
      <c r="M72" s="556"/>
    </row>
    <row r="73" spans="1:13" s="561" customFormat="1">
      <c r="A73" s="956" t="s">
        <v>47</v>
      </c>
      <c r="B73" s="954">
        <v>7026815912</v>
      </c>
      <c r="C73" s="954"/>
      <c r="D73" s="954"/>
      <c r="E73" s="561">
        <v>7026815912</v>
      </c>
      <c r="F73" s="556"/>
      <c r="G73" s="641"/>
      <c r="I73" s="556" t="s">
        <v>47</v>
      </c>
      <c r="J73" s="556" t="b">
        <f t="shared" si="1"/>
        <v>1</v>
      </c>
      <c r="K73" s="556"/>
      <c r="L73" s="556"/>
      <c r="M73" s="556"/>
    </row>
    <row r="74" spans="1:13">
      <c r="A74" s="953" t="s">
        <v>362</v>
      </c>
      <c r="B74" s="954">
        <v>3144825470</v>
      </c>
      <c r="C74" s="954"/>
      <c r="D74" s="954"/>
      <c r="E74" s="561">
        <v>3144825470</v>
      </c>
      <c r="G74" s="640"/>
      <c r="I74" s="556" t="s">
        <v>362</v>
      </c>
      <c r="J74" s="556" t="b">
        <f t="shared" si="1"/>
        <v>1</v>
      </c>
    </row>
    <row r="75" spans="1:13">
      <c r="A75" s="952" t="s">
        <v>48</v>
      </c>
      <c r="B75" s="948">
        <v>299203820</v>
      </c>
      <c r="C75" s="949">
        <v>0</v>
      </c>
      <c r="D75" s="949">
        <v>0</v>
      </c>
      <c r="E75" s="556">
        <v>299203820</v>
      </c>
      <c r="G75" s="640" t="s">
        <v>681</v>
      </c>
      <c r="I75" s="556" t="s">
        <v>48</v>
      </c>
      <c r="J75" s="556" t="b">
        <f t="shared" si="1"/>
        <v>1</v>
      </c>
    </row>
    <row r="76" spans="1:13">
      <c r="A76" s="952" t="s">
        <v>51</v>
      </c>
      <c r="B76" s="948">
        <v>207639910</v>
      </c>
      <c r="C76" s="949">
        <v>0</v>
      </c>
      <c r="D76" s="949">
        <v>0</v>
      </c>
      <c r="E76" s="556">
        <v>207639910</v>
      </c>
      <c r="G76" s="640" t="s">
        <v>682</v>
      </c>
      <c r="I76" s="556" t="s">
        <v>51</v>
      </c>
      <c r="J76" s="556" t="b">
        <f t="shared" si="1"/>
        <v>1</v>
      </c>
    </row>
    <row r="77" spans="1:13">
      <c r="A77" s="952" t="s">
        <v>53</v>
      </c>
      <c r="B77" s="948">
        <v>85200680</v>
      </c>
      <c r="C77" s="949">
        <v>0</v>
      </c>
      <c r="D77" s="949">
        <v>0</v>
      </c>
      <c r="E77" s="556">
        <v>85200680</v>
      </c>
      <c r="G77" s="640" t="s">
        <v>683</v>
      </c>
      <c r="I77" s="556" t="s">
        <v>53</v>
      </c>
      <c r="J77" s="556" t="b">
        <f t="shared" si="1"/>
        <v>1</v>
      </c>
    </row>
    <row r="78" spans="1:13">
      <c r="A78" s="952" t="s">
        <v>54</v>
      </c>
      <c r="B78" s="948">
        <v>2552781060</v>
      </c>
      <c r="C78" s="949">
        <v>0</v>
      </c>
      <c r="D78" s="949">
        <v>0</v>
      </c>
      <c r="E78" s="556">
        <v>2552781060</v>
      </c>
      <c r="G78" s="640" t="s">
        <v>687</v>
      </c>
      <c r="I78" s="556" t="s">
        <v>54</v>
      </c>
      <c r="J78" s="556" t="b">
        <f t="shared" si="1"/>
        <v>1</v>
      </c>
    </row>
    <row r="79" spans="1:13">
      <c r="A79" s="953" t="s">
        <v>50</v>
      </c>
      <c r="B79" s="955">
        <v>1120000000</v>
      </c>
      <c r="C79" s="949">
        <v>0</v>
      </c>
      <c r="D79" s="949">
        <v>0</v>
      </c>
      <c r="E79" s="561">
        <v>1120000000</v>
      </c>
      <c r="G79" s="640" t="s">
        <v>686</v>
      </c>
      <c r="I79" s="556" t="s">
        <v>50</v>
      </c>
      <c r="J79" s="556" t="b">
        <f t="shared" si="1"/>
        <v>1</v>
      </c>
    </row>
    <row r="80" spans="1:13">
      <c r="A80" s="953" t="s">
        <v>55</v>
      </c>
      <c r="B80" s="955">
        <v>0</v>
      </c>
      <c r="C80" s="949">
        <v>0</v>
      </c>
      <c r="D80" s="949">
        <v>0</v>
      </c>
      <c r="E80" s="561">
        <v>0</v>
      </c>
      <c r="G80" s="640" t="s">
        <v>692</v>
      </c>
      <c r="I80" s="556" t="s">
        <v>55</v>
      </c>
      <c r="J80" s="556" t="b">
        <f t="shared" si="1"/>
        <v>1</v>
      </c>
    </row>
    <row r="81" spans="1:13">
      <c r="A81" s="953" t="s">
        <v>694</v>
      </c>
      <c r="B81" s="955">
        <v>537067117</v>
      </c>
      <c r="C81" s="949">
        <v>0</v>
      </c>
      <c r="D81" s="949">
        <v>0</v>
      </c>
      <c r="E81" s="561">
        <v>537067117</v>
      </c>
      <c r="G81" s="640" t="s">
        <v>693</v>
      </c>
      <c r="I81" s="556" t="s">
        <v>694</v>
      </c>
      <c r="J81" s="556" t="b">
        <f t="shared" si="1"/>
        <v>1</v>
      </c>
    </row>
    <row r="82" spans="1:13">
      <c r="A82" s="953" t="s">
        <v>107</v>
      </c>
      <c r="B82" s="955">
        <v>2224923325</v>
      </c>
      <c r="C82" s="949"/>
      <c r="D82" s="949"/>
      <c r="E82" s="561">
        <v>2224923325</v>
      </c>
      <c r="G82" s="640"/>
      <c r="I82" s="556" t="s">
        <v>107</v>
      </c>
      <c r="J82" s="556" t="b">
        <f t="shared" si="1"/>
        <v>1</v>
      </c>
    </row>
    <row r="83" spans="1:13">
      <c r="A83" s="952" t="s">
        <v>52</v>
      </c>
      <c r="B83" s="948">
        <v>2215528322</v>
      </c>
      <c r="C83" s="949">
        <v>0</v>
      </c>
      <c r="D83" s="949">
        <v>0</v>
      </c>
      <c r="E83" s="556">
        <v>2215528322</v>
      </c>
      <c r="G83" s="640" t="s">
        <v>685</v>
      </c>
      <c r="I83" s="556" t="s">
        <v>52</v>
      </c>
      <c r="J83" s="556" t="b">
        <f t="shared" si="1"/>
        <v>1</v>
      </c>
    </row>
    <row r="84" spans="1:13">
      <c r="A84" s="952" t="s">
        <v>183</v>
      </c>
      <c r="B84" s="948">
        <v>9395003</v>
      </c>
      <c r="C84" s="949">
        <v>0</v>
      </c>
      <c r="D84" s="949">
        <v>0</v>
      </c>
      <c r="E84" s="556">
        <v>9395003</v>
      </c>
      <c r="G84" s="640" t="s">
        <v>909</v>
      </c>
      <c r="I84" s="556" t="s">
        <v>183</v>
      </c>
      <c r="J84" s="556" t="b">
        <f t="shared" si="1"/>
        <v>1</v>
      </c>
    </row>
    <row r="85" spans="1:13">
      <c r="A85" s="956" t="s">
        <v>56</v>
      </c>
      <c r="B85" s="954">
        <v>5815444698</v>
      </c>
      <c r="C85" s="949"/>
      <c r="D85" s="949"/>
      <c r="E85" s="561">
        <v>5815444698</v>
      </c>
      <c r="G85" s="640"/>
      <c r="I85" s="556" t="s">
        <v>56</v>
      </c>
      <c r="J85" s="556" t="b">
        <f t="shared" si="1"/>
        <v>1</v>
      </c>
    </row>
    <row r="86" spans="1:13">
      <c r="A86" s="953" t="s">
        <v>2662</v>
      </c>
      <c r="B86" s="954">
        <v>205709924</v>
      </c>
      <c r="C86" s="949"/>
      <c r="D86" s="949"/>
      <c r="E86" s="561">
        <v>205709924</v>
      </c>
      <c r="G86" s="640"/>
      <c r="I86" s="556" t="s">
        <v>2662</v>
      </c>
      <c r="J86" s="556" t="b">
        <f t="shared" si="1"/>
        <v>1</v>
      </c>
    </row>
    <row r="87" spans="1:13">
      <c r="A87" s="952" t="s">
        <v>2663</v>
      </c>
      <c r="B87" s="948">
        <v>205709924</v>
      </c>
      <c r="C87" s="949">
        <v>0</v>
      </c>
      <c r="D87" s="949">
        <v>0</v>
      </c>
      <c r="E87" s="556">
        <v>205709924</v>
      </c>
      <c r="G87" s="640" t="s">
        <v>2440</v>
      </c>
      <c r="I87" s="556" t="s">
        <v>2663</v>
      </c>
      <c r="J87" s="556" t="b">
        <f t="shared" si="1"/>
        <v>1</v>
      </c>
    </row>
    <row r="88" spans="1:13">
      <c r="A88" s="953" t="s">
        <v>57</v>
      </c>
      <c r="B88" s="955">
        <v>4100000000</v>
      </c>
      <c r="C88" s="949">
        <v>0</v>
      </c>
      <c r="D88" s="949">
        <v>0</v>
      </c>
      <c r="E88" s="561">
        <v>4100000000</v>
      </c>
      <c r="G88" s="640" t="s">
        <v>695</v>
      </c>
      <c r="I88" s="556" t="s">
        <v>57</v>
      </c>
      <c r="J88" s="556" t="b">
        <f t="shared" si="1"/>
        <v>1</v>
      </c>
    </row>
    <row r="89" spans="1:13">
      <c r="A89" s="953" t="s">
        <v>590</v>
      </c>
      <c r="B89" s="955">
        <v>799358124</v>
      </c>
      <c r="C89" s="949">
        <v>0</v>
      </c>
      <c r="D89" s="949">
        <v>0</v>
      </c>
      <c r="E89" s="561">
        <v>799358124</v>
      </c>
      <c r="G89" s="640" t="s">
        <v>703</v>
      </c>
      <c r="I89" s="556" t="s">
        <v>590</v>
      </c>
      <c r="J89" s="556" t="b">
        <f t="shared" si="1"/>
        <v>1</v>
      </c>
    </row>
    <row r="90" spans="1:13">
      <c r="A90" s="953" t="s">
        <v>1514</v>
      </c>
      <c r="B90" s="955">
        <v>710376650</v>
      </c>
      <c r="C90" s="949"/>
      <c r="D90" s="949"/>
      <c r="E90" s="561">
        <v>710376650</v>
      </c>
      <c r="G90" s="640"/>
      <c r="I90" s="556" t="s">
        <v>1514</v>
      </c>
      <c r="J90" s="556" t="b">
        <f t="shared" si="1"/>
        <v>1</v>
      </c>
    </row>
    <row r="91" spans="1:13">
      <c r="A91" s="952" t="s">
        <v>885</v>
      </c>
      <c r="B91" s="948">
        <v>710376650</v>
      </c>
      <c r="C91" s="949">
        <v>0</v>
      </c>
      <c r="D91" s="949">
        <v>0</v>
      </c>
      <c r="E91" s="556">
        <v>710376650</v>
      </c>
      <c r="G91" s="640" t="s">
        <v>696</v>
      </c>
      <c r="I91" s="556" t="s">
        <v>885</v>
      </c>
      <c r="J91" s="556" t="b">
        <f t="shared" si="1"/>
        <v>1</v>
      </c>
    </row>
    <row r="92" spans="1:13">
      <c r="A92" s="952" t="s">
        <v>60</v>
      </c>
      <c r="B92" s="948">
        <v>0</v>
      </c>
      <c r="C92" s="949">
        <v>0</v>
      </c>
      <c r="D92" s="949">
        <v>0</v>
      </c>
      <c r="E92" s="556">
        <v>0</v>
      </c>
      <c r="G92" s="640"/>
      <c r="I92" s="556" t="s">
        <v>60</v>
      </c>
      <c r="J92" s="556" t="b">
        <f t="shared" si="1"/>
        <v>1</v>
      </c>
    </row>
    <row r="93" spans="1:13" ht="14.25" thickBot="1">
      <c r="A93" s="953" t="s">
        <v>506</v>
      </c>
      <c r="B93" s="955">
        <v>0</v>
      </c>
      <c r="C93" s="949">
        <v>0</v>
      </c>
      <c r="D93" s="949">
        <v>0</v>
      </c>
      <c r="E93" s="556">
        <v>0</v>
      </c>
      <c r="G93" s="640" t="s">
        <v>2656</v>
      </c>
      <c r="I93" s="556" t="s">
        <v>506</v>
      </c>
      <c r="J93" s="556" t="b">
        <f t="shared" si="1"/>
        <v>1</v>
      </c>
    </row>
    <row r="94" spans="1:13" s="561" customFormat="1" ht="14.25" thickBot="1">
      <c r="A94" s="945" t="s">
        <v>268</v>
      </c>
      <c r="B94" s="946">
        <v>12842260610</v>
      </c>
      <c r="C94" s="945"/>
      <c r="D94" s="945"/>
      <c r="E94" s="559">
        <v>12842260610</v>
      </c>
      <c r="F94" s="556"/>
      <c r="G94" s="641"/>
      <c r="I94" s="556" t="s">
        <v>268</v>
      </c>
      <c r="J94" s="556" t="b">
        <f t="shared" si="1"/>
        <v>1</v>
      </c>
      <c r="K94" s="556"/>
      <c r="L94" s="556"/>
      <c r="M94" s="556"/>
    </row>
    <row r="95" spans="1:13">
      <c r="A95" s="956" t="s">
        <v>61</v>
      </c>
      <c r="B95" s="948"/>
      <c r="C95" s="949"/>
      <c r="D95" s="949"/>
      <c r="G95" s="640"/>
      <c r="I95" s="556" t="s">
        <v>61</v>
      </c>
      <c r="J95" s="556" t="b">
        <f t="shared" si="1"/>
        <v>1</v>
      </c>
    </row>
    <row r="96" spans="1:13" s="561" customFormat="1">
      <c r="A96" s="953" t="s">
        <v>62</v>
      </c>
      <c r="B96" s="955">
        <v>5691191500</v>
      </c>
      <c r="C96" s="954"/>
      <c r="D96" s="949"/>
      <c r="E96" s="561">
        <v>5691191500</v>
      </c>
      <c r="F96" s="556"/>
      <c r="G96" s="641"/>
      <c r="I96" s="556" t="s">
        <v>62</v>
      </c>
      <c r="J96" s="556" t="b">
        <f t="shared" si="1"/>
        <v>1</v>
      </c>
      <c r="K96" s="556"/>
      <c r="L96" s="556"/>
      <c r="M96" s="556"/>
    </row>
    <row r="97" spans="1:15">
      <c r="A97" s="952" t="s">
        <v>63</v>
      </c>
      <c r="B97" s="948">
        <v>5691191500</v>
      </c>
      <c r="C97" s="949">
        <v>0</v>
      </c>
      <c r="D97" s="949">
        <v>0</v>
      </c>
      <c r="E97" s="556">
        <v>5691191500</v>
      </c>
      <c r="G97" s="640" t="s">
        <v>704</v>
      </c>
      <c r="I97" s="556" t="s">
        <v>63</v>
      </c>
      <c r="J97" s="556" t="b">
        <f t="shared" si="1"/>
        <v>1</v>
      </c>
    </row>
    <row r="98" spans="1:15" s="561" customFormat="1">
      <c r="A98" s="953" t="s">
        <v>65</v>
      </c>
      <c r="B98" s="955">
        <v>45157382298</v>
      </c>
      <c r="C98" s="949"/>
      <c r="D98" s="949"/>
      <c r="E98" s="561">
        <v>45157382298</v>
      </c>
      <c r="F98" s="556"/>
      <c r="G98" s="641"/>
      <c r="I98" s="556" t="s">
        <v>65</v>
      </c>
      <c r="J98" s="556" t="b">
        <f t="shared" si="1"/>
        <v>1</v>
      </c>
      <c r="K98" s="556"/>
      <c r="L98" s="556"/>
      <c r="M98" s="556"/>
    </row>
    <row r="99" spans="1:15">
      <c r="A99" s="952" t="s">
        <v>66</v>
      </c>
      <c r="B99" s="948">
        <v>45157382298</v>
      </c>
      <c r="C99" s="949">
        <v>0</v>
      </c>
      <c r="D99" s="949">
        <v>0</v>
      </c>
      <c r="E99" s="556">
        <v>45157382298</v>
      </c>
      <c r="G99" s="640" t="s">
        <v>706</v>
      </c>
      <c r="I99" s="556" t="s">
        <v>66</v>
      </c>
      <c r="J99" s="556" t="b">
        <f t="shared" si="1"/>
        <v>1</v>
      </c>
    </row>
    <row r="100" spans="1:15" s="561" customFormat="1">
      <c r="A100" s="953" t="s">
        <v>888</v>
      </c>
      <c r="B100" s="955">
        <v>424627793</v>
      </c>
      <c r="C100" s="949"/>
      <c r="D100" s="949"/>
      <c r="E100" s="561">
        <v>424627793</v>
      </c>
      <c r="F100" s="556"/>
      <c r="G100" s="641"/>
      <c r="I100" s="556" t="s">
        <v>888</v>
      </c>
      <c r="J100" s="556" t="b">
        <f t="shared" si="1"/>
        <v>1</v>
      </c>
      <c r="K100" s="556"/>
      <c r="L100" s="556"/>
      <c r="M100" s="556"/>
    </row>
    <row r="101" spans="1:15">
      <c r="A101" s="952" t="s">
        <v>889</v>
      </c>
      <c r="B101" s="948">
        <v>424627793</v>
      </c>
      <c r="C101" s="949">
        <v>0</v>
      </c>
      <c r="D101" s="949">
        <v>0</v>
      </c>
      <c r="E101" s="556">
        <v>424627793</v>
      </c>
      <c r="G101" s="640" t="s">
        <v>709</v>
      </c>
      <c r="I101" s="556" t="s">
        <v>889</v>
      </c>
      <c r="J101" s="556" t="b">
        <f t="shared" si="1"/>
        <v>1</v>
      </c>
    </row>
    <row r="102" spans="1:15" s="561" customFormat="1">
      <c r="A102" s="953" t="s">
        <v>890</v>
      </c>
      <c r="B102" s="955">
        <v>-9563324277</v>
      </c>
      <c r="C102" s="949"/>
      <c r="D102" s="949"/>
      <c r="E102" s="561">
        <v>-9572416296</v>
      </c>
      <c r="F102" s="556"/>
      <c r="G102" s="641"/>
      <c r="I102" s="556" t="s">
        <v>890</v>
      </c>
      <c r="J102" s="556" t="b">
        <f t="shared" si="1"/>
        <v>1</v>
      </c>
      <c r="K102" s="556"/>
      <c r="L102" s="556"/>
      <c r="M102" s="556"/>
    </row>
    <row r="103" spans="1:15" ht="14.25" thickBot="1">
      <c r="A103" s="952" t="s">
        <v>715</v>
      </c>
      <c r="B103" s="948">
        <v>-9563324277</v>
      </c>
      <c r="C103" s="949">
        <v>0</v>
      </c>
      <c r="D103" s="949">
        <v>-9092019</v>
      </c>
      <c r="E103" s="556">
        <v>-9572416296</v>
      </c>
      <c r="G103" s="640" t="s">
        <v>714</v>
      </c>
      <c r="I103" s="556" t="s">
        <v>715</v>
      </c>
      <c r="J103" s="556" t="b">
        <f t="shared" si="1"/>
        <v>1</v>
      </c>
    </row>
    <row r="104" spans="1:15" s="561" customFormat="1" ht="14.25" thickBot="1">
      <c r="A104" s="945" t="s">
        <v>243</v>
      </c>
      <c r="B104" s="946">
        <v>41709877314</v>
      </c>
      <c r="C104" s="945"/>
      <c r="D104" s="945"/>
      <c r="E104" s="559">
        <v>41700785295</v>
      </c>
      <c r="F104" s="556"/>
      <c r="G104" s="641"/>
      <c r="I104" s="556" t="s">
        <v>243</v>
      </c>
      <c r="J104" s="556" t="b">
        <f t="shared" si="1"/>
        <v>1</v>
      </c>
      <c r="K104" s="556"/>
      <c r="L104" s="556"/>
      <c r="M104" s="556"/>
    </row>
    <row r="105" spans="1:15" ht="14.25" thickBot="1">
      <c r="A105" s="945" t="s">
        <v>1454</v>
      </c>
      <c r="B105" s="946">
        <v>54552137924</v>
      </c>
      <c r="C105" s="945"/>
      <c r="D105" s="945"/>
      <c r="E105" s="559">
        <v>54543045905</v>
      </c>
      <c r="G105" s="640"/>
      <c r="I105" s="556" t="s">
        <v>1454</v>
      </c>
      <c r="J105" s="556" t="b">
        <f t="shared" si="1"/>
        <v>1</v>
      </c>
    </row>
    <row r="106" spans="1:15" ht="14.25" thickBot="1">
      <c r="A106" s="949"/>
      <c r="B106" s="948">
        <f>B105-B71</f>
        <v>0</v>
      </c>
      <c r="C106" s="949"/>
      <c r="D106" s="949"/>
      <c r="G106" s="640"/>
    </row>
    <row r="107" spans="1:15" ht="14.25" thickBot="1">
      <c r="A107" s="945" t="s">
        <v>81</v>
      </c>
      <c r="B107" s="946">
        <v>8288170687</v>
      </c>
      <c r="C107" s="945"/>
      <c r="D107" s="945"/>
      <c r="E107" s="559">
        <v>8288170687</v>
      </c>
      <c r="G107" s="640"/>
      <c r="I107" s="556" t="s">
        <v>81</v>
      </c>
      <c r="J107" s="556" t="b">
        <f>I107=A107</f>
        <v>1</v>
      </c>
    </row>
    <row r="108" spans="1:15">
      <c r="A108" s="947" t="s">
        <v>447</v>
      </c>
      <c r="B108" s="948">
        <v>278070981</v>
      </c>
      <c r="C108" s="949">
        <v>0</v>
      </c>
      <c r="D108" s="949">
        <v>0</v>
      </c>
      <c r="E108" s="556">
        <v>278070981</v>
      </c>
      <c r="G108" s="640" t="s">
        <v>716</v>
      </c>
      <c r="I108" s="556" t="s">
        <v>447</v>
      </c>
      <c r="J108" s="556" t="b">
        <f t="shared" ref="J108:J172" si="2">I108=A108</f>
        <v>1</v>
      </c>
    </row>
    <row r="109" spans="1:15">
      <c r="A109" s="947" t="s">
        <v>446</v>
      </c>
      <c r="B109" s="948">
        <v>7974892686</v>
      </c>
      <c r="C109" s="949">
        <v>0</v>
      </c>
      <c r="D109" s="949">
        <v>0</v>
      </c>
      <c r="E109" s="556">
        <v>7974892686</v>
      </c>
      <c r="G109" s="640" t="s">
        <v>717</v>
      </c>
      <c r="I109" s="556" t="s">
        <v>446</v>
      </c>
      <c r="J109" s="556" t="b">
        <f t="shared" si="2"/>
        <v>1</v>
      </c>
    </row>
    <row r="110" spans="1:15" ht="14.25" thickBot="1">
      <c r="A110" s="947" t="s">
        <v>1385</v>
      </c>
      <c r="B110" s="948">
        <v>35207020</v>
      </c>
      <c r="C110" s="949">
        <v>0</v>
      </c>
      <c r="D110" s="949">
        <v>0</v>
      </c>
      <c r="E110" s="556">
        <v>35207020</v>
      </c>
      <c r="G110" s="958" t="s">
        <v>1381</v>
      </c>
      <c r="I110" s="556" t="s">
        <v>1385</v>
      </c>
      <c r="J110" s="556" t="b">
        <f t="shared" si="2"/>
        <v>1</v>
      </c>
    </row>
    <row r="111" spans="1:15" ht="14.25" thickBot="1">
      <c r="A111" s="945" t="s">
        <v>82</v>
      </c>
      <c r="B111" s="946">
        <v>3596633522</v>
      </c>
      <c r="C111" s="945"/>
      <c r="D111" s="945"/>
      <c r="E111" s="559">
        <v>3596633522</v>
      </c>
      <c r="G111" s="640"/>
      <c r="I111" s="556" t="s">
        <v>82</v>
      </c>
      <c r="J111" s="556" t="b">
        <f t="shared" si="2"/>
        <v>1</v>
      </c>
    </row>
    <row r="112" spans="1:15" s="561" customFormat="1">
      <c r="A112" s="950" t="s">
        <v>891</v>
      </c>
      <c r="B112" s="951">
        <v>3389356072</v>
      </c>
      <c r="C112" s="951"/>
      <c r="D112" s="951"/>
      <c r="E112" s="564">
        <v>3389356072</v>
      </c>
      <c r="F112" s="556"/>
      <c r="G112" s="641"/>
      <c r="I112" s="556" t="s">
        <v>891</v>
      </c>
      <c r="J112" s="556" t="b">
        <f t="shared" si="2"/>
        <v>1</v>
      </c>
      <c r="K112" s="556"/>
      <c r="M112" s="556"/>
      <c r="O112" s="556"/>
    </row>
    <row r="113" spans="1:15">
      <c r="A113" s="952" t="s">
        <v>892</v>
      </c>
      <c r="B113" s="948">
        <v>2349819825</v>
      </c>
      <c r="C113" s="949">
        <v>0</v>
      </c>
      <c r="D113" s="949">
        <v>0</v>
      </c>
      <c r="E113" s="556">
        <v>2349819825</v>
      </c>
      <c r="G113" s="640" t="s">
        <v>718</v>
      </c>
      <c r="I113" s="556" t="s">
        <v>892</v>
      </c>
      <c r="J113" s="556" t="b">
        <f t="shared" si="2"/>
        <v>1</v>
      </c>
    </row>
    <row r="114" spans="1:15">
      <c r="A114" s="952" t="s">
        <v>893</v>
      </c>
      <c r="B114" s="948">
        <v>3476800819</v>
      </c>
      <c r="C114" s="949">
        <v>0</v>
      </c>
      <c r="D114" s="949">
        <v>0</v>
      </c>
      <c r="E114" s="556">
        <v>3476800819</v>
      </c>
      <c r="G114" s="640" t="s">
        <v>1741</v>
      </c>
      <c r="I114" s="556" t="s">
        <v>893</v>
      </c>
      <c r="J114" s="556" t="b">
        <f t="shared" si="2"/>
        <v>1</v>
      </c>
    </row>
    <row r="115" spans="1:15">
      <c r="A115" s="952" t="s">
        <v>172</v>
      </c>
      <c r="B115" s="948">
        <v>5826620644</v>
      </c>
      <c r="C115" s="949">
        <v>0</v>
      </c>
      <c r="D115" s="949">
        <v>0</v>
      </c>
      <c r="E115" s="556">
        <v>5826620644</v>
      </c>
      <c r="G115" s="640"/>
      <c r="I115" s="556" t="s">
        <v>172</v>
      </c>
      <c r="J115" s="556" t="b">
        <f t="shared" si="2"/>
        <v>1</v>
      </c>
    </row>
    <row r="116" spans="1:15">
      <c r="A116" s="952" t="s">
        <v>894</v>
      </c>
      <c r="B116" s="948">
        <v>-5296679</v>
      </c>
      <c r="C116" s="949">
        <v>0</v>
      </c>
      <c r="D116" s="949">
        <v>0</v>
      </c>
      <c r="E116" s="556">
        <v>-5296679</v>
      </c>
      <c r="G116" s="767" t="s">
        <v>1744</v>
      </c>
      <c r="I116" s="556" t="s">
        <v>894</v>
      </c>
      <c r="J116" s="556" t="b">
        <f t="shared" si="2"/>
        <v>1</v>
      </c>
    </row>
    <row r="117" spans="1:15">
      <c r="A117" s="952" t="s">
        <v>2522</v>
      </c>
      <c r="B117" s="948">
        <v>102749779</v>
      </c>
      <c r="C117" s="949">
        <v>0</v>
      </c>
      <c r="D117" s="949">
        <v>0</v>
      </c>
      <c r="E117" s="556">
        <v>102749779</v>
      </c>
      <c r="G117" s="960" t="s">
        <v>2523</v>
      </c>
      <c r="I117" s="556" t="s">
        <v>2522</v>
      </c>
      <c r="J117" s="556" t="b">
        <f t="shared" si="2"/>
        <v>1</v>
      </c>
    </row>
    <row r="118" spans="1:15">
      <c r="A118" s="952" t="s">
        <v>895</v>
      </c>
      <c r="B118" s="948">
        <v>2534717672</v>
      </c>
      <c r="C118" s="949">
        <v>0</v>
      </c>
      <c r="D118" s="949">
        <v>0</v>
      </c>
      <c r="E118" s="556">
        <v>2534717672</v>
      </c>
      <c r="G118" s="767" t="s">
        <v>1746</v>
      </c>
      <c r="I118" s="556" t="s">
        <v>895</v>
      </c>
      <c r="J118" s="556" t="b">
        <f t="shared" si="2"/>
        <v>1</v>
      </c>
    </row>
    <row r="119" spans="1:15" s="561" customFormat="1" ht="13.7" customHeight="1">
      <c r="A119" s="950" t="s">
        <v>896</v>
      </c>
      <c r="B119" s="949">
        <v>197040606</v>
      </c>
      <c r="C119" s="949"/>
      <c r="D119" s="949"/>
      <c r="E119" s="556">
        <v>197040606</v>
      </c>
      <c r="F119" s="556"/>
      <c r="G119" s="641"/>
      <c r="I119" s="556" t="s">
        <v>896</v>
      </c>
      <c r="J119" s="556" t="b">
        <f t="shared" si="2"/>
        <v>1</v>
      </c>
      <c r="K119" s="556"/>
      <c r="M119" s="556"/>
      <c r="O119" s="556"/>
    </row>
    <row r="120" spans="1:15">
      <c r="A120" s="952" t="s">
        <v>897</v>
      </c>
      <c r="B120" s="948">
        <v>42227029</v>
      </c>
      <c r="C120" s="949">
        <v>0</v>
      </c>
      <c r="D120" s="949">
        <v>0</v>
      </c>
      <c r="E120" s="556">
        <v>42227029</v>
      </c>
      <c r="G120" s="767" t="s">
        <v>1748</v>
      </c>
      <c r="I120" s="556" t="s">
        <v>897</v>
      </c>
      <c r="J120" s="556" t="b">
        <f t="shared" si="2"/>
        <v>1</v>
      </c>
    </row>
    <row r="121" spans="1:15">
      <c r="A121" s="952" t="s">
        <v>2464</v>
      </c>
      <c r="B121" s="948">
        <v>202680409</v>
      </c>
      <c r="C121" s="949">
        <v>0</v>
      </c>
      <c r="D121" s="949">
        <v>0</v>
      </c>
      <c r="E121" s="556">
        <v>202680409</v>
      </c>
      <c r="G121" s="767" t="s">
        <v>1750</v>
      </c>
      <c r="I121" s="556" t="s">
        <v>2464</v>
      </c>
      <c r="J121" s="556" t="b">
        <f t="shared" si="2"/>
        <v>1</v>
      </c>
    </row>
    <row r="122" spans="1:15">
      <c r="A122" s="952" t="s">
        <v>172</v>
      </c>
      <c r="B122" s="948">
        <v>244907438</v>
      </c>
      <c r="C122" s="949"/>
      <c r="D122" s="949"/>
      <c r="E122" s="556">
        <v>244907438</v>
      </c>
      <c r="G122" s="640"/>
      <c r="I122" s="556" t="s">
        <v>172</v>
      </c>
      <c r="J122" s="556" t="b">
        <f t="shared" si="2"/>
        <v>1</v>
      </c>
    </row>
    <row r="123" spans="1:15">
      <c r="A123" s="952" t="s">
        <v>2465</v>
      </c>
      <c r="B123" s="948">
        <v>0</v>
      </c>
      <c r="C123" s="949">
        <v>0</v>
      </c>
      <c r="D123" s="949">
        <v>0</v>
      </c>
      <c r="E123" s="556">
        <v>0</v>
      </c>
      <c r="G123" s="767" t="s">
        <v>1751</v>
      </c>
      <c r="I123" s="556" t="s">
        <v>2465</v>
      </c>
      <c r="J123" s="556" t="b">
        <f t="shared" si="2"/>
        <v>1</v>
      </c>
    </row>
    <row r="124" spans="1:15">
      <c r="A124" s="952" t="s">
        <v>2522</v>
      </c>
      <c r="B124" s="948">
        <v>-14089</v>
      </c>
      <c r="C124" s="949">
        <v>0</v>
      </c>
      <c r="D124" s="949">
        <v>0</v>
      </c>
      <c r="E124" s="556">
        <v>-14089</v>
      </c>
      <c r="G124" s="960" t="s">
        <v>2526</v>
      </c>
      <c r="I124" s="556" t="s">
        <v>2522</v>
      </c>
      <c r="J124" s="556" t="b">
        <f t="shared" si="2"/>
        <v>1</v>
      </c>
    </row>
    <row r="125" spans="1:15">
      <c r="A125" s="952" t="s">
        <v>898</v>
      </c>
      <c r="B125" s="948">
        <v>47852743</v>
      </c>
      <c r="C125" s="949">
        <v>0</v>
      </c>
      <c r="D125" s="949">
        <v>0</v>
      </c>
      <c r="E125" s="556">
        <v>47852743</v>
      </c>
      <c r="G125" s="767" t="s">
        <v>1753</v>
      </c>
      <c r="I125" s="556" t="s">
        <v>898</v>
      </c>
      <c r="J125" s="556" t="b">
        <f t="shared" si="2"/>
        <v>1</v>
      </c>
    </row>
    <row r="126" spans="1:15">
      <c r="A126" s="950" t="s">
        <v>2664</v>
      </c>
      <c r="B126" s="948">
        <v>10236844</v>
      </c>
      <c r="C126" s="949"/>
      <c r="D126" s="949"/>
      <c r="E126" s="556">
        <v>10236844</v>
      </c>
      <c r="G126" s="960"/>
      <c r="I126" s="556" t="s">
        <v>2664</v>
      </c>
      <c r="J126" s="556" t="b">
        <f t="shared" si="2"/>
        <v>1</v>
      </c>
    </row>
    <row r="127" spans="1:15">
      <c r="A127" s="952" t="s">
        <v>897</v>
      </c>
      <c r="B127" s="948">
        <v>0</v>
      </c>
      <c r="C127" s="949">
        <v>0</v>
      </c>
      <c r="D127" s="949">
        <v>0</v>
      </c>
      <c r="E127" s="556">
        <v>0</v>
      </c>
      <c r="G127" s="960" t="s">
        <v>1759</v>
      </c>
      <c r="I127" s="556" t="s">
        <v>897</v>
      </c>
      <c r="J127" s="556" t="b">
        <f t="shared" si="2"/>
        <v>1</v>
      </c>
    </row>
    <row r="128" spans="1:15">
      <c r="A128" s="952" t="s">
        <v>2464</v>
      </c>
      <c r="B128" s="948">
        <v>10236844</v>
      </c>
      <c r="C128" s="949">
        <v>0</v>
      </c>
      <c r="D128" s="949">
        <v>0</v>
      </c>
      <c r="E128" s="556">
        <v>10236844</v>
      </c>
      <c r="G128" s="960" t="s">
        <v>1761</v>
      </c>
      <c r="I128" s="556" t="s">
        <v>2464</v>
      </c>
      <c r="J128" s="556" t="b">
        <f t="shared" si="2"/>
        <v>1</v>
      </c>
    </row>
    <row r="129" spans="1:10" ht="14.25" thickBot="1">
      <c r="A129" s="952" t="s">
        <v>898</v>
      </c>
      <c r="B129" s="948">
        <v>0</v>
      </c>
      <c r="C129" s="949">
        <v>0</v>
      </c>
      <c r="D129" s="949">
        <v>0</v>
      </c>
      <c r="E129" s="556">
        <v>0</v>
      </c>
      <c r="G129" s="960" t="s">
        <v>1764</v>
      </c>
      <c r="I129" s="556" t="s">
        <v>898</v>
      </c>
      <c r="J129" s="556" t="b">
        <f t="shared" si="2"/>
        <v>1</v>
      </c>
    </row>
    <row r="130" spans="1:10" ht="14.25" thickBot="1">
      <c r="A130" s="945" t="s">
        <v>270</v>
      </c>
      <c r="B130" s="946">
        <v>4691537165</v>
      </c>
      <c r="C130" s="945"/>
      <c r="D130" s="945"/>
      <c r="E130" s="559">
        <v>4691537165</v>
      </c>
      <c r="G130" s="640"/>
      <c r="I130" s="556" t="s">
        <v>270</v>
      </c>
      <c r="J130" s="556" t="b">
        <f t="shared" si="2"/>
        <v>1</v>
      </c>
    </row>
    <row r="131" spans="1:10" ht="14.25" thickBot="1">
      <c r="A131" s="945" t="s">
        <v>85</v>
      </c>
      <c r="B131" s="946">
        <v>5378351282</v>
      </c>
      <c r="C131" s="945"/>
      <c r="D131" s="945"/>
      <c r="E131" s="559">
        <v>5378351282</v>
      </c>
      <c r="G131" s="640"/>
      <c r="I131" s="556" t="s">
        <v>85</v>
      </c>
      <c r="J131" s="556" t="b">
        <f t="shared" si="2"/>
        <v>1</v>
      </c>
    </row>
    <row r="132" spans="1:10">
      <c r="A132" s="947" t="s">
        <v>392</v>
      </c>
      <c r="B132" s="948">
        <v>1192275225</v>
      </c>
      <c r="C132" s="949">
        <v>0</v>
      </c>
      <c r="D132" s="949">
        <v>0</v>
      </c>
      <c r="E132" s="556">
        <v>1192275225</v>
      </c>
      <c r="G132" s="640" t="s">
        <v>751</v>
      </c>
      <c r="I132" s="556" t="s">
        <v>392</v>
      </c>
      <c r="J132" s="556" t="b">
        <f t="shared" si="2"/>
        <v>1</v>
      </c>
    </row>
    <row r="133" spans="1:10">
      <c r="A133" s="947" t="s">
        <v>178</v>
      </c>
      <c r="B133" s="948">
        <v>110359296</v>
      </c>
      <c r="C133" s="949">
        <v>0</v>
      </c>
      <c r="D133" s="949">
        <v>0</v>
      </c>
      <c r="E133" s="556">
        <v>110359296</v>
      </c>
      <c r="G133" s="640" t="s">
        <v>754</v>
      </c>
      <c r="I133" s="556" t="s">
        <v>178</v>
      </c>
      <c r="J133" s="556" t="b">
        <f t="shared" si="2"/>
        <v>1</v>
      </c>
    </row>
    <row r="134" spans="1:10">
      <c r="A134" s="947" t="s">
        <v>3458</v>
      </c>
      <c r="B134" s="948">
        <v>45930430</v>
      </c>
      <c r="C134" s="949">
        <v>0</v>
      </c>
      <c r="D134" s="949">
        <v>0</v>
      </c>
      <c r="E134" s="556">
        <v>45930430</v>
      </c>
      <c r="G134" s="960" t="s">
        <v>1392</v>
      </c>
      <c r="I134" s="556" t="s">
        <v>3458</v>
      </c>
      <c r="J134" s="556" t="b">
        <f t="shared" si="2"/>
        <v>1</v>
      </c>
    </row>
    <row r="135" spans="1:10">
      <c r="A135" s="947" t="s">
        <v>756</v>
      </c>
      <c r="B135" s="948">
        <v>0</v>
      </c>
      <c r="C135" s="949">
        <v>0</v>
      </c>
      <c r="D135" s="949">
        <v>0</v>
      </c>
      <c r="E135" s="556">
        <v>0</v>
      </c>
      <c r="G135" s="640" t="s">
        <v>755</v>
      </c>
      <c r="I135" s="556" t="s">
        <v>756</v>
      </c>
      <c r="J135" s="556" t="b">
        <f t="shared" si="2"/>
        <v>1</v>
      </c>
    </row>
    <row r="136" spans="1:10">
      <c r="A136" s="947" t="s">
        <v>393</v>
      </c>
      <c r="B136" s="948">
        <v>187719099</v>
      </c>
      <c r="C136" s="949">
        <v>0</v>
      </c>
      <c r="D136" s="949">
        <v>0</v>
      </c>
      <c r="E136" s="556">
        <v>187719099</v>
      </c>
      <c r="G136" s="640" t="s">
        <v>757</v>
      </c>
      <c r="I136" s="556" t="s">
        <v>393</v>
      </c>
      <c r="J136" s="556" t="b">
        <f t="shared" si="2"/>
        <v>1</v>
      </c>
    </row>
    <row r="137" spans="1:10">
      <c r="A137" s="947" t="s">
        <v>508</v>
      </c>
      <c r="B137" s="948">
        <v>224812833</v>
      </c>
      <c r="C137" s="949">
        <v>0</v>
      </c>
      <c r="D137" s="949">
        <v>0</v>
      </c>
      <c r="E137" s="556">
        <v>224812833</v>
      </c>
      <c r="G137" s="640" t="s">
        <v>758</v>
      </c>
      <c r="I137" s="556" t="s">
        <v>508</v>
      </c>
      <c r="J137" s="556" t="b">
        <f t="shared" si="2"/>
        <v>1</v>
      </c>
    </row>
    <row r="138" spans="1:10">
      <c r="A138" s="947" t="s">
        <v>511</v>
      </c>
      <c r="B138" s="948">
        <v>25692474</v>
      </c>
      <c r="C138" s="949">
        <v>0</v>
      </c>
      <c r="D138" s="949">
        <v>0</v>
      </c>
      <c r="E138" s="556">
        <v>25692474</v>
      </c>
      <c r="G138" s="640" t="s">
        <v>759</v>
      </c>
      <c r="I138" s="556" t="s">
        <v>511</v>
      </c>
      <c r="J138" s="556" t="b">
        <f t="shared" si="2"/>
        <v>1</v>
      </c>
    </row>
    <row r="139" spans="1:10">
      <c r="A139" s="947" t="s">
        <v>509</v>
      </c>
      <c r="B139" s="948">
        <v>8042843</v>
      </c>
      <c r="C139" s="949">
        <v>0</v>
      </c>
      <c r="D139" s="949">
        <v>0</v>
      </c>
      <c r="E139" s="556">
        <v>8042843</v>
      </c>
      <c r="G139" s="640" t="s">
        <v>760</v>
      </c>
      <c r="I139" s="556" t="s">
        <v>509</v>
      </c>
      <c r="J139" s="556" t="b">
        <f t="shared" si="2"/>
        <v>1</v>
      </c>
    </row>
    <row r="140" spans="1:10">
      <c r="A140" s="947" t="s">
        <v>515</v>
      </c>
      <c r="B140" s="948">
        <v>2933840</v>
      </c>
      <c r="C140" s="949">
        <v>0</v>
      </c>
      <c r="D140" s="949">
        <v>0</v>
      </c>
      <c r="E140" s="556">
        <v>2933840</v>
      </c>
      <c r="G140" s="640" t="s">
        <v>761</v>
      </c>
      <c r="I140" s="556" t="s">
        <v>515</v>
      </c>
      <c r="J140" s="556" t="b">
        <f t="shared" si="2"/>
        <v>1</v>
      </c>
    </row>
    <row r="141" spans="1:10">
      <c r="A141" s="947" t="s">
        <v>731</v>
      </c>
      <c r="B141" s="948">
        <v>3879022</v>
      </c>
      <c r="C141" s="949">
        <v>0</v>
      </c>
      <c r="D141" s="949">
        <v>0</v>
      </c>
      <c r="E141" s="556">
        <v>3879022</v>
      </c>
      <c r="G141" s="958">
        <v>81600</v>
      </c>
      <c r="I141" s="556" t="s">
        <v>731</v>
      </c>
      <c r="J141" s="556" t="b">
        <f t="shared" si="2"/>
        <v>1</v>
      </c>
    </row>
    <row r="142" spans="1:10">
      <c r="A142" s="947" t="s">
        <v>733</v>
      </c>
      <c r="B142" s="948">
        <v>8506220</v>
      </c>
      <c r="C142" s="949">
        <v>0</v>
      </c>
      <c r="D142" s="949">
        <v>0</v>
      </c>
      <c r="E142" s="556">
        <v>8506220</v>
      </c>
      <c r="G142" s="640" t="s">
        <v>762</v>
      </c>
      <c r="I142" s="556" t="s">
        <v>733</v>
      </c>
      <c r="J142" s="556" t="b">
        <f t="shared" si="2"/>
        <v>1</v>
      </c>
    </row>
    <row r="143" spans="1:10">
      <c r="A143" s="947" t="s">
        <v>176</v>
      </c>
      <c r="B143" s="948">
        <v>119880341</v>
      </c>
      <c r="C143" s="949">
        <v>0</v>
      </c>
      <c r="D143" s="949">
        <v>0</v>
      </c>
      <c r="E143" s="556">
        <v>119880341</v>
      </c>
      <c r="G143" s="640" t="s">
        <v>763</v>
      </c>
      <c r="I143" s="556" t="s">
        <v>176</v>
      </c>
      <c r="J143" s="556" t="b">
        <f t="shared" si="2"/>
        <v>1</v>
      </c>
    </row>
    <row r="144" spans="1:10">
      <c r="A144" s="947" t="s">
        <v>394</v>
      </c>
      <c r="B144" s="948">
        <v>508414</v>
      </c>
      <c r="C144" s="949">
        <v>0</v>
      </c>
      <c r="D144" s="949">
        <v>0</v>
      </c>
      <c r="E144" s="556">
        <v>508414</v>
      </c>
      <c r="G144" s="640" t="s">
        <v>764</v>
      </c>
      <c r="I144" s="556" t="s">
        <v>394</v>
      </c>
      <c r="J144" s="556" t="b">
        <f t="shared" si="2"/>
        <v>1</v>
      </c>
    </row>
    <row r="145" spans="1:10">
      <c r="A145" s="947" t="s">
        <v>390</v>
      </c>
      <c r="B145" s="948">
        <v>1111000</v>
      </c>
      <c r="C145" s="949">
        <v>0</v>
      </c>
      <c r="D145" s="949">
        <v>0</v>
      </c>
      <c r="E145" s="556">
        <v>1111000</v>
      </c>
      <c r="G145" s="640" t="s">
        <v>765</v>
      </c>
      <c r="I145" s="556" t="s">
        <v>390</v>
      </c>
      <c r="J145" s="556" t="b">
        <f t="shared" si="2"/>
        <v>1</v>
      </c>
    </row>
    <row r="146" spans="1:10">
      <c r="A146" s="947" t="s">
        <v>510</v>
      </c>
      <c r="B146" s="948">
        <v>3257116</v>
      </c>
      <c r="C146" s="949">
        <v>0</v>
      </c>
      <c r="D146" s="949">
        <v>0</v>
      </c>
      <c r="E146" s="556">
        <v>3257116</v>
      </c>
      <c r="G146" s="640" t="s">
        <v>766</v>
      </c>
      <c r="I146" s="556" t="s">
        <v>510</v>
      </c>
      <c r="J146" s="556" t="b">
        <f t="shared" si="2"/>
        <v>1</v>
      </c>
    </row>
    <row r="147" spans="1:10">
      <c r="A147" s="947" t="s">
        <v>512</v>
      </c>
      <c r="B147" s="948">
        <v>720800</v>
      </c>
      <c r="C147" s="949">
        <v>0</v>
      </c>
      <c r="D147" s="949">
        <v>0</v>
      </c>
      <c r="E147" s="556">
        <v>720800</v>
      </c>
      <c r="G147" s="640" t="s">
        <v>767</v>
      </c>
      <c r="I147" s="556" t="s">
        <v>512</v>
      </c>
      <c r="J147" s="556" t="b">
        <f t="shared" si="2"/>
        <v>1</v>
      </c>
    </row>
    <row r="148" spans="1:10">
      <c r="A148" s="947" t="s">
        <v>396</v>
      </c>
      <c r="B148" s="948">
        <v>364625079</v>
      </c>
      <c r="C148" s="949">
        <v>0</v>
      </c>
      <c r="D148" s="949">
        <v>0</v>
      </c>
      <c r="E148" s="556">
        <v>364625079</v>
      </c>
      <c r="G148" s="640" t="s">
        <v>768</v>
      </c>
      <c r="I148" s="556" t="s">
        <v>396</v>
      </c>
      <c r="J148" s="556" t="b">
        <f t="shared" si="2"/>
        <v>1</v>
      </c>
    </row>
    <row r="149" spans="1:10">
      <c r="A149" s="947" t="s">
        <v>388</v>
      </c>
      <c r="B149" s="948">
        <v>9018081</v>
      </c>
      <c r="C149" s="949">
        <v>0</v>
      </c>
      <c r="D149" s="949">
        <v>0</v>
      </c>
      <c r="E149" s="556">
        <v>9018081</v>
      </c>
      <c r="G149" s="640" t="s">
        <v>769</v>
      </c>
      <c r="I149" s="556" t="s">
        <v>388</v>
      </c>
      <c r="J149" s="556" t="b">
        <f t="shared" si="2"/>
        <v>1</v>
      </c>
    </row>
    <row r="150" spans="1:10">
      <c r="A150" s="947" t="s">
        <v>514</v>
      </c>
      <c r="B150" s="948">
        <v>1066181</v>
      </c>
      <c r="C150" s="949">
        <v>0</v>
      </c>
      <c r="D150" s="949">
        <v>0</v>
      </c>
      <c r="E150" s="556">
        <v>1066181</v>
      </c>
      <c r="G150" s="640" t="s">
        <v>770</v>
      </c>
      <c r="I150" s="556" t="s">
        <v>514</v>
      </c>
      <c r="J150" s="556" t="b">
        <f t="shared" si="2"/>
        <v>1</v>
      </c>
    </row>
    <row r="151" spans="1:10">
      <c r="A151" s="947" t="s">
        <v>513</v>
      </c>
      <c r="B151" s="948">
        <v>4820923</v>
      </c>
      <c r="C151" s="949">
        <v>0</v>
      </c>
      <c r="D151" s="949">
        <v>0</v>
      </c>
      <c r="E151" s="556">
        <v>4820923</v>
      </c>
      <c r="G151" s="640" t="s">
        <v>771</v>
      </c>
      <c r="I151" s="556" t="s">
        <v>513</v>
      </c>
      <c r="J151" s="556" t="b">
        <f t="shared" si="2"/>
        <v>1</v>
      </c>
    </row>
    <row r="152" spans="1:10">
      <c r="A152" s="947" t="s">
        <v>773</v>
      </c>
      <c r="B152" s="948">
        <v>0</v>
      </c>
      <c r="C152" s="949">
        <v>0</v>
      </c>
      <c r="D152" s="949">
        <v>0</v>
      </c>
      <c r="E152" s="556">
        <v>0</v>
      </c>
      <c r="G152" s="640" t="s">
        <v>772</v>
      </c>
      <c r="I152" s="556" t="s">
        <v>773</v>
      </c>
      <c r="J152" s="556" t="b">
        <f t="shared" si="2"/>
        <v>1</v>
      </c>
    </row>
    <row r="153" spans="1:10">
      <c r="A153" s="947" t="s">
        <v>742</v>
      </c>
      <c r="B153" s="948">
        <v>236327</v>
      </c>
      <c r="C153" s="949">
        <v>0</v>
      </c>
      <c r="D153" s="949">
        <v>0</v>
      </c>
      <c r="E153" s="556">
        <v>236327</v>
      </c>
      <c r="G153" s="640" t="s">
        <v>774</v>
      </c>
      <c r="I153" s="556" t="s">
        <v>742</v>
      </c>
      <c r="J153" s="556" t="b">
        <f t="shared" si="2"/>
        <v>1</v>
      </c>
    </row>
    <row r="154" spans="1:10">
      <c r="A154" s="947" t="s">
        <v>387</v>
      </c>
      <c r="B154" s="948">
        <v>19873909</v>
      </c>
      <c r="C154" s="949">
        <v>0</v>
      </c>
      <c r="D154" s="949">
        <v>0</v>
      </c>
      <c r="E154" s="556">
        <v>19873909</v>
      </c>
      <c r="G154" s="640" t="s">
        <v>775</v>
      </c>
      <c r="I154" s="556" t="s">
        <v>387</v>
      </c>
      <c r="J154" s="556" t="b">
        <f t="shared" si="2"/>
        <v>1</v>
      </c>
    </row>
    <row r="155" spans="1:10">
      <c r="A155" s="947" t="s">
        <v>385</v>
      </c>
      <c r="B155" s="948">
        <v>1082143476</v>
      </c>
      <c r="C155" s="949">
        <v>0</v>
      </c>
      <c r="D155" s="949">
        <v>0</v>
      </c>
      <c r="E155" s="556">
        <v>1082143476</v>
      </c>
      <c r="G155" s="640" t="s">
        <v>776</v>
      </c>
      <c r="I155" s="556" t="s">
        <v>385</v>
      </c>
      <c r="J155" s="556" t="b">
        <f t="shared" si="2"/>
        <v>1</v>
      </c>
    </row>
    <row r="156" spans="1:10">
      <c r="A156" s="947" t="s">
        <v>520</v>
      </c>
      <c r="B156" s="948">
        <v>0</v>
      </c>
      <c r="C156" s="949">
        <v>0</v>
      </c>
      <c r="D156" s="949">
        <v>0</v>
      </c>
      <c r="E156" s="556">
        <v>0</v>
      </c>
      <c r="G156" s="640" t="s">
        <v>1393</v>
      </c>
      <c r="I156" s="556" t="s">
        <v>520</v>
      </c>
      <c r="J156" s="556" t="b">
        <f t="shared" si="2"/>
        <v>1</v>
      </c>
    </row>
    <row r="157" spans="1:10">
      <c r="A157" s="947" t="s">
        <v>386</v>
      </c>
      <c r="B157" s="948">
        <v>1875294553</v>
      </c>
      <c r="C157" s="949">
        <v>0</v>
      </c>
      <c r="D157" s="949">
        <v>0</v>
      </c>
      <c r="E157" s="556">
        <v>1875294553</v>
      </c>
      <c r="G157" s="640" t="s">
        <v>777</v>
      </c>
      <c r="I157" s="556" t="s">
        <v>386</v>
      </c>
      <c r="J157" s="556" t="b">
        <f t="shared" si="2"/>
        <v>1</v>
      </c>
    </row>
    <row r="158" spans="1:10">
      <c r="A158" s="947" t="s">
        <v>174</v>
      </c>
      <c r="B158" s="948">
        <v>-82887417</v>
      </c>
      <c r="C158" s="949">
        <v>0</v>
      </c>
      <c r="D158" s="949">
        <v>0</v>
      </c>
      <c r="E158" s="556">
        <v>-82887417</v>
      </c>
      <c r="G158" s="640" t="s">
        <v>778</v>
      </c>
      <c r="I158" s="556" t="s">
        <v>174</v>
      </c>
      <c r="J158" s="556" t="b">
        <f t="shared" si="2"/>
        <v>1</v>
      </c>
    </row>
    <row r="159" spans="1:10">
      <c r="A159" s="947" t="s">
        <v>747</v>
      </c>
      <c r="B159" s="948">
        <v>16390898</v>
      </c>
      <c r="C159" s="949">
        <v>0</v>
      </c>
      <c r="D159" s="949">
        <v>0</v>
      </c>
      <c r="E159" s="556">
        <v>16390898</v>
      </c>
      <c r="G159" s="640" t="s">
        <v>779</v>
      </c>
      <c r="I159" s="556" t="s">
        <v>747</v>
      </c>
      <c r="J159" s="556" t="b">
        <f t="shared" si="2"/>
        <v>1</v>
      </c>
    </row>
    <row r="160" spans="1:10">
      <c r="A160" s="947" t="s">
        <v>781</v>
      </c>
      <c r="B160" s="948">
        <v>33162410</v>
      </c>
      <c r="C160" s="949">
        <v>0</v>
      </c>
      <c r="D160" s="949">
        <v>0</v>
      </c>
      <c r="E160" s="556">
        <v>33162410</v>
      </c>
      <c r="G160" s="640" t="s">
        <v>780</v>
      </c>
      <c r="I160" s="556" t="s">
        <v>781</v>
      </c>
      <c r="J160" s="556" t="b">
        <f t="shared" si="2"/>
        <v>1</v>
      </c>
    </row>
    <row r="161" spans="1:10">
      <c r="A161" s="947" t="s">
        <v>397</v>
      </c>
      <c r="B161" s="948">
        <v>96068802</v>
      </c>
      <c r="C161" s="949">
        <v>0</v>
      </c>
      <c r="D161" s="949">
        <v>0</v>
      </c>
      <c r="E161" s="556">
        <v>96068802</v>
      </c>
      <c r="G161" s="640" t="s">
        <v>782</v>
      </c>
      <c r="I161" s="556" t="s">
        <v>397</v>
      </c>
      <c r="J161" s="556" t="b">
        <f t="shared" si="2"/>
        <v>1</v>
      </c>
    </row>
    <row r="162" spans="1:10">
      <c r="A162" s="947" t="s">
        <v>749</v>
      </c>
      <c r="B162" s="948">
        <v>21529107</v>
      </c>
      <c r="C162" s="949">
        <v>0</v>
      </c>
      <c r="D162" s="949">
        <v>0</v>
      </c>
      <c r="E162" s="556">
        <v>21529107</v>
      </c>
      <c r="G162" s="640" t="s">
        <v>783</v>
      </c>
      <c r="I162" s="556" t="s">
        <v>749</v>
      </c>
      <c r="J162" s="556" t="b">
        <f t="shared" si="2"/>
        <v>1</v>
      </c>
    </row>
    <row r="163" spans="1:10">
      <c r="A163" s="947" t="s">
        <v>785</v>
      </c>
      <c r="B163" s="948">
        <v>0</v>
      </c>
      <c r="C163" s="949">
        <v>0</v>
      </c>
      <c r="D163" s="949">
        <v>0</v>
      </c>
      <c r="E163" s="556">
        <v>0</v>
      </c>
      <c r="G163" s="958" t="s">
        <v>784</v>
      </c>
      <c r="I163" s="556" t="s">
        <v>785</v>
      </c>
      <c r="J163" s="556" t="b">
        <f t="shared" si="2"/>
        <v>1</v>
      </c>
    </row>
    <row r="164" spans="1:10" ht="14.25" thickBot="1">
      <c r="A164" s="947" t="s">
        <v>787</v>
      </c>
      <c r="B164" s="948">
        <v>1380000</v>
      </c>
      <c r="C164" s="949">
        <v>0</v>
      </c>
      <c r="D164" s="949">
        <v>0</v>
      </c>
      <c r="E164" s="556">
        <v>1380000</v>
      </c>
      <c r="G164" s="640" t="s">
        <v>786</v>
      </c>
      <c r="I164" s="556" t="s">
        <v>787</v>
      </c>
      <c r="J164" s="556" t="b">
        <f t="shared" si="2"/>
        <v>1</v>
      </c>
    </row>
    <row r="165" spans="1:10" ht="14.25" thickBot="1">
      <c r="A165" s="945" t="s">
        <v>271</v>
      </c>
      <c r="B165" s="946">
        <v>-686814117</v>
      </c>
      <c r="C165" s="945"/>
      <c r="D165" s="945"/>
      <c r="E165" s="559">
        <v>-686814117</v>
      </c>
      <c r="G165" s="640"/>
      <c r="I165" s="556" t="s">
        <v>271</v>
      </c>
      <c r="J165" s="556" t="b">
        <f t="shared" si="2"/>
        <v>1</v>
      </c>
    </row>
    <row r="166" spans="1:10" ht="14.25" thickBot="1">
      <c r="A166" s="945" t="s">
        <v>899</v>
      </c>
      <c r="B166" s="946">
        <v>4395999</v>
      </c>
      <c r="C166" s="945"/>
      <c r="D166" s="945"/>
      <c r="E166" s="559">
        <v>4395999</v>
      </c>
      <c r="G166" s="640"/>
      <c r="I166" s="556" t="s">
        <v>899</v>
      </c>
      <c r="J166" s="556" t="b">
        <f t="shared" si="2"/>
        <v>1</v>
      </c>
    </row>
    <row r="167" spans="1:10">
      <c r="A167" s="947" t="s">
        <v>2762</v>
      </c>
      <c r="B167" s="948">
        <v>3000000</v>
      </c>
      <c r="C167" s="949">
        <v>0</v>
      </c>
      <c r="D167" s="949">
        <v>0</v>
      </c>
      <c r="E167" s="556">
        <v>3000000</v>
      </c>
      <c r="G167" s="640" t="s">
        <v>2869</v>
      </c>
      <c r="I167" s="556" t="s">
        <v>2762</v>
      </c>
      <c r="J167" s="556" t="b">
        <f t="shared" si="2"/>
        <v>1</v>
      </c>
    </row>
    <row r="168" spans="1:10">
      <c r="A168" s="947" t="s">
        <v>1663</v>
      </c>
      <c r="B168" s="948">
        <v>0</v>
      </c>
      <c r="C168" s="949">
        <v>0</v>
      </c>
      <c r="D168" s="949">
        <v>0</v>
      </c>
      <c r="E168" s="556">
        <v>0</v>
      </c>
      <c r="G168" s="640"/>
      <c r="I168" s="556" t="s">
        <v>1663</v>
      </c>
      <c r="J168" s="556" t="b">
        <f t="shared" si="2"/>
        <v>1</v>
      </c>
    </row>
    <row r="169" spans="1:10">
      <c r="A169" s="947" t="s">
        <v>122</v>
      </c>
      <c r="B169" s="948">
        <v>1202135</v>
      </c>
      <c r="C169" s="949">
        <v>0</v>
      </c>
      <c r="D169" s="949">
        <v>0</v>
      </c>
      <c r="E169" s="556">
        <v>1202135</v>
      </c>
      <c r="G169" s="640">
        <v>92100</v>
      </c>
      <c r="I169" s="556" t="s">
        <v>122</v>
      </c>
      <c r="J169" s="556" t="b">
        <f t="shared" si="2"/>
        <v>1</v>
      </c>
    </row>
    <row r="170" spans="1:10">
      <c r="A170" s="947" t="s">
        <v>1461</v>
      </c>
      <c r="B170" s="948">
        <v>0</v>
      </c>
      <c r="C170" s="949">
        <v>0</v>
      </c>
      <c r="D170" s="949">
        <v>0</v>
      </c>
      <c r="E170" s="556">
        <v>0</v>
      </c>
      <c r="G170" s="640"/>
      <c r="I170" s="556" t="s">
        <v>1461</v>
      </c>
      <c r="J170" s="556" t="b">
        <f t="shared" si="2"/>
        <v>1</v>
      </c>
    </row>
    <row r="171" spans="1:10" ht="14.25" thickBot="1">
      <c r="A171" s="947" t="s">
        <v>123</v>
      </c>
      <c r="B171" s="948">
        <v>193864</v>
      </c>
      <c r="C171" s="949">
        <v>0</v>
      </c>
      <c r="D171" s="949">
        <v>0</v>
      </c>
      <c r="E171" s="556">
        <v>193864</v>
      </c>
      <c r="G171" s="640" t="s">
        <v>798</v>
      </c>
      <c r="I171" s="556" t="s">
        <v>123</v>
      </c>
      <c r="J171" s="556" t="b">
        <f t="shared" si="2"/>
        <v>1</v>
      </c>
    </row>
    <row r="172" spans="1:10" ht="14.25" thickBot="1">
      <c r="A172" s="945" t="s">
        <v>901</v>
      </c>
      <c r="B172" s="946">
        <v>4825612</v>
      </c>
      <c r="C172" s="945"/>
      <c r="D172" s="945"/>
      <c r="E172" s="559">
        <v>4825612</v>
      </c>
      <c r="G172" s="640"/>
      <c r="I172" s="556" t="s">
        <v>901</v>
      </c>
      <c r="J172" s="556" t="b">
        <f t="shared" si="2"/>
        <v>1</v>
      </c>
    </row>
    <row r="173" spans="1:10">
      <c r="A173" s="947" t="s">
        <v>175</v>
      </c>
      <c r="B173" s="948">
        <v>0</v>
      </c>
      <c r="C173" s="949">
        <v>0</v>
      </c>
      <c r="D173" s="949">
        <v>0</v>
      </c>
      <c r="E173" s="556">
        <v>0</v>
      </c>
      <c r="G173" s="640" t="s">
        <v>2872</v>
      </c>
      <c r="I173" s="556" t="s">
        <v>175</v>
      </c>
      <c r="J173" s="556" t="b">
        <f t="shared" ref="J173:J195" si="3">I173=A173</f>
        <v>1</v>
      </c>
    </row>
    <row r="174" spans="1:10">
      <c r="A174" s="947" t="s">
        <v>128</v>
      </c>
      <c r="B174" s="948">
        <v>0</v>
      </c>
      <c r="C174" s="949">
        <v>0</v>
      </c>
      <c r="D174" s="949">
        <v>0</v>
      </c>
      <c r="E174" s="556">
        <v>0</v>
      </c>
      <c r="G174" s="640" t="s">
        <v>804</v>
      </c>
      <c r="I174" s="556" t="s">
        <v>128</v>
      </c>
      <c r="J174" s="556" t="b">
        <f t="shared" si="3"/>
        <v>1</v>
      </c>
    </row>
    <row r="175" spans="1:10">
      <c r="A175" s="947" t="s">
        <v>2661</v>
      </c>
      <c r="B175" s="948">
        <v>0</v>
      </c>
      <c r="C175" s="949">
        <v>0</v>
      </c>
      <c r="D175" s="949">
        <v>0</v>
      </c>
      <c r="E175" s="556">
        <v>0</v>
      </c>
      <c r="G175" s="640" t="s">
        <v>2660</v>
      </c>
      <c r="I175" s="556" t="s">
        <v>2661</v>
      </c>
      <c r="J175" s="556" t="b">
        <f t="shared" si="3"/>
        <v>1</v>
      </c>
    </row>
    <row r="176" spans="1:10">
      <c r="A176" s="947" t="s">
        <v>1664</v>
      </c>
      <c r="B176" s="948">
        <v>4825402</v>
      </c>
      <c r="C176" s="949">
        <v>0</v>
      </c>
      <c r="D176" s="949">
        <v>0</v>
      </c>
      <c r="E176" s="556">
        <v>4825402</v>
      </c>
      <c r="G176" s="640" t="s">
        <v>800</v>
      </c>
      <c r="I176" s="556" t="s">
        <v>1664</v>
      </c>
      <c r="J176" s="556" t="b">
        <f t="shared" si="3"/>
        <v>1</v>
      </c>
    </row>
    <row r="177" spans="1:10">
      <c r="A177" s="947" t="s">
        <v>1665</v>
      </c>
      <c r="B177" s="948">
        <v>0</v>
      </c>
      <c r="C177" s="949">
        <v>0</v>
      </c>
      <c r="D177" s="949">
        <v>0</v>
      </c>
      <c r="E177" s="556">
        <v>0</v>
      </c>
      <c r="G177" s="640" t="s">
        <v>808</v>
      </c>
      <c r="I177" s="556" t="s">
        <v>1665</v>
      </c>
      <c r="J177" s="556" t="b">
        <f t="shared" si="3"/>
        <v>1</v>
      </c>
    </row>
    <row r="178" spans="1:10">
      <c r="A178" s="947" t="s">
        <v>2665</v>
      </c>
      <c r="B178" s="948">
        <v>0</v>
      </c>
      <c r="C178" s="949">
        <v>0</v>
      </c>
      <c r="D178" s="949">
        <v>0</v>
      </c>
      <c r="E178" s="556">
        <v>0</v>
      </c>
      <c r="G178" s="958" t="s">
        <v>2666</v>
      </c>
      <c r="I178" s="556" t="s">
        <v>2665</v>
      </c>
      <c r="J178" s="556" t="b">
        <f t="shared" si="3"/>
        <v>1</v>
      </c>
    </row>
    <row r="179" spans="1:10" ht="14.25" thickBot="1">
      <c r="A179" s="947" t="s">
        <v>130</v>
      </c>
      <c r="B179" s="948">
        <v>210</v>
      </c>
      <c r="C179" s="949">
        <v>0</v>
      </c>
      <c r="D179" s="949">
        <v>0</v>
      </c>
      <c r="E179" s="556">
        <v>210</v>
      </c>
      <c r="G179" s="640" t="s">
        <v>810</v>
      </c>
      <c r="I179" s="556" t="s">
        <v>130</v>
      </c>
      <c r="J179" s="556" t="b">
        <f t="shared" si="3"/>
        <v>1</v>
      </c>
    </row>
    <row r="180" spans="1:10" ht="14.25" thickBot="1">
      <c r="A180" s="945" t="s">
        <v>90</v>
      </c>
      <c r="B180" s="946">
        <v>169543833</v>
      </c>
      <c r="C180" s="945"/>
      <c r="D180" s="945"/>
      <c r="E180" s="559">
        <v>169543833</v>
      </c>
      <c r="G180" s="640"/>
      <c r="I180" s="556" t="s">
        <v>90</v>
      </c>
      <c r="J180" s="556" t="b">
        <f t="shared" si="3"/>
        <v>1</v>
      </c>
    </row>
    <row r="181" spans="1:10">
      <c r="A181" s="947" t="s">
        <v>133</v>
      </c>
      <c r="B181" s="948">
        <v>22098561</v>
      </c>
      <c r="C181" s="949">
        <v>0</v>
      </c>
      <c r="D181" s="949">
        <v>0</v>
      </c>
      <c r="E181" s="556">
        <v>22098561</v>
      </c>
      <c r="G181" s="640" t="s">
        <v>793</v>
      </c>
      <c r="I181" s="556" t="s">
        <v>133</v>
      </c>
      <c r="J181" s="556" t="b">
        <f t="shared" si="3"/>
        <v>1</v>
      </c>
    </row>
    <row r="182" spans="1:10">
      <c r="A182" s="947" t="s">
        <v>120</v>
      </c>
      <c r="B182" s="948">
        <v>109841433</v>
      </c>
      <c r="C182" s="949">
        <v>0</v>
      </c>
      <c r="D182" s="949">
        <v>0</v>
      </c>
      <c r="E182" s="556">
        <v>109841433</v>
      </c>
      <c r="G182" s="640" t="s">
        <v>794</v>
      </c>
      <c r="I182" s="556" t="s">
        <v>120</v>
      </c>
      <c r="J182" s="556" t="b">
        <f t="shared" si="3"/>
        <v>1</v>
      </c>
    </row>
    <row r="183" spans="1:10" ht="14.25" thickBot="1">
      <c r="A183" s="947" t="s">
        <v>121</v>
      </c>
      <c r="B183" s="948">
        <v>37603839</v>
      </c>
      <c r="C183" s="949">
        <v>0</v>
      </c>
      <c r="D183" s="949">
        <v>0</v>
      </c>
      <c r="E183" s="556">
        <v>37603839</v>
      </c>
      <c r="G183" s="640" t="s">
        <v>795</v>
      </c>
      <c r="I183" s="556" t="s">
        <v>121</v>
      </c>
      <c r="J183" s="556" t="b">
        <f t="shared" si="3"/>
        <v>1</v>
      </c>
    </row>
    <row r="184" spans="1:10" ht="14.25" thickBot="1">
      <c r="A184" s="945" t="s">
        <v>91</v>
      </c>
      <c r="B184" s="946">
        <v>262057894</v>
      </c>
      <c r="C184" s="945"/>
      <c r="D184" s="945"/>
      <c r="E184" s="559">
        <v>271149913</v>
      </c>
      <c r="G184" s="640"/>
      <c r="I184" s="556" t="s">
        <v>91</v>
      </c>
      <c r="J184" s="556" t="b">
        <f t="shared" si="3"/>
        <v>1</v>
      </c>
    </row>
    <row r="185" spans="1:10">
      <c r="A185" s="947" t="s">
        <v>179</v>
      </c>
      <c r="B185" s="948">
        <v>89862932</v>
      </c>
      <c r="C185" s="949">
        <v>9092019</v>
      </c>
      <c r="D185" s="949">
        <v>0</v>
      </c>
      <c r="E185" s="556">
        <v>98954951</v>
      </c>
      <c r="G185" s="640" t="s">
        <v>802</v>
      </c>
      <c r="I185" s="556" t="s">
        <v>179</v>
      </c>
      <c r="J185" s="556" t="b">
        <f t="shared" si="3"/>
        <v>1</v>
      </c>
    </row>
    <row r="186" spans="1:10">
      <c r="A186" s="947" t="s">
        <v>2988</v>
      </c>
      <c r="B186" s="948">
        <v>0</v>
      </c>
      <c r="C186" s="949">
        <v>0</v>
      </c>
      <c r="D186" s="949">
        <v>0</v>
      </c>
      <c r="E186" s="556">
        <v>0</v>
      </c>
      <c r="G186" s="958" t="s">
        <v>2991</v>
      </c>
      <c r="I186" s="556" t="s">
        <v>2988</v>
      </c>
      <c r="J186" s="556" t="b">
        <f t="shared" si="3"/>
        <v>1</v>
      </c>
    </row>
    <row r="187" spans="1:10">
      <c r="A187" s="947" t="s">
        <v>125</v>
      </c>
      <c r="B187" s="948">
        <v>172194962</v>
      </c>
      <c r="C187" s="949">
        <v>0</v>
      </c>
      <c r="D187" s="949">
        <v>0</v>
      </c>
      <c r="E187" s="556">
        <v>172194962</v>
      </c>
      <c r="G187" s="640" t="s">
        <v>803</v>
      </c>
      <c r="I187" s="556" t="s">
        <v>125</v>
      </c>
      <c r="J187" s="556" t="b">
        <f t="shared" si="3"/>
        <v>1</v>
      </c>
    </row>
    <row r="188" spans="1:10" ht="14.25" thickBot="1">
      <c r="A188" s="947" t="s">
        <v>127</v>
      </c>
      <c r="B188" s="948">
        <v>0</v>
      </c>
      <c r="C188" s="949">
        <v>0</v>
      </c>
      <c r="D188" s="949">
        <v>0</v>
      </c>
      <c r="E188" s="556">
        <v>0</v>
      </c>
      <c r="G188" s="640" t="s">
        <v>805</v>
      </c>
      <c r="I188" s="556" t="s">
        <v>127</v>
      </c>
      <c r="J188" s="556" t="b">
        <f t="shared" si="3"/>
        <v>1</v>
      </c>
    </row>
    <row r="189" spans="1:10" ht="14.25" thickBot="1">
      <c r="A189" s="945" t="s">
        <v>258</v>
      </c>
      <c r="B189" s="946">
        <v>-779757791</v>
      </c>
      <c r="C189" s="945"/>
      <c r="D189" s="945"/>
      <c r="E189" s="559">
        <v>-788849810</v>
      </c>
      <c r="G189" s="640"/>
      <c r="I189" s="556" t="s">
        <v>258</v>
      </c>
      <c r="J189" s="556" t="b">
        <f t="shared" si="3"/>
        <v>1</v>
      </c>
    </row>
    <row r="190" spans="1:10" ht="14.25" thickBot="1">
      <c r="A190" s="949" t="s">
        <v>238</v>
      </c>
      <c r="B190" s="948">
        <v>0</v>
      </c>
      <c r="C190" s="949">
        <v>0</v>
      </c>
      <c r="D190" s="949">
        <v>0</v>
      </c>
      <c r="E190" s="556">
        <v>0</v>
      </c>
      <c r="G190" s="640" t="s">
        <v>811</v>
      </c>
      <c r="I190" s="556" t="s">
        <v>238</v>
      </c>
      <c r="J190" s="556" t="b">
        <f t="shared" si="3"/>
        <v>1</v>
      </c>
    </row>
    <row r="191" spans="1:10" ht="14.25" thickBot="1">
      <c r="A191" s="945" t="s">
        <v>902</v>
      </c>
      <c r="B191" s="946">
        <v>-779757791</v>
      </c>
      <c r="C191" s="945"/>
      <c r="D191" s="945"/>
      <c r="E191" s="559">
        <v>-788849810</v>
      </c>
      <c r="F191" s="556">
        <f>E191-B191</f>
        <v>-9092019</v>
      </c>
      <c r="G191" s="640"/>
      <c r="I191" s="556" t="s">
        <v>902</v>
      </c>
      <c r="J191" s="556" t="b">
        <f t="shared" si="3"/>
        <v>1</v>
      </c>
    </row>
    <row r="192" spans="1:10" ht="14.25" thickBot="1">
      <c r="A192" s="945" t="s">
        <v>250</v>
      </c>
      <c r="B192" s="946">
        <v>0</v>
      </c>
      <c r="C192" s="945"/>
      <c r="D192" s="945"/>
      <c r="E192" s="559">
        <v>0</v>
      </c>
      <c r="G192" s="640"/>
      <c r="I192" s="556" t="s">
        <v>250</v>
      </c>
      <c r="J192" s="556" t="b">
        <f t="shared" si="3"/>
        <v>1</v>
      </c>
    </row>
    <row r="193" spans="1:10">
      <c r="A193" s="949" t="s">
        <v>903</v>
      </c>
      <c r="B193" s="948">
        <v>0</v>
      </c>
      <c r="C193" s="949">
        <v>0</v>
      </c>
      <c r="D193" s="949">
        <v>0</v>
      </c>
      <c r="E193" s="556">
        <v>0</v>
      </c>
      <c r="G193" s="640" t="s">
        <v>1790</v>
      </c>
      <c r="I193" s="556" t="s">
        <v>903</v>
      </c>
      <c r="J193" s="556" t="b">
        <f t="shared" si="3"/>
        <v>1</v>
      </c>
    </row>
    <row r="194" spans="1:10" ht="14.25" thickBot="1">
      <c r="A194" s="949" t="s">
        <v>71</v>
      </c>
      <c r="B194" s="948">
        <v>0</v>
      </c>
      <c r="C194" s="949">
        <v>0</v>
      </c>
      <c r="D194" s="949">
        <v>0</v>
      </c>
      <c r="E194" s="556">
        <v>0</v>
      </c>
      <c r="G194" s="640" t="s">
        <v>1792</v>
      </c>
      <c r="I194" s="556" t="s">
        <v>71</v>
      </c>
      <c r="J194" s="556" t="b">
        <f t="shared" si="3"/>
        <v>1</v>
      </c>
    </row>
    <row r="195" spans="1:10" ht="14.25" thickBot="1">
      <c r="A195" s="945" t="s">
        <v>272</v>
      </c>
      <c r="B195" s="946">
        <v>-779757791</v>
      </c>
      <c r="C195" s="945"/>
      <c r="D195" s="945"/>
      <c r="E195" s="559">
        <v>-788849810</v>
      </c>
      <c r="G195" s="642"/>
      <c r="I195" s="556" t="s">
        <v>272</v>
      </c>
      <c r="J195" s="556" t="b">
        <f t="shared" si="3"/>
        <v>1</v>
      </c>
    </row>
    <row r="196" spans="1:10">
      <c r="B196" s="562">
        <v>0</v>
      </c>
    </row>
    <row r="197" spans="1:10">
      <c r="A197" s="562"/>
      <c r="B197" s="562"/>
      <c r="C197" s="565"/>
    </row>
    <row r="198" spans="1:10">
      <c r="B198" s="566"/>
    </row>
  </sheetData>
  <phoneticPr fontId="3" type="noConversion"/>
  <conditionalFormatting sqref="F1:F1048576">
    <cfRule type="containsText" dxfId="143" priority="5" operator="containsText" text="false">
      <formula>NOT(ISERROR(SEARCH("false",F1)))</formula>
    </cfRule>
  </conditionalFormatting>
  <conditionalFormatting sqref="J1:J1048576">
    <cfRule type="containsText" dxfId="142" priority="1" operator="containsText" text="false">
      <formula>NOT(ISERROR(SEARCH("false",J1)))</formula>
    </cfRule>
  </conditionalFormatting>
  <conditionalFormatting sqref="L1:L1048576">
    <cfRule type="containsText" dxfId="141" priority="3" operator="containsText" text="false">
      <formula>NOT(ISERROR(SEARCH("false",L1)))</formula>
    </cfRule>
  </conditionalFormatting>
  <conditionalFormatting sqref="O1:O1048576">
    <cfRule type="containsText" dxfId="140" priority="2" operator="containsText" text="false">
      <formula>NOT(ISERROR(SEARCH("false",O1)))</formula>
    </cfRule>
  </conditionalFormatting>
  <pageMargins left="0.7" right="0.7" top="0.75" bottom="0.75" header="0.3" footer="0.3"/>
  <pageSetup paperSize="9" scale="87" orientation="portrait" r:id="rId1"/>
  <extLst>
    <ext xmlns:x14="http://schemas.microsoft.com/office/spreadsheetml/2009/9/main" uri="{78C0D931-6437-407d-A8EE-F0AAD7539E65}">
      <x14:conditionalFormattings>
        <x14:conditionalFormatting xmlns:xm="http://schemas.microsoft.com/office/excel/2006/main">
          <x14:cfRule type="containsText" priority="4" operator="containsText" id="{FAF42BA5-5769-4AE6-BD3B-D71147EDA5AA}">
            <xm:f>NOT(ISERROR(SEARCH("False",A37)))</xm:f>
            <xm:f>"False"</xm:f>
            <x14:dxf>
              <fill>
                <patternFill>
                  <bgColor rgb="FFFF0000"/>
                </patternFill>
              </fill>
            </x14:dxf>
          </x14:cfRule>
          <xm:sqref>A37:D71</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6">
    <tabColor theme="8" tint="0.79998168889431442"/>
  </sheetPr>
  <dimension ref="A1:W89"/>
  <sheetViews>
    <sheetView zoomScale="90" zoomScaleNormal="90" workbookViewId="0">
      <selection activeCell="E34" sqref="E34"/>
    </sheetView>
  </sheetViews>
  <sheetFormatPr defaultRowHeight="16.5"/>
  <cols>
    <col min="1" max="1" width="12.875" style="629" customWidth="1"/>
    <col min="2" max="2" width="29.875" style="567" customWidth="1"/>
    <col min="3" max="6" width="13.625" style="567" bestFit="1" customWidth="1"/>
    <col min="7" max="7" width="4.375" style="567" customWidth="1"/>
    <col min="8" max="8" width="12.875" style="628" customWidth="1"/>
    <col min="9" max="9" width="26.875" style="567" customWidth="1"/>
    <col min="10" max="11" width="13.625" style="567" bestFit="1" customWidth="1"/>
    <col min="12" max="13" width="14.375" style="567" bestFit="1" customWidth="1"/>
    <col min="14" max="14" width="4.625" style="567" customWidth="1"/>
    <col min="15" max="15" width="29.125" style="567" customWidth="1"/>
    <col min="16" max="17" width="13.625" style="567" bestFit="1" customWidth="1"/>
    <col min="18" max="18" width="14.625" style="567" customWidth="1"/>
    <col min="19" max="19" width="13.625" style="568" customWidth="1"/>
    <col min="20" max="20" width="9.375" style="568" bestFit="1" customWidth="1"/>
    <col min="21" max="258" width="9" style="568"/>
    <col min="259" max="259" width="29.875" style="568" customWidth="1"/>
    <col min="260" max="263" width="13.625" style="568" bestFit="1" customWidth="1"/>
    <col min="264" max="264" width="4.375" style="568" customWidth="1"/>
    <col min="265" max="265" width="26.875" style="568" customWidth="1"/>
    <col min="266" max="267" width="13.625" style="568" bestFit="1" customWidth="1"/>
    <col min="268" max="269" width="14.375" style="568" bestFit="1" customWidth="1"/>
    <col min="270" max="270" width="4.625" style="568" customWidth="1"/>
    <col min="271" max="271" width="29.125" style="568" customWidth="1"/>
    <col min="272" max="273" width="13.625" style="568" bestFit="1" customWidth="1"/>
    <col min="274" max="274" width="14.625" style="568" customWidth="1"/>
    <col min="275" max="275" width="13.625" style="568" customWidth="1"/>
    <col min="276" max="276" width="9.375" style="568" bestFit="1" customWidth="1"/>
    <col min="277" max="514" width="9" style="568"/>
    <col min="515" max="515" width="29.875" style="568" customWidth="1"/>
    <col min="516" max="519" width="13.625" style="568" bestFit="1" customWidth="1"/>
    <col min="520" max="520" width="4.375" style="568" customWidth="1"/>
    <col min="521" max="521" width="26.875" style="568" customWidth="1"/>
    <col min="522" max="523" width="13.625" style="568" bestFit="1" customWidth="1"/>
    <col min="524" max="525" width="14.375" style="568" bestFit="1" customWidth="1"/>
    <col min="526" max="526" width="4.625" style="568" customWidth="1"/>
    <col min="527" max="527" width="29.125" style="568" customWidth="1"/>
    <col min="528" max="529" width="13.625" style="568" bestFit="1" customWidth="1"/>
    <col min="530" max="530" width="14.625" style="568" customWidth="1"/>
    <col min="531" max="531" width="13.625" style="568" customWidth="1"/>
    <col min="532" max="532" width="9.375" style="568" bestFit="1" customWidth="1"/>
    <col min="533" max="770" width="9" style="568"/>
    <col min="771" max="771" width="29.875" style="568" customWidth="1"/>
    <col min="772" max="775" width="13.625" style="568" bestFit="1" customWidth="1"/>
    <col min="776" max="776" width="4.375" style="568" customWidth="1"/>
    <col min="777" max="777" width="26.875" style="568" customWidth="1"/>
    <col min="778" max="779" width="13.625" style="568" bestFit="1" customWidth="1"/>
    <col min="780" max="781" width="14.375" style="568" bestFit="1" customWidth="1"/>
    <col min="782" max="782" width="4.625" style="568" customWidth="1"/>
    <col min="783" max="783" width="29.125" style="568" customWidth="1"/>
    <col min="784" max="785" width="13.625" style="568" bestFit="1" customWidth="1"/>
    <col min="786" max="786" width="14.625" style="568" customWidth="1"/>
    <col min="787" max="787" width="13.625" style="568" customWidth="1"/>
    <col min="788" max="788" width="9.375" style="568" bestFit="1" customWidth="1"/>
    <col min="789" max="1026" width="9" style="568"/>
    <col min="1027" max="1027" width="29.875" style="568" customWidth="1"/>
    <col min="1028" max="1031" width="13.625" style="568" bestFit="1" customWidth="1"/>
    <col min="1032" max="1032" width="4.375" style="568" customWidth="1"/>
    <col min="1033" max="1033" width="26.875" style="568" customWidth="1"/>
    <col min="1034" max="1035" width="13.625" style="568" bestFit="1" customWidth="1"/>
    <col min="1036" max="1037" width="14.375" style="568" bestFit="1" customWidth="1"/>
    <col min="1038" max="1038" width="4.625" style="568" customWidth="1"/>
    <col min="1039" max="1039" width="29.125" style="568" customWidth="1"/>
    <col min="1040" max="1041" width="13.625" style="568" bestFit="1" customWidth="1"/>
    <col min="1042" max="1042" width="14.625" style="568" customWidth="1"/>
    <col min="1043" max="1043" width="13.625" style="568" customWidth="1"/>
    <col min="1044" max="1044" width="9.375" style="568" bestFit="1" customWidth="1"/>
    <col min="1045" max="1282" width="9" style="568"/>
    <col min="1283" max="1283" width="29.875" style="568" customWidth="1"/>
    <col min="1284" max="1287" width="13.625" style="568" bestFit="1" customWidth="1"/>
    <col min="1288" max="1288" width="4.375" style="568" customWidth="1"/>
    <col min="1289" max="1289" width="26.875" style="568" customWidth="1"/>
    <col min="1290" max="1291" width="13.625" style="568" bestFit="1" customWidth="1"/>
    <col min="1292" max="1293" width="14.375" style="568" bestFit="1" customWidth="1"/>
    <col min="1294" max="1294" width="4.625" style="568" customWidth="1"/>
    <col min="1295" max="1295" width="29.125" style="568" customWidth="1"/>
    <col min="1296" max="1297" width="13.625" style="568" bestFit="1" customWidth="1"/>
    <col min="1298" max="1298" width="14.625" style="568" customWidth="1"/>
    <col min="1299" max="1299" width="13.625" style="568" customWidth="1"/>
    <col min="1300" max="1300" width="9.375" style="568" bestFit="1" customWidth="1"/>
    <col min="1301" max="1538" width="9" style="568"/>
    <col min="1539" max="1539" width="29.875" style="568" customWidth="1"/>
    <col min="1540" max="1543" width="13.625" style="568" bestFit="1" customWidth="1"/>
    <col min="1544" max="1544" width="4.375" style="568" customWidth="1"/>
    <col min="1545" max="1545" width="26.875" style="568" customWidth="1"/>
    <col min="1546" max="1547" width="13.625" style="568" bestFit="1" customWidth="1"/>
    <col min="1548" max="1549" width="14.375" style="568" bestFit="1" customWidth="1"/>
    <col min="1550" max="1550" width="4.625" style="568" customWidth="1"/>
    <col min="1551" max="1551" width="29.125" style="568" customWidth="1"/>
    <col min="1552" max="1553" width="13.625" style="568" bestFit="1" customWidth="1"/>
    <col min="1554" max="1554" width="14.625" style="568" customWidth="1"/>
    <col min="1555" max="1555" width="13.625" style="568" customWidth="1"/>
    <col min="1556" max="1556" width="9.375" style="568" bestFit="1" customWidth="1"/>
    <col min="1557" max="1794" width="9" style="568"/>
    <col min="1795" max="1795" width="29.875" style="568" customWidth="1"/>
    <col min="1796" max="1799" width="13.625" style="568" bestFit="1" customWidth="1"/>
    <col min="1800" max="1800" width="4.375" style="568" customWidth="1"/>
    <col min="1801" max="1801" width="26.875" style="568" customWidth="1"/>
    <col min="1802" max="1803" width="13.625" style="568" bestFit="1" customWidth="1"/>
    <col min="1804" max="1805" width="14.375" style="568" bestFit="1" customWidth="1"/>
    <col min="1806" max="1806" width="4.625" style="568" customWidth="1"/>
    <col min="1807" max="1807" width="29.125" style="568" customWidth="1"/>
    <col min="1808" max="1809" width="13.625" style="568" bestFit="1" customWidth="1"/>
    <col min="1810" max="1810" width="14.625" style="568" customWidth="1"/>
    <col min="1811" max="1811" width="13.625" style="568" customWidth="1"/>
    <col min="1812" max="1812" width="9.375" style="568" bestFit="1" customWidth="1"/>
    <col min="1813" max="2050" width="9" style="568"/>
    <col min="2051" max="2051" width="29.875" style="568" customWidth="1"/>
    <col min="2052" max="2055" width="13.625" style="568" bestFit="1" customWidth="1"/>
    <col min="2056" max="2056" width="4.375" style="568" customWidth="1"/>
    <col min="2057" max="2057" width="26.875" style="568" customWidth="1"/>
    <col min="2058" max="2059" width="13.625" style="568" bestFit="1" customWidth="1"/>
    <col min="2060" max="2061" width="14.375" style="568" bestFit="1" customWidth="1"/>
    <col min="2062" max="2062" width="4.625" style="568" customWidth="1"/>
    <col min="2063" max="2063" width="29.125" style="568" customWidth="1"/>
    <col min="2064" max="2065" width="13.625" style="568" bestFit="1" customWidth="1"/>
    <col min="2066" max="2066" width="14.625" style="568" customWidth="1"/>
    <col min="2067" max="2067" width="13.625" style="568" customWidth="1"/>
    <col min="2068" max="2068" width="9.375" style="568" bestFit="1" customWidth="1"/>
    <col min="2069" max="2306" width="9" style="568"/>
    <col min="2307" max="2307" width="29.875" style="568" customWidth="1"/>
    <col min="2308" max="2311" width="13.625" style="568" bestFit="1" customWidth="1"/>
    <col min="2312" max="2312" width="4.375" style="568" customWidth="1"/>
    <col min="2313" max="2313" width="26.875" style="568" customWidth="1"/>
    <col min="2314" max="2315" width="13.625" style="568" bestFit="1" customWidth="1"/>
    <col min="2316" max="2317" width="14.375" style="568" bestFit="1" customWidth="1"/>
    <col min="2318" max="2318" width="4.625" style="568" customWidth="1"/>
    <col min="2319" max="2319" width="29.125" style="568" customWidth="1"/>
    <col min="2320" max="2321" width="13.625" style="568" bestFit="1" customWidth="1"/>
    <col min="2322" max="2322" width="14.625" style="568" customWidth="1"/>
    <col min="2323" max="2323" width="13.625" style="568" customWidth="1"/>
    <col min="2324" max="2324" width="9.375" style="568" bestFit="1" customWidth="1"/>
    <col min="2325" max="2562" width="9" style="568"/>
    <col min="2563" max="2563" width="29.875" style="568" customWidth="1"/>
    <col min="2564" max="2567" width="13.625" style="568" bestFit="1" customWidth="1"/>
    <col min="2568" max="2568" width="4.375" style="568" customWidth="1"/>
    <col min="2569" max="2569" width="26.875" style="568" customWidth="1"/>
    <col min="2570" max="2571" width="13.625" style="568" bestFit="1" customWidth="1"/>
    <col min="2572" max="2573" width="14.375" style="568" bestFit="1" customWidth="1"/>
    <col min="2574" max="2574" width="4.625" style="568" customWidth="1"/>
    <col min="2575" max="2575" width="29.125" style="568" customWidth="1"/>
    <col min="2576" max="2577" width="13.625" style="568" bestFit="1" customWidth="1"/>
    <col min="2578" max="2578" width="14.625" style="568" customWidth="1"/>
    <col min="2579" max="2579" width="13.625" style="568" customWidth="1"/>
    <col min="2580" max="2580" width="9.375" style="568" bestFit="1" customWidth="1"/>
    <col min="2581" max="2818" width="9" style="568"/>
    <col min="2819" max="2819" width="29.875" style="568" customWidth="1"/>
    <col min="2820" max="2823" width="13.625" style="568" bestFit="1" customWidth="1"/>
    <col min="2824" max="2824" width="4.375" style="568" customWidth="1"/>
    <col min="2825" max="2825" width="26.875" style="568" customWidth="1"/>
    <col min="2826" max="2827" width="13.625" style="568" bestFit="1" customWidth="1"/>
    <col min="2828" max="2829" width="14.375" style="568" bestFit="1" customWidth="1"/>
    <col min="2830" max="2830" width="4.625" style="568" customWidth="1"/>
    <col min="2831" max="2831" width="29.125" style="568" customWidth="1"/>
    <col min="2832" max="2833" width="13.625" style="568" bestFit="1" customWidth="1"/>
    <col min="2834" max="2834" width="14.625" style="568" customWidth="1"/>
    <col min="2835" max="2835" width="13.625" style="568" customWidth="1"/>
    <col min="2836" max="2836" width="9.375" style="568" bestFit="1" customWidth="1"/>
    <col min="2837" max="3074" width="9" style="568"/>
    <col min="3075" max="3075" width="29.875" style="568" customWidth="1"/>
    <col min="3076" max="3079" width="13.625" style="568" bestFit="1" customWidth="1"/>
    <col min="3080" max="3080" width="4.375" style="568" customWidth="1"/>
    <col min="3081" max="3081" width="26.875" style="568" customWidth="1"/>
    <col min="3082" max="3083" width="13.625" style="568" bestFit="1" customWidth="1"/>
    <col min="3084" max="3085" width="14.375" style="568" bestFit="1" customWidth="1"/>
    <col min="3086" max="3086" width="4.625" style="568" customWidth="1"/>
    <col min="3087" max="3087" width="29.125" style="568" customWidth="1"/>
    <col min="3088" max="3089" width="13.625" style="568" bestFit="1" customWidth="1"/>
    <col min="3090" max="3090" width="14.625" style="568" customWidth="1"/>
    <col min="3091" max="3091" width="13.625" style="568" customWidth="1"/>
    <col min="3092" max="3092" width="9.375" style="568" bestFit="1" customWidth="1"/>
    <col min="3093" max="3330" width="9" style="568"/>
    <col min="3331" max="3331" width="29.875" style="568" customWidth="1"/>
    <col min="3332" max="3335" width="13.625" style="568" bestFit="1" customWidth="1"/>
    <col min="3336" max="3336" width="4.375" style="568" customWidth="1"/>
    <col min="3337" max="3337" width="26.875" style="568" customWidth="1"/>
    <col min="3338" max="3339" width="13.625" style="568" bestFit="1" customWidth="1"/>
    <col min="3340" max="3341" width="14.375" style="568" bestFit="1" customWidth="1"/>
    <col min="3342" max="3342" width="4.625" style="568" customWidth="1"/>
    <col min="3343" max="3343" width="29.125" style="568" customWidth="1"/>
    <col min="3344" max="3345" width="13.625" style="568" bestFit="1" customWidth="1"/>
    <col min="3346" max="3346" width="14.625" style="568" customWidth="1"/>
    <col min="3347" max="3347" width="13.625" style="568" customWidth="1"/>
    <col min="3348" max="3348" width="9.375" style="568" bestFit="1" customWidth="1"/>
    <col min="3349" max="3586" width="9" style="568"/>
    <col min="3587" max="3587" width="29.875" style="568" customWidth="1"/>
    <col min="3588" max="3591" width="13.625" style="568" bestFit="1" customWidth="1"/>
    <col min="3592" max="3592" width="4.375" style="568" customWidth="1"/>
    <col min="3593" max="3593" width="26.875" style="568" customWidth="1"/>
    <col min="3594" max="3595" width="13.625" style="568" bestFit="1" customWidth="1"/>
    <col min="3596" max="3597" width="14.375" style="568" bestFit="1" customWidth="1"/>
    <col min="3598" max="3598" width="4.625" style="568" customWidth="1"/>
    <col min="3599" max="3599" width="29.125" style="568" customWidth="1"/>
    <col min="3600" max="3601" width="13.625" style="568" bestFit="1" customWidth="1"/>
    <col min="3602" max="3602" width="14.625" style="568" customWidth="1"/>
    <col min="3603" max="3603" width="13.625" style="568" customWidth="1"/>
    <col min="3604" max="3604" width="9.375" style="568" bestFit="1" customWidth="1"/>
    <col min="3605" max="3842" width="9" style="568"/>
    <col min="3843" max="3843" width="29.875" style="568" customWidth="1"/>
    <col min="3844" max="3847" width="13.625" style="568" bestFit="1" customWidth="1"/>
    <col min="3848" max="3848" width="4.375" style="568" customWidth="1"/>
    <col min="3849" max="3849" width="26.875" style="568" customWidth="1"/>
    <col min="3850" max="3851" width="13.625" style="568" bestFit="1" customWidth="1"/>
    <col min="3852" max="3853" width="14.375" style="568" bestFit="1" customWidth="1"/>
    <col min="3854" max="3854" width="4.625" style="568" customWidth="1"/>
    <col min="3855" max="3855" width="29.125" style="568" customWidth="1"/>
    <col min="3856" max="3857" width="13.625" style="568" bestFit="1" customWidth="1"/>
    <col min="3858" max="3858" width="14.625" style="568" customWidth="1"/>
    <col min="3859" max="3859" width="13.625" style="568" customWidth="1"/>
    <col min="3860" max="3860" width="9.375" style="568" bestFit="1" customWidth="1"/>
    <col min="3861" max="4098" width="9" style="568"/>
    <col min="4099" max="4099" width="29.875" style="568" customWidth="1"/>
    <col min="4100" max="4103" width="13.625" style="568" bestFit="1" customWidth="1"/>
    <col min="4104" max="4104" width="4.375" style="568" customWidth="1"/>
    <col min="4105" max="4105" width="26.875" style="568" customWidth="1"/>
    <col min="4106" max="4107" width="13.625" style="568" bestFit="1" customWidth="1"/>
    <col min="4108" max="4109" width="14.375" style="568" bestFit="1" customWidth="1"/>
    <col min="4110" max="4110" width="4.625" style="568" customWidth="1"/>
    <col min="4111" max="4111" width="29.125" style="568" customWidth="1"/>
    <col min="4112" max="4113" width="13.625" style="568" bestFit="1" customWidth="1"/>
    <col min="4114" max="4114" width="14.625" style="568" customWidth="1"/>
    <col min="4115" max="4115" width="13.625" style="568" customWidth="1"/>
    <col min="4116" max="4116" width="9.375" style="568" bestFit="1" customWidth="1"/>
    <col min="4117" max="4354" width="9" style="568"/>
    <col min="4355" max="4355" width="29.875" style="568" customWidth="1"/>
    <col min="4356" max="4359" width="13.625" style="568" bestFit="1" customWidth="1"/>
    <col min="4360" max="4360" width="4.375" style="568" customWidth="1"/>
    <col min="4361" max="4361" width="26.875" style="568" customWidth="1"/>
    <col min="4362" max="4363" width="13.625" style="568" bestFit="1" customWidth="1"/>
    <col min="4364" max="4365" width="14.375" style="568" bestFit="1" customWidth="1"/>
    <col min="4366" max="4366" width="4.625" style="568" customWidth="1"/>
    <col min="4367" max="4367" width="29.125" style="568" customWidth="1"/>
    <col min="4368" max="4369" width="13.625" style="568" bestFit="1" customWidth="1"/>
    <col min="4370" max="4370" width="14.625" style="568" customWidth="1"/>
    <col min="4371" max="4371" width="13.625" style="568" customWidth="1"/>
    <col min="4372" max="4372" width="9.375" style="568" bestFit="1" customWidth="1"/>
    <col min="4373" max="4610" width="9" style="568"/>
    <col min="4611" max="4611" width="29.875" style="568" customWidth="1"/>
    <col min="4612" max="4615" width="13.625" style="568" bestFit="1" customWidth="1"/>
    <col min="4616" max="4616" width="4.375" style="568" customWidth="1"/>
    <col min="4617" max="4617" width="26.875" style="568" customWidth="1"/>
    <col min="4618" max="4619" width="13.625" style="568" bestFit="1" customWidth="1"/>
    <col min="4620" max="4621" width="14.375" style="568" bestFit="1" customWidth="1"/>
    <col min="4622" max="4622" width="4.625" style="568" customWidth="1"/>
    <col min="4623" max="4623" width="29.125" style="568" customWidth="1"/>
    <col min="4624" max="4625" width="13.625" style="568" bestFit="1" customWidth="1"/>
    <col min="4626" max="4626" width="14.625" style="568" customWidth="1"/>
    <col min="4627" max="4627" width="13.625" style="568" customWidth="1"/>
    <col min="4628" max="4628" width="9.375" style="568" bestFit="1" customWidth="1"/>
    <col min="4629" max="4866" width="9" style="568"/>
    <col min="4867" max="4867" width="29.875" style="568" customWidth="1"/>
    <col min="4868" max="4871" width="13.625" style="568" bestFit="1" customWidth="1"/>
    <col min="4872" max="4872" width="4.375" style="568" customWidth="1"/>
    <col min="4873" max="4873" width="26.875" style="568" customWidth="1"/>
    <col min="4874" max="4875" width="13.625" style="568" bestFit="1" customWidth="1"/>
    <col min="4876" max="4877" width="14.375" style="568" bestFit="1" customWidth="1"/>
    <col min="4878" max="4878" width="4.625" style="568" customWidth="1"/>
    <col min="4879" max="4879" width="29.125" style="568" customWidth="1"/>
    <col min="4880" max="4881" width="13.625" style="568" bestFit="1" customWidth="1"/>
    <col min="4882" max="4882" width="14.625" style="568" customWidth="1"/>
    <col min="4883" max="4883" width="13.625" style="568" customWidth="1"/>
    <col min="4884" max="4884" width="9.375" style="568" bestFit="1" customWidth="1"/>
    <col min="4885" max="5122" width="9" style="568"/>
    <col min="5123" max="5123" width="29.875" style="568" customWidth="1"/>
    <col min="5124" max="5127" width="13.625" style="568" bestFit="1" customWidth="1"/>
    <col min="5128" max="5128" width="4.375" style="568" customWidth="1"/>
    <col min="5129" max="5129" width="26.875" style="568" customWidth="1"/>
    <col min="5130" max="5131" width="13.625" style="568" bestFit="1" customWidth="1"/>
    <col min="5132" max="5133" width="14.375" style="568" bestFit="1" customWidth="1"/>
    <col min="5134" max="5134" width="4.625" style="568" customWidth="1"/>
    <col min="5135" max="5135" width="29.125" style="568" customWidth="1"/>
    <col min="5136" max="5137" width="13.625" style="568" bestFit="1" customWidth="1"/>
    <col min="5138" max="5138" width="14.625" style="568" customWidth="1"/>
    <col min="5139" max="5139" width="13.625" style="568" customWidth="1"/>
    <col min="5140" max="5140" width="9.375" style="568" bestFit="1" customWidth="1"/>
    <col min="5141" max="5378" width="9" style="568"/>
    <col min="5379" max="5379" width="29.875" style="568" customWidth="1"/>
    <col min="5380" max="5383" width="13.625" style="568" bestFit="1" customWidth="1"/>
    <col min="5384" max="5384" width="4.375" style="568" customWidth="1"/>
    <col min="5385" max="5385" width="26.875" style="568" customWidth="1"/>
    <col min="5386" max="5387" width="13.625" style="568" bestFit="1" customWidth="1"/>
    <col min="5388" max="5389" width="14.375" style="568" bestFit="1" customWidth="1"/>
    <col min="5390" max="5390" width="4.625" style="568" customWidth="1"/>
    <col min="5391" max="5391" width="29.125" style="568" customWidth="1"/>
    <col min="5392" max="5393" width="13.625" style="568" bestFit="1" customWidth="1"/>
    <col min="5394" max="5394" width="14.625" style="568" customWidth="1"/>
    <col min="5395" max="5395" width="13.625" style="568" customWidth="1"/>
    <col min="5396" max="5396" width="9.375" style="568" bestFit="1" customWidth="1"/>
    <col min="5397" max="5634" width="9" style="568"/>
    <col min="5635" max="5635" width="29.875" style="568" customWidth="1"/>
    <col min="5636" max="5639" width="13.625" style="568" bestFit="1" customWidth="1"/>
    <col min="5640" max="5640" width="4.375" style="568" customWidth="1"/>
    <col min="5641" max="5641" width="26.875" style="568" customWidth="1"/>
    <col min="5642" max="5643" width="13.625" style="568" bestFit="1" customWidth="1"/>
    <col min="5644" max="5645" width="14.375" style="568" bestFit="1" customWidth="1"/>
    <col min="5646" max="5646" width="4.625" style="568" customWidth="1"/>
    <col min="5647" max="5647" width="29.125" style="568" customWidth="1"/>
    <col min="5648" max="5649" width="13.625" style="568" bestFit="1" customWidth="1"/>
    <col min="5650" max="5650" width="14.625" style="568" customWidth="1"/>
    <col min="5651" max="5651" width="13.625" style="568" customWidth="1"/>
    <col min="5652" max="5652" width="9.375" style="568" bestFit="1" customWidth="1"/>
    <col min="5653" max="5890" width="9" style="568"/>
    <col min="5891" max="5891" width="29.875" style="568" customWidth="1"/>
    <col min="5892" max="5895" width="13.625" style="568" bestFit="1" customWidth="1"/>
    <col min="5896" max="5896" width="4.375" style="568" customWidth="1"/>
    <col min="5897" max="5897" width="26.875" style="568" customWidth="1"/>
    <col min="5898" max="5899" width="13.625" style="568" bestFit="1" customWidth="1"/>
    <col min="5900" max="5901" width="14.375" style="568" bestFit="1" customWidth="1"/>
    <col min="5902" max="5902" width="4.625" style="568" customWidth="1"/>
    <col min="5903" max="5903" width="29.125" style="568" customWidth="1"/>
    <col min="5904" max="5905" width="13.625" style="568" bestFit="1" customWidth="1"/>
    <col min="5906" max="5906" width="14.625" style="568" customWidth="1"/>
    <col min="5907" max="5907" width="13.625" style="568" customWidth="1"/>
    <col min="5908" max="5908" width="9.375" style="568" bestFit="1" customWidth="1"/>
    <col min="5909" max="6146" width="9" style="568"/>
    <col min="6147" max="6147" width="29.875" style="568" customWidth="1"/>
    <col min="6148" max="6151" width="13.625" style="568" bestFit="1" customWidth="1"/>
    <col min="6152" max="6152" width="4.375" style="568" customWidth="1"/>
    <col min="6153" max="6153" width="26.875" style="568" customWidth="1"/>
    <col min="6154" max="6155" width="13.625" style="568" bestFit="1" customWidth="1"/>
    <col min="6156" max="6157" width="14.375" style="568" bestFit="1" customWidth="1"/>
    <col min="6158" max="6158" width="4.625" style="568" customWidth="1"/>
    <col min="6159" max="6159" width="29.125" style="568" customWidth="1"/>
    <col min="6160" max="6161" width="13.625" style="568" bestFit="1" customWidth="1"/>
    <col min="6162" max="6162" width="14.625" style="568" customWidth="1"/>
    <col min="6163" max="6163" width="13.625" style="568" customWidth="1"/>
    <col min="6164" max="6164" width="9.375" style="568" bestFit="1" customWidth="1"/>
    <col min="6165" max="6402" width="9" style="568"/>
    <col min="6403" max="6403" width="29.875" style="568" customWidth="1"/>
    <col min="6404" max="6407" width="13.625" style="568" bestFit="1" customWidth="1"/>
    <col min="6408" max="6408" width="4.375" style="568" customWidth="1"/>
    <col min="6409" max="6409" width="26.875" style="568" customWidth="1"/>
    <col min="6410" max="6411" width="13.625" style="568" bestFit="1" customWidth="1"/>
    <col min="6412" max="6413" width="14.375" style="568" bestFit="1" customWidth="1"/>
    <col min="6414" max="6414" width="4.625" style="568" customWidth="1"/>
    <col min="6415" max="6415" width="29.125" style="568" customWidth="1"/>
    <col min="6416" max="6417" width="13.625" style="568" bestFit="1" customWidth="1"/>
    <col min="6418" max="6418" width="14.625" style="568" customWidth="1"/>
    <col min="6419" max="6419" width="13.625" style="568" customWidth="1"/>
    <col min="6420" max="6420" width="9.375" style="568" bestFit="1" customWidth="1"/>
    <col min="6421" max="6658" width="9" style="568"/>
    <col min="6659" max="6659" width="29.875" style="568" customWidth="1"/>
    <col min="6660" max="6663" width="13.625" style="568" bestFit="1" customWidth="1"/>
    <col min="6664" max="6664" width="4.375" style="568" customWidth="1"/>
    <col min="6665" max="6665" width="26.875" style="568" customWidth="1"/>
    <col min="6666" max="6667" width="13.625" style="568" bestFit="1" customWidth="1"/>
    <col min="6668" max="6669" width="14.375" style="568" bestFit="1" customWidth="1"/>
    <col min="6670" max="6670" width="4.625" style="568" customWidth="1"/>
    <col min="6671" max="6671" width="29.125" style="568" customWidth="1"/>
    <col min="6672" max="6673" width="13.625" style="568" bestFit="1" customWidth="1"/>
    <col min="6674" max="6674" width="14.625" style="568" customWidth="1"/>
    <col min="6675" max="6675" width="13.625" style="568" customWidth="1"/>
    <col min="6676" max="6676" width="9.375" style="568" bestFit="1" customWidth="1"/>
    <col min="6677" max="6914" width="9" style="568"/>
    <col min="6915" max="6915" width="29.875" style="568" customWidth="1"/>
    <col min="6916" max="6919" width="13.625" style="568" bestFit="1" customWidth="1"/>
    <col min="6920" max="6920" width="4.375" style="568" customWidth="1"/>
    <col min="6921" max="6921" width="26.875" style="568" customWidth="1"/>
    <col min="6922" max="6923" width="13.625" style="568" bestFit="1" customWidth="1"/>
    <col min="6924" max="6925" width="14.375" style="568" bestFit="1" customWidth="1"/>
    <col min="6926" max="6926" width="4.625" style="568" customWidth="1"/>
    <col min="6927" max="6927" width="29.125" style="568" customWidth="1"/>
    <col min="6928" max="6929" width="13.625" style="568" bestFit="1" customWidth="1"/>
    <col min="6930" max="6930" width="14.625" style="568" customWidth="1"/>
    <col min="6931" max="6931" width="13.625" style="568" customWidth="1"/>
    <col min="6932" max="6932" width="9.375" style="568" bestFit="1" customWidth="1"/>
    <col min="6933" max="7170" width="9" style="568"/>
    <col min="7171" max="7171" width="29.875" style="568" customWidth="1"/>
    <col min="7172" max="7175" width="13.625" style="568" bestFit="1" customWidth="1"/>
    <col min="7176" max="7176" width="4.375" style="568" customWidth="1"/>
    <col min="7177" max="7177" width="26.875" style="568" customWidth="1"/>
    <col min="7178" max="7179" width="13.625" style="568" bestFit="1" customWidth="1"/>
    <col min="7180" max="7181" width="14.375" style="568" bestFit="1" customWidth="1"/>
    <col min="7182" max="7182" width="4.625" style="568" customWidth="1"/>
    <col min="7183" max="7183" width="29.125" style="568" customWidth="1"/>
    <col min="7184" max="7185" width="13.625" style="568" bestFit="1" customWidth="1"/>
    <col min="7186" max="7186" width="14.625" style="568" customWidth="1"/>
    <col min="7187" max="7187" width="13.625" style="568" customWidth="1"/>
    <col min="7188" max="7188" width="9.375" style="568" bestFit="1" customWidth="1"/>
    <col min="7189" max="7426" width="9" style="568"/>
    <col min="7427" max="7427" width="29.875" style="568" customWidth="1"/>
    <col min="7428" max="7431" width="13.625" style="568" bestFit="1" customWidth="1"/>
    <col min="7432" max="7432" width="4.375" style="568" customWidth="1"/>
    <col min="7433" max="7433" width="26.875" style="568" customWidth="1"/>
    <col min="7434" max="7435" width="13.625" style="568" bestFit="1" customWidth="1"/>
    <col min="7436" max="7437" width="14.375" style="568" bestFit="1" customWidth="1"/>
    <col min="7438" max="7438" width="4.625" style="568" customWidth="1"/>
    <col min="7439" max="7439" width="29.125" style="568" customWidth="1"/>
    <col min="7440" max="7441" width="13.625" style="568" bestFit="1" customWidth="1"/>
    <col min="7442" max="7442" width="14.625" style="568" customWidth="1"/>
    <col min="7443" max="7443" width="13.625" style="568" customWidth="1"/>
    <col min="7444" max="7444" width="9.375" style="568" bestFit="1" customWidth="1"/>
    <col min="7445" max="7682" width="9" style="568"/>
    <col min="7683" max="7683" width="29.875" style="568" customWidth="1"/>
    <col min="7684" max="7687" width="13.625" style="568" bestFit="1" customWidth="1"/>
    <col min="7688" max="7688" width="4.375" style="568" customWidth="1"/>
    <col min="7689" max="7689" width="26.875" style="568" customWidth="1"/>
    <col min="7690" max="7691" width="13.625" style="568" bestFit="1" customWidth="1"/>
    <col min="7692" max="7693" width="14.375" style="568" bestFit="1" customWidth="1"/>
    <col min="7694" max="7694" width="4.625" style="568" customWidth="1"/>
    <col min="7695" max="7695" width="29.125" style="568" customWidth="1"/>
    <col min="7696" max="7697" width="13.625" style="568" bestFit="1" customWidth="1"/>
    <col min="7698" max="7698" width="14.625" style="568" customWidth="1"/>
    <col min="7699" max="7699" width="13.625" style="568" customWidth="1"/>
    <col min="7700" max="7700" width="9.375" style="568" bestFit="1" customWidth="1"/>
    <col min="7701" max="7938" width="9" style="568"/>
    <col min="7939" max="7939" width="29.875" style="568" customWidth="1"/>
    <col min="7940" max="7943" width="13.625" style="568" bestFit="1" customWidth="1"/>
    <col min="7944" max="7944" width="4.375" style="568" customWidth="1"/>
    <col min="7945" max="7945" width="26.875" style="568" customWidth="1"/>
    <col min="7946" max="7947" width="13.625" style="568" bestFit="1" customWidth="1"/>
    <col min="7948" max="7949" width="14.375" style="568" bestFit="1" customWidth="1"/>
    <col min="7950" max="7950" width="4.625" style="568" customWidth="1"/>
    <col min="7951" max="7951" width="29.125" style="568" customWidth="1"/>
    <col min="7952" max="7953" width="13.625" style="568" bestFit="1" customWidth="1"/>
    <col min="7954" max="7954" width="14.625" style="568" customWidth="1"/>
    <col min="7955" max="7955" width="13.625" style="568" customWidth="1"/>
    <col min="7956" max="7956" width="9.375" style="568" bestFit="1" customWidth="1"/>
    <col min="7957" max="8194" width="9" style="568"/>
    <col min="8195" max="8195" width="29.875" style="568" customWidth="1"/>
    <col min="8196" max="8199" width="13.625" style="568" bestFit="1" customWidth="1"/>
    <col min="8200" max="8200" width="4.375" style="568" customWidth="1"/>
    <col min="8201" max="8201" width="26.875" style="568" customWidth="1"/>
    <col min="8202" max="8203" width="13.625" style="568" bestFit="1" customWidth="1"/>
    <col min="8204" max="8205" width="14.375" style="568" bestFit="1" customWidth="1"/>
    <col min="8206" max="8206" width="4.625" style="568" customWidth="1"/>
    <col min="8207" max="8207" width="29.125" style="568" customWidth="1"/>
    <col min="8208" max="8209" width="13.625" style="568" bestFit="1" customWidth="1"/>
    <col min="8210" max="8210" width="14.625" style="568" customWidth="1"/>
    <col min="8211" max="8211" width="13.625" style="568" customWidth="1"/>
    <col min="8212" max="8212" width="9.375" style="568" bestFit="1" customWidth="1"/>
    <col min="8213" max="8450" width="9" style="568"/>
    <col min="8451" max="8451" width="29.875" style="568" customWidth="1"/>
    <col min="8452" max="8455" width="13.625" style="568" bestFit="1" customWidth="1"/>
    <col min="8456" max="8456" width="4.375" style="568" customWidth="1"/>
    <col min="8457" max="8457" width="26.875" style="568" customWidth="1"/>
    <col min="8458" max="8459" width="13.625" style="568" bestFit="1" customWidth="1"/>
    <col min="8460" max="8461" width="14.375" style="568" bestFit="1" customWidth="1"/>
    <col min="8462" max="8462" width="4.625" style="568" customWidth="1"/>
    <col min="8463" max="8463" width="29.125" style="568" customWidth="1"/>
    <col min="8464" max="8465" width="13.625" style="568" bestFit="1" customWidth="1"/>
    <col min="8466" max="8466" width="14.625" style="568" customWidth="1"/>
    <col min="8467" max="8467" width="13.625" style="568" customWidth="1"/>
    <col min="8468" max="8468" width="9.375" style="568" bestFit="1" customWidth="1"/>
    <col min="8469" max="8706" width="9" style="568"/>
    <col min="8707" max="8707" width="29.875" style="568" customWidth="1"/>
    <col min="8708" max="8711" width="13.625" style="568" bestFit="1" customWidth="1"/>
    <col min="8712" max="8712" width="4.375" style="568" customWidth="1"/>
    <col min="8713" max="8713" width="26.875" style="568" customWidth="1"/>
    <col min="8714" max="8715" width="13.625" style="568" bestFit="1" customWidth="1"/>
    <col min="8716" max="8717" width="14.375" style="568" bestFit="1" customWidth="1"/>
    <col min="8718" max="8718" width="4.625" style="568" customWidth="1"/>
    <col min="8719" max="8719" width="29.125" style="568" customWidth="1"/>
    <col min="8720" max="8721" width="13.625" style="568" bestFit="1" customWidth="1"/>
    <col min="8722" max="8722" width="14.625" style="568" customWidth="1"/>
    <col min="8723" max="8723" width="13.625" style="568" customWidth="1"/>
    <col min="8724" max="8724" width="9.375" style="568" bestFit="1" customWidth="1"/>
    <col min="8725" max="8962" width="9" style="568"/>
    <col min="8963" max="8963" width="29.875" style="568" customWidth="1"/>
    <col min="8964" max="8967" width="13.625" style="568" bestFit="1" customWidth="1"/>
    <col min="8968" max="8968" width="4.375" style="568" customWidth="1"/>
    <col min="8969" max="8969" width="26.875" style="568" customWidth="1"/>
    <col min="8970" max="8971" width="13.625" style="568" bestFit="1" customWidth="1"/>
    <col min="8972" max="8973" width="14.375" style="568" bestFit="1" customWidth="1"/>
    <col min="8974" max="8974" width="4.625" style="568" customWidth="1"/>
    <col min="8975" max="8975" width="29.125" style="568" customWidth="1"/>
    <col min="8976" max="8977" width="13.625" style="568" bestFit="1" customWidth="1"/>
    <col min="8978" max="8978" width="14.625" style="568" customWidth="1"/>
    <col min="8979" max="8979" width="13.625" style="568" customWidth="1"/>
    <col min="8980" max="8980" width="9.375" style="568" bestFit="1" customWidth="1"/>
    <col min="8981" max="9218" width="9" style="568"/>
    <col min="9219" max="9219" width="29.875" style="568" customWidth="1"/>
    <col min="9220" max="9223" width="13.625" style="568" bestFit="1" customWidth="1"/>
    <col min="9224" max="9224" width="4.375" style="568" customWidth="1"/>
    <col min="9225" max="9225" width="26.875" style="568" customWidth="1"/>
    <col min="9226" max="9227" width="13.625" style="568" bestFit="1" customWidth="1"/>
    <col min="9228" max="9229" width="14.375" style="568" bestFit="1" customWidth="1"/>
    <col min="9230" max="9230" width="4.625" style="568" customWidth="1"/>
    <col min="9231" max="9231" width="29.125" style="568" customWidth="1"/>
    <col min="9232" max="9233" width="13.625" style="568" bestFit="1" customWidth="1"/>
    <col min="9234" max="9234" width="14.625" style="568" customWidth="1"/>
    <col min="9235" max="9235" width="13.625" style="568" customWidth="1"/>
    <col min="9236" max="9236" width="9.375" style="568" bestFit="1" customWidth="1"/>
    <col min="9237" max="9474" width="9" style="568"/>
    <col min="9475" max="9475" width="29.875" style="568" customWidth="1"/>
    <col min="9476" max="9479" width="13.625" style="568" bestFit="1" customWidth="1"/>
    <col min="9480" max="9480" width="4.375" style="568" customWidth="1"/>
    <col min="9481" max="9481" width="26.875" style="568" customWidth="1"/>
    <col min="9482" max="9483" width="13.625" style="568" bestFit="1" customWidth="1"/>
    <col min="9484" max="9485" width="14.375" style="568" bestFit="1" customWidth="1"/>
    <col min="9486" max="9486" width="4.625" style="568" customWidth="1"/>
    <col min="9487" max="9487" width="29.125" style="568" customWidth="1"/>
    <col min="9488" max="9489" width="13.625" style="568" bestFit="1" customWidth="1"/>
    <col min="9490" max="9490" width="14.625" style="568" customWidth="1"/>
    <col min="9491" max="9491" width="13.625" style="568" customWidth="1"/>
    <col min="9492" max="9492" width="9.375" style="568" bestFit="1" customWidth="1"/>
    <col min="9493" max="9730" width="9" style="568"/>
    <col min="9731" max="9731" width="29.875" style="568" customWidth="1"/>
    <col min="9732" max="9735" width="13.625" style="568" bestFit="1" customWidth="1"/>
    <col min="9736" max="9736" width="4.375" style="568" customWidth="1"/>
    <col min="9737" max="9737" width="26.875" style="568" customWidth="1"/>
    <col min="9738" max="9739" width="13.625" style="568" bestFit="1" customWidth="1"/>
    <col min="9740" max="9741" width="14.375" style="568" bestFit="1" customWidth="1"/>
    <col min="9742" max="9742" width="4.625" style="568" customWidth="1"/>
    <col min="9743" max="9743" width="29.125" style="568" customWidth="1"/>
    <col min="9744" max="9745" width="13.625" style="568" bestFit="1" customWidth="1"/>
    <col min="9746" max="9746" width="14.625" style="568" customWidth="1"/>
    <col min="9747" max="9747" width="13.625" style="568" customWidth="1"/>
    <col min="9748" max="9748" width="9.375" style="568" bestFit="1" customWidth="1"/>
    <col min="9749" max="9986" width="9" style="568"/>
    <col min="9987" max="9987" width="29.875" style="568" customWidth="1"/>
    <col min="9988" max="9991" width="13.625" style="568" bestFit="1" customWidth="1"/>
    <col min="9992" max="9992" width="4.375" style="568" customWidth="1"/>
    <col min="9993" max="9993" width="26.875" style="568" customWidth="1"/>
    <col min="9994" max="9995" width="13.625" style="568" bestFit="1" customWidth="1"/>
    <col min="9996" max="9997" width="14.375" style="568" bestFit="1" customWidth="1"/>
    <col min="9998" max="9998" width="4.625" style="568" customWidth="1"/>
    <col min="9999" max="9999" width="29.125" style="568" customWidth="1"/>
    <col min="10000" max="10001" width="13.625" style="568" bestFit="1" customWidth="1"/>
    <col min="10002" max="10002" width="14.625" style="568" customWidth="1"/>
    <col min="10003" max="10003" width="13.625" style="568" customWidth="1"/>
    <col min="10004" max="10004" width="9.375" style="568" bestFit="1" customWidth="1"/>
    <col min="10005" max="10242" width="9" style="568"/>
    <col min="10243" max="10243" width="29.875" style="568" customWidth="1"/>
    <col min="10244" max="10247" width="13.625" style="568" bestFit="1" customWidth="1"/>
    <col min="10248" max="10248" width="4.375" style="568" customWidth="1"/>
    <col min="10249" max="10249" width="26.875" style="568" customWidth="1"/>
    <col min="10250" max="10251" width="13.625" style="568" bestFit="1" customWidth="1"/>
    <col min="10252" max="10253" width="14.375" style="568" bestFit="1" customWidth="1"/>
    <col min="10254" max="10254" width="4.625" style="568" customWidth="1"/>
    <col min="10255" max="10255" width="29.125" style="568" customWidth="1"/>
    <col min="10256" max="10257" width="13.625" style="568" bestFit="1" customWidth="1"/>
    <col min="10258" max="10258" width="14.625" style="568" customWidth="1"/>
    <col min="10259" max="10259" width="13.625" style="568" customWidth="1"/>
    <col min="10260" max="10260" width="9.375" style="568" bestFit="1" customWidth="1"/>
    <col min="10261" max="10498" width="9" style="568"/>
    <col min="10499" max="10499" width="29.875" style="568" customWidth="1"/>
    <col min="10500" max="10503" width="13.625" style="568" bestFit="1" customWidth="1"/>
    <col min="10504" max="10504" width="4.375" style="568" customWidth="1"/>
    <col min="10505" max="10505" width="26.875" style="568" customWidth="1"/>
    <col min="10506" max="10507" width="13.625" style="568" bestFit="1" customWidth="1"/>
    <col min="10508" max="10509" width="14.375" style="568" bestFit="1" customWidth="1"/>
    <col min="10510" max="10510" width="4.625" style="568" customWidth="1"/>
    <col min="10511" max="10511" width="29.125" style="568" customWidth="1"/>
    <col min="10512" max="10513" width="13.625" style="568" bestFit="1" customWidth="1"/>
    <col min="10514" max="10514" width="14.625" style="568" customWidth="1"/>
    <col min="10515" max="10515" width="13.625" style="568" customWidth="1"/>
    <col min="10516" max="10516" width="9.375" style="568" bestFit="1" customWidth="1"/>
    <col min="10517" max="10754" width="9" style="568"/>
    <col min="10755" max="10755" width="29.875" style="568" customWidth="1"/>
    <col min="10756" max="10759" width="13.625" style="568" bestFit="1" customWidth="1"/>
    <col min="10760" max="10760" width="4.375" style="568" customWidth="1"/>
    <col min="10761" max="10761" width="26.875" style="568" customWidth="1"/>
    <col min="10762" max="10763" width="13.625" style="568" bestFit="1" customWidth="1"/>
    <col min="10764" max="10765" width="14.375" style="568" bestFit="1" customWidth="1"/>
    <col min="10766" max="10766" width="4.625" style="568" customWidth="1"/>
    <col min="10767" max="10767" width="29.125" style="568" customWidth="1"/>
    <col min="10768" max="10769" width="13.625" style="568" bestFit="1" customWidth="1"/>
    <col min="10770" max="10770" width="14.625" style="568" customWidth="1"/>
    <col min="10771" max="10771" width="13.625" style="568" customWidth="1"/>
    <col min="10772" max="10772" width="9.375" style="568" bestFit="1" customWidth="1"/>
    <col min="10773" max="11010" width="9" style="568"/>
    <col min="11011" max="11011" width="29.875" style="568" customWidth="1"/>
    <col min="11012" max="11015" width="13.625" style="568" bestFit="1" customWidth="1"/>
    <col min="11016" max="11016" width="4.375" style="568" customWidth="1"/>
    <col min="11017" max="11017" width="26.875" style="568" customWidth="1"/>
    <col min="11018" max="11019" width="13.625" style="568" bestFit="1" customWidth="1"/>
    <col min="11020" max="11021" width="14.375" style="568" bestFit="1" customWidth="1"/>
    <col min="11022" max="11022" width="4.625" style="568" customWidth="1"/>
    <col min="11023" max="11023" width="29.125" style="568" customWidth="1"/>
    <col min="11024" max="11025" width="13.625" style="568" bestFit="1" customWidth="1"/>
    <col min="11026" max="11026" width="14.625" style="568" customWidth="1"/>
    <col min="11027" max="11027" width="13.625" style="568" customWidth="1"/>
    <col min="11028" max="11028" width="9.375" style="568" bestFit="1" customWidth="1"/>
    <col min="11029" max="11266" width="9" style="568"/>
    <col min="11267" max="11267" width="29.875" style="568" customWidth="1"/>
    <col min="11268" max="11271" width="13.625" style="568" bestFit="1" customWidth="1"/>
    <col min="11272" max="11272" width="4.375" style="568" customWidth="1"/>
    <col min="11273" max="11273" width="26.875" style="568" customWidth="1"/>
    <col min="11274" max="11275" width="13.625" style="568" bestFit="1" customWidth="1"/>
    <col min="11276" max="11277" width="14.375" style="568" bestFit="1" customWidth="1"/>
    <col min="11278" max="11278" width="4.625" style="568" customWidth="1"/>
    <col min="11279" max="11279" width="29.125" style="568" customWidth="1"/>
    <col min="11280" max="11281" width="13.625" style="568" bestFit="1" customWidth="1"/>
    <col min="11282" max="11282" width="14.625" style="568" customWidth="1"/>
    <col min="11283" max="11283" width="13.625" style="568" customWidth="1"/>
    <col min="11284" max="11284" width="9.375" style="568" bestFit="1" customWidth="1"/>
    <col min="11285" max="11522" width="9" style="568"/>
    <col min="11523" max="11523" width="29.875" style="568" customWidth="1"/>
    <col min="11524" max="11527" width="13.625" style="568" bestFit="1" customWidth="1"/>
    <col min="11528" max="11528" width="4.375" style="568" customWidth="1"/>
    <col min="11529" max="11529" width="26.875" style="568" customWidth="1"/>
    <col min="11530" max="11531" width="13.625" style="568" bestFit="1" customWidth="1"/>
    <col min="11532" max="11533" width="14.375" style="568" bestFit="1" customWidth="1"/>
    <col min="11534" max="11534" width="4.625" style="568" customWidth="1"/>
    <col min="11535" max="11535" width="29.125" style="568" customWidth="1"/>
    <col min="11536" max="11537" width="13.625" style="568" bestFit="1" customWidth="1"/>
    <col min="11538" max="11538" width="14.625" style="568" customWidth="1"/>
    <col min="11539" max="11539" width="13.625" style="568" customWidth="1"/>
    <col min="11540" max="11540" width="9.375" style="568" bestFit="1" customWidth="1"/>
    <col min="11541" max="11778" width="9" style="568"/>
    <col min="11779" max="11779" width="29.875" style="568" customWidth="1"/>
    <col min="11780" max="11783" width="13.625" style="568" bestFit="1" customWidth="1"/>
    <col min="11784" max="11784" width="4.375" style="568" customWidth="1"/>
    <col min="11785" max="11785" width="26.875" style="568" customWidth="1"/>
    <col min="11786" max="11787" width="13.625" style="568" bestFit="1" customWidth="1"/>
    <col min="11788" max="11789" width="14.375" style="568" bestFit="1" customWidth="1"/>
    <col min="11790" max="11790" width="4.625" style="568" customWidth="1"/>
    <col min="11791" max="11791" width="29.125" style="568" customWidth="1"/>
    <col min="11792" max="11793" width="13.625" style="568" bestFit="1" customWidth="1"/>
    <col min="11794" max="11794" width="14.625" style="568" customWidth="1"/>
    <col min="11795" max="11795" width="13.625" style="568" customWidth="1"/>
    <col min="11796" max="11796" width="9.375" style="568" bestFit="1" customWidth="1"/>
    <col min="11797" max="12034" width="9" style="568"/>
    <col min="12035" max="12035" width="29.875" style="568" customWidth="1"/>
    <col min="12036" max="12039" width="13.625" style="568" bestFit="1" customWidth="1"/>
    <col min="12040" max="12040" width="4.375" style="568" customWidth="1"/>
    <col min="12041" max="12041" width="26.875" style="568" customWidth="1"/>
    <col min="12042" max="12043" width="13.625" style="568" bestFit="1" customWidth="1"/>
    <col min="12044" max="12045" width="14.375" style="568" bestFit="1" customWidth="1"/>
    <col min="12046" max="12046" width="4.625" style="568" customWidth="1"/>
    <col min="12047" max="12047" width="29.125" style="568" customWidth="1"/>
    <col min="12048" max="12049" width="13.625" style="568" bestFit="1" customWidth="1"/>
    <col min="12050" max="12050" width="14.625" style="568" customWidth="1"/>
    <col min="12051" max="12051" width="13.625" style="568" customWidth="1"/>
    <col min="12052" max="12052" width="9.375" style="568" bestFit="1" customWidth="1"/>
    <col min="12053" max="12290" width="9" style="568"/>
    <col min="12291" max="12291" width="29.875" style="568" customWidth="1"/>
    <col min="12292" max="12295" width="13.625" style="568" bestFit="1" customWidth="1"/>
    <col min="12296" max="12296" width="4.375" style="568" customWidth="1"/>
    <col min="12297" max="12297" width="26.875" style="568" customWidth="1"/>
    <col min="12298" max="12299" width="13.625" style="568" bestFit="1" customWidth="1"/>
    <col min="12300" max="12301" width="14.375" style="568" bestFit="1" customWidth="1"/>
    <col min="12302" max="12302" width="4.625" style="568" customWidth="1"/>
    <col min="12303" max="12303" width="29.125" style="568" customWidth="1"/>
    <col min="12304" max="12305" width="13.625" style="568" bestFit="1" customWidth="1"/>
    <col min="12306" max="12306" width="14.625" style="568" customWidth="1"/>
    <col min="12307" max="12307" width="13.625" style="568" customWidth="1"/>
    <col min="12308" max="12308" width="9.375" style="568" bestFit="1" customWidth="1"/>
    <col min="12309" max="12546" width="9" style="568"/>
    <col min="12547" max="12547" width="29.875" style="568" customWidth="1"/>
    <col min="12548" max="12551" width="13.625" style="568" bestFit="1" customWidth="1"/>
    <col min="12552" max="12552" width="4.375" style="568" customWidth="1"/>
    <col min="12553" max="12553" width="26.875" style="568" customWidth="1"/>
    <col min="12554" max="12555" width="13.625" style="568" bestFit="1" customWidth="1"/>
    <col min="12556" max="12557" width="14.375" style="568" bestFit="1" customWidth="1"/>
    <col min="12558" max="12558" width="4.625" style="568" customWidth="1"/>
    <col min="12559" max="12559" width="29.125" style="568" customWidth="1"/>
    <col min="12560" max="12561" width="13.625" style="568" bestFit="1" customWidth="1"/>
    <col min="12562" max="12562" width="14.625" style="568" customWidth="1"/>
    <col min="12563" max="12563" width="13.625" style="568" customWidth="1"/>
    <col min="12564" max="12564" width="9.375" style="568" bestFit="1" customWidth="1"/>
    <col min="12565" max="12802" width="9" style="568"/>
    <col min="12803" max="12803" width="29.875" style="568" customWidth="1"/>
    <col min="12804" max="12807" width="13.625" style="568" bestFit="1" customWidth="1"/>
    <col min="12808" max="12808" width="4.375" style="568" customWidth="1"/>
    <col min="12809" max="12809" width="26.875" style="568" customWidth="1"/>
    <col min="12810" max="12811" width="13.625" style="568" bestFit="1" customWidth="1"/>
    <col min="12812" max="12813" width="14.375" style="568" bestFit="1" customWidth="1"/>
    <col min="12814" max="12814" width="4.625" style="568" customWidth="1"/>
    <col min="12815" max="12815" width="29.125" style="568" customWidth="1"/>
    <col min="12816" max="12817" width="13.625" style="568" bestFit="1" customWidth="1"/>
    <col min="12818" max="12818" width="14.625" style="568" customWidth="1"/>
    <col min="12819" max="12819" width="13.625" style="568" customWidth="1"/>
    <col min="12820" max="12820" width="9.375" style="568" bestFit="1" customWidth="1"/>
    <col min="12821" max="13058" width="9" style="568"/>
    <col min="13059" max="13059" width="29.875" style="568" customWidth="1"/>
    <col min="13060" max="13063" width="13.625" style="568" bestFit="1" customWidth="1"/>
    <col min="13064" max="13064" width="4.375" style="568" customWidth="1"/>
    <col min="13065" max="13065" width="26.875" style="568" customWidth="1"/>
    <col min="13066" max="13067" width="13.625" style="568" bestFit="1" customWidth="1"/>
    <col min="13068" max="13069" width="14.375" style="568" bestFit="1" customWidth="1"/>
    <col min="13070" max="13070" width="4.625" style="568" customWidth="1"/>
    <col min="13071" max="13071" width="29.125" style="568" customWidth="1"/>
    <col min="13072" max="13073" width="13.625" style="568" bestFit="1" customWidth="1"/>
    <col min="13074" max="13074" width="14.625" style="568" customWidth="1"/>
    <col min="13075" max="13075" width="13.625" style="568" customWidth="1"/>
    <col min="13076" max="13076" width="9.375" style="568" bestFit="1" customWidth="1"/>
    <col min="13077" max="13314" width="9" style="568"/>
    <col min="13315" max="13315" width="29.875" style="568" customWidth="1"/>
    <col min="13316" max="13319" width="13.625" style="568" bestFit="1" customWidth="1"/>
    <col min="13320" max="13320" width="4.375" style="568" customWidth="1"/>
    <col min="13321" max="13321" width="26.875" style="568" customWidth="1"/>
    <col min="13322" max="13323" width="13.625" style="568" bestFit="1" customWidth="1"/>
    <col min="13324" max="13325" width="14.375" style="568" bestFit="1" customWidth="1"/>
    <col min="13326" max="13326" width="4.625" style="568" customWidth="1"/>
    <col min="13327" max="13327" width="29.125" style="568" customWidth="1"/>
    <col min="13328" max="13329" width="13.625" style="568" bestFit="1" customWidth="1"/>
    <col min="13330" max="13330" width="14.625" style="568" customWidth="1"/>
    <col min="13331" max="13331" width="13.625" style="568" customWidth="1"/>
    <col min="13332" max="13332" width="9.375" style="568" bestFit="1" customWidth="1"/>
    <col min="13333" max="13570" width="9" style="568"/>
    <col min="13571" max="13571" width="29.875" style="568" customWidth="1"/>
    <col min="13572" max="13575" width="13.625" style="568" bestFit="1" customWidth="1"/>
    <col min="13576" max="13576" width="4.375" style="568" customWidth="1"/>
    <col min="13577" max="13577" width="26.875" style="568" customWidth="1"/>
    <col min="13578" max="13579" width="13.625" style="568" bestFit="1" customWidth="1"/>
    <col min="13580" max="13581" width="14.375" style="568" bestFit="1" customWidth="1"/>
    <col min="13582" max="13582" width="4.625" style="568" customWidth="1"/>
    <col min="13583" max="13583" width="29.125" style="568" customWidth="1"/>
    <col min="13584" max="13585" width="13.625" style="568" bestFit="1" customWidth="1"/>
    <col min="13586" max="13586" width="14.625" style="568" customWidth="1"/>
    <col min="13587" max="13587" width="13.625" style="568" customWidth="1"/>
    <col min="13588" max="13588" width="9.375" style="568" bestFit="1" customWidth="1"/>
    <col min="13589" max="13826" width="9" style="568"/>
    <col min="13827" max="13827" width="29.875" style="568" customWidth="1"/>
    <col min="13828" max="13831" width="13.625" style="568" bestFit="1" customWidth="1"/>
    <col min="13832" max="13832" width="4.375" style="568" customWidth="1"/>
    <col min="13833" max="13833" width="26.875" style="568" customWidth="1"/>
    <col min="13834" max="13835" width="13.625" style="568" bestFit="1" customWidth="1"/>
    <col min="13836" max="13837" width="14.375" style="568" bestFit="1" customWidth="1"/>
    <col min="13838" max="13838" width="4.625" style="568" customWidth="1"/>
    <col min="13839" max="13839" width="29.125" style="568" customWidth="1"/>
    <col min="13840" max="13841" width="13.625" style="568" bestFit="1" customWidth="1"/>
    <col min="13842" max="13842" width="14.625" style="568" customWidth="1"/>
    <col min="13843" max="13843" width="13.625" style="568" customWidth="1"/>
    <col min="13844" max="13844" width="9.375" style="568" bestFit="1" customWidth="1"/>
    <col min="13845" max="14082" width="9" style="568"/>
    <col min="14083" max="14083" width="29.875" style="568" customWidth="1"/>
    <col min="14084" max="14087" width="13.625" style="568" bestFit="1" customWidth="1"/>
    <col min="14088" max="14088" width="4.375" style="568" customWidth="1"/>
    <col min="14089" max="14089" width="26.875" style="568" customWidth="1"/>
    <col min="14090" max="14091" width="13.625" style="568" bestFit="1" customWidth="1"/>
    <col min="14092" max="14093" width="14.375" style="568" bestFit="1" customWidth="1"/>
    <col min="14094" max="14094" width="4.625" style="568" customWidth="1"/>
    <col min="14095" max="14095" width="29.125" style="568" customWidth="1"/>
    <col min="14096" max="14097" width="13.625" style="568" bestFit="1" customWidth="1"/>
    <col min="14098" max="14098" width="14.625" style="568" customWidth="1"/>
    <col min="14099" max="14099" width="13.625" style="568" customWidth="1"/>
    <col min="14100" max="14100" width="9.375" style="568" bestFit="1" customWidth="1"/>
    <col min="14101" max="14338" width="9" style="568"/>
    <col min="14339" max="14339" width="29.875" style="568" customWidth="1"/>
    <col min="14340" max="14343" width="13.625" style="568" bestFit="1" customWidth="1"/>
    <col min="14344" max="14344" width="4.375" style="568" customWidth="1"/>
    <col min="14345" max="14345" width="26.875" style="568" customWidth="1"/>
    <col min="14346" max="14347" width="13.625" style="568" bestFit="1" customWidth="1"/>
    <col min="14348" max="14349" width="14.375" style="568" bestFit="1" customWidth="1"/>
    <col min="14350" max="14350" width="4.625" style="568" customWidth="1"/>
    <col min="14351" max="14351" width="29.125" style="568" customWidth="1"/>
    <col min="14352" max="14353" width="13.625" style="568" bestFit="1" customWidth="1"/>
    <col min="14354" max="14354" width="14.625" style="568" customWidth="1"/>
    <col min="14355" max="14355" width="13.625" style="568" customWidth="1"/>
    <col min="14356" max="14356" width="9.375" style="568" bestFit="1" customWidth="1"/>
    <col min="14357" max="14594" width="9" style="568"/>
    <col min="14595" max="14595" width="29.875" style="568" customWidth="1"/>
    <col min="14596" max="14599" width="13.625" style="568" bestFit="1" customWidth="1"/>
    <col min="14600" max="14600" width="4.375" style="568" customWidth="1"/>
    <col min="14601" max="14601" width="26.875" style="568" customWidth="1"/>
    <col min="14602" max="14603" width="13.625" style="568" bestFit="1" customWidth="1"/>
    <col min="14604" max="14605" width="14.375" style="568" bestFit="1" customWidth="1"/>
    <col min="14606" max="14606" width="4.625" style="568" customWidth="1"/>
    <col min="14607" max="14607" width="29.125" style="568" customWidth="1"/>
    <col min="14608" max="14609" width="13.625" style="568" bestFit="1" customWidth="1"/>
    <col min="14610" max="14610" width="14.625" style="568" customWidth="1"/>
    <col min="14611" max="14611" width="13.625" style="568" customWidth="1"/>
    <col min="14612" max="14612" width="9.375" style="568" bestFit="1" customWidth="1"/>
    <col min="14613" max="14850" width="9" style="568"/>
    <col min="14851" max="14851" width="29.875" style="568" customWidth="1"/>
    <col min="14852" max="14855" width="13.625" style="568" bestFit="1" customWidth="1"/>
    <col min="14856" max="14856" width="4.375" style="568" customWidth="1"/>
    <col min="14857" max="14857" width="26.875" style="568" customWidth="1"/>
    <col min="14858" max="14859" width="13.625" style="568" bestFit="1" customWidth="1"/>
    <col min="14860" max="14861" width="14.375" style="568" bestFit="1" customWidth="1"/>
    <col min="14862" max="14862" width="4.625" style="568" customWidth="1"/>
    <col min="14863" max="14863" width="29.125" style="568" customWidth="1"/>
    <col min="14864" max="14865" width="13.625" style="568" bestFit="1" customWidth="1"/>
    <col min="14866" max="14866" width="14.625" style="568" customWidth="1"/>
    <col min="14867" max="14867" width="13.625" style="568" customWidth="1"/>
    <col min="14868" max="14868" width="9.375" style="568" bestFit="1" customWidth="1"/>
    <col min="14869" max="15106" width="9" style="568"/>
    <col min="15107" max="15107" width="29.875" style="568" customWidth="1"/>
    <col min="15108" max="15111" width="13.625" style="568" bestFit="1" customWidth="1"/>
    <col min="15112" max="15112" width="4.375" style="568" customWidth="1"/>
    <col min="15113" max="15113" width="26.875" style="568" customWidth="1"/>
    <col min="15114" max="15115" width="13.625" style="568" bestFit="1" customWidth="1"/>
    <col min="15116" max="15117" width="14.375" style="568" bestFit="1" customWidth="1"/>
    <col min="15118" max="15118" width="4.625" style="568" customWidth="1"/>
    <col min="15119" max="15119" width="29.125" style="568" customWidth="1"/>
    <col min="15120" max="15121" width="13.625" style="568" bestFit="1" customWidth="1"/>
    <col min="15122" max="15122" width="14.625" style="568" customWidth="1"/>
    <col min="15123" max="15123" width="13.625" style="568" customWidth="1"/>
    <col min="15124" max="15124" width="9.375" style="568" bestFit="1" customWidth="1"/>
    <col min="15125" max="15362" width="9" style="568"/>
    <col min="15363" max="15363" width="29.875" style="568" customWidth="1"/>
    <col min="15364" max="15367" width="13.625" style="568" bestFit="1" customWidth="1"/>
    <col min="15368" max="15368" width="4.375" style="568" customWidth="1"/>
    <col min="15369" max="15369" width="26.875" style="568" customWidth="1"/>
    <col min="15370" max="15371" width="13.625" style="568" bestFit="1" customWidth="1"/>
    <col min="15372" max="15373" width="14.375" style="568" bestFit="1" customWidth="1"/>
    <col min="15374" max="15374" width="4.625" style="568" customWidth="1"/>
    <col min="15375" max="15375" width="29.125" style="568" customWidth="1"/>
    <col min="15376" max="15377" width="13.625" style="568" bestFit="1" customWidth="1"/>
    <col min="15378" max="15378" width="14.625" style="568" customWidth="1"/>
    <col min="15379" max="15379" width="13.625" style="568" customWidth="1"/>
    <col min="15380" max="15380" width="9.375" style="568" bestFit="1" customWidth="1"/>
    <col min="15381" max="15618" width="9" style="568"/>
    <col min="15619" max="15619" width="29.875" style="568" customWidth="1"/>
    <col min="15620" max="15623" width="13.625" style="568" bestFit="1" customWidth="1"/>
    <col min="15624" max="15624" width="4.375" style="568" customWidth="1"/>
    <col min="15625" max="15625" width="26.875" style="568" customWidth="1"/>
    <col min="15626" max="15627" width="13.625" style="568" bestFit="1" customWidth="1"/>
    <col min="15628" max="15629" width="14.375" style="568" bestFit="1" customWidth="1"/>
    <col min="15630" max="15630" width="4.625" style="568" customWidth="1"/>
    <col min="15631" max="15631" width="29.125" style="568" customWidth="1"/>
    <col min="15632" max="15633" width="13.625" style="568" bestFit="1" customWidth="1"/>
    <col min="15634" max="15634" width="14.625" style="568" customWidth="1"/>
    <col min="15635" max="15635" width="13.625" style="568" customWidth="1"/>
    <col min="15636" max="15636" width="9.375" style="568" bestFit="1" customWidth="1"/>
    <col min="15637" max="15874" width="9" style="568"/>
    <col min="15875" max="15875" width="29.875" style="568" customWidth="1"/>
    <col min="15876" max="15879" width="13.625" style="568" bestFit="1" customWidth="1"/>
    <col min="15880" max="15880" width="4.375" style="568" customWidth="1"/>
    <col min="15881" max="15881" width="26.875" style="568" customWidth="1"/>
    <col min="15882" max="15883" width="13.625" style="568" bestFit="1" customWidth="1"/>
    <col min="15884" max="15885" width="14.375" style="568" bestFit="1" customWidth="1"/>
    <col min="15886" max="15886" width="4.625" style="568" customWidth="1"/>
    <col min="15887" max="15887" width="29.125" style="568" customWidth="1"/>
    <col min="15888" max="15889" width="13.625" style="568" bestFit="1" customWidth="1"/>
    <col min="15890" max="15890" width="14.625" style="568" customWidth="1"/>
    <col min="15891" max="15891" width="13.625" style="568" customWidth="1"/>
    <col min="15892" max="15892" width="9.375" style="568" bestFit="1" customWidth="1"/>
    <col min="15893" max="16130" width="9" style="568"/>
    <col min="16131" max="16131" width="29.875" style="568" customWidth="1"/>
    <col min="16132" max="16135" width="13.625" style="568" bestFit="1" customWidth="1"/>
    <col min="16136" max="16136" width="4.375" style="568" customWidth="1"/>
    <col min="16137" max="16137" width="26.875" style="568" customWidth="1"/>
    <col min="16138" max="16139" width="13.625" style="568" bestFit="1" customWidth="1"/>
    <col min="16140" max="16141" width="14.375" style="568" bestFit="1" customWidth="1"/>
    <col min="16142" max="16142" width="4.625" style="568" customWidth="1"/>
    <col min="16143" max="16143" width="29.125" style="568" customWidth="1"/>
    <col min="16144" max="16145" width="13.625" style="568" bestFit="1" customWidth="1"/>
    <col min="16146" max="16146" width="14.625" style="568" customWidth="1"/>
    <col min="16147" max="16147" width="13.625" style="568" customWidth="1"/>
    <col min="16148" max="16148" width="9.375" style="568" bestFit="1" customWidth="1"/>
    <col min="16149" max="16384" width="9" style="568"/>
  </cols>
  <sheetData>
    <row r="1" spans="1:23">
      <c r="B1" s="567" t="s">
        <v>911</v>
      </c>
      <c r="I1" s="567" t="s">
        <v>912</v>
      </c>
      <c r="O1" s="567" t="s">
        <v>913</v>
      </c>
    </row>
    <row r="2" spans="1:23" ht="17.25" thickBot="1">
      <c r="B2" s="1971" t="s">
        <v>830</v>
      </c>
      <c r="C2" s="1971" t="s">
        <v>914</v>
      </c>
      <c r="D2" s="1971"/>
      <c r="E2" s="1971" t="s">
        <v>915</v>
      </c>
      <c r="F2" s="1971"/>
      <c r="I2" s="1971" t="s">
        <v>830</v>
      </c>
      <c r="J2" s="1971" t="s">
        <v>914</v>
      </c>
      <c r="K2" s="1971"/>
      <c r="L2" s="1971" t="s">
        <v>915</v>
      </c>
      <c r="M2" s="1971"/>
      <c r="O2" s="1970" t="s">
        <v>830</v>
      </c>
      <c r="P2" s="1971" t="s">
        <v>914</v>
      </c>
      <c r="Q2" s="1971"/>
      <c r="R2" s="1971" t="s">
        <v>915</v>
      </c>
      <c r="S2" s="1971"/>
    </row>
    <row r="3" spans="1:23">
      <c r="A3" s="634" t="s">
        <v>486</v>
      </c>
      <c r="B3" s="1972"/>
      <c r="C3" s="1971" t="s">
        <v>831</v>
      </c>
      <c r="D3" s="1971"/>
      <c r="E3" s="1971" t="s">
        <v>831</v>
      </c>
      <c r="F3" s="1971"/>
      <c r="H3" s="634" t="s">
        <v>486</v>
      </c>
      <c r="I3" s="1972"/>
      <c r="J3" s="1971" t="s">
        <v>831</v>
      </c>
      <c r="K3" s="1971"/>
      <c r="L3" s="1971" t="s">
        <v>831</v>
      </c>
      <c r="M3" s="1971"/>
      <c r="O3" s="1970"/>
      <c r="P3" s="1971" t="s">
        <v>831</v>
      </c>
      <c r="Q3" s="1971"/>
      <c r="R3" s="1971" t="s">
        <v>831</v>
      </c>
      <c r="S3" s="1971"/>
    </row>
    <row r="4" spans="1:23">
      <c r="A4" s="637"/>
      <c r="B4" s="630" t="s">
        <v>916</v>
      </c>
      <c r="C4" s="569"/>
      <c r="D4" s="569"/>
      <c r="E4" s="569"/>
      <c r="F4" s="569"/>
      <c r="H4" s="635"/>
      <c r="I4" s="630" t="s">
        <v>833</v>
      </c>
      <c r="J4" s="550"/>
      <c r="K4" s="550"/>
      <c r="L4" s="550"/>
      <c r="M4" s="550"/>
      <c r="O4" s="552" t="s">
        <v>840</v>
      </c>
      <c r="P4" s="551"/>
      <c r="Q4" s="551"/>
      <c r="R4" s="550"/>
      <c r="S4" s="550"/>
    </row>
    <row r="5" spans="1:23">
      <c r="A5" s="637"/>
      <c r="B5" s="630" t="s">
        <v>917</v>
      </c>
      <c r="C5" s="548"/>
      <c r="D5" s="549"/>
      <c r="E5" s="548"/>
      <c r="F5" s="549"/>
      <c r="H5" s="635" t="s">
        <v>716</v>
      </c>
      <c r="I5" s="631" t="s">
        <v>918</v>
      </c>
      <c r="J5" s="550"/>
      <c r="K5" s="550"/>
      <c r="L5" s="550"/>
      <c r="M5" s="550"/>
      <c r="O5" s="553" t="s">
        <v>919</v>
      </c>
      <c r="P5" s="551"/>
      <c r="Q5" s="551"/>
      <c r="R5" s="550"/>
      <c r="S5" s="550"/>
    </row>
    <row r="6" spans="1:23">
      <c r="A6" s="637"/>
      <c r="B6" s="630" t="s">
        <v>920</v>
      </c>
      <c r="C6" s="548"/>
      <c r="D6" s="549"/>
      <c r="E6" s="548"/>
      <c r="F6" s="549"/>
      <c r="H6" s="635" t="s">
        <v>717</v>
      </c>
      <c r="I6" s="631" t="s">
        <v>921</v>
      </c>
      <c r="J6" s="550"/>
      <c r="K6" s="550"/>
      <c r="L6" s="550"/>
      <c r="M6" s="550"/>
      <c r="O6" s="553" t="s">
        <v>841</v>
      </c>
      <c r="P6" s="551"/>
      <c r="Q6" s="551"/>
      <c r="R6" s="550"/>
      <c r="S6" s="550"/>
    </row>
    <row r="7" spans="1:23">
      <c r="A7" s="637" t="s">
        <v>623</v>
      </c>
      <c r="B7" s="631" t="s">
        <v>922</v>
      </c>
      <c r="C7" s="548"/>
      <c r="D7" s="549"/>
      <c r="E7" s="548"/>
      <c r="F7" s="548"/>
      <c r="H7" s="635" t="s">
        <v>1381</v>
      </c>
      <c r="I7" s="631" t="s">
        <v>923</v>
      </c>
      <c r="J7" s="550"/>
      <c r="K7" s="550"/>
      <c r="L7" s="550"/>
      <c r="M7" s="550"/>
      <c r="O7" s="553" t="s">
        <v>842</v>
      </c>
      <c r="P7" s="551"/>
      <c r="Q7" s="551"/>
      <c r="R7" s="550"/>
      <c r="S7" s="550"/>
    </row>
    <row r="8" spans="1:23">
      <c r="A8" s="637" t="s">
        <v>624</v>
      </c>
      <c r="B8" s="631" t="s">
        <v>924</v>
      </c>
      <c r="C8" s="548"/>
      <c r="D8" s="549"/>
      <c r="E8" s="548"/>
      <c r="F8" s="549"/>
      <c r="H8" s="635"/>
      <c r="I8" s="630" t="s">
        <v>834</v>
      </c>
      <c r="J8" s="550"/>
      <c r="K8" s="550"/>
      <c r="L8" s="550"/>
      <c r="M8" s="550"/>
      <c r="O8" s="553" t="s">
        <v>843</v>
      </c>
      <c r="P8" s="551"/>
      <c r="Q8" s="551"/>
      <c r="R8" s="550"/>
      <c r="S8" s="550"/>
    </row>
    <row r="9" spans="1:23">
      <c r="A9" s="637" t="s">
        <v>628</v>
      </c>
      <c r="B9" s="631" t="s">
        <v>925</v>
      </c>
      <c r="C9" s="548"/>
      <c r="D9" s="549"/>
      <c r="E9" s="548"/>
      <c r="F9" s="549"/>
      <c r="H9" s="635"/>
      <c r="I9" s="631" t="s">
        <v>926</v>
      </c>
      <c r="J9" s="550"/>
      <c r="K9" s="550"/>
      <c r="L9" s="550"/>
      <c r="M9" s="550"/>
      <c r="O9" s="553" t="s">
        <v>844</v>
      </c>
      <c r="P9" s="551"/>
      <c r="Q9" s="551"/>
      <c r="R9" s="550"/>
      <c r="S9" s="550"/>
    </row>
    <row r="10" spans="1:23">
      <c r="A10" s="637" t="s">
        <v>632</v>
      </c>
      <c r="B10" s="631" t="s">
        <v>927</v>
      </c>
      <c r="C10" s="548"/>
      <c r="D10" s="548"/>
      <c r="E10" s="548"/>
      <c r="F10" s="549"/>
      <c r="H10" s="768" t="s">
        <v>1740</v>
      </c>
      <c r="I10" s="631" t="s">
        <v>928</v>
      </c>
      <c r="J10" s="550"/>
      <c r="K10" s="550"/>
      <c r="L10" s="550"/>
      <c r="M10" s="550"/>
      <c r="O10" s="554" t="s">
        <v>845</v>
      </c>
      <c r="P10" s="551"/>
      <c r="Q10" s="551"/>
      <c r="R10" s="550"/>
      <c r="S10" s="550"/>
    </row>
    <row r="11" spans="1:23">
      <c r="A11" s="637" t="s">
        <v>634</v>
      </c>
      <c r="B11" s="631" t="s">
        <v>929</v>
      </c>
      <c r="C11" s="548"/>
      <c r="D11" s="549"/>
      <c r="E11" s="548"/>
      <c r="F11" s="549"/>
      <c r="H11" s="768" t="s">
        <v>1742</v>
      </c>
      <c r="I11" s="631" t="s">
        <v>930</v>
      </c>
      <c r="J11" s="550"/>
      <c r="K11" s="550"/>
      <c r="L11" s="550"/>
      <c r="M11" s="550"/>
      <c r="O11" s="553" t="s">
        <v>846</v>
      </c>
      <c r="P11" s="551"/>
      <c r="Q11" s="551"/>
      <c r="R11" s="550"/>
      <c r="S11" s="550"/>
    </row>
    <row r="12" spans="1:23" ht="15.75" customHeight="1">
      <c r="A12" s="637" t="s">
        <v>636</v>
      </c>
      <c r="B12" s="631" t="s">
        <v>931</v>
      </c>
      <c r="C12" s="548"/>
      <c r="D12" s="549"/>
      <c r="E12" s="548"/>
      <c r="F12" s="549"/>
      <c r="H12" s="635" t="s">
        <v>1743</v>
      </c>
      <c r="I12" s="632" t="s">
        <v>932</v>
      </c>
      <c r="J12" s="550"/>
      <c r="K12" s="550"/>
      <c r="L12" s="550"/>
      <c r="M12" s="550"/>
      <c r="O12" s="552" t="s">
        <v>847</v>
      </c>
      <c r="P12" s="551"/>
      <c r="Q12" s="551"/>
      <c r="R12" s="550"/>
      <c r="S12" s="550"/>
    </row>
    <row r="13" spans="1:23">
      <c r="A13" s="637"/>
      <c r="B13" s="630" t="s">
        <v>933</v>
      </c>
      <c r="C13" s="548"/>
      <c r="D13" s="549"/>
      <c r="E13" s="548"/>
      <c r="F13" s="549"/>
      <c r="H13" s="635"/>
      <c r="I13" s="631" t="s">
        <v>934</v>
      </c>
      <c r="J13" s="550"/>
      <c r="K13" s="550"/>
      <c r="L13" s="550"/>
      <c r="M13" s="550"/>
      <c r="O13" s="553" t="s">
        <v>935</v>
      </c>
      <c r="P13" s="551"/>
      <c r="Q13" s="551"/>
      <c r="R13" s="550"/>
      <c r="S13" s="550"/>
    </row>
    <row r="14" spans="1:23">
      <c r="A14" s="637" t="s">
        <v>646</v>
      </c>
      <c r="B14" s="631" t="s">
        <v>936</v>
      </c>
      <c r="C14" s="548"/>
      <c r="D14" s="549"/>
      <c r="E14" s="548"/>
      <c r="F14" s="549"/>
      <c r="H14" s="635" t="s">
        <v>1745</v>
      </c>
      <c r="I14" s="631" t="s">
        <v>937</v>
      </c>
      <c r="J14" s="550"/>
      <c r="K14" s="550"/>
      <c r="L14" s="550"/>
      <c r="M14" s="550"/>
      <c r="O14" s="553" t="s">
        <v>938</v>
      </c>
      <c r="P14" s="551"/>
      <c r="Q14" s="551"/>
      <c r="R14" s="550"/>
      <c r="S14" s="550"/>
    </row>
    <row r="15" spans="1:23">
      <c r="A15" s="637" t="s">
        <v>647</v>
      </c>
      <c r="B15" s="631" t="s">
        <v>939</v>
      </c>
      <c r="C15" s="549"/>
      <c r="D15" s="548"/>
      <c r="E15" s="549"/>
      <c r="F15" s="548"/>
      <c r="H15" s="635"/>
      <c r="I15" s="631" t="s">
        <v>940</v>
      </c>
      <c r="J15" s="550"/>
      <c r="K15" s="550"/>
      <c r="L15" s="550"/>
      <c r="M15" s="550"/>
      <c r="O15" s="553" t="s">
        <v>941</v>
      </c>
      <c r="P15" s="551"/>
      <c r="Q15" s="551"/>
      <c r="R15" s="550"/>
      <c r="S15" s="550"/>
    </row>
    <row r="16" spans="1:23">
      <c r="A16" s="637" t="s">
        <v>649</v>
      </c>
      <c r="B16" s="631" t="s">
        <v>942</v>
      </c>
      <c r="C16" s="549"/>
      <c r="D16" s="548"/>
      <c r="E16" s="549"/>
      <c r="F16" s="548"/>
      <c r="H16" s="635" t="s">
        <v>1759</v>
      </c>
      <c r="I16" s="631" t="s">
        <v>943</v>
      </c>
      <c r="J16" s="550"/>
      <c r="K16" s="550"/>
      <c r="L16" s="550"/>
      <c r="M16" s="550"/>
      <c r="O16" s="553" t="s">
        <v>843</v>
      </c>
      <c r="P16" s="551"/>
      <c r="Q16" s="551"/>
      <c r="R16" s="550"/>
      <c r="S16" s="550"/>
      <c r="W16" s="551"/>
    </row>
    <row r="17" spans="1:23">
      <c r="A17" s="637" t="s">
        <v>650</v>
      </c>
      <c r="B17" s="631" t="s">
        <v>944</v>
      </c>
      <c r="C17" s="549"/>
      <c r="D17" s="549"/>
      <c r="E17" s="549"/>
      <c r="F17" s="549"/>
      <c r="H17" s="635" t="s">
        <v>1761</v>
      </c>
      <c r="I17" s="631" t="s">
        <v>945</v>
      </c>
      <c r="J17" s="550"/>
      <c r="K17" s="550"/>
      <c r="L17" s="550"/>
      <c r="M17" s="550"/>
      <c r="O17" s="553" t="s">
        <v>844</v>
      </c>
      <c r="P17" s="551"/>
      <c r="Q17" s="551"/>
      <c r="R17" s="550"/>
      <c r="S17" s="550"/>
      <c r="W17" s="551"/>
    </row>
    <row r="18" spans="1:23">
      <c r="A18" s="637" t="s">
        <v>645</v>
      </c>
      <c r="B18" s="631" t="s">
        <v>946</v>
      </c>
      <c r="C18" s="548"/>
      <c r="D18" s="549"/>
      <c r="E18" s="548"/>
      <c r="F18" s="549"/>
      <c r="H18" s="635" t="s">
        <v>1764</v>
      </c>
      <c r="I18" s="631" t="s">
        <v>947</v>
      </c>
      <c r="J18" s="550"/>
      <c r="K18" s="550"/>
      <c r="L18" s="550"/>
      <c r="M18" s="550"/>
      <c r="O18" s="570" t="s">
        <v>845</v>
      </c>
      <c r="P18" s="551"/>
      <c r="Q18" s="551"/>
      <c r="R18" s="550"/>
      <c r="S18" s="550"/>
      <c r="T18" s="571"/>
    </row>
    <row r="19" spans="1:23">
      <c r="A19" s="637" t="s">
        <v>1368</v>
      </c>
      <c r="B19" s="631" t="s">
        <v>948</v>
      </c>
      <c r="C19" s="549"/>
      <c r="D19" s="548"/>
      <c r="E19" s="549"/>
      <c r="F19" s="548"/>
      <c r="H19" s="635"/>
      <c r="I19" s="630" t="s">
        <v>835</v>
      </c>
      <c r="J19" s="550"/>
      <c r="K19" s="550"/>
      <c r="L19" s="550"/>
      <c r="M19" s="550"/>
      <c r="O19" s="553" t="s">
        <v>949</v>
      </c>
      <c r="P19" s="551"/>
      <c r="Q19" s="551"/>
      <c r="R19" s="550"/>
      <c r="S19" s="550"/>
    </row>
    <row r="20" spans="1:23">
      <c r="A20" s="637" t="s">
        <v>1370</v>
      </c>
      <c r="B20" s="631" t="s">
        <v>950</v>
      </c>
      <c r="C20" s="549"/>
      <c r="D20" s="549"/>
      <c r="E20" s="549"/>
      <c r="F20" s="549"/>
      <c r="H20" s="635"/>
      <c r="I20" s="630" t="s">
        <v>836</v>
      </c>
      <c r="J20" s="550"/>
      <c r="K20" s="550"/>
      <c r="L20" s="550"/>
      <c r="M20" s="550"/>
      <c r="O20" s="552" t="s">
        <v>848</v>
      </c>
      <c r="P20" s="551"/>
      <c r="Q20" s="551"/>
      <c r="R20" s="550"/>
      <c r="S20" s="550"/>
    </row>
    <row r="21" spans="1:23">
      <c r="A21" s="637"/>
      <c r="B21" s="630" t="s">
        <v>951</v>
      </c>
      <c r="C21" s="548"/>
      <c r="D21" s="549"/>
      <c r="E21" s="548"/>
      <c r="F21" s="549"/>
      <c r="H21" s="635" t="s">
        <v>751</v>
      </c>
      <c r="I21" s="631" t="s">
        <v>952</v>
      </c>
      <c r="J21" s="550"/>
      <c r="K21" s="550"/>
      <c r="L21" s="550"/>
      <c r="M21" s="550"/>
      <c r="O21" s="553" t="s">
        <v>849</v>
      </c>
      <c r="P21" s="551"/>
      <c r="Q21" s="551"/>
      <c r="R21" s="550"/>
      <c r="S21" s="550"/>
    </row>
    <row r="22" spans="1:23">
      <c r="A22" s="637"/>
      <c r="B22" s="630" t="s">
        <v>953</v>
      </c>
      <c r="C22" s="548"/>
      <c r="D22" s="548"/>
      <c r="E22" s="548"/>
      <c r="F22" s="548"/>
      <c r="H22" s="635" t="s">
        <v>753</v>
      </c>
      <c r="I22" s="631" t="s">
        <v>954</v>
      </c>
      <c r="J22" s="550"/>
      <c r="K22" s="550"/>
      <c r="L22" s="550"/>
      <c r="M22" s="550"/>
      <c r="O22" s="553" t="s">
        <v>850</v>
      </c>
      <c r="P22" s="551"/>
      <c r="Q22" s="551"/>
      <c r="R22" s="550"/>
      <c r="S22" s="550"/>
    </row>
    <row r="23" spans="1:23">
      <c r="A23" s="637"/>
      <c r="B23" s="630" t="s">
        <v>955</v>
      </c>
      <c r="C23" s="548"/>
      <c r="D23" s="549"/>
      <c r="E23" s="548"/>
      <c r="F23" s="549"/>
      <c r="H23" s="635" t="s">
        <v>754</v>
      </c>
      <c r="I23" s="631" t="s">
        <v>956</v>
      </c>
      <c r="J23" s="550"/>
      <c r="K23" s="550"/>
      <c r="L23" s="550"/>
      <c r="M23" s="550"/>
      <c r="O23" s="553" t="s">
        <v>957</v>
      </c>
      <c r="P23" s="551"/>
      <c r="Q23" s="551"/>
      <c r="R23" s="550"/>
      <c r="S23" s="550"/>
    </row>
    <row r="24" spans="1:23">
      <c r="A24" s="637" t="s">
        <v>655</v>
      </c>
      <c r="B24" s="631" t="s">
        <v>958</v>
      </c>
      <c r="C24" s="549"/>
      <c r="D24" s="548"/>
      <c r="E24" s="549"/>
      <c r="F24" s="548"/>
      <c r="H24" s="635" t="s">
        <v>757</v>
      </c>
      <c r="I24" s="631" t="s">
        <v>959</v>
      </c>
      <c r="J24" s="550"/>
      <c r="K24" s="550"/>
      <c r="L24" s="550"/>
      <c r="M24" s="550"/>
      <c r="O24" s="552" t="s">
        <v>851</v>
      </c>
      <c r="P24" s="551"/>
      <c r="Q24" s="551"/>
      <c r="R24" s="550"/>
      <c r="S24" s="550"/>
    </row>
    <row r="25" spans="1:23">
      <c r="A25" s="637" t="s">
        <v>656</v>
      </c>
      <c r="B25" s="631" t="s">
        <v>960</v>
      </c>
      <c r="C25" s="549"/>
      <c r="D25" s="549"/>
      <c r="E25" s="549"/>
      <c r="F25" s="549"/>
      <c r="H25" s="635" t="s">
        <v>758</v>
      </c>
      <c r="I25" s="633" t="s">
        <v>961</v>
      </c>
      <c r="J25" s="550"/>
      <c r="K25" s="550"/>
      <c r="L25" s="550"/>
      <c r="M25" s="550"/>
      <c r="O25" s="553" t="s">
        <v>852</v>
      </c>
      <c r="P25" s="551"/>
      <c r="Q25" s="550"/>
      <c r="R25" s="550"/>
      <c r="S25" s="550"/>
    </row>
    <row r="26" spans="1:23">
      <c r="A26" s="637" t="s">
        <v>658</v>
      </c>
      <c r="B26" s="631" t="s">
        <v>962</v>
      </c>
      <c r="C26" s="549"/>
      <c r="D26" s="548"/>
      <c r="E26" s="549"/>
      <c r="F26" s="548"/>
      <c r="H26" s="635" t="s">
        <v>760</v>
      </c>
      <c r="I26" s="631" t="s">
        <v>963</v>
      </c>
      <c r="J26" s="550"/>
      <c r="K26" s="550"/>
      <c r="L26" s="550"/>
      <c r="M26" s="550"/>
      <c r="O26" s="553" t="s">
        <v>853</v>
      </c>
      <c r="P26" s="550"/>
      <c r="Q26" s="550"/>
      <c r="R26" s="550"/>
      <c r="S26" s="550"/>
    </row>
    <row r="27" spans="1:23">
      <c r="A27" s="637" t="s">
        <v>659</v>
      </c>
      <c r="B27" s="631" t="s">
        <v>960</v>
      </c>
      <c r="C27" s="549"/>
      <c r="D27" s="549"/>
      <c r="E27" s="549"/>
      <c r="F27" s="548"/>
      <c r="H27" s="635" t="s">
        <v>761</v>
      </c>
      <c r="I27" s="631" t="s">
        <v>964</v>
      </c>
      <c r="J27" s="550"/>
      <c r="K27" s="550"/>
      <c r="L27" s="550"/>
      <c r="M27" s="550"/>
      <c r="O27" s="572" t="s">
        <v>854</v>
      </c>
      <c r="P27" s="551"/>
      <c r="Q27" s="550"/>
      <c r="R27" s="550"/>
      <c r="S27" s="550"/>
    </row>
    <row r="28" spans="1:23">
      <c r="A28" s="637" t="s">
        <v>665</v>
      </c>
      <c r="B28" s="631" t="s">
        <v>965</v>
      </c>
      <c r="C28" s="549"/>
      <c r="D28" s="548"/>
      <c r="E28" s="549"/>
      <c r="F28" s="548"/>
      <c r="H28" s="635" t="s">
        <v>2529</v>
      </c>
      <c r="I28" s="631" t="s">
        <v>966</v>
      </c>
      <c r="J28" s="550"/>
      <c r="K28" s="550"/>
      <c r="L28" s="550"/>
      <c r="M28" s="550"/>
      <c r="O28" s="553" t="s">
        <v>967</v>
      </c>
      <c r="P28" s="551"/>
      <c r="Q28" s="550"/>
      <c r="R28" s="550"/>
      <c r="S28" s="550"/>
    </row>
    <row r="29" spans="1:23">
      <c r="A29" s="637" t="s">
        <v>666</v>
      </c>
      <c r="B29" s="631" t="s">
        <v>960</v>
      </c>
      <c r="C29" s="549"/>
      <c r="D29" s="549"/>
      <c r="E29" s="549"/>
      <c r="F29" s="549"/>
      <c r="H29" s="635" t="s">
        <v>762</v>
      </c>
      <c r="I29" s="631" t="s">
        <v>968</v>
      </c>
      <c r="J29" s="550"/>
      <c r="K29" s="550"/>
      <c r="L29" s="550"/>
      <c r="M29" s="550"/>
      <c r="O29" s="553" t="s">
        <v>855</v>
      </c>
      <c r="P29" s="551"/>
      <c r="Q29" s="550"/>
      <c r="R29" s="550"/>
      <c r="S29" s="550"/>
    </row>
    <row r="30" spans="1:23">
      <c r="A30" s="637" t="s">
        <v>668</v>
      </c>
      <c r="B30" s="631" t="s">
        <v>969</v>
      </c>
      <c r="C30" s="549"/>
      <c r="D30" s="548"/>
      <c r="E30" s="549"/>
      <c r="F30" s="548"/>
      <c r="H30" s="635" t="s">
        <v>763</v>
      </c>
      <c r="I30" s="631" t="s">
        <v>970</v>
      </c>
      <c r="J30" s="550"/>
      <c r="K30" s="550"/>
      <c r="L30" s="550"/>
      <c r="M30" s="550"/>
      <c r="O30" s="553" t="s">
        <v>856</v>
      </c>
      <c r="P30" s="551"/>
      <c r="Q30" s="550"/>
      <c r="R30" s="550"/>
      <c r="S30" s="550"/>
    </row>
    <row r="31" spans="1:23">
      <c r="A31" s="637" t="s">
        <v>670</v>
      </c>
      <c r="B31" s="631" t="s">
        <v>960</v>
      </c>
      <c r="C31" s="549"/>
      <c r="D31" s="549"/>
      <c r="E31" s="549"/>
      <c r="F31" s="549"/>
      <c r="H31" s="635" t="s">
        <v>765</v>
      </c>
      <c r="I31" s="631" t="s">
        <v>971</v>
      </c>
      <c r="J31" s="550"/>
      <c r="K31" s="550"/>
      <c r="L31" s="550"/>
      <c r="M31" s="550"/>
      <c r="O31" s="570" t="s">
        <v>857</v>
      </c>
      <c r="P31" s="551"/>
      <c r="Q31" s="550"/>
      <c r="R31" s="550"/>
      <c r="S31" s="550"/>
    </row>
    <row r="32" spans="1:23">
      <c r="A32" s="637" t="s">
        <v>672</v>
      </c>
      <c r="B32" s="631" t="s">
        <v>972</v>
      </c>
      <c r="C32" s="549"/>
      <c r="D32" s="548"/>
      <c r="E32" s="549"/>
      <c r="F32" s="548"/>
      <c r="H32" s="635" t="s">
        <v>766</v>
      </c>
      <c r="I32" s="632" t="s">
        <v>973</v>
      </c>
      <c r="J32" s="550"/>
      <c r="K32" s="550"/>
      <c r="L32" s="550"/>
      <c r="M32" s="550"/>
      <c r="O32" s="553" t="s">
        <v>858</v>
      </c>
      <c r="P32" s="551"/>
      <c r="Q32" s="550"/>
      <c r="R32" s="550"/>
      <c r="S32" s="550"/>
    </row>
    <row r="33" spans="1:19">
      <c r="A33" s="637" t="s">
        <v>673</v>
      </c>
      <c r="B33" s="631" t="s">
        <v>960</v>
      </c>
      <c r="C33" s="549"/>
      <c r="D33" s="549"/>
      <c r="E33" s="549"/>
      <c r="F33" s="549"/>
      <c r="H33" s="635" t="s">
        <v>767</v>
      </c>
      <c r="I33" s="632" t="s">
        <v>974</v>
      </c>
      <c r="J33" s="550"/>
      <c r="K33" s="550"/>
      <c r="L33" s="550"/>
      <c r="M33" s="550"/>
      <c r="O33" s="553" t="s">
        <v>859</v>
      </c>
      <c r="P33" s="550"/>
      <c r="Q33" s="550"/>
      <c r="R33" s="550"/>
      <c r="S33" s="550"/>
    </row>
    <row r="34" spans="1:19">
      <c r="A34" s="637" t="s">
        <v>668</v>
      </c>
      <c r="B34" s="631" t="s">
        <v>975</v>
      </c>
      <c r="C34" s="549"/>
      <c r="D34" s="548"/>
      <c r="E34" s="549"/>
      <c r="F34" s="548"/>
      <c r="H34" s="969" t="s">
        <v>764</v>
      </c>
      <c r="I34" s="970" t="s">
        <v>2535</v>
      </c>
      <c r="J34" s="971"/>
      <c r="K34" s="550"/>
      <c r="L34" s="550"/>
      <c r="M34" s="550"/>
      <c r="O34" s="553" t="s">
        <v>860</v>
      </c>
      <c r="P34" s="551"/>
      <c r="Q34" s="550"/>
      <c r="R34" s="550"/>
      <c r="S34" s="550"/>
    </row>
    <row r="35" spans="1:19">
      <c r="A35" s="637" t="s">
        <v>670</v>
      </c>
      <c r="B35" s="631" t="s">
        <v>960</v>
      </c>
      <c r="C35" s="549"/>
      <c r="D35" s="549"/>
      <c r="E35" s="549"/>
      <c r="F35" s="549"/>
      <c r="H35" s="635" t="s">
        <v>769</v>
      </c>
      <c r="I35" s="631" t="s">
        <v>976</v>
      </c>
      <c r="J35" s="550"/>
      <c r="K35" s="550"/>
      <c r="L35" s="550"/>
      <c r="M35" s="550"/>
      <c r="O35" s="553" t="s">
        <v>861</v>
      </c>
      <c r="P35" s="551"/>
      <c r="Q35" s="550"/>
      <c r="R35" s="550"/>
      <c r="S35" s="550"/>
    </row>
    <row r="36" spans="1:19">
      <c r="A36" s="637"/>
      <c r="B36" s="630" t="s">
        <v>977</v>
      </c>
      <c r="C36" s="547"/>
      <c r="D36" s="547"/>
      <c r="E36" s="547"/>
      <c r="F36" s="547"/>
      <c r="H36" s="635" t="s">
        <v>770</v>
      </c>
      <c r="I36" s="631" t="s">
        <v>978</v>
      </c>
      <c r="J36" s="550"/>
      <c r="K36" s="550"/>
      <c r="L36" s="550"/>
      <c r="M36" s="550"/>
      <c r="O36" s="553" t="s">
        <v>979</v>
      </c>
      <c r="P36" s="551"/>
      <c r="Q36" s="550"/>
      <c r="R36" s="550"/>
      <c r="S36" s="550"/>
    </row>
    <row r="37" spans="1:19">
      <c r="A37" s="637"/>
      <c r="B37" s="630" t="s">
        <v>980</v>
      </c>
      <c r="C37" s="548"/>
      <c r="D37" s="549"/>
      <c r="E37" s="548"/>
      <c r="F37" s="549"/>
      <c r="H37" s="635" t="s">
        <v>774</v>
      </c>
      <c r="I37" s="631" t="s">
        <v>981</v>
      </c>
      <c r="J37" s="550"/>
      <c r="K37" s="550"/>
      <c r="L37" s="550"/>
      <c r="M37" s="550"/>
      <c r="O37" s="553" t="s">
        <v>862</v>
      </c>
      <c r="P37" s="551"/>
      <c r="Q37" s="550"/>
      <c r="R37" s="550"/>
      <c r="S37" s="550"/>
    </row>
    <row r="38" spans="1:19">
      <c r="A38" s="637" t="s">
        <v>679</v>
      </c>
      <c r="B38" s="631" t="s">
        <v>982</v>
      </c>
      <c r="C38" s="548"/>
      <c r="D38" s="549"/>
      <c r="E38" s="548"/>
      <c r="F38" s="549"/>
      <c r="H38" s="635" t="s">
        <v>775</v>
      </c>
      <c r="I38" s="631" t="s">
        <v>983</v>
      </c>
      <c r="J38" s="550"/>
      <c r="K38" s="550"/>
      <c r="L38" s="550"/>
      <c r="M38" s="550"/>
      <c r="O38" s="552" t="s">
        <v>863</v>
      </c>
      <c r="P38" s="550"/>
      <c r="Q38" s="551"/>
      <c r="R38" s="550"/>
      <c r="S38" s="550"/>
    </row>
    <row r="39" spans="1:19">
      <c r="A39" s="637" t="s">
        <v>680</v>
      </c>
      <c r="B39" s="631" t="s">
        <v>984</v>
      </c>
      <c r="C39" s="548"/>
      <c r="D39" s="549"/>
      <c r="E39" s="548"/>
      <c r="F39" s="549"/>
      <c r="H39" s="635" t="s">
        <v>776</v>
      </c>
      <c r="I39" s="631" t="s">
        <v>985</v>
      </c>
      <c r="J39" s="550"/>
      <c r="K39" s="550"/>
      <c r="L39" s="550"/>
      <c r="M39" s="550"/>
      <c r="O39" s="552" t="s">
        <v>864</v>
      </c>
      <c r="P39" s="550"/>
      <c r="Q39" s="551"/>
      <c r="R39" s="550"/>
      <c r="S39" s="550"/>
    </row>
    <row r="40" spans="1:19">
      <c r="A40" s="637"/>
      <c r="B40" s="630" t="s">
        <v>986</v>
      </c>
      <c r="C40" s="548"/>
      <c r="D40" s="549"/>
      <c r="E40" s="548"/>
      <c r="F40" s="549"/>
      <c r="H40" s="635" t="s">
        <v>779</v>
      </c>
      <c r="I40" s="631" t="s">
        <v>987</v>
      </c>
      <c r="J40" s="550"/>
      <c r="K40" s="550"/>
      <c r="L40" s="550"/>
      <c r="M40" s="550"/>
      <c r="O40" s="552" t="s">
        <v>865</v>
      </c>
      <c r="P40" s="550"/>
      <c r="Q40" s="551"/>
      <c r="R40" s="550"/>
      <c r="S40" s="550"/>
    </row>
    <row r="41" spans="1:19">
      <c r="A41" s="637"/>
      <c r="B41" s="630" t="s">
        <v>988</v>
      </c>
      <c r="C41" s="547"/>
      <c r="D41" s="548"/>
      <c r="E41" s="547"/>
      <c r="F41" s="547"/>
      <c r="H41" s="635" t="s">
        <v>782</v>
      </c>
      <c r="I41" s="631" t="s">
        <v>989</v>
      </c>
      <c r="J41" s="550"/>
      <c r="K41" s="550"/>
      <c r="L41" s="550"/>
      <c r="M41" s="550"/>
      <c r="O41" s="552" t="s">
        <v>866</v>
      </c>
      <c r="P41" s="550"/>
      <c r="Q41" s="551"/>
      <c r="R41" s="550"/>
      <c r="S41" s="550"/>
    </row>
    <row r="42" spans="1:19">
      <c r="A42" s="637"/>
      <c r="B42" s="630" t="s">
        <v>990</v>
      </c>
      <c r="C42" s="548"/>
      <c r="D42" s="549"/>
      <c r="E42" s="548"/>
      <c r="F42" s="549"/>
      <c r="H42" s="635"/>
      <c r="I42" s="630" t="s">
        <v>991</v>
      </c>
      <c r="J42" s="550"/>
      <c r="K42" s="550"/>
      <c r="L42" s="550"/>
      <c r="M42" s="550"/>
      <c r="O42" s="552" t="s">
        <v>867</v>
      </c>
      <c r="P42" s="550"/>
      <c r="Q42" s="551"/>
      <c r="R42" s="550"/>
      <c r="S42" s="550"/>
    </row>
    <row r="43" spans="1:19">
      <c r="A43" s="637" t="s">
        <v>681</v>
      </c>
      <c r="B43" s="631" t="s">
        <v>992</v>
      </c>
      <c r="C43" s="548"/>
      <c r="D43" s="549"/>
      <c r="E43" s="548"/>
      <c r="F43" s="549"/>
      <c r="H43" s="635"/>
      <c r="I43" s="630" t="s">
        <v>837</v>
      </c>
      <c r="J43" s="550"/>
      <c r="K43" s="550"/>
      <c r="L43" s="550"/>
      <c r="M43" s="550"/>
      <c r="O43" s="552" t="s">
        <v>868</v>
      </c>
      <c r="P43" s="550"/>
      <c r="Q43" s="551"/>
      <c r="R43" s="550"/>
      <c r="S43" s="550"/>
    </row>
    <row r="44" spans="1:19">
      <c r="A44" s="637" t="s">
        <v>682</v>
      </c>
      <c r="B44" s="631" t="s">
        <v>993</v>
      </c>
      <c r="C44" s="548"/>
      <c r="D44" s="549"/>
      <c r="E44" s="548"/>
      <c r="F44" s="549"/>
      <c r="H44" s="635" t="s">
        <v>793</v>
      </c>
      <c r="I44" s="631" t="s">
        <v>994</v>
      </c>
      <c r="J44" s="550"/>
      <c r="K44" s="550"/>
      <c r="L44" s="550"/>
      <c r="M44" s="550"/>
      <c r="O44" s="552" t="s">
        <v>869</v>
      </c>
      <c r="P44" s="550"/>
      <c r="Q44" s="551"/>
      <c r="R44" s="550"/>
      <c r="S44" s="550"/>
    </row>
    <row r="45" spans="1:19">
      <c r="A45" s="637" t="s">
        <v>683</v>
      </c>
      <c r="B45" s="631" t="s">
        <v>995</v>
      </c>
      <c r="C45" s="548"/>
      <c r="D45" s="549"/>
      <c r="E45" s="548"/>
      <c r="F45" s="549"/>
      <c r="H45" s="635" t="s">
        <v>794</v>
      </c>
      <c r="I45" s="631" t="s">
        <v>996</v>
      </c>
      <c r="J45" s="550"/>
      <c r="K45" s="550"/>
      <c r="L45" s="550"/>
      <c r="M45" s="550"/>
      <c r="O45" s="573"/>
      <c r="P45" s="574"/>
      <c r="Q45" s="574"/>
      <c r="R45" s="574"/>
      <c r="S45" s="575"/>
    </row>
    <row r="46" spans="1:19">
      <c r="A46" s="637" t="s">
        <v>685</v>
      </c>
      <c r="B46" s="631" t="s">
        <v>997</v>
      </c>
      <c r="C46" s="548"/>
      <c r="D46" s="549"/>
      <c r="E46" s="548"/>
      <c r="F46" s="549"/>
      <c r="H46" s="635" t="s">
        <v>798</v>
      </c>
      <c r="I46" s="631" t="s">
        <v>998</v>
      </c>
      <c r="J46" s="550"/>
      <c r="K46" s="550"/>
      <c r="L46" s="550"/>
      <c r="M46" s="550"/>
      <c r="O46" s="573"/>
      <c r="P46" s="574"/>
      <c r="Q46" s="574"/>
      <c r="R46" s="574"/>
      <c r="S46" s="575"/>
    </row>
    <row r="47" spans="1:19">
      <c r="A47" s="637" t="s">
        <v>688</v>
      </c>
      <c r="B47" s="631" t="s">
        <v>999</v>
      </c>
      <c r="C47" s="548"/>
      <c r="D47" s="549"/>
      <c r="E47" s="548"/>
      <c r="F47" s="549"/>
      <c r="H47" s="635"/>
      <c r="I47" s="630" t="s">
        <v>838</v>
      </c>
      <c r="J47" s="550"/>
      <c r="K47" s="550"/>
      <c r="L47" s="550"/>
      <c r="M47" s="550"/>
      <c r="O47" s="576"/>
      <c r="P47" s="577"/>
      <c r="Q47" s="577"/>
      <c r="R47" s="577"/>
      <c r="S47" s="578"/>
    </row>
    <row r="48" spans="1:19">
      <c r="A48" s="637" t="s">
        <v>687</v>
      </c>
      <c r="B48" s="631" t="s">
        <v>1000</v>
      </c>
      <c r="C48" s="548"/>
      <c r="D48" s="549"/>
      <c r="E48" s="548"/>
      <c r="F48" s="549"/>
      <c r="H48" s="635" t="s">
        <v>802</v>
      </c>
      <c r="I48" s="631" t="s">
        <v>1001</v>
      </c>
      <c r="J48" s="550"/>
      <c r="K48" s="550"/>
      <c r="L48" s="550"/>
      <c r="M48" s="550"/>
      <c r="O48" s="579"/>
      <c r="P48" s="580"/>
      <c r="Q48" s="580"/>
      <c r="R48" s="580"/>
      <c r="S48" s="581"/>
    </row>
    <row r="49" spans="1:19">
      <c r="A49" s="637" t="s">
        <v>693</v>
      </c>
      <c r="B49" s="631" t="s">
        <v>1002</v>
      </c>
      <c r="C49" s="548"/>
      <c r="D49" s="549"/>
      <c r="E49" s="548"/>
      <c r="F49" s="549"/>
      <c r="H49" s="635"/>
      <c r="I49" s="631" t="s">
        <v>1003</v>
      </c>
      <c r="J49" s="550"/>
      <c r="K49" s="550"/>
      <c r="L49" s="550"/>
      <c r="M49" s="550"/>
      <c r="O49" s="579"/>
      <c r="P49" s="580"/>
      <c r="Q49" s="580"/>
      <c r="R49" s="580"/>
      <c r="S49" s="581"/>
    </row>
    <row r="50" spans="1:19">
      <c r="A50" s="637"/>
      <c r="B50" s="630" t="s">
        <v>1004</v>
      </c>
      <c r="C50" s="548"/>
      <c r="D50" s="549"/>
      <c r="E50" s="548"/>
      <c r="F50" s="549"/>
      <c r="H50" s="635" t="s">
        <v>810</v>
      </c>
      <c r="I50" s="631" t="s">
        <v>1005</v>
      </c>
      <c r="J50" s="550"/>
      <c r="K50" s="550"/>
      <c r="L50" s="550"/>
      <c r="M50" s="550"/>
      <c r="O50" s="579"/>
      <c r="P50" s="580"/>
      <c r="Q50" s="580"/>
      <c r="R50" s="580"/>
      <c r="S50" s="581"/>
    </row>
    <row r="51" spans="1:19">
      <c r="A51" s="637" t="s">
        <v>696</v>
      </c>
      <c r="B51" s="631" t="s">
        <v>1006</v>
      </c>
      <c r="C51" s="548"/>
      <c r="D51" s="549"/>
      <c r="E51" s="548"/>
      <c r="F51" s="549"/>
      <c r="H51" s="635"/>
      <c r="I51" s="630" t="s">
        <v>1007</v>
      </c>
      <c r="J51" s="550"/>
      <c r="K51" s="550"/>
      <c r="L51" s="550"/>
      <c r="M51" s="550"/>
      <c r="O51" s="579"/>
      <c r="P51" s="580"/>
      <c r="Q51" s="580"/>
      <c r="R51" s="580"/>
      <c r="S51" s="581"/>
    </row>
    <row r="52" spans="1:19">
      <c r="A52" s="637" t="s">
        <v>703</v>
      </c>
      <c r="B52" s="631" t="s">
        <v>1008</v>
      </c>
      <c r="C52" s="548"/>
      <c r="D52" s="549"/>
      <c r="E52" s="548"/>
      <c r="F52" s="549"/>
      <c r="H52" s="635" t="s">
        <v>811</v>
      </c>
      <c r="I52" s="630" t="s">
        <v>839</v>
      </c>
      <c r="J52" s="550"/>
      <c r="K52" s="550"/>
      <c r="L52" s="550"/>
      <c r="M52" s="550"/>
    </row>
    <row r="53" spans="1:19" ht="17.25" thickBot="1">
      <c r="A53" s="637"/>
      <c r="B53" s="630" t="s">
        <v>1009</v>
      </c>
      <c r="C53" s="548"/>
      <c r="D53" s="549"/>
      <c r="E53" s="548"/>
      <c r="F53" s="549"/>
      <c r="H53" s="636"/>
      <c r="I53" s="630" t="s">
        <v>1010</v>
      </c>
      <c r="J53" s="550"/>
      <c r="K53" s="550"/>
      <c r="L53" s="550"/>
      <c r="M53" s="550"/>
    </row>
    <row r="54" spans="1:19">
      <c r="A54" s="637"/>
      <c r="B54" s="630" t="s">
        <v>1011</v>
      </c>
      <c r="C54" s="548"/>
      <c r="D54" s="548"/>
      <c r="E54" s="548"/>
      <c r="F54" s="548"/>
      <c r="I54" s="545"/>
      <c r="J54" s="546"/>
      <c r="K54" s="582"/>
      <c r="L54" s="546"/>
      <c r="M54" s="582"/>
    </row>
    <row r="55" spans="1:19">
      <c r="A55" s="637"/>
      <c r="B55" s="630" t="s">
        <v>1012</v>
      </c>
      <c r="C55" s="548"/>
      <c r="D55" s="549"/>
      <c r="E55" s="548"/>
      <c r="F55" s="549"/>
      <c r="I55" s="553" t="s">
        <v>1013</v>
      </c>
      <c r="J55" s="583">
        <f>C15-E15</f>
        <v>0</v>
      </c>
      <c r="K55" s="584"/>
      <c r="L55" s="546"/>
      <c r="M55" s="546"/>
    </row>
    <row r="56" spans="1:19">
      <c r="A56" s="637" t="s">
        <v>704</v>
      </c>
      <c r="B56" s="631" t="s">
        <v>1014</v>
      </c>
      <c r="C56" s="548"/>
      <c r="D56" s="549"/>
      <c r="E56" s="548"/>
      <c r="F56" s="549"/>
      <c r="I56" s="553" t="s">
        <v>1015</v>
      </c>
      <c r="J56" s="583">
        <f>C17-E17</f>
        <v>0</v>
      </c>
      <c r="K56" s="582"/>
      <c r="L56" s="584"/>
      <c r="M56" s="582"/>
    </row>
    <row r="57" spans="1:19">
      <c r="A57" s="637"/>
      <c r="B57" s="630" t="s">
        <v>1016</v>
      </c>
      <c r="C57" s="548"/>
      <c r="D57" s="548"/>
      <c r="E57" s="548"/>
      <c r="F57" s="548"/>
      <c r="I57" s="553" t="s">
        <v>1017</v>
      </c>
      <c r="J57" s="583">
        <f>C20-E20</f>
        <v>0</v>
      </c>
      <c r="K57" s="577">
        <f>SUM(J56:J57)</f>
        <v>0</v>
      </c>
      <c r="L57" s="577"/>
      <c r="M57" s="577"/>
    </row>
    <row r="58" spans="1:19">
      <c r="A58" s="637"/>
      <c r="B58" s="630" t="s">
        <v>1018</v>
      </c>
      <c r="C58" s="548"/>
      <c r="D58" s="548"/>
      <c r="E58" s="548"/>
      <c r="F58" s="548"/>
      <c r="I58" s="576" t="s">
        <v>1019</v>
      </c>
      <c r="J58" s="580">
        <f>C25-E25</f>
        <v>0</v>
      </c>
      <c r="K58" s="580"/>
      <c r="L58" s="580"/>
      <c r="M58" s="580"/>
    </row>
    <row r="59" spans="1:19">
      <c r="A59" s="637" t="s">
        <v>1377</v>
      </c>
      <c r="B59" s="631" t="s">
        <v>1020</v>
      </c>
      <c r="C59" s="548"/>
      <c r="D59" s="548"/>
      <c r="E59" s="548"/>
      <c r="F59" s="548"/>
      <c r="I59" s="579" t="s">
        <v>1021</v>
      </c>
      <c r="J59" s="580">
        <f>C27-E27</f>
        <v>0</v>
      </c>
      <c r="K59" s="580"/>
      <c r="L59" s="580"/>
      <c r="M59" s="580"/>
    </row>
    <row r="60" spans="1:19">
      <c r="A60" s="637"/>
      <c r="B60" s="630" t="s">
        <v>1022</v>
      </c>
      <c r="C60" s="548"/>
      <c r="D60" s="548"/>
      <c r="E60" s="548"/>
      <c r="F60" s="548"/>
      <c r="I60" s="579" t="s">
        <v>1023</v>
      </c>
      <c r="J60" s="580">
        <f>C29-E29</f>
        <v>0</v>
      </c>
      <c r="K60" s="580"/>
      <c r="L60" s="580"/>
      <c r="M60" s="580"/>
    </row>
    <row r="61" spans="1:19">
      <c r="A61" s="637"/>
      <c r="B61" s="630" t="s">
        <v>1024</v>
      </c>
      <c r="C61" s="548"/>
      <c r="D61" s="644"/>
      <c r="E61" s="548"/>
      <c r="F61" s="644"/>
      <c r="I61" s="585" t="s">
        <v>1025</v>
      </c>
      <c r="J61" s="586">
        <f>C31-E31</f>
        <v>0</v>
      </c>
      <c r="K61" s="580" t="s">
        <v>1026</v>
      </c>
      <c r="L61" s="580"/>
      <c r="M61" s="580"/>
    </row>
    <row r="62" spans="1:19">
      <c r="A62" s="637" t="s">
        <v>714</v>
      </c>
      <c r="B62" s="630" t="s">
        <v>1027</v>
      </c>
      <c r="C62" s="548"/>
      <c r="D62" s="644"/>
      <c r="E62" s="548"/>
      <c r="F62" s="644"/>
      <c r="I62" s="579" t="s">
        <v>1028</v>
      </c>
      <c r="J62" s="580">
        <f>C33-E33</f>
        <v>0</v>
      </c>
      <c r="K62" s="580"/>
      <c r="L62" s="580"/>
      <c r="M62" s="580"/>
    </row>
    <row r="63" spans="1:19">
      <c r="A63" s="637"/>
      <c r="B63" s="630" t="s">
        <v>832</v>
      </c>
      <c r="C63" s="548"/>
      <c r="D63" s="548"/>
      <c r="E63" s="548"/>
      <c r="F63" s="548"/>
      <c r="I63" s="585" t="s">
        <v>1029</v>
      </c>
      <c r="J63" s="586">
        <f>C35-E35</f>
        <v>0</v>
      </c>
      <c r="K63" s="580" t="s">
        <v>1026</v>
      </c>
      <c r="L63" s="580"/>
      <c r="M63" s="580"/>
    </row>
    <row r="64" spans="1:19">
      <c r="A64" s="637"/>
      <c r="B64" s="630" t="s">
        <v>1030</v>
      </c>
      <c r="C64" s="548"/>
      <c r="D64" s="548"/>
      <c r="E64" s="548"/>
      <c r="F64" s="548"/>
      <c r="I64" s="579" t="s">
        <v>1031</v>
      </c>
      <c r="J64" s="580">
        <f>D51-F51</f>
        <v>0</v>
      </c>
      <c r="K64" s="580"/>
      <c r="L64" s="580"/>
      <c r="M64" s="580"/>
    </row>
    <row r="65" spans="1:13">
      <c r="A65" s="637"/>
      <c r="B65" s="630" t="s">
        <v>1032</v>
      </c>
      <c r="C65" s="548"/>
      <c r="D65" s="548"/>
      <c r="E65" s="548"/>
      <c r="F65" s="548"/>
      <c r="I65" s="579"/>
      <c r="J65" s="580"/>
      <c r="K65" s="580"/>
      <c r="L65" s="580"/>
      <c r="M65" s="580"/>
    </row>
    <row r="66" spans="1:13">
      <c r="A66" s="637"/>
      <c r="B66" s="630" t="s">
        <v>1033</v>
      </c>
      <c r="C66" s="548"/>
      <c r="D66" s="549"/>
      <c r="E66" s="548"/>
      <c r="F66" s="549"/>
      <c r="I66" s="579"/>
      <c r="J66" s="580"/>
      <c r="K66" s="580"/>
      <c r="L66" s="580"/>
      <c r="M66" s="580"/>
    </row>
    <row r="67" spans="1:13" ht="17.25" thickBot="1">
      <c r="A67" s="638"/>
      <c r="B67" s="630" t="s">
        <v>1034</v>
      </c>
      <c r="C67" s="548"/>
      <c r="D67" s="549"/>
      <c r="E67" s="548"/>
      <c r="F67" s="549"/>
      <c r="I67" s="579"/>
      <c r="J67" s="580"/>
      <c r="K67" s="580"/>
      <c r="L67" s="580"/>
      <c r="M67" s="580"/>
    </row>
    <row r="68" spans="1:13">
      <c r="B68" s="576"/>
      <c r="C68" s="587"/>
      <c r="D68" s="587"/>
      <c r="E68" s="587"/>
      <c r="F68" s="587"/>
      <c r="I68" s="579"/>
      <c r="J68" s="580"/>
      <c r="K68" s="580"/>
      <c r="L68" s="580"/>
      <c r="M68" s="580"/>
    </row>
    <row r="69" spans="1:13">
      <c r="B69" s="579"/>
      <c r="C69" s="588"/>
      <c r="D69" s="588"/>
      <c r="E69" s="588"/>
      <c r="F69" s="588"/>
      <c r="I69" s="579"/>
      <c r="J69" s="580"/>
      <c r="K69" s="580"/>
      <c r="L69" s="580"/>
      <c r="M69" s="580"/>
    </row>
    <row r="70" spans="1:13">
      <c r="B70" s="579"/>
      <c r="C70" s="588"/>
      <c r="D70" s="588"/>
      <c r="E70" s="588"/>
      <c r="F70" s="588"/>
      <c r="I70" s="579"/>
      <c r="J70" s="580"/>
      <c r="K70" s="580"/>
      <c r="L70" s="580"/>
      <c r="M70" s="580"/>
    </row>
    <row r="71" spans="1:13">
      <c r="B71" s="579"/>
      <c r="C71" s="588"/>
      <c r="D71" s="588"/>
      <c r="E71" s="588"/>
      <c r="F71" s="588"/>
      <c r="I71" s="579"/>
      <c r="J71" s="580"/>
      <c r="K71" s="580"/>
      <c r="L71" s="580"/>
      <c r="M71" s="580"/>
    </row>
    <row r="72" spans="1:13">
      <c r="B72" s="579"/>
      <c r="C72" s="588"/>
      <c r="D72" s="588"/>
      <c r="E72" s="588"/>
      <c r="F72" s="588"/>
      <c r="I72" s="579"/>
      <c r="J72" s="580"/>
      <c r="K72" s="580"/>
      <c r="L72" s="580"/>
      <c r="M72" s="580"/>
    </row>
    <row r="73" spans="1:13">
      <c r="B73" s="579"/>
      <c r="C73" s="588"/>
      <c r="D73" s="588"/>
      <c r="E73" s="588"/>
      <c r="F73" s="588"/>
      <c r="I73" s="579"/>
      <c r="J73" s="580"/>
      <c r="K73" s="580"/>
      <c r="L73" s="580"/>
      <c r="M73" s="580"/>
    </row>
    <row r="74" spans="1:13">
      <c r="B74" s="579"/>
      <c r="C74" s="588"/>
      <c r="D74" s="588"/>
      <c r="E74" s="588"/>
      <c r="F74" s="588"/>
      <c r="I74" s="579"/>
      <c r="J74" s="580"/>
      <c r="K74" s="580"/>
      <c r="L74" s="580"/>
      <c r="M74" s="580"/>
    </row>
    <row r="75" spans="1:13">
      <c r="B75" s="579"/>
      <c r="C75" s="588"/>
      <c r="D75" s="588"/>
      <c r="E75" s="588"/>
      <c r="F75" s="588"/>
      <c r="I75" s="579"/>
      <c r="J75" s="580"/>
      <c r="K75" s="580"/>
      <c r="L75" s="580"/>
      <c r="M75" s="580"/>
    </row>
    <row r="76" spans="1:13">
      <c r="B76" s="579"/>
      <c r="C76" s="588"/>
      <c r="D76" s="588"/>
      <c r="E76" s="588"/>
      <c r="F76" s="588"/>
      <c r="I76" s="579"/>
      <c r="J76" s="580"/>
      <c r="K76" s="580"/>
      <c r="L76" s="580"/>
      <c r="M76" s="580"/>
    </row>
    <row r="77" spans="1:13">
      <c r="B77" s="579"/>
      <c r="C77" s="588"/>
      <c r="D77" s="588"/>
      <c r="E77" s="588"/>
      <c r="F77" s="588"/>
      <c r="I77" s="579"/>
      <c r="J77" s="580"/>
      <c r="K77" s="580"/>
      <c r="L77" s="580"/>
      <c r="M77" s="580"/>
    </row>
    <row r="78" spans="1:13">
      <c r="B78" s="579"/>
      <c r="C78" s="588"/>
      <c r="D78" s="588"/>
      <c r="E78" s="588"/>
      <c r="F78" s="588"/>
      <c r="I78" s="579"/>
      <c r="J78" s="580"/>
      <c r="K78" s="580"/>
      <c r="L78" s="580"/>
      <c r="M78" s="580"/>
    </row>
    <row r="79" spans="1:13">
      <c r="B79" s="579"/>
      <c r="C79" s="588"/>
      <c r="D79" s="588"/>
      <c r="E79" s="588"/>
      <c r="F79" s="588"/>
      <c r="I79" s="579"/>
      <c r="J79" s="580"/>
      <c r="K79" s="580"/>
      <c r="L79" s="580"/>
      <c r="M79" s="580"/>
    </row>
    <row r="80" spans="1:13">
      <c r="B80" s="579"/>
      <c r="C80" s="588"/>
      <c r="D80" s="588"/>
      <c r="E80" s="588"/>
      <c r="F80" s="588"/>
      <c r="I80" s="579"/>
      <c r="J80" s="580"/>
      <c r="K80" s="580"/>
      <c r="L80" s="580"/>
      <c r="M80" s="580"/>
    </row>
    <row r="81" spans="2:13">
      <c r="B81" s="579"/>
      <c r="C81" s="588"/>
      <c r="D81" s="588"/>
      <c r="E81" s="588"/>
      <c r="F81" s="588"/>
      <c r="I81" s="579"/>
      <c r="J81" s="580"/>
      <c r="K81" s="580"/>
      <c r="L81" s="580"/>
      <c r="M81" s="580"/>
    </row>
    <row r="82" spans="2:13">
      <c r="B82" s="579"/>
      <c r="C82" s="588"/>
      <c r="D82" s="588"/>
      <c r="E82" s="588"/>
      <c r="F82" s="588"/>
      <c r="I82" s="579"/>
      <c r="J82" s="580"/>
      <c r="K82" s="580"/>
      <c r="L82" s="580"/>
      <c r="M82" s="580"/>
    </row>
    <row r="83" spans="2:13">
      <c r="B83" s="579"/>
      <c r="C83" s="588"/>
      <c r="D83" s="588"/>
      <c r="E83" s="588"/>
      <c r="F83" s="588"/>
      <c r="I83" s="579"/>
      <c r="J83" s="580"/>
      <c r="K83" s="580"/>
      <c r="L83" s="580"/>
      <c r="M83" s="580"/>
    </row>
    <row r="84" spans="2:13">
      <c r="B84" s="579"/>
      <c r="C84" s="588"/>
      <c r="D84" s="588"/>
      <c r="E84" s="588"/>
      <c r="F84" s="588"/>
      <c r="I84" s="579"/>
      <c r="J84" s="580"/>
      <c r="K84" s="580"/>
      <c r="L84" s="580"/>
      <c r="M84" s="580"/>
    </row>
    <row r="85" spans="2:13">
      <c r="I85" s="579"/>
      <c r="J85" s="580"/>
      <c r="K85" s="580"/>
      <c r="L85" s="580"/>
      <c r="M85" s="580"/>
    </row>
    <row r="86" spans="2:13">
      <c r="I86" s="579"/>
      <c r="J86" s="580"/>
      <c r="K86" s="580"/>
      <c r="L86" s="580"/>
      <c r="M86" s="580"/>
    </row>
    <row r="87" spans="2:13">
      <c r="I87" s="579"/>
      <c r="J87" s="580"/>
      <c r="K87" s="580"/>
      <c r="L87" s="580"/>
      <c r="M87" s="580"/>
    </row>
    <row r="88" spans="2:13">
      <c r="I88" s="579"/>
      <c r="J88" s="580"/>
      <c r="K88" s="580"/>
      <c r="L88" s="580"/>
      <c r="M88" s="580"/>
    </row>
    <row r="89" spans="2:13">
      <c r="I89" s="579"/>
      <c r="J89" s="580"/>
      <c r="K89" s="580"/>
      <c r="L89" s="580"/>
      <c r="M89" s="580"/>
    </row>
  </sheetData>
  <mergeCells count="15">
    <mergeCell ref="B2:B3"/>
    <mergeCell ref="C2:D2"/>
    <mergeCell ref="E2:F2"/>
    <mergeCell ref="I2:I3"/>
    <mergeCell ref="J2:K2"/>
    <mergeCell ref="O2:O3"/>
    <mergeCell ref="P2:Q2"/>
    <mergeCell ref="R2:S2"/>
    <mergeCell ref="C3:D3"/>
    <mergeCell ref="E3:F3"/>
    <mergeCell ref="J3:K3"/>
    <mergeCell ref="L3:M3"/>
    <mergeCell ref="P3:Q3"/>
    <mergeCell ref="R3:S3"/>
    <mergeCell ref="L2:M2"/>
  </mergeCells>
  <phoneticPr fontId="3" type="noConversion"/>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A2313-7C77-4784-B480-DE5C7DFA4352}">
  <sheetPr>
    <tabColor theme="8" tint="0.79998168889431442"/>
  </sheetPr>
  <dimension ref="A1:L88"/>
  <sheetViews>
    <sheetView topLeftCell="A39" workbookViewId="0">
      <selection activeCell="C57" sqref="C57"/>
    </sheetView>
  </sheetViews>
  <sheetFormatPr defaultRowHeight="16.5"/>
  <cols>
    <col min="1" max="1" width="28.875" style="543" customWidth="1"/>
    <col min="2" max="2" width="12.25" style="543" customWidth="1"/>
    <col min="3" max="3" width="14" style="543" customWidth="1"/>
    <col min="4" max="4" width="12.25" style="543" customWidth="1"/>
    <col min="5" max="5" width="14" style="543" customWidth="1"/>
    <col min="9" max="9" width="14.875" bestFit="1" customWidth="1"/>
    <col min="12" max="12" width="12.875" bestFit="1" customWidth="1"/>
  </cols>
  <sheetData>
    <row r="1" spans="1:9" ht="22.5">
      <c r="C1" s="1752" t="s">
        <v>3671</v>
      </c>
    </row>
    <row r="3" spans="1:9">
      <c r="C3" s="1753" t="s">
        <v>3672</v>
      </c>
    </row>
    <row r="5" spans="1:9">
      <c r="C5" s="1753" t="s">
        <v>3673</v>
      </c>
    </row>
    <row r="7" spans="1:9">
      <c r="A7" s="1754" t="s">
        <v>3613</v>
      </c>
      <c r="E7" s="1755" t="s">
        <v>3614</v>
      </c>
    </row>
    <row r="8" spans="1:9" ht="17.25" thickBot="1"/>
    <row r="9" spans="1:9" ht="17.25" thickBot="1">
      <c r="A9" s="1973" t="s">
        <v>3674</v>
      </c>
      <c r="B9" s="1974" t="s">
        <v>3675</v>
      </c>
      <c r="C9" s="1974"/>
      <c r="D9" s="1975" t="s">
        <v>3676</v>
      </c>
      <c r="E9" s="1975"/>
    </row>
    <row r="10" spans="1:9" ht="17.25" thickBot="1">
      <c r="A10" s="1973"/>
      <c r="B10" s="1976" t="s">
        <v>541</v>
      </c>
      <c r="C10" s="1976"/>
      <c r="D10" s="1977" t="s">
        <v>541</v>
      </c>
      <c r="E10" s="1977"/>
      <c r="H10" s="1770" t="s">
        <v>486</v>
      </c>
      <c r="I10" s="1771" t="s">
        <v>3751</v>
      </c>
    </row>
    <row r="11" spans="1:9">
      <c r="A11" s="1756" t="s">
        <v>3677</v>
      </c>
      <c r="B11" s="1742"/>
      <c r="C11" s="1742"/>
      <c r="D11" s="1757"/>
      <c r="E11" s="1743"/>
      <c r="H11" s="1772"/>
      <c r="I11" s="1773"/>
    </row>
    <row r="12" spans="1:9">
      <c r="A12" s="1756" t="s">
        <v>3678</v>
      </c>
      <c r="B12" s="1742"/>
      <c r="C12" s="1742">
        <v>2658778533</v>
      </c>
      <c r="D12" s="1757"/>
      <c r="E12" s="1743">
        <v>16611573134</v>
      </c>
      <c r="H12" s="1772"/>
      <c r="I12" s="1773"/>
    </row>
    <row r="13" spans="1:9">
      <c r="A13" s="1756" t="s">
        <v>3679</v>
      </c>
      <c r="B13" s="1742"/>
      <c r="C13" s="1742">
        <v>2658778533</v>
      </c>
      <c r="D13" s="1757"/>
      <c r="E13" s="1743">
        <v>16611573134</v>
      </c>
      <c r="H13" s="1772"/>
      <c r="I13" s="1773"/>
    </row>
    <row r="14" spans="1:9">
      <c r="A14" s="1758" t="s">
        <v>3680</v>
      </c>
      <c r="B14" s="1746"/>
      <c r="C14" s="1746">
        <v>677182600</v>
      </c>
      <c r="D14" s="1746"/>
      <c r="E14" s="1759">
        <v>15100984480</v>
      </c>
      <c r="H14" s="1772" t="s">
        <v>624</v>
      </c>
      <c r="I14" s="1774">
        <f>C14</f>
        <v>677182600</v>
      </c>
    </row>
    <row r="15" spans="1:9">
      <c r="A15" s="1758" t="s">
        <v>3681</v>
      </c>
      <c r="B15" s="1746"/>
      <c r="C15" s="1746">
        <v>1000000000</v>
      </c>
      <c r="D15" s="1746"/>
      <c r="E15" s="1759">
        <v>0</v>
      </c>
      <c r="H15" s="1772" t="s">
        <v>627</v>
      </c>
      <c r="I15" s="1774">
        <f>C15</f>
        <v>1000000000</v>
      </c>
    </row>
    <row r="16" spans="1:9">
      <c r="A16" s="1758" t="s">
        <v>3682</v>
      </c>
      <c r="B16" s="1746"/>
      <c r="C16" s="1746">
        <v>8344109</v>
      </c>
      <c r="D16" s="1746"/>
      <c r="E16" s="1759">
        <v>56426170</v>
      </c>
      <c r="H16" s="1772" t="s">
        <v>630</v>
      </c>
      <c r="I16" s="1774">
        <f t="shared" ref="I16:I78" si="0">C16</f>
        <v>8344109</v>
      </c>
    </row>
    <row r="17" spans="1:12">
      <c r="A17" s="1758" t="s">
        <v>3683</v>
      </c>
      <c r="B17" s="1746"/>
      <c r="C17" s="1746">
        <v>283494990</v>
      </c>
      <c r="D17" s="1746"/>
      <c r="E17" s="1759">
        <v>7919980</v>
      </c>
      <c r="H17" s="1772" t="s">
        <v>632</v>
      </c>
      <c r="I17" s="1774">
        <f t="shared" si="0"/>
        <v>283494990</v>
      </c>
    </row>
    <row r="18" spans="1:12">
      <c r="A18" s="1758" t="s">
        <v>3684</v>
      </c>
      <c r="B18" s="1746">
        <v>836100000</v>
      </c>
      <c r="C18" s="1746"/>
      <c r="D18" s="1746">
        <v>564300000</v>
      </c>
      <c r="E18" s="1759"/>
      <c r="H18" s="1772" t="s">
        <v>634</v>
      </c>
      <c r="I18" s="1774">
        <f>B18</f>
        <v>836100000</v>
      </c>
    </row>
    <row r="19" spans="1:12">
      <c r="A19" s="1758" t="s">
        <v>3685</v>
      </c>
      <c r="B19" s="1747">
        <v>564300000</v>
      </c>
      <c r="C19" s="1746"/>
      <c r="D19" s="1747">
        <v>564300000</v>
      </c>
      <c r="E19" s="1759"/>
      <c r="H19" s="1772" t="s">
        <v>635</v>
      </c>
      <c r="I19" s="1774">
        <f>-B19</f>
        <v>-564300000</v>
      </c>
    </row>
    <row r="20" spans="1:12">
      <c r="A20" s="1758" t="s">
        <v>3686</v>
      </c>
      <c r="B20" s="1746"/>
      <c r="C20" s="1746">
        <v>0</v>
      </c>
      <c r="D20" s="1746"/>
      <c r="E20" s="1759">
        <v>30000000</v>
      </c>
      <c r="H20" s="1772" t="s">
        <v>636</v>
      </c>
      <c r="I20" s="1774">
        <f t="shared" si="0"/>
        <v>0</v>
      </c>
    </row>
    <row r="21" spans="1:12">
      <c r="A21" s="1758" t="s">
        <v>3687</v>
      </c>
      <c r="B21" s="1746"/>
      <c r="C21" s="1746">
        <v>415346404</v>
      </c>
      <c r="D21" s="1746"/>
      <c r="E21" s="1759">
        <v>226840853</v>
      </c>
      <c r="H21" s="1772" t="s">
        <v>639</v>
      </c>
      <c r="I21" s="1774">
        <f t="shared" si="0"/>
        <v>415346404</v>
      </c>
    </row>
    <row r="22" spans="1:12">
      <c r="A22" s="1758" t="s">
        <v>3688</v>
      </c>
      <c r="B22" s="1746"/>
      <c r="C22" s="1746">
        <v>2610430</v>
      </c>
      <c r="D22" s="1746"/>
      <c r="E22" s="1759">
        <v>401651</v>
      </c>
      <c r="H22" s="1772" t="s">
        <v>641</v>
      </c>
      <c r="I22" s="1774">
        <f t="shared" si="0"/>
        <v>2610430</v>
      </c>
    </row>
    <row r="23" spans="1:12">
      <c r="A23" s="1758" t="s">
        <v>3689</v>
      </c>
      <c r="B23" s="1746"/>
      <c r="C23" s="1746">
        <v>0</v>
      </c>
      <c r="D23" s="1746"/>
      <c r="E23" s="1759">
        <v>1189000000</v>
      </c>
      <c r="H23" s="1772" t="s">
        <v>637</v>
      </c>
      <c r="I23" s="1774">
        <f t="shared" si="0"/>
        <v>0</v>
      </c>
      <c r="L23" s="1864"/>
    </row>
    <row r="24" spans="1:12">
      <c r="A24" s="1756" t="s">
        <v>3690</v>
      </c>
      <c r="B24" s="1742"/>
      <c r="C24" s="1742">
        <v>0</v>
      </c>
      <c r="D24" s="1757"/>
      <c r="E24" s="1743">
        <v>0</v>
      </c>
      <c r="H24" s="1772"/>
      <c r="I24" s="1774"/>
    </row>
    <row r="25" spans="1:12">
      <c r="A25" s="1758" t="s">
        <v>3691</v>
      </c>
      <c r="B25" s="1746">
        <v>22402866</v>
      </c>
      <c r="C25" s="1746"/>
      <c r="D25" s="1746">
        <v>22402866</v>
      </c>
      <c r="E25" s="1759"/>
      <c r="H25" s="1772" t="s">
        <v>649</v>
      </c>
      <c r="I25" s="1774">
        <f>B25</f>
        <v>22402866</v>
      </c>
    </row>
    <row r="26" spans="1:12">
      <c r="A26" s="1758" t="s">
        <v>3692</v>
      </c>
      <c r="B26" s="1747">
        <v>22402866</v>
      </c>
      <c r="C26" s="1746"/>
      <c r="D26" s="1747">
        <v>22402866</v>
      </c>
      <c r="E26" s="1759"/>
      <c r="H26" s="1772" t="s">
        <v>650</v>
      </c>
      <c r="I26" s="1774">
        <f>-B26</f>
        <v>-22402866</v>
      </c>
    </row>
    <row r="27" spans="1:12">
      <c r="A27" s="1758" t="s">
        <v>3693</v>
      </c>
      <c r="B27" s="1746">
        <v>1451631047</v>
      </c>
      <c r="C27" s="1746"/>
      <c r="D27" s="1746">
        <v>2009452586</v>
      </c>
      <c r="E27" s="1759"/>
      <c r="H27" s="1772" t="s">
        <v>652</v>
      </c>
      <c r="I27" s="1774">
        <f>B27</f>
        <v>1451631047</v>
      </c>
    </row>
    <row r="28" spans="1:12">
      <c r="A28" s="1758" t="s">
        <v>3694</v>
      </c>
      <c r="B28" s="1747">
        <v>1451631047</v>
      </c>
      <c r="C28" s="1746"/>
      <c r="D28" s="1747">
        <v>2009452586</v>
      </c>
      <c r="E28" s="1759"/>
      <c r="H28" s="1775" t="s">
        <v>2541</v>
      </c>
      <c r="I28" s="1774">
        <f>-B28</f>
        <v>-1451631047</v>
      </c>
    </row>
    <row r="29" spans="1:12">
      <c r="A29" s="1756" t="s">
        <v>3695</v>
      </c>
      <c r="B29" s="1742"/>
      <c r="C29" s="1742">
        <v>8080134954</v>
      </c>
      <c r="D29" s="1757"/>
      <c r="E29" s="1743">
        <v>9285791822</v>
      </c>
      <c r="H29" s="1772"/>
      <c r="I29" s="1774"/>
    </row>
    <row r="30" spans="1:12">
      <c r="A30" s="1756" t="s">
        <v>3696</v>
      </c>
      <c r="B30" s="1742"/>
      <c r="C30" s="1742">
        <v>0</v>
      </c>
      <c r="D30" s="1757"/>
      <c r="E30" s="1743">
        <v>0</v>
      </c>
      <c r="H30" s="1772"/>
      <c r="I30" s="1774">
        <f t="shared" si="0"/>
        <v>0</v>
      </c>
    </row>
    <row r="31" spans="1:12">
      <c r="A31" s="1756" t="s">
        <v>3697</v>
      </c>
      <c r="B31" s="1742"/>
      <c r="C31" s="1742">
        <v>582442790</v>
      </c>
      <c r="D31" s="1757"/>
      <c r="E31" s="1743">
        <v>736605984</v>
      </c>
      <c r="H31" s="1772"/>
      <c r="I31" s="1774">
        <f t="shared" si="0"/>
        <v>582442790</v>
      </c>
    </row>
    <row r="32" spans="1:12">
      <c r="A32" s="1758" t="s">
        <v>3698</v>
      </c>
      <c r="B32" s="1746">
        <v>2205763514</v>
      </c>
      <c r="C32" s="1746"/>
      <c r="D32" s="1746">
        <v>2205763514</v>
      </c>
      <c r="E32" s="1759"/>
      <c r="H32" s="1772" t="s">
        <v>655</v>
      </c>
      <c r="I32" s="1774">
        <f>B32</f>
        <v>2205763514</v>
      </c>
    </row>
    <row r="33" spans="1:9">
      <c r="A33" s="1758" t="s">
        <v>3699</v>
      </c>
      <c r="B33" s="1747">
        <v>1673360452</v>
      </c>
      <c r="C33" s="1746">
        <v>532403062</v>
      </c>
      <c r="D33" s="1747">
        <v>1556567606</v>
      </c>
      <c r="E33" s="1759">
        <v>649195908</v>
      </c>
      <c r="H33" s="1772" t="s">
        <v>656</v>
      </c>
      <c r="I33" s="1774">
        <f>-B33</f>
        <v>-1673360452</v>
      </c>
    </row>
    <row r="34" spans="1:9">
      <c r="A34" s="1758" t="s">
        <v>3700</v>
      </c>
      <c r="B34" s="1746">
        <v>927664055</v>
      </c>
      <c r="C34" s="1746"/>
      <c r="D34" s="1746">
        <v>927664055</v>
      </c>
      <c r="E34" s="1759"/>
      <c r="H34" s="1772" t="s">
        <v>665</v>
      </c>
      <c r="I34" s="1774">
        <f>B34</f>
        <v>927664055</v>
      </c>
    </row>
    <row r="35" spans="1:9">
      <c r="A35" s="1758" t="s">
        <v>3699</v>
      </c>
      <c r="B35" s="1747">
        <v>910698842</v>
      </c>
      <c r="C35" s="1746">
        <v>16965213</v>
      </c>
      <c r="D35" s="1747">
        <v>906402009</v>
      </c>
      <c r="E35" s="1759">
        <v>21262046</v>
      </c>
      <c r="H35" s="1772" t="s">
        <v>666</v>
      </c>
      <c r="I35" s="1774">
        <f>-B35</f>
        <v>-910698842</v>
      </c>
    </row>
    <row r="36" spans="1:9">
      <c r="A36" s="1758" t="s">
        <v>3701</v>
      </c>
      <c r="B36" s="1746">
        <v>661480300</v>
      </c>
      <c r="C36" s="1746"/>
      <c r="D36" s="1746">
        <v>661480300</v>
      </c>
      <c r="E36" s="1759"/>
      <c r="H36" s="1772" t="s">
        <v>2517</v>
      </c>
      <c r="I36" s="1774">
        <f>B36</f>
        <v>661480300</v>
      </c>
    </row>
    <row r="37" spans="1:9">
      <c r="A37" s="1758" t="s">
        <v>3699</v>
      </c>
      <c r="B37" s="1747">
        <v>628405785</v>
      </c>
      <c r="C37" s="1746">
        <v>33074515</v>
      </c>
      <c r="D37" s="1747">
        <v>595332270</v>
      </c>
      <c r="E37" s="1759">
        <v>66148030</v>
      </c>
      <c r="H37" s="1772" t="s">
        <v>2519</v>
      </c>
      <c r="I37" s="1774">
        <f>-B37</f>
        <v>-628405785</v>
      </c>
    </row>
    <row r="38" spans="1:9">
      <c r="A38" s="1756" t="s">
        <v>3702</v>
      </c>
      <c r="B38" s="1742"/>
      <c r="C38" s="1742">
        <v>5744689888</v>
      </c>
      <c r="D38" s="1757"/>
      <c r="E38" s="1743">
        <v>6434208125</v>
      </c>
      <c r="H38" s="1772"/>
      <c r="I38" s="1774"/>
    </row>
    <row r="39" spans="1:9">
      <c r="A39" s="1758" t="s">
        <v>3703</v>
      </c>
      <c r="B39" s="1746"/>
      <c r="C39" s="1746">
        <v>10409738</v>
      </c>
      <c r="D39" s="1746"/>
      <c r="E39" s="1759">
        <v>11691112</v>
      </c>
      <c r="H39" s="1772" t="s">
        <v>675</v>
      </c>
      <c r="I39" s="1774">
        <f t="shared" si="0"/>
        <v>10409738</v>
      </c>
    </row>
    <row r="40" spans="1:9">
      <c r="A40" s="1758" t="s">
        <v>3704</v>
      </c>
      <c r="B40" s="1746"/>
      <c r="C40" s="1746">
        <v>38294058</v>
      </c>
      <c r="D40" s="1746"/>
      <c r="E40" s="1759">
        <v>38294058</v>
      </c>
      <c r="H40" s="1772" t="s">
        <v>3765</v>
      </c>
      <c r="I40" s="1774">
        <f t="shared" si="0"/>
        <v>38294058</v>
      </c>
    </row>
    <row r="41" spans="1:9">
      <c r="A41" s="1758" t="s">
        <v>3705</v>
      </c>
      <c r="B41" s="1746"/>
      <c r="C41" s="1746">
        <v>5628405039</v>
      </c>
      <c r="D41" s="1746"/>
      <c r="E41" s="1759">
        <v>6313363902</v>
      </c>
      <c r="H41" s="1772" t="s">
        <v>677</v>
      </c>
      <c r="I41" s="1774">
        <f t="shared" si="0"/>
        <v>5628405039</v>
      </c>
    </row>
    <row r="42" spans="1:9">
      <c r="A42" s="1758" t="s">
        <v>3706</v>
      </c>
      <c r="B42" s="1746"/>
      <c r="C42" s="1746">
        <v>21223133</v>
      </c>
      <c r="D42" s="1746"/>
      <c r="E42" s="1759">
        <v>24501133</v>
      </c>
      <c r="H42" s="1772" t="s">
        <v>678</v>
      </c>
      <c r="I42" s="1774">
        <f t="shared" si="0"/>
        <v>21223133</v>
      </c>
    </row>
    <row r="43" spans="1:9">
      <c r="A43" s="1758" t="s">
        <v>3707</v>
      </c>
      <c r="B43" s="1746"/>
      <c r="C43" s="1746">
        <v>46357920</v>
      </c>
      <c r="D43" s="1746"/>
      <c r="E43" s="1759">
        <v>46357920</v>
      </c>
      <c r="H43" s="1772" t="s">
        <v>3763</v>
      </c>
      <c r="I43" s="1774">
        <f t="shared" si="0"/>
        <v>46357920</v>
      </c>
    </row>
    <row r="44" spans="1:9">
      <c r="A44" s="1756" t="s">
        <v>3708</v>
      </c>
      <c r="B44" s="1742"/>
      <c r="C44" s="1742">
        <v>1753002276</v>
      </c>
      <c r="D44" s="1757"/>
      <c r="E44" s="1743">
        <v>2114977713</v>
      </c>
      <c r="H44" s="1772"/>
      <c r="I44" s="1774"/>
    </row>
    <row r="45" spans="1:9">
      <c r="A45" s="1758" t="s">
        <v>3709</v>
      </c>
      <c r="B45" s="1746">
        <v>400000000</v>
      </c>
      <c r="C45" s="1746"/>
      <c r="D45" s="1746">
        <v>400000000</v>
      </c>
      <c r="E45" s="1759"/>
      <c r="H45" s="1772" t="s">
        <v>679</v>
      </c>
      <c r="I45" s="1774">
        <f>B45</f>
        <v>400000000</v>
      </c>
    </row>
    <row r="46" spans="1:9">
      <c r="A46" s="1758" t="s">
        <v>3710</v>
      </c>
      <c r="B46" s="1747">
        <v>79029697</v>
      </c>
      <c r="C46" s="1746">
        <v>320970303</v>
      </c>
      <c r="D46" s="1747">
        <v>91258421</v>
      </c>
      <c r="E46" s="1759">
        <v>308741579</v>
      </c>
      <c r="H46" s="1772" t="s">
        <v>2653</v>
      </c>
      <c r="I46" s="1774">
        <f>-B46</f>
        <v>-79029697</v>
      </c>
    </row>
    <row r="47" spans="1:9">
      <c r="A47" s="1758" t="s">
        <v>3711</v>
      </c>
      <c r="B47" s="1746"/>
      <c r="C47" s="1746">
        <v>466873197</v>
      </c>
      <c r="D47" s="1746"/>
      <c r="E47" s="1759">
        <v>466873197</v>
      </c>
      <c r="H47" s="1772" t="s">
        <v>3772</v>
      </c>
      <c r="I47" s="1774">
        <f t="shared" si="0"/>
        <v>466873197</v>
      </c>
    </row>
    <row r="48" spans="1:9">
      <c r="A48" s="1758" t="s">
        <v>3712</v>
      </c>
      <c r="B48" s="1746">
        <v>9725000</v>
      </c>
      <c r="C48" s="1746"/>
      <c r="D48" s="1746">
        <v>73496000</v>
      </c>
      <c r="E48" s="1759"/>
      <c r="H48" s="1772" t="s">
        <v>680</v>
      </c>
      <c r="I48" s="1774">
        <f>B48</f>
        <v>9725000</v>
      </c>
    </row>
    <row r="49" spans="1:9">
      <c r="A49" s="1758" t="s">
        <v>3713</v>
      </c>
      <c r="B49" s="1747">
        <v>1736084</v>
      </c>
      <c r="C49" s="1746">
        <v>7988916</v>
      </c>
      <c r="D49" s="1747">
        <v>12564240</v>
      </c>
      <c r="E49" s="1759">
        <v>60931760</v>
      </c>
      <c r="H49" s="1772" t="s">
        <v>3769</v>
      </c>
      <c r="I49" s="1774">
        <f>-B49</f>
        <v>-1736084</v>
      </c>
    </row>
    <row r="50" spans="1:9" ht="17.25" thickBot="1">
      <c r="A50" s="1760" t="s">
        <v>3714</v>
      </c>
      <c r="B50" s="1761">
        <v>3075052951</v>
      </c>
      <c r="C50" s="1761"/>
      <c r="D50" s="1761">
        <v>3075052951</v>
      </c>
      <c r="E50" s="1762"/>
      <c r="H50" s="1772" t="s">
        <v>672</v>
      </c>
      <c r="I50" s="1774">
        <f>B50</f>
        <v>3075052951</v>
      </c>
    </row>
    <row r="51" spans="1:9">
      <c r="A51" s="1758" t="s">
        <v>3716</v>
      </c>
      <c r="B51" s="1747">
        <v>2142503459</v>
      </c>
      <c r="C51" s="1746">
        <v>932549492</v>
      </c>
      <c r="D51" s="1747">
        <v>1977935903</v>
      </c>
      <c r="E51" s="1759">
        <v>1097117048</v>
      </c>
      <c r="H51" s="1772" t="s">
        <v>673</v>
      </c>
      <c r="I51" s="1774">
        <f>-B51</f>
        <v>-2142503459</v>
      </c>
    </row>
    <row r="52" spans="1:9">
      <c r="A52" s="1758" t="s">
        <v>3717</v>
      </c>
      <c r="B52" s="1746">
        <v>42206348</v>
      </c>
      <c r="C52" s="1746"/>
      <c r="D52" s="1746">
        <v>352792815</v>
      </c>
      <c r="E52" s="1759"/>
      <c r="H52" s="1772" t="s">
        <v>672</v>
      </c>
      <c r="I52" s="1774">
        <f>B52</f>
        <v>42206348</v>
      </c>
    </row>
    <row r="53" spans="1:9">
      <c r="A53" s="1758" t="s">
        <v>3718</v>
      </c>
      <c r="B53" s="1747">
        <v>17585980</v>
      </c>
      <c r="C53" s="1746">
        <v>24620368</v>
      </c>
      <c r="D53" s="1747">
        <v>171478686</v>
      </c>
      <c r="E53" s="1759">
        <v>181314129</v>
      </c>
      <c r="H53" s="1772" t="s">
        <v>673</v>
      </c>
      <c r="I53" s="1774">
        <f>-B53</f>
        <v>-17585980</v>
      </c>
    </row>
    <row r="54" spans="1:9">
      <c r="A54" s="1756" t="s">
        <v>3719</v>
      </c>
      <c r="B54" s="1742"/>
      <c r="C54" s="1742">
        <v>10738913487</v>
      </c>
      <c r="D54" s="1757"/>
      <c r="E54" s="1743">
        <v>25897364956</v>
      </c>
      <c r="H54" s="1772"/>
      <c r="I54" s="1774">
        <f t="shared" si="0"/>
        <v>10738913487</v>
      </c>
    </row>
    <row r="55" spans="1:9">
      <c r="A55" s="1756" t="s">
        <v>3720</v>
      </c>
      <c r="B55" s="1742"/>
      <c r="C55" s="1742"/>
      <c r="D55" s="1757"/>
      <c r="E55" s="1743"/>
      <c r="H55" s="1772"/>
      <c r="I55" s="1774"/>
    </row>
    <row r="56" spans="1:9">
      <c r="A56" s="1756" t="s">
        <v>3721</v>
      </c>
      <c r="B56" s="1742"/>
      <c r="C56" s="1742">
        <v>9388591014</v>
      </c>
      <c r="D56" s="1757"/>
      <c r="E56" s="1743">
        <v>18667945790</v>
      </c>
      <c r="H56" s="1772"/>
      <c r="I56" s="1774">
        <f t="shared" si="0"/>
        <v>9388591014</v>
      </c>
    </row>
    <row r="57" spans="1:9">
      <c r="A57" s="1758" t="s">
        <v>3722</v>
      </c>
      <c r="B57" s="1746"/>
      <c r="C57" s="1746">
        <v>4135910170</v>
      </c>
      <c r="D57" s="1746"/>
      <c r="E57" s="1759">
        <v>11945167133</v>
      </c>
      <c r="H57" s="1772" t="s">
        <v>682</v>
      </c>
      <c r="I57" s="1774">
        <f t="shared" si="0"/>
        <v>4135910170</v>
      </c>
    </row>
    <row r="58" spans="1:9">
      <c r="A58" s="1758" t="s">
        <v>3723</v>
      </c>
      <c r="B58" s="1746"/>
      <c r="C58" s="1746">
        <v>0</v>
      </c>
      <c r="D58" s="1746"/>
      <c r="E58" s="1759">
        <v>157643783</v>
      </c>
      <c r="H58" s="1772"/>
      <c r="I58" s="1774">
        <f t="shared" si="0"/>
        <v>0</v>
      </c>
    </row>
    <row r="59" spans="1:9">
      <c r="A59" s="1758" t="s">
        <v>3724</v>
      </c>
      <c r="B59" s="1746"/>
      <c r="C59" s="1746">
        <v>4747430895</v>
      </c>
      <c r="D59" s="1746"/>
      <c r="E59" s="1759">
        <v>4823034767</v>
      </c>
      <c r="H59" s="1772" t="s">
        <v>685</v>
      </c>
      <c r="I59" s="1774">
        <f t="shared" si="0"/>
        <v>4747430895</v>
      </c>
    </row>
    <row r="60" spans="1:9">
      <c r="A60" s="1758" t="s">
        <v>3725</v>
      </c>
      <c r="B60" s="1746"/>
      <c r="C60" s="1746">
        <v>0</v>
      </c>
      <c r="D60" s="1746"/>
      <c r="E60" s="1759">
        <v>1077000000</v>
      </c>
      <c r="H60" s="1772"/>
      <c r="I60" s="1774">
        <f t="shared" si="0"/>
        <v>0</v>
      </c>
    </row>
    <row r="61" spans="1:9">
      <c r="A61" s="1758" t="s">
        <v>3726</v>
      </c>
      <c r="B61" s="1746"/>
      <c r="C61" s="1746">
        <v>143171601</v>
      </c>
      <c r="D61" s="1746"/>
      <c r="E61" s="1759">
        <v>269634803</v>
      </c>
      <c r="H61" s="1772" t="s">
        <v>687</v>
      </c>
      <c r="I61" s="1774">
        <f t="shared" si="0"/>
        <v>143171601</v>
      </c>
    </row>
    <row r="62" spans="1:9">
      <c r="A62" s="1758" t="s">
        <v>3727</v>
      </c>
      <c r="B62" s="1746"/>
      <c r="C62" s="1746">
        <v>362078348</v>
      </c>
      <c r="D62" s="1746"/>
      <c r="E62" s="1759">
        <v>395465304</v>
      </c>
      <c r="H62" s="1772" t="s">
        <v>693</v>
      </c>
      <c r="I62" s="1774">
        <f t="shared" si="0"/>
        <v>362078348</v>
      </c>
    </row>
    <row r="63" spans="1:9">
      <c r="A63" s="1756" t="s">
        <v>3728</v>
      </c>
      <c r="B63" s="1742"/>
      <c r="C63" s="1742">
        <v>1113355079</v>
      </c>
      <c r="D63" s="1757"/>
      <c r="E63" s="1743">
        <v>1388796709</v>
      </c>
      <c r="H63" s="1772"/>
      <c r="I63" s="1774">
        <f t="shared" si="0"/>
        <v>1113355079</v>
      </c>
    </row>
    <row r="64" spans="1:9">
      <c r="A64" s="1758" t="s">
        <v>3729</v>
      </c>
      <c r="B64" s="1746">
        <v>339690000</v>
      </c>
      <c r="C64" s="1746"/>
      <c r="D64" s="1746">
        <v>339690000</v>
      </c>
      <c r="E64" s="1759"/>
      <c r="H64" s="1772" t="s">
        <v>3782</v>
      </c>
      <c r="I64" s="1774">
        <f>B64</f>
        <v>339690000</v>
      </c>
    </row>
    <row r="65" spans="1:10">
      <c r="A65" s="1758" t="s">
        <v>3730</v>
      </c>
      <c r="B65" s="1746">
        <v>77758201</v>
      </c>
      <c r="C65" s="1746">
        <v>417448201</v>
      </c>
      <c r="D65" s="1746">
        <v>77090898</v>
      </c>
      <c r="E65" s="1759">
        <v>416780898</v>
      </c>
      <c r="H65" s="1772" t="s">
        <v>3786</v>
      </c>
      <c r="I65" s="1774">
        <f>B65</f>
        <v>77758201</v>
      </c>
    </row>
    <row r="66" spans="1:10">
      <c r="A66" s="1758" t="s">
        <v>3731</v>
      </c>
      <c r="B66" s="1747">
        <v>39995101</v>
      </c>
      <c r="C66" s="1746">
        <v>-39995101</v>
      </c>
      <c r="D66" s="1747">
        <v>54455704</v>
      </c>
      <c r="E66" s="1759">
        <v>-54455704</v>
      </c>
      <c r="H66" s="1772" t="s">
        <v>3784</v>
      </c>
      <c r="I66" s="1774">
        <f>-B66</f>
        <v>-39995101</v>
      </c>
      <c r="J66" t="s">
        <v>3775</v>
      </c>
    </row>
    <row r="67" spans="1:10">
      <c r="A67" s="1758" t="s">
        <v>3732</v>
      </c>
      <c r="B67" s="1746"/>
      <c r="C67" s="1746">
        <v>735901979</v>
      </c>
      <c r="D67" s="1746"/>
      <c r="E67" s="1759">
        <v>1026471515</v>
      </c>
      <c r="H67" s="1772" t="s">
        <v>703</v>
      </c>
      <c r="I67" s="1774">
        <f t="shared" si="0"/>
        <v>735901979</v>
      </c>
    </row>
    <row r="68" spans="1:10">
      <c r="A68" s="1756" t="s">
        <v>3733</v>
      </c>
      <c r="B68" s="1742"/>
      <c r="C68" s="1742">
        <v>10501946093</v>
      </c>
      <c r="D68" s="1757"/>
      <c r="E68" s="1743">
        <v>20056742499</v>
      </c>
      <c r="H68" s="1772"/>
      <c r="I68" s="1774">
        <f t="shared" si="0"/>
        <v>10501946093</v>
      </c>
    </row>
    <row r="69" spans="1:10">
      <c r="A69" s="1756" t="s">
        <v>3734</v>
      </c>
      <c r="B69" s="1742"/>
      <c r="C69" s="1742"/>
      <c r="D69" s="1757"/>
      <c r="E69" s="1743"/>
      <c r="H69" s="1772"/>
      <c r="I69" s="1774"/>
    </row>
    <row r="70" spans="1:10">
      <c r="A70" s="1756" t="s">
        <v>3735</v>
      </c>
      <c r="B70" s="1742"/>
      <c r="C70" s="1742">
        <v>16655228500</v>
      </c>
      <c r="D70" s="1757"/>
      <c r="E70" s="1743">
        <v>16655228500</v>
      </c>
      <c r="H70" s="1772"/>
      <c r="I70" s="1774">
        <f t="shared" si="0"/>
        <v>16655228500</v>
      </c>
    </row>
    <row r="71" spans="1:10">
      <c r="A71" s="1758" t="s">
        <v>3736</v>
      </c>
      <c r="B71" s="1746"/>
      <c r="C71" s="1746">
        <v>16602728500</v>
      </c>
      <c r="D71" s="1746"/>
      <c r="E71" s="1759">
        <v>16602728500</v>
      </c>
      <c r="H71" s="1772" t="s">
        <v>704</v>
      </c>
      <c r="I71" s="1774">
        <f t="shared" si="0"/>
        <v>16602728500</v>
      </c>
    </row>
    <row r="72" spans="1:10">
      <c r="A72" s="1758" t="s">
        <v>3737</v>
      </c>
      <c r="B72" s="1746"/>
      <c r="C72" s="1746">
        <v>52500000</v>
      </c>
      <c r="D72" s="1746"/>
      <c r="E72" s="1759">
        <v>52500000</v>
      </c>
      <c r="H72" s="1772" t="s">
        <v>705</v>
      </c>
      <c r="I72" s="1774">
        <f t="shared" si="0"/>
        <v>52500000</v>
      </c>
    </row>
    <row r="73" spans="1:10">
      <c r="A73" s="1756" t="s">
        <v>3738</v>
      </c>
      <c r="B73" s="1742"/>
      <c r="C73" s="1742">
        <v>77407695535</v>
      </c>
      <c r="D73" s="1757"/>
      <c r="E73" s="1743">
        <v>73656603596</v>
      </c>
      <c r="H73" s="1772"/>
      <c r="I73" s="1774">
        <f t="shared" si="0"/>
        <v>77407695535</v>
      </c>
    </row>
    <row r="74" spans="1:10">
      <c r="A74" s="1758" t="s">
        <v>3739</v>
      </c>
      <c r="B74" s="1746"/>
      <c r="C74" s="1746">
        <v>73648978244</v>
      </c>
      <c r="D74" s="1746"/>
      <c r="E74" s="1759">
        <v>73656603596</v>
      </c>
      <c r="H74" s="1772" t="s">
        <v>706</v>
      </c>
      <c r="I74" s="1774">
        <f t="shared" si="0"/>
        <v>73648978244</v>
      </c>
    </row>
    <row r="75" spans="1:10">
      <c r="A75" s="1758" t="s">
        <v>3740</v>
      </c>
      <c r="B75" s="1746"/>
      <c r="C75" s="1746">
        <v>3758717291</v>
      </c>
      <c r="D75" s="1746"/>
      <c r="E75" s="1759">
        <v>0</v>
      </c>
      <c r="H75" s="1772" t="s">
        <v>3752</v>
      </c>
      <c r="I75" s="1774">
        <f t="shared" si="0"/>
        <v>3758717291</v>
      </c>
    </row>
    <row r="76" spans="1:10">
      <c r="A76" s="1756" t="s">
        <v>3741</v>
      </c>
      <c r="B76" s="1742"/>
      <c r="C76" s="1742">
        <v>0</v>
      </c>
      <c r="D76" s="1757"/>
      <c r="E76" s="1743">
        <v>3758717291</v>
      </c>
      <c r="H76" s="1772"/>
      <c r="I76" s="1774">
        <f t="shared" si="0"/>
        <v>0</v>
      </c>
    </row>
    <row r="77" spans="1:10">
      <c r="A77" s="1758" t="s">
        <v>3742</v>
      </c>
      <c r="B77" s="1746"/>
      <c r="C77" s="1746">
        <v>0</v>
      </c>
      <c r="D77" s="1746"/>
      <c r="E77" s="1759">
        <v>3758717291</v>
      </c>
      <c r="H77" s="1772"/>
      <c r="I77" s="1774">
        <f t="shared" si="0"/>
        <v>0</v>
      </c>
    </row>
    <row r="78" spans="1:10">
      <c r="A78" s="1756" t="s">
        <v>3743</v>
      </c>
      <c r="B78" s="1742"/>
      <c r="C78" s="1742">
        <v>0</v>
      </c>
      <c r="D78" s="1757"/>
      <c r="E78" s="1743">
        <v>0</v>
      </c>
      <c r="H78" s="1772"/>
      <c r="I78" s="1774">
        <f t="shared" si="0"/>
        <v>0</v>
      </c>
    </row>
    <row r="79" spans="1:10">
      <c r="A79" s="1756" t="s">
        <v>3744</v>
      </c>
      <c r="B79" s="1742"/>
      <c r="C79" s="1742">
        <v>93825956641</v>
      </c>
      <c r="D79" s="1757"/>
      <c r="E79" s="1743">
        <v>88229926930</v>
      </c>
      <c r="H79" s="1772"/>
      <c r="I79" s="1774">
        <f>-C79</f>
        <v>-93825956641</v>
      </c>
    </row>
    <row r="80" spans="1:10">
      <c r="A80" s="1756" t="s">
        <v>3745</v>
      </c>
      <c r="B80" s="1742"/>
      <c r="C80" s="1742">
        <v>93825956641</v>
      </c>
      <c r="D80" s="1757"/>
      <c r="E80" s="1743">
        <v>88229926930</v>
      </c>
      <c r="H80" s="1772" t="s">
        <v>714</v>
      </c>
      <c r="I80" s="1774">
        <f>-C80</f>
        <v>-93825956641</v>
      </c>
    </row>
    <row r="81" spans="1:9">
      <c r="A81" s="1756" t="s">
        <v>3746</v>
      </c>
      <c r="B81" s="1742"/>
      <c r="C81" s="1742"/>
      <c r="D81" s="1757"/>
      <c r="E81" s="1743"/>
      <c r="H81" s="1772"/>
      <c r="I81" s="1774">
        <f t="shared" ref="I81:I85" si="1">C81</f>
        <v>0</v>
      </c>
    </row>
    <row r="82" spans="1:9">
      <c r="A82" s="1764" t="s">
        <v>3747</v>
      </c>
      <c r="B82" s="1746"/>
      <c r="C82" s="1746"/>
      <c r="D82" s="1746"/>
      <c r="E82" s="1759"/>
      <c r="H82" s="1772"/>
      <c r="I82" s="1774">
        <f t="shared" si="1"/>
        <v>0</v>
      </c>
    </row>
    <row r="83" spans="1:9">
      <c r="A83" s="1764" t="s">
        <v>3748</v>
      </c>
      <c r="B83" s="1746"/>
      <c r="C83" s="1746"/>
      <c r="D83" s="1746"/>
      <c r="E83" s="1759"/>
      <c r="H83" s="1772"/>
      <c r="I83" s="1774">
        <f t="shared" si="1"/>
        <v>0</v>
      </c>
    </row>
    <row r="84" spans="1:9">
      <c r="A84" s="1756" t="s">
        <v>3749</v>
      </c>
      <c r="B84" s="1742"/>
      <c r="C84" s="1742">
        <v>236967394</v>
      </c>
      <c r="D84" s="1757"/>
      <c r="E84" s="1743">
        <v>5840622457</v>
      </c>
      <c r="H84" s="1772"/>
      <c r="I84" s="1774">
        <f t="shared" si="1"/>
        <v>236967394</v>
      </c>
    </row>
    <row r="85" spans="1:9" ht="17.25" thickBot="1">
      <c r="A85" s="1765" t="s">
        <v>3750</v>
      </c>
      <c r="B85" s="1766"/>
      <c r="C85" s="1766">
        <v>10738913487</v>
      </c>
      <c r="D85" s="1767"/>
      <c r="E85" s="1768">
        <v>25897364956</v>
      </c>
      <c r="H85" s="1776"/>
      <c r="I85" s="1777">
        <f t="shared" si="1"/>
        <v>10738913487</v>
      </c>
    </row>
    <row r="87" spans="1:9">
      <c r="A87" s="1763" t="s">
        <v>3715</v>
      </c>
    </row>
    <row r="88" spans="1:9">
      <c r="C88" s="1809"/>
    </row>
  </sheetData>
  <mergeCells count="5">
    <mergeCell ref="A9:A10"/>
    <mergeCell ref="B9:C9"/>
    <mergeCell ref="D9:E9"/>
    <mergeCell ref="B10:C10"/>
    <mergeCell ref="D10:E10"/>
  </mergeCells>
  <phoneticPr fontId="3"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B5329-7DEF-408E-9E3A-D13AA26932A7}">
  <sheetPr>
    <tabColor theme="8" tint="0.79998168889431442"/>
  </sheetPr>
  <dimension ref="A1:E61"/>
  <sheetViews>
    <sheetView workbookViewId="0">
      <selection activeCell="C61" sqref="C61"/>
    </sheetView>
  </sheetViews>
  <sheetFormatPr defaultRowHeight="16.5"/>
  <cols>
    <col min="1" max="1" width="31.5" style="543" customWidth="1"/>
    <col min="2" max="4" width="13.125" style="543" customWidth="1"/>
    <col min="5" max="5" width="12.25" style="543" customWidth="1"/>
  </cols>
  <sheetData>
    <row r="1" spans="1:5" ht="24">
      <c r="B1" s="1737" t="s">
        <v>3610</v>
      </c>
    </row>
    <row r="3" spans="1:5">
      <c r="B3" s="1738" t="s">
        <v>3611</v>
      </c>
    </row>
    <row r="4" spans="1:5">
      <c r="B4" s="1738" t="s">
        <v>3612</v>
      </c>
    </row>
    <row r="6" spans="1:5">
      <c r="A6" s="1739" t="s">
        <v>3613</v>
      </c>
      <c r="E6" s="1740" t="s">
        <v>3614</v>
      </c>
    </row>
    <row r="7" spans="1:5" ht="17.25" thickBot="1"/>
    <row r="8" spans="1:5" ht="17.25" thickBot="1">
      <c r="A8" s="1978" t="s">
        <v>3615</v>
      </c>
      <c r="B8" s="1979" t="s">
        <v>3616</v>
      </c>
      <c r="C8" s="1979"/>
      <c r="D8" s="1980" t="s">
        <v>3617</v>
      </c>
      <c r="E8" s="1980"/>
    </row>
    <row r="9" spans="1:5" ht="17.25" thickBot="1">
      <c r="A9" s="1978"/>
      <c r="B9" s="1981" t="s">
        <v>3618</v>
      </c>
      <c r="C9" s="1981"/>
      <c r="D9" s="1982" t="s">
        <v>3618</v>
      </c>
      <c r="E9" s="1982"/>
    </row>
    <row r="10" spans="1:5">
      <c r="A10" s="1741" t="s">
        <v>3619</v>
      </c>
      <c r="B10" s="1742"/>
      <c r="C10" s="1742">
        <v>0</v>
      </c>
      <c r="D10" s="1742"/>
      <c r="E10" s="1743">
        <v>0</v>
      </c>
    </row>
    <row r="11" spans="1:5">
      <c r="A11" s="1741" t="s">
        <v>3620</v>
      </c>
      <c r="B11" s="1744"/>
      <c r="C11" s="1742">
        <v>0</v>
      </c>
      <c r="D11" s="1744"/>
      <c r="E11" s="1743">
        <v>22402866</v>
      </c>
    </row>
    <row r="12" spans="1:5">
      <c r="A12" s="1741" t="s">
        <v>3621</v>
      </c>
      <c r="B12" s="1742"/>
      <c r="C12" s="1742">
        <v>0</v>
      </c>
      <c r="D12" s="1742"/>
      <c r="E12" s="1743">
        <v>0</v>
      </c>
    </row>
    <row r="13" spans="1:5">
      <c r="A13" s="1741" t="s">
        <v>3622</v>
      </c>
      <c r="B13" s="1742"/>
      <c r="C13" s="1742">
        <v>0</v>
      </c>
      <c r="D13" s="1742"/>
      <c r="E13" s="1743">
        <v>0</v>
      </c>
    </row>
    <row r="14" spans="1:5">
      <c r="A14" s="1741" t="s">
        <v>3623</v>
      </c>
      <c r="B14" s="1742"/>
      <c r="C14" s="1742">
        <v>0</v>
      </c>
      <c r="D14" s="1742"/>
      <c r="E14" s="1743">
        <v>22402866</v>
      </c>
    </row>
    <row r="15" spans="1:5">
      <c r="A15" s="1745" t="s">
        <v>3624</v>
      </c>
      <c r="B15" s="1746">
        <v>0</v>
      </c>
      <c r="C15" s="1742"/>
      <c r="D15" s="1746">
        <v>0</v>
      </c>
      <c r="E15" s="1743"/>
    </row>
    <row r="16" spans="1:5">
      <c r="A16" s="1745" t="s">
        <v>3625</v>
      </c>
      <c r="B16" s="1746">
        <v>0</v>
      </c>
      <c r="C16" s="1742"/>
      <c r="D16" s="1746">
        <v>0</v>
      </c>
      <c r="E16" s="1743"/>
    </row>
    <row r="17" spans="1:5">
      <c r="A17" s="1745" t="s">
        <v>3626</v>
      </c>
      <c r="B17" s="1746">
        <v>0</v>
      </c>
      <c r="C17" s="1742"/>
      <c r="D17" s="1746">
        <v>22402866</v>
      </c>
      <c r="E17" s="1743"/>
    </row>
    <row r="18" spans="1:5">
      <c r="A18" s="1745" t="s">
        <v>3627</v>
      </c>
      <c r="B18" s="1747">
        <v>0</v>
      </c>
      <c r="C18" s="1742"/>
      <c r="D18" s="1747">
        <v>0</v>
      </c>
      <c r="E18" s="1743"/>
    </row>
    <row r="19" spans="1:5">
      <c r="A19" s="1741" t="s">
        <v>3628</v>
      </c>
      <c r="B19" s="1744"/>
      <c r="C19" s="1744">
        <v>0</v>
      </c>
      <c r="D19" s="1744"/>
      <c r="E19" s="1748">
        <v>-22402866</v>
      </c>
    </row>
    <row r="20" spans="1:5">
      <c r="A20" s="1741" t="s">
        <v>3629</v>
      </c>
      <c r="B20" s="1742"/>
      <c r="C20" s="1742">
        <v>4213523164</v>
      </c>
      <c r="D20" s="1742"/>
      <c r="E20" s="1743">
        <v>11980301756</v>
      </c>
    </row>
    <row r="21" spans="1:5">
      <c r="A21" s="1745" t="s">
        <v>3630</v>
      </c>
      <c r="B21" s="1746">
        <v>273403396</v>
      </c>
      <c r="C21" s="1742"/>
      <c r="D21" s="1746">
        <v>1213567726</v>
      </c>
      <c r="E21" s="1743"/>
    </row>
    <row r="22" spans="1:5">
      <c r="A22" s="1745" t="s">
        <v>3631</v>
      </c>
      <c r="B22" s="1746">
        <v>85481340</v>
      </c>
      <c r="C22" s="1742"/>
      <c r="D22" s="1746">
        <v>134663959</v>
      </c>
      <c r="E22" s="1743"/>
    </row>
    <row r="23" spans="1:5">
      <c r="A23" s="1745" t="s">
        <v>3632</v>
      </c>
      <c r="B23" s="1746">
        <v>26005390</v>
      </c>
      <c r="C23" s="1742"/>
      <c r="D23" s="1746">
        <v>201000129</v>
      </c>
      <c r="E23" s="1743"/>
    </row>
    <row r="24" spans="1:5">
      <c r="A24" s="1745" t="s">
        <v>3633</v>
      </c>
      <c r="B24" s="1746">
        <v>17619592</v>
      </c>
      <c r="C24" s="1742"/>
      <c r="D24" s="1746">
        <v>125657172</v>
      </c>
      <c r="E24" s="1743"/>
    </row>
    <row r="25" spans="1:5">
      <c r="A25" s="1745" t="s">
        <v>3634</v>
      </c>
      <c r="B25" s="1746">
        <v>12138014</v>
      </c>
      <c r="C25" s="1742"/>
      <c r="D25" s="1746">
        <v>7506603</v>
      </c>
      <c r="E25" s="1743"/>
    </row>
    <row r="26" spans="1:5">
      <c r="A26" s="1745" t="s">
        <v>3635</v>
      </c>
      <c r="B26" s="1746">
        <v>2301211</v>
      </c>
      <c r="C26" s="1742"/>
      <c r="D26" s="1746">
        <v>5102261</v>
      </c>
      <c r="E26" s="1743"/>
    </row>
    <row r="27" spans="1:5">
      <c r="A27" s="1745" t="s">
        <v>3636</v>
      </c>
      <c r="B27" s="1746">
        <v>42082657</v>
      </c>
      <c r="C27" s="1742"/>
      <c r="D27" s="1746">
        <v>90711652</v>
      </c>
      <c r="E27" s="1743"/>
    </row>
    <row r="28" spans="1:5">
      <c r="A28" s="1745" t="s">
        <v>3637</v>
      </c>
      <c r="B28" s="1746">
        <v>81000</v>
      </c>
      <c r="C28" s="1742"/>
      <c r="D28" s="1746">
        <v>223740</v>
      </c>
      <c r="E28" s="1743"/>
    </row>
    <row r="29" spans="1:5">
      <c r="A29" s="1745" t="s">
        <v>3638</v>
      </c>
      <c r="B29" s="1746">
        <v>154163194</v>
      </c>
      <c r="C29" s="1742"/>
      <c r="D29" s="1746">
        <v>405957425</v>
      </c>
      <c r="E29" s="1743"/>
    </row>
    <row r="30" spans="1:5">
      <c r="A30" s="1745" t="s">
        <v>3639</v>
      </c>
      <c r="B30" s="1746">
        <v>17966739</v>
      </c>
      <c r="C30" s="1742"/>
      <c r="D30" s="1746">
        <v>49956892</v>
      </c>
      <c r="E30" s="1743"/>
    </row>
    <row r="31" spans="1:5">
      <c r="A31" s="1745" t="s">
        <v>3640</v>
      </c>
      <c r="B31" s="1746">
        <v>0</v>
      </c>
      <c r="C31" s="1742"/>
      <c r="D31" s="1746">
        <v>660000</v>
      </c>
      <c r="E31" s="1743"/>
    </row>
    <row r="32" spans="1:5">
      <c r="A32" s="1745" t="s">
        <v>3641</v>
      </c>
      <c r="B32" s="1746">
        <v>1524012</v>
      </c>
      <c r="C32" s="1742"/>
      <c r="D32" s="1746">
        <v>3011078</v>
      </c>
      <c r="E32" s="1743"/>
    </row>
    <row r="33" spans="1:5">
      <c r="A33" s="1745" t="s">
        <v>3642</v>
      </c>
      <c r="B33" s="1746">
        <v>294000</v>
      </c>
      <c r="C33" s="1742"/>
      <c r="D33" s="1746">
        <v>8918243</v>
      </c>
      <c r="E33" s="1743"/>
    </row>
    <row r="34" spans="1:5">
      <c r="A34" s="1745" t="s">
        <v>3643</v>
      </c>
      <c r="B34" s="1746">
        <v>2404727183</v>
      </c>
      <c r="C34" s="1742"/>
      <c r="D34" s="1746">
        <v>6326584825</v>
      </c>
      <c r="E34" s="1743"/>
    </row>
    <row r="35" spans="1:5">
      <c r="A35" s="1745" t="s">
        <v>3644</v>
      </c>
      <c r="B35" s="1746">
        <v>0</v>
      </c>
      <c r="C35" s="1742"/>
      <c r="D35" s="1746">
        <v>778000</v>
      </c>
      <c r="E35" s="1743"/>
    </row>
    <row r="36" spans="1:5">
      <c r="A36" s="1745" t="s">
        <v>3645</v>
      </c>
      <c r="B36" s="1746">
        <v>0</v>
      </c>
      <c r="C36" s="1742"/>
      <c r="D36" s="1746">
        <v>110000</v>
      </c>
      <c r="E36" s="1743"/>
    </row>
    <row r="37" spans="1:5">
      <c r="A37" s="1745" t="s">
        <v>3646</v>
      </c>
      <c r="B37" s="1746">
        <v>60000</v>
      </c>
      <c r="C37" s="1742"/>
      <c r="D37" s="1746">
        <v>591000</v>
      </c>
      <c r="E37" s="1743"/>
    </row>
    <row r="38" spans="1:5">
      <c r="A38" s="1745" t="s">
        <v>3647</v>
      </c>
      <c r="B38" s="1746">
        <v>26646</v>
      </c>
      <c r="C38" s="1742"/>
      <c r="D38" s="1746">
        <v>62364</v>
      </c>
      <c r="E38" s="1743"/>
    </row>
    <row r="39" spans="1:5">
      <c r="A39" s="1745" t="s">
        <v>3648</v>
      </c>
      <c r="B39" s="1746">
        <v>5291045</v>
      </c>
      <c r="C39" s="1742"/>
      <c r="D39" s="1746">
        <v>13193720</v>
      </c>
      <c r="E39" s="1743"/>
    </row>
    <row r="40" spans="1:5">
      <c r="A40" s="1745" t="s">
        <v>3649</v>
      </c>
      <c r="B40" s="1746">
        <v>191733707</v>
      </c>
      <c r="C40" s="1742"/>
      <c r="D40" s="1746">
        <v>1695199656</v>
      </c>
      <c r="E40" s="1743"/>
    </row>
    <row r="41" spans="1:5">
      <c r="A41" s="1745" t="s">
        <v>3650</v>
      </c>
      <c r="B41" s="1746">
        <v>49435480</v>
      </c>
      <c r="C41" s="1742"/>
      <c r="D41" s="1746">
        <v>91677420</v>
      </c>
      <c r="E41" s="1743"/>
    </row>
    <row r="42" spans="1:5">
      <c r="A42" s="1745" t="s">
        <v>3651</v>
      </c>
      <c r="B42" s="1746">
        <v>747474607</v>
      </c>
      <c r="C42" s="1742"/>
      <c r="D42" s="1746">
        <v>1195536653</v>
      </c>
      <c r="E42" s="1743"/>
    </row>
    <row r="43" spans="1:5">
      <c r="A43" s="1745" t="s">
        <v>3652</v>
      </c>
      <c r="B43" s="1746">
        <v>181713951</v>
      </c>
      <c r="C43" s="1742"/>
      <c r="D43" s="1746">
        <v>409631238</v>
      </c>
      <c r="E43" s="1743"/>
    </row>
    <row r="44" spans="1:5" ht="17.25" thickBot="1">
      <c r="A44" s="1749" t="s">
        <v>3653</v>
      </c>
      <c r="B44" s="1750"/>
      <c r="C44" s="1750">
        <v>4213523164</v>
      </c>
      <c r="D44" s="1750"/>
      <c r="E44" s="1751">
        <v>12002704622</v>
      </c>
    </row>
    <row r="45" spans="1:5">
      <c r="A45" s="1741" t="s">
        <v>3654</v>
      </c>
      <c r="B45" s="1742"/>
      <c r="C45" s="1742">
        <v>134960318</v>
      </c>
      <c r="D45" s="1742"/>
      <c r="E45" s="1743">
        <v>14931881925</v>
      </c>
    </row>
    <row r="46" spans="1:5">
      <c r="A46" s="1745" t="s">
        <v>3655</v>
      </c>
      <c r="B46" s="1746">
        <v>65540199</v>
      </c>
      <c r="C46" s="1742"/>
      <c r="D46" s="1746">
        <v>68086816</v>
      </c>
      <c r="E46" s="1743"/>
    </row>
    <row r="47" spans="1:5">
      <c r="A47" s="1745" t="s">
        <v>3656</v>
      </c>
      <c r="B47" s="1746">
        <v>19018026</v>
      </c>
      <c r="C47" s="1742"/>
      <c r="D47" s="1746">
        <v>15874891</v>
      </c>
      <c r="E47" s="1743"/>
    </row>
    <row r="48" spans="1:5">
      <c r="A48" s="1745" t="s">
        <v>3657</v>
      </c>
      <c r="B48" s="1746">
        <v>601236</v>
      </c>
      <c r="C48" s="1742"/>
      <c r="D48" s="1746">
        <v>18450410</v>
      </c>
      <c r="E48" s="1743"/>
    </row>
    <row r="49" spans="1:5">
      <c r="A49" s="1745" t="s">
        <v>3658</v>
      </c>
      <c r="B49" s="1746">
        <v>6228298</v>
      </c>
      <c r="C49" s="1742"/>
      <c r="D49" s="1746">
        <v>361378</v>
      </c>
      <c r="E49" s="1743"/>
    </row>
    <row r="50" spans="1:5">
      <c r="A50" s="1745" t="s">
        <v>3659</v>
      </c>
      <c r="B50" s="1746">
        <v>0</v>
      </c>
      <c r="C50" s="1742"/>
      <c r="D50" s="1746">
        <v>14829043944</v>
      </c>
      <c r="E50" s="1743"/>
    </row>
    <row r="51" spans="1:5">
      <c r="A51" s="1745" t="s">
        <v>3660</v>
      </c>
      <c r="B51" s="1746">
        <v>43572559</v>
      </c>
      <c r="C51" s="1742"/>
      <c r="D51" s="1746">
        <v>64486</v>
      </c>
      <c r="E51" s="1743"/>
    </row>
    <row r="52" spans="1:5">
      <c r="A52" s="1741" t="s">
        <v>3661</v>
      </c>
      <c r="B52" s="1742"/>
      <c r="C52" s="1742">
        <v>422504443</v>
      </c>
      <c r="D52" s="1742"/>
      <c r="E52" s="1743">
        <v>1047602551</v>
      </c>
    </row>
    <row r="53" spans="1:5">
      <c r="A53" s="1745" t="s">
        <v>3662</v>
      </c>
      <c r="B53" s="1746">
        <v>68586954</v>
      </c>
      <c r="C53" s="1742"/>
      <c r="D53" s="1746">
        <v>327455356</v>
      </c>
      <c r="E53" s="1743"/>
    </row>
    <row r="54" spans="1:5">
      <c r="A54" s="1745" t="s">
        <v>3663</v>
      </c>
      <c r="B54" s="1746">
        <v>99342739</v>
      </c>
      <c r="C54" s="1742"/>
      <c r="D54" s="1746">
        <v>56996263</v>
      </c>
      <c r="E54" s="1743"/>
    </row>
    <row r="55" spans="1:5">
      <c r="A55" s="1745" t="s">
        <v>3664</v>
      </c>
      <c r="B55" s="1746">
        <v>0</v>
      </c>
      <c r="C55" s="1742"/>
      <c r="D55" s="1746">
        <v>564300000</v>
      </c>
      <c r="E55" s="1743"/>
    </row>
    <row r="56" spans="1:5">
      <c r="A56" s="1745" t="s">
        <v>3665</v>
      </c>
      <c r="B56" s="1746">
        <v>158565042</v>
      </c>
      <c r="C56" s="1742"/>
      <c r="D56" s="1746">
        <v>38184228</v>
      </c>
      <c r="E56" s="1743"/>
    </row>
    <row r="57" spans="1:5">
      <c r="A57" s="1745" t="s">
        <v>3666</v>
      </c>
      <c r="B57" s="1746">
        <v>22603485</v>
      </c>
      <c r="C57" s="1742"/>
      <c r="D57" s="1746">
        <v>0</v>
      </c>
      <c r="E57" s="1743"/>
    </row>
    <row r="58" spans="1:5">
      <c r="A58" s="1745" t="s">
        <v>3667</v>
      </c>
      <c r="B58" s="1746">
        <v>73406223</v>
      </c>
      <c r="C58" s="1742"/>
      <c r="D58" s="1746">
        <v>60666704</v>
      </c>
      <c r="E58" s="1743"/>
    </row>
    <row r="59" spans="1:5">
      <c r="A59" s="1741" t="s">
        <v>3668</v>
      </c>
      <c r="B59" s="1742"/>
      <c r="C59" s="1742">
        <v>4501067289</v>
      </c>
      <c r="D59" s="1742"/>
      <c r="E59" s="1743">
        <v>-1881574752</v>
      </c>
    </row>
    <row r="60" spans="1:5">
      <c r="A60" s="1741" t="s">
        <v>3669</v>
      </c>
      <c r="B60" s="1742"/>
      <c r="C60" s="1742">
        <v>0</v>
      </c>
      <c r="D60" s="1742"/>
      <c r="E60" s="1743">
        <v>0</v>
      </c>
    </row>
    <row r="61" spans="1:5" ht="17.25" thickBot="1">
      <c r="A61" s="1749" t="s">
        <v>3670</v>
      </c>
      <c r="B61" s="1750"/>
      <c r="C61" s="1750">
        <v>4501067289</v>
      </c>
      <c r="D61" s="1750"/>
      <c r="E61" s="1751">
        <v>-1881574752</v>
      </c>
    </row>
  </sheetData>
  <mergeCells count="5">
    <mergeCell ref="A8:A9"/>
    <mergeCell ref="B8:C8"/>
    <mergeCell ref="D8:E8"/>
    <mergeCell ref="B9:C9"/>
    <mergeCell ref="D9:E9"/>
  </mergeCells>
  <phoneticPr fontId="3" type="noConversion"/>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7">
    <tabColor theme="8" tint="0.79998168889431442"/>
  </sheetPr>
  <dimension ref="A1:P137"/>
  <sheetViews>
    <sheetView zoomScale="85" zoomScaleNormal="85" workbookViewId="0">
      <pane ySplit="4" topLeftCell="A5" activePane="bottomLeft" state="frozen"/>
      <selection activeCell="G5" sqref="G5"/>
      <selection pane="bottomLeft" activeCell="D20" sqref="D20"/>
    </sheetView>
  </sheetViews>
  <sheetFormatPr defaultColWidth="8" defaultRowHeight="13.5"/>
  <cols>
    <col min="1" max="1" width="8.875" style="1008" customWidth="1"/>
    <col min="2" max="2" width="5.625" style="602" customWidth="1"/>
    <col min="3" max="3" width="27.625" style="596" customWidth="1"/>
    <col min="4" max="7" width="13.625" style="598" customWidth="1"/>
    <col min="8" max="8" width="13.625" style="603" customWidth="1"/>
    <col min="9" max="11" width="13.625" style="1008" customWidth="1"/>
    <col min="12" max="12" width="5.625" style="1008" customWidth="1"/>
    <col min="13" max="13" width="18" style="596" customWidth="1"/>
    <col min="14" max="14" width="34" style="596" customWidth="1"/>
    <col min="15" max="15" width="8" style="596"/>
    <col min="16" max="16" width="12.125" style="596" bestFit="1" customWidth="1"/>
    <col min="17" max="16384" width="8" style="596"/>
  </cols>
  <sheetData>
    <row r="1" spans="1:16">
      <c r="A1" s="1008" t="s">
        <v>829</v>
      </c>
    </row>
    <row r="3" spans="1:16" s="604" customFormat="1" ht="14.25" thickBot="1">
      <c r="B3" s="1983" t="s">
        <v>1035</v>
      </c>
      <c r="C3" s="1983"/>
      <c r="D3" s="590" t="s">
        <v>1036</v>
      </c>
      <c r="E3" s="1984" t="s">
        <v>1037</v>
      </c>
      <c r="F3" s="1985"/>
      <c r="G3" s="590" t="s">
        <v>1036</v>
      </c>
      <c r="H3" s="1134">
        <f>A0!E7</f>
        <v>46203</v>
      </c>
      <c r="I3" s="1984" t="s">
        <v>1037</v>
      </c>
      <c r="J3" s="1985"/>
      <c r="K3" s="1134">
        <f>H3</f>
        <v>46203</v>
      </c>
      <c r="L3" s="1009" t="s">
        <v>1038</v>
      </c>
      <c r="M3" s="1009"/>
      <c r="N3" s="590"/>
    </row>
    <row r="4" spans="1:16" ht="27" customHeight="1">
      <c r="A4" s="646" t="s">
        <v>486</v>
      </c>
      <c r="B4" s="594" t="s">
        <v>1039</v>
      </c>
      <c r="C4" s="594" t="s">
        <v>1040</v>
      </c>
      <c r="D4" s="591"/>
      <c r="E4" s="1010" t="s">
        <v>230</v>
      </c>
      <c r="F4" s="1010" t="s">
        <v>232</v>
      </c>
      <c r="G4" s="591">
        <f>환율!C7</f>
        <v>196.6</v>
      </c>
      <c r="H4" s="605" t="s">
        <v>1041</v>
      </c>
      <c r="I4" s="1010" t="s">
        <v>230</v>
      </c>
      <c r="J4" s="1010" t="s">
        <v>232</v>
      </c>
      <c r="K4" s="605" t="s">
        <v>2536</v>
      </c>
      <c r="L4" s="1010" t="s">
        <v>1039</v>
      </c>
      <c r="M4" s="594" t="s">
        <v>1042</v>
      </c>
      <c r="N4" s="594" t="s">
        <v>1040</v>
      </c>
    </row>
    <row r="5" spans="1:16">
      <c r="A5" s="647"/>
      <c r="B5" s="993" t="s">
        <v>1043</v>
      </c>
      <c r="C5" s="994" t="s">
        <v>1044</v>
      </c>
      <c r="D5" s="995">
        <f t="shared" ref="D5" si="0">SUM(D6,D41)</f>
        <v>11492664.009999998</v>
      </c>
      <c r="E5" s="995"/>
      <c r="F5" s="995"/>
      <c r="G5" s="1024">
        <f>SUM(G6,G41)</f>
        <v>11536445.009999998</v>
      </c>
      <c r="H5" s="996">
        <f>SUM(H6,H41)</f>
        <v>2268065089</v>
      </c>
      <c r="I5" s="1011"/>
      <c r="J5" s="1011"/>
      <c r="K5" s="996">
        <f>SUM(K6,K41)</f>
        <v>2268065089</v>
      </c>
      <c r="L5" s="1012" t="str">
        <f t="shared" ref="L5:L10" si="1">B5</f>
        <v>*</v>
      </c>
      <c r="M5" s="994"/>
      <c r="N5" s="994"/>
    </row>
    <row r="6" spans="1:16">
      <c r="A6" s="647"/>
      <c r="B6" s="997" t="s">
        <v>1045</v>
      </c>
      <c r="C6" s="998" t="s">
        <v>1046</v>
      </c>
      <c r="D6" s="999">
        <f t="shared" ref="D6" si="2">SUM(D7,D33)</f>
        <v>10343390.999999998</v>
      </c>
      <c r="E6" s="999"/>
      <c r="F6" s="999"/>
      <c r="G6" s="1025">
        <f>SUM(G7,G33)</f>
        <v>10387171.999999998</v>
      </c>
      <c r="H6" s="1000">
        <f>SUM(H7,H33)</f>
        <v>2042118015</v>
      </c>
      <c r="I6" s="1013"/>
      <c r="J6" s="1013"/>
      <c r="K6" s="1000">
        <f>SUM(K7,K33)</f>
        <v>2042118015</v>
      </c>
      <c r="L6" s="1014" t="str">
        <f t="shared" si="1"/>
        <v>**</v>
      </c>
      <c r="M6" s="998"/>
      <c r="N6" s="998"/>
    </row>
    <row r="7" spans="1:16">
      <c r="A7" s="647"/>
      <c r="B7" s="609" t="s">
        <v>1047</v>
      </c>
      <c r="C7" s="610" t="s">
        <v>1048</v>
      </c>
      <c r="D7" s="611">
        <f t="shared" ref="D7" si="3">SUM(D8,D13,D19,D22,D23)</f>
        <v>9622034.4699999988</v>
      </c>
      <c r="E7" s="611"/>
      <c r="F7" s="611"/>
      <c r="G7" s="1026">
        <f>SUM(G8,G13,G19,G22,G23)</f>
        <v>9665815.4699999988</v>
      </c>
      <c r="H7" s="976">
        <f>SUM(H8,H13,H19,H22,H23)</f>
        <v>1900299321</v>
      </c>
      <c r="I7" s="1015"/>
      <c r="J7" s="1015"/>
      <c r="K7" s="976">
        <f>SUM(K8,K13,K19,K22,K23)</f>
        <v>1900299321</v>
      </c>
      <c r="L7" s="1016" t="str">
        <f t="shared" si="1"/>
        <v>***</v>
      </c>
      <c r="M7" s="610"/>
      <c r="N7" s="610"/>
    </row>
    <row r="8" spans="1:16">
      <c r="A8" s="647"/>
      <c r="B8" s="612" t="s">
        <v>1049</v>
      </c>
      <c r="C8" s="593" t="s">
        <v>1050</v>
      </c>
      <c r="D8" s="613">
        <f t="shared" ref="D8" si="4">SUM(D9:D10,D12)</f>
        <v>818523.7</v>
      </c>
      <c r="E8" s="613"/>
      <c r="F8" s="613"/>
      <c r="G8" s="1027">
        <f>SUM(G9:G10,G12)</f>
        <v>818523.7</v>
      </c>
      <c r="H8" s="718">
        <f>SUM(H9:H10,H12)</f>
        <v>160921759</v>
      </c>
      <c r="I8" s="1017"/>
      <c r="J8" s="1017"/>
      <c r="K8" s="718">
        <f>SUM(K9:K10,K12)</f>
        <v>160921759</v>
      </c>
      <c r="L8" s="1018" t="str">
        <f t="shared" si="1"/>
        <v>****</v>
      </c>
      <c r="M8" s="593"/>
      <c r="N8" s="593"/>
      <c r="P8" s="596">
        <v>45745.1</v>
      </c>
    </row>
    <row r="9" spans="1:16">
      <c r="A9" s="647" t="s">
        <v>623</v>
      </c>
      <c r="B9" s="612" t="s">
        <v>1051</v>
      </c>
      <c r="C9" s="593" t="s">
        <v>1052</v>
      </c>
      <c r="D9" s="613">
        <v>4107.6000000000004</v>
      </c>
      <c r="E9" s="613"/>
      <c r="F9" s="613"/>
      <c r="G9" s="1028">
        <f>D9+E9-F9</f>
        <v>4107.6000000000004</v>
      </c>
      <c r="H9" s="977">
        <f>ROUND(G9*$G$4,)</f>
        <v>807554</v>
      </c>
      <c r="I9" s="1017"/>
      <c r="J9" s="1017"/>
      <c r="K9" s="977">
        <f>H9+I9-J9</f>
        <v>807554</v>
      </c>
      <c r="L9" s="1018" t="str">
        <f t="shared" si="1"/>
        <v>*****</v>
      </c>
      <c r="M9" s="593" t="s">
        <v>359</v>
      </c>
      <c r="N9" s="593" t="s">
        <v>1053</v>
      </c>
      <c r="P9" s="596">
        <v>1070110.95</v>
      </c>
    </row>
    <row r="10" spans="1:16">
      <c r="A10" s="647" t="s">
        <v>624</v>
      </c>
      <c r="B10" s="612" t="s">
        <v>1051</v>
      </c>
      <c r="C10" s="593" t="s">
        <v>1055</v>
      </c>
      <c r="D10" s="1734">
        <v>813959.58</v>
      </c>
      <c r="E10" s="614"/>
      <c r="F10" s="614"/>
      <c r="G10" s="1028">
        <f>D10+E10-F10</f>
        <v>813959.58</v>
      </c>
      <c r="H10" s="977">
        <f>ROUND(G10*$G$4,)</f>
        <v>160024453</v>
      </c>
      <c r="I10" s="1017"/>
      <c r="J10" s="1017"/>
      <c r="K10" s="977">
        <f>H10+I10-J10</f>
        <v>160024453</v>
      </c>
      <c r="L10" s="1018" t="str">
        <f t="shared" si="1"/>
        <v>*****</v>
      </c>
      <c r="M10" s="593" t="s">
        <v>359</v>
      </c>
      <c r="N10" s="593" t="s">
        <v>1056</v>
      </c>
      <c r="P10" s="596">
        <v>0</v>
      </c>
    </row>
    <row r="11" spans="1:16">
      <c r="A11" s="647"/>
      <c r="B11" s="612"/>
      <c r="C11" s="593" t="s">
        <v>1057</v>
      </c>
      <c r="D11" s="613"/>
      <c r="E11" s="613"/>
      <c r="F11" s="613"/>
      <c r="G11" s="1028">
        <f>D11+E11-F11</f>
        <v>0</v>
      </c>
      <c r="H11" s="977">
        <f>ROUND(G11*$G$4,)</f>
        <v>0</v>
      </c>
      <c r="I11" s="1017"/>
      <c r="J11" s="1017"/>
      <c r="K11" s="977">
        <f>H11+I11-J11</f>
        <v>0</v>
      </c>
      <c r="L11" s="1018"/>
      <c r="M11" s="593"/>
      <c r="N11" s="593"/>
      <c r="P11" s="596">
        <v>0</v>
      </c>
    </row>
    <row r="12" spans="1:16">
      <c r="A12" s="647" t="s">
        <v>625</v>
      </c>
      <c r="B12" s="612" t="s">
        <v>1051</v>
      </c>
      <c r="C12" s="593" t="s">
        <v>1058</v>
      </c>
      <c r="D12" s="613">
        <v>456.52</v>
      </c>
      <c r="E12" s="613"/>
      <c r="F12" s="613"/>
      <c r="G12" s="1028">
        <f>D12+E12-F12</f>
        <v>456.52</v>
      </c>
      <c r="H12" s="977">
        <f>ROUND(G12*$G$4,)</f>
        <v>89752</v>
      </c>
      <c r="I12" s="1017"/>
      <c r="J12" s="1017"/>
      <c r="K12" s="977">
        <f>H12+I12-J12</f>
        <v>89752</v>
      </c>
      <c r="L12" s="1018" t="str">
        <f t="shared" ref="L12:L38" si="5">B12</f>
        <v>*****</v>
      </c>
      <c r="M12" s="593" t="s">
        <v>359</v>
      </c>
      <c r="N12" s="593" t="s">
        <v>1059</v>
      </c>
      <c r="P12" s="596">
        <f>SUM(P8:P11)</f>
        <v>1115856.05</v>
      </c>
    </row>
    <row r="13" spans="1:16">
      <c r="A13" s="647"/>
      <c r="B13" s="612" t="s">
        <v>1049</v>
      </c>
      <c r="C13" s="593" t="s">
        <v>1060</v>
      </c>
      <c r="D13" s="613">
        <f t="shared" ref="D13" si="6">SUM(D14:D15,D18)</f>
        <v>0</v>
      </c>
      <c r="E13" s="613"/>
      <c r="F13" s="613"/>
      <c r="G13" s="1027">
        <f>SUM(G14:G15,G18)</f>
        <v>0</v>
      </c>
      <c r="H13" s="718">
        <f>SUM(H14:H15,H18)</f>
        <v>0</v>
      </c>
      <c r="I13" s="1017"/>
      <c r="J13" s="1017"/>
      <c r="K13" s="718">
        <f>SUM(K14:K15,K18)</f>
        <v>0</v>
      </c>
      <c r="L13" s="1018" t="str">
        <f t="shared" si="5"/>
        <v>****</v>
      </c>
      <c r="M13" s="593"/>
      <c r="N13" s="593"/>
    </row>
    <row r="14" spans="1:16">
      <c r="A14" s="647"/>
      <c r="B14" s="612" t="s">
        <v>1051</v>
      </c>
      <c r="C14" s="593" t="s">
        <v>1062</v>
      </c>
      <c r="D14" s="613"/>
      <c r="E14" s="613"/>
      <c r="F14" s="613"/>
      <c r="G14" s="1028">
        <f>D14+E14-F14</f>
        <v>0</v>
      </c>
      <c r="H14" s="977">
        <f t="shared" ref="H14:H18" si="7">ROUND(G14*$G$4,)</f>
        <v>0</v>
      </c>
      <c r="I14" s="1017"/>
      <c r="J14" s="1017"/>
      <c r="K14" s="977">
        <f>H14+I14-J14</f>
        <v>0</v>
      </c>
      <c r="L14" s="1018" t="str">
        <f t="shared" si="5"/>
        <v>*****</v>
      </c>
      <c r="M14" s="593" t="s">
        <v>1063</v>
      </c>
      <c r="N14" s="593" t="s">
        <v>1064</v>
      </c>
    </row>
    <row r="15" spans="1:16">
      <c r="A15" s="647"/>
      <c r="B15" s="612" t="s">
        <v>1051</v>
      </c>
      <c r="C15" s="593" t="s">
        <v>1065</v>
      </c>
      <c r="D15" s="613"/>
      <c r="E15" s="613"/>
      <c r="F15" s="613"/>
      <c r="G15" s="1028">
        <f>D15+E15-F15</f>
        <v>0</v>
      </c>
      <c r="H15" s="977">
        <f t="shared" si="7"/>
        <v>0</v>
      </c>
      <c r="I15" s="1017"/>
      <c r="J15" s="1017"/>
      <c r="K15" s="977">
        <f>H15+I15-J15</f>
        <v>0</v>
      </c>
      <c r="L15" s="1018" t="str">
        <f t="shared" si="5"/>
        <v>*****</v>
      </c>
      <c r="M15" s="593"/>
      <c r="N15" s="593"/>
    </row>
    <row r="16" spans="1:16">
      <c r="A16" s="647"/>
      <c r="B16" s="612" t="s">
        <v>1066</v>
      </c>
      <c r="C16" s="593" t="s">
        <v>1067</v>
      </c>
      <c r="D16" s="613"/>
      <c r="E16" s="613"/>
      <c r="F16" s="613"/>
      <c r="G16" s="1028">
        <f>D16+E16-F16</f>
        <v>0</v>
      </c>
      <c r="H16" s="977">
        <f t="shared" si="7"/>
        <v>0</v>
      </c>
      <c r="I16" s="1017"/>
      <c r="J16" s="1017"/>
      <c r="K16" s="977">
        <f>H16+I16-J16</f>
        <v>0</v>
      </c>
      <c r="L16" s="1018" t="str">
        <f t="shared" si="5"/>
        <v>******</v>
      </c>
      <c r="M16" s="593" t="s">
        <v>1054</v>
      </c>
      <c r="N16" s="593" t="s">
        <v>1068</v>
      </c>
    </row>
    <row r="17" spans="1:15">
      <c r="A17" s="647"/>
      <c r="B17" s="612" t="s">
        <v>1066</v>
      </c>
      <c r="C17" s="593" t="s">
        <v>1069</v>
      </c>
      <c r="D17" s="613"/>
      <c r="E17" s="613"/>
      <c r="F17" s="613"/>
      <c r="G17" s="1028">
        <f>D17+E17-F17</f>
        <v>0</v>
      </c>
      <c r="H17" s="977">
        <f t="shared" si="7"/>
        <v>0</v>
      </c>
      <c r="I17" s="1017"/>
      <c r="J17" s="1017"/>
      <c r="K17" s="977">
        <f>H17+I17-J17</f>
        <v>0</v>
      </c>
      <c r="L17" s="1018" t="str">
        <f t="shared" si="5"/>
        <v>******</v>
      </c>
      <c r="M17" s="593" t="s">
        <v>1054</v>
      </c>
      <c r="N17" s="593" t="s">
        <v>1070</v>
      </c>
    </row>
    <row r="18" spans="1:15">
      <c r="A18" s="647"/>
      <c r="B18" s="612" t="s">
        <v>1051</v>
      </c>
      <c r="C18" s="593" t="s">
        <v>1071</v>
      </c>
      <c r="D18" s="613"/>
      <c r="E18" s="613"/>
      <c r="F18" s="613"/>
      <c r="G18" s="1028">
        <f>D18+E18-F18</f>
        <v>0</v>
      </c>
      <c r="H18" s="977">
        <f t="shared" si="7"/>
        <v>0</v>
      </c>
      <c r="I18" s="1017"/>
      <c r="J18" s="1017"/>
      <c r="K18" s="977">
        <f>H18+I18-J18</f>
        <v>0</v>
      </c>
      <c r="L18" s="1018" t="str">
        <f t="shared" si="5"/>
        <v>*****</v>
      </c>
      <c r="M18" s="593" t="s">
        <v>1063</v>
      </c>
      <c r="N18" s="593" t="s">
        <v>1072</v>
      </c>
    </row>
    <row r="19" spans="1:15">
      <c r="A19" s="647"/>
      <c r="B19" s="612" t="s">
        <v>1049</v>
      </c>
      <c r="C19" s="593" t="s">
        <v>1073</v>
      </c>
      <c r="D19" s="613">
        <f t="shared" ref="D19" si="8">SUM(D20:D21)</f>
        <v>8699100.9199999999</v>
      </c>
      <c r="E19" s="613"/>
      <c r="F19" s="613"/>
      <c r="G19" s="1027">
        <f>SUM(G20:G21)</f>
        <v>8699100.9199999999</v>
      </c>
      <c r="H19" s="718">
        <f>SUM(H20:H21)</f>
        <v>1710243241</v>
      </c>
      <c r="I19" s="1017"/>
      <c r="J19" s="1017"/>
      <c r="K19" s="718">
        <f>SUM(K20:K21)</f>
        <v>1710243241</v>
      </c>
      <c r="L19" s="1018" t="str">
        <f t="shared" si="5"/>
        <v>****</v>
      </c>
      <c r="M19" s="593"/>
      <c r="N19" s="593"/>
    </row>
    <row r="20" spans="1:15">
      <c r="A20" s="647" t="s">
        <v>628</v>
      </c>
      <c r="B20" s="612" t="s">
        <v>1051</v>
      </c>
      <c r="C20" s="593" t="s">
        <v>1074</v>
      </c>
      <c r="D20" s="613">
        <f>1172725.18+7526375.74</f>
        <v>8699100.9199999999</v>
      </c>
      <c r="E20" s="613"/>
      <c r="F20" s="613"/>
      <c r="G20" s="1028">
        <f>D20+E20-F20</f>
        <v>8699100.9199999999</v>
      </c>
      <c r="H20" s="1154">
        <f>ROUND(G20*$G$4,)</f>
        <v>1710243241</v>
      </c>
      <c r="I20" s="1017"/>
      <c r="J20" s="1017"/>
      <c r="K20" s="977">
        <f>H20+I20-J20</f>
        <v>1710243241</v>
      </c>
      <c r="L20" s="1018" t="str">
        <f t="shared" si="5"/>
        <v>*****</v>
      </c>
      <c r="M20" s="593" t="s">
        <v>1054</v>
      </c>
      <c r="N20" s="593" t="s">
        <v>1075</v>
      </c>
    </row>
    <row r="21" spans="1:15">
      <c r="A21" s="647" t="s">
        <v>629</v>
      </c>
      <c r="B21" s="612" t="s">
        <v>1051</v>
      </c>
      <c r="C21" s="593" t="s">
        <v>1076</v>
      </c>
      <c r="D21" s="613"/>
      <c r="E21" s="613"/>
      <c r="F21" s="613"/>
      <c r="G21" s="1028">
        <f>D21+E21-F21</f>
        <v>0</v>
      </c>
      <c r="H21" s="977">
        <f t="shared" ref="H21" si="9">ROUND(G21*$G$4,)</f>
        <v>0</v>
      </c>
      <c r="I21" s="1017"/>
      <c r="J21" s="1017"/>
      <c r="K21" s="977">
        <f>H21+I21-J21</f>
        <v>0</v>
      </c>
      <c r="L21" s="1018" t="str">
        <f t="shared" si="5"/>
        <v>*****</v>
      </c>
      <c r="M21" s="593" t="s">
        <v>1054</v>
      </c>
      <c r="N21" s="593" t="s">
        <v>1077</v>
      </c>
    </row>
    <row r="22" spans="1:15">
      <c r="A22" s="647"/>
      <c r="B22" s="612" t="s">
        <v>1049</v>
      </c>
      <c r="C22" s="593" t="s">
        <v>1078</v>
      </c>
      <c r="D22" s="613"/>
      <c r="E22" s="613"/>
      <c r="F22" s="613"/>
      <c r="G22" s="1028">
        <f>D22+E22-F22</f>
        <v>0</v>
      </c>
      <c r="H22" s="977">
        <f>ROUND(G22*$G$4,)</f>
        <v>0</v>
      </c>
      <c r="I22" s="1017"/>
      <c r="J22" s="1017"/>
      <c r="K22" s="977">
        <f>H22+I22-J22</f>
        <v>0</v>
      </c>
      <c r="L22" s="1018" t="str">
        <f t="shared" si="5"/>
        <v>****</v>
      </c>
      <c r="M22" s="593" t="s">
        <v>105</v>
      </c>
      <c r="N22" s="593" t="s">
        <v>1079</v>
      </c>
    </row>
    <row r="23" spans="1:15">
      <c r="A23" s="647"/>
      <c r="B23" s="612" t="s">
        <v>1049</v>
      </c>
      <c r="C23" s="593" t="s">
        <v>1080</v>
      </c>
      <c r="D23" s="613">
        <f t="shared" ref="D23" si="10">SUM(D24,D26,D25,D27,D28,D31,D32)</f>
        <v>104409.85</v>
      </c>
      <c r="E23" s="613"/>
      <c r="F23" s="613"/>
      <c r="G23" s="1027">
        <f>SUM(G24,G26,G25,G27,G28,G31,G32)</f>
        <v>148190.85</v>
      </c>
      <c r="H23" s="718">
        <f>SUM(H24,H26,H25,H27,H28,H31,H32)</f>
        <v>29134321</v>
      </c>
      <c r="I23" s="1017"/>
      <c r="J23" s="1017"/>
      <c r="K23" s="718">
        <f>SUM(K24,K26,K25,K27,K28,K31,K32)</f>
        <v>29134321</v>
      </c>
      <c r="L23" s="1018" t="str">
        <f t="shared" si="5"/>
        <v>****</v>
      </c>
      <c r="M23" s="593"/>
      <c r="N23" s="593"/>
    </row>
    <row r="24" spans="1:15">
      <c r="A24" s="647" t="s">
        <v>632</v>
      </c>
      <c r="B24" s="612" t="s">
        <v>1051</v>
      </c>
      <c r="C24" s="593" t="s">
        <v>1081</v>
      </c>
      <c r="D24" s="613"/>
      <c r="E24" s="613">
        <v>0</v>
      </c>
      <c r="F24" s="613"/>
      <c r="G24" s="1028">
        <f>D24+E24-F24</f>
        <v>0</v>
      </c>
      <c r="H24" s="977">
        <f t="shared" ref="H24:H32" si="11">ROUND(G24*$G$4,)</f>
        <v>0</v>
      </c>
      <c r="I24" s="1017"/>
      <c r="J24" s="1017"/>
      <c r="K24" s="977">
        <f>H24+I24-J24</f>
        <v>0</v>
      </c>
      <c r="L24" s="1018" t="str">
        <f t="shared" si="5"/>
        <v>*****</v>
      </c>
      <c r="M24" s="593" t="s">
        <v>1054</v>
      </c>
      <c r="N24" s="593" t="s">
        <v>1082</v>
      </c>
    </row>
    <row r="25" spans="1:15">
      <c r="A25" s="647"/>
      <c r="B25" s="612" t="s">
        <v>1051</v>
      </c>
      <c r="C25" s="593" t="s">
        <v>1083</v>
      </c>
      <c r="D25" s="613"/>
      <c r="E25" s="613"/>
      <c r="F25" s="613"/>
      <c r="G25" s="1028">
        <f>D25+E25-F25</f>
        <v>0</v>
      </c>
      <c r="H25" s="977">
        <f t="shared" si="11"/>
        <v>0</v>
      </c>
      <c r="I25" s="1017"/>
      <c r="J25" s="1017"/>
      <c r="K25" s="977">
        <f>H25+I25-J25</f>
        <v>0</v>
      </c>
      <c r="L25" s="1018" t="str">
        <f t="shared" si="5"/>
        <v>*****</v>
      </c>
      <c r="M25" s="593" t="s">
        <v>1054</v>
      </c>
      <c r="N25" s="593" t="s">
        <v>1084</v>
      </c>
    </row>
    <row r="26" spans="1:15">
      <c r="A26" s="647"/>
      <c r="B26" s="612" t="s">
        <v>1051</v>
      </c>
      <c r="C26" s="593" t="s">
        <v>1085</v>
      </c>
      <c r="D26" s="613"/>
      <c r="E26" s="613"/>
      <c r="F26" s="613"/>
      <c r="G26" s="1028">
        <f>D26+E26-F26</f>
        <v>0</v>
      </c>
      <c r="H26" s="977">
        <f t="shared" si="11"/>
        <v>0</v>
      </c>
      <c r="I26" s="1017"/>
      <c r="J26" s="1017"/>
      <c r="K26" s="977">
        <f>H26+I26-J26</f>
        <v>0</v>
      </c>
      <c r="L26" s="1018" t="str">
        <f t="shared" si="5"/>
        <v>*****</v>
      </c>
      <c r="M26" s="593" t="s">
        <v>1054</v>
      </c>
      <c r="N26" s="593" t="s">
        <v>1086</v>
      </c>
    </row>
    <row r="27" spans="1:15">
      <c r="A27" s="647"/>
      <c r="B27" s="612" t="s">
        <v>1051</v>
      </c>
      <c r="C27" s="593" t="s">
        <v>1088</v>
      </c>
      <c r="D27" s="613"/>
      <c r="E27" s="613"/>
      <c r="F27" s="613"/>
      <c r="G27" s="1028">
        <f>D27+E27-F27</f>
        <v>0</v>
      </c>
      <c r="H27" s="977">
        <f t="shared" si="11"/>
        <v>0</v>
      </c>
      <c r="I27" s="1017"/>
      <c r="J27" s="1017"/>
      <c r="K27" s="977">
        <f>H27+I27-J27</f>
        <v>0</v>
      </c>
      <c r="L27" s="1018" t="str">
        <f t="shared" si="5"/>
        <v>*****</v>
      </c>
      <c r="M27" s="593" t="s">
        <v>1054</v>
      </c>
      <c r="N27" s="593" t="s">
        <v>1089</v>
      </c>
    </row>
    <row r="28" spans="1:15">
      <c r="A28" s="647"/>
      <c r="B28" s="612" t="s">
        <v>1051</v>
      </c>
      <c r="C28" s="593" t="s">
        <v>1090</v>
      </c>
      <c r="D28" s="613">
        <f t="shared" ref="D28" si="12">SUM(D29,D30)</f>
        <v>12909.85</v>
      </c>
      <c r="E28" s="613"/>
      <c r="F28" s="613"/>
      <c r="G28" s="1027">
        <f>SUM(G29,G30)</f>
        <v>12909.85</v>
      </c>
      <c r="H28" s="977">
        <f>H29+H30</f>
        <v>2538076</v>
      </c>
      <c r="I28" s="1017"/>
      <c r="J28" s="1017"/>
      <c r="K28" s="718">
        <f>SUM(K29,K30)</f>
        <v>2538076</v>
      </c>
      <c r="L28" s="1018" t="str">
        <f t="shared" si="5"/>
        <v>*****</v>
      </c>
      <c r="M28" s="593"/>
      <c r="N28" s="593"/>
    </row>
    <row r="29" spans="1:15">
      <c r="A29" s="647" t="s">
        <v>634</v>
      </c>
      <c r="B29" s="612" t="s">
        <v>1066</v>
      </c>
      <c r="C29" s="593" t="s">
        <v>1092</v>
      </c>
      <c r="D29" s="613">
        <f>503.32+12406.53</f>
        <v>12909.85</v>
      </c>
      <c r="E29" s="613"/>
      <c r="F29" s="613"/>
      <c r="G29" s="1028">
        <f t="shared" ref="G29:G32" si="13">D29+E29-F29</f>
        <v>12909.85</v>
      </c>
      <c r="H29" s="992">
        <f>ROUND(G29*$G$4,)-1</f>
        <v>2538076</v>
      </c>
      <c r="I29" s="1017"/>
      <c r="J29" s="1017"/>
      <c r="K29" s="977">
        <f t="shared" ref="K29:K32" si="14">H29+I29-J29</f>
        <v>2538076</v>
      </c>
      <c r="L29" s="1018" t="str">
        <f t="shared" si="5"/>
        <v>******</v>
      </c>
      <c r="M29" s="593" t="s">
        <v>105</v>
      </c>
      <c r="N29" s="593" t="s">
        <v>1093</v>
      </c>
      <c r="O29" s="596" t="s">
        <v>2971</v>
      </c>
    </row>
    <row r="30" spans="1:15">
      <c r="A30" s="647"/>
      <c r="B30" s="612" t="s">
        <v>1066</v>
      </c>
      <c r="C30" s="593" t="s">
        <v>1094</v>
      </c>
      <c r="D30" s="613"/>
      <c r="E30" s="613"/>
      <c r="F30" s="613"/>
      <c r="G30" s="1028">
        <f t="shared" si="13"/>
        <v>0</v>
      </c>
      <c r="H30" s="977">
        <f t="shared" si="11"/>
        <v>0</v>
      </c>
      <c r="I30" s="1017"/>
      <c r="J30" s="1017"/>
      <c r="K30" s="977">
        <f t="shared" si="14"/>
        <v>0</v>
      </c>
      <c r="L30" s="1018" t="str">
        <f t="shared" si="5"/>
        <v>******</v>
      </c>
      <c r="M30" s="593" t="s">
        <v>105</v>
      </c>
      <c r="N30" s="593" t="s">
        <v>1095</v>
      </c>
    </row>
    <row r="31" spans="1:15">
      <c r="A31" s="647" t="s">
        <v>2509</v>
      </c>
      <c r="B31" s="612" t="s">
        <v>1051</v>
      </c>
      <c r="C31" s="593" t="s">
        <v>2538</v>
      </c>
      <c r="D31" s="613">
        <v>91500</v>
      </c>
      <c r="E31" s="613"/>
      <c r="F31" s="613"/>
      <c r="G31" s="1028">
        <f t="shared" si="13"/>
        <v>91500</v>
      </c>
      <c r="H31" s="1154">
        <f>ROUND(G31*$G$4,)</f>
        <v>17988900</v>
      </c>
      <c r="I31" s="1017"/>
      <c r="J31" s="1017"/>
      <c r="K31" s="977">
        <f t="shared" si="14"/>
        <v>17988900</v>
      </c>
      <c r="L31" s="1018" t="str">
        <f t="shared" si="5"/>
        <v>*****</v>
      </c>
      <c r="M31" s="593"/>
      <c r="N31" s="593"/>
    </row>
    <row r="32" spans="1:15">
      <c r="A32" s="647" t="s">
        <v>641</v>
      </c>
      <c r="B32" s="612" t="s">
        <v>1051</v>
      </c>
      <c r="C32" s="593" t="s">
        <v>2883</v>
      </c>
      <c r="D32" s="613">
        <v>0</v>
      </c>
      <c r="E32" s="613">
        <f>F86</f>
        <v>43781</v>
      </c>
      <c r="F32" s="613"/>
      <c r="G32" s="1028">
        <f t="shared" si="13"/>
        <v>43781</v>
      </c>
      <c r="H32" s="977">
        <f t="shared" si="11"/>
        <v>8607345</v>
      </c>
      <c r="I32" s="1017"/>
      <c r="J32" s="1017"/>
      <c r="K32" s="977">
        <f t="shared" si="14"/>
        <v>8607345</v>
      </c>
      <c r="L32" s="1018" t="str">
        <f t="shared" si="5"/>
        <v>*****</v>
      </c>
      <c r="M32" s="593"/>
      <c r="N32" s="593"/>
    </row>
    <row r="33" spans="1:14">
      <c r="A33" s="647"/>
      <c r="B33" s="609" t="s">
        <v>1047</v>
      </c>
      <c r="C33" s="610" t="s">
        <v>1097</v>
      </c>
      <c r="D33" s="611">
        <f t="shared" ref="D33" si="15">SUM(D34,D35,D36,D37,D38,D39,D40)</f>
        <v>721356.53</v>
      </c>
      <c r="E33" s="611"/>
      <c r="F33" s="611"/>
      <c r="G33" s="1026">
        <f>SUM(G34,G35,G36,G37,G38,G39,G40)</f>
        <v>721356.53</v>
      </c>
      <c r="H33" s="976">
        <f>SUM(H34,H35,H36,H37,H38,H39,H40)</f>
        <v>141818694</v>
      </c>
      <c r="I33" s="1015"/>
      <c r="J33" s="1015"/>
      <c r="K33" s="976">
        <f>SUM(K34,K35,K36,K37,K38,K39,K40)</f>
        <v>141818694</v>
      </c>
      <c r="L33" s="1016" t="str">
        <f t="shared" si="5"/>
        <v>***</v>
      </c>
      <c r="M33" s="610"/>
      <c r="N33" s="610"/>
    </row>
    <row r="34" spans="1:14">
      <c r="A34" s="647" t="s">
        <v>645</v>
      </c>
      <c r="B34" s="612" t="s">
        <v>1049</v>
      </c>
      <c r="C34" s="593" t="s">
        <v>1316</v>
      </c>
      <c r="D34" s="613">
        <v>721356.53</v>
      </c>
      <c r="E34" s="613"/>
      <c r="F34" s="613"/>
      <c r="G34" s="1028">
        <f t="shared" ref="G34:G40" si="16">D34+E34-F34</f>
        <v>721356.53</v>
      </c>
      <c r="H34" s="977">
        <f>ROUND(G34*$G$4,)</f>
        <v>141818694</v>
      </c>
      <c r="I34" s="1017"/>
      <c r="J34" s="1017"/>
      <c r="K34" s="977">
        <f t="shared" ref="K34:K40" si="17">H34+I34-J34</f>
        <v>141818694</v>
      </c>
      <c r="L34" s="1018" t="str">
        <f t="shared" si="5"/>
        <v>****</v>
      </c>
      <c r="M34" s="593" t="s">
        <v>20</v>
      </c>
      <c r="N34" s="593" t="s">
        <v>1098</v>
      </c>
    </row>
    <row r="35" spans="1:14">
      <c r="A35" s="647" t="s">
        <v>643</v>
      </c>
      <c r="B35" s="612" t="s">
        <v>1049</v>
      </c>
      <c r="C35" s="593" t="s">
        <v>1099</v>
      </c>
      <c r="D35" s="613"/>
      <c r="E35" s="613"/>
      <c r="F35" s="613"/>
      <c r="G35" s="1028">
        <f t="shared" si="16"/>
        <v>0</v>
      </c>
      <c r="H35" s="977">
        <f t="shared" ref="H35:H40" si="18">ROUND(G35*$G$4,)</f>
        <v>0</v>
      </c>
      <c r="I35" s="1017"/>
      <c r="J35" s="1017"/>
      <c r="K35" s="977">
        <f t="shared" si="17"/>
        <v>0</v>
      </c>
      <c r="L35" s="1018" t="str">
        <f t="shared" si="5"/>
        <v>****</v>
      </c>
      <c r="M35" s="593" t="s">
        <v>20</v>
      </c>
      <c r="N35" s="593" t="s">
        <v>1100</v>
      </c>
    </row>
    <row r="36" spans="1:14">
      <c r="A36" s="647" t="s">
        <v>646</v>
      </c>
      <c r="B36" s="612" t="s">
        <v>1049</v>
      </c>
      <c r="C36" s="593" t="s">
        <v>1317</v>
      </c>
      <c r="D36" s="613"/>
      <c r="E36" s="613"/>
      <c r="F36" s="613"/>
      <c r="G36" s="1028">
        <f t="shared" si="16"/>
        <v>0</v>
      </c>
      <c r="H36" s="977">
        <f t="shared" si="18"/>
        <v>0</v>
      </c>
      <c r="I36" s="1017"/>
      <c r="J36" s="1017"/>
      <c r="K36" s="977">
        <f t="shared" si="17"/>
        <v>0</v>
      </c>
      <c r="L36" s="1018" t="str">
        <f t="shared" si="5"/>
        <v>****</v>
      </c>
      <c r="M36" s="593" t="s">
        <v>20</v>
      </c>
      <c r="N36" s="593" t="s">
        <v>1101</v>
      </c>
    </row>
    <row r="37" spans="1:14">
      <c r="A37" s="647" t="s">
        <v>647</v>
      </c>
      <c r="B37" s="612" t="s">
        <v>1049</v>
      </c>
      <c r="C37" s="593" t="s">
        <v>1318</v>
      </c>
      <c r="D37" s="613"/>
      <c r="E37" s="613"/>
      <c r="F37" s="613"/>
      <c r="G37" s="1028">
        <f t="shared" si="16"/>
        <v>0</v>
      </c>
      <c r="H37" s="977">
        <f t="shared" si="18"/>
        <v>0</v>
      </c>
      <c r="I37" s="1017"/>
      <c r="J37" s="1017"/>
      <c r="K37" s="977">
        <f t="shared" si="17"/>
        <v>0</v>
      </c>
      <c r="L37" s="1018" t="str">
        <f t="shared" si="5"/>
        <v>****</v>
      </c>
      <c r="M37" s="593" t="s">
        <v>20</v>
      </c>
      <c r="N37" s="593" t="s">
        <v>1102</v>
      </c>
    </row>
    <row r="38" spans="1:14">
      <c r="A38" s="647" t="s">
        <v>649</v>
      </c>
      <c r="B38" s="612" t="s">
        <v>1049</v>
      </c>
      <c r="C38" s="593" t="s">
        <v>1103</v>
      </c>
      <c r="D38" s="613"/>
      <c r="E38" s="613"/>
      <c r="F38" s="613"/>
      <c r="G38" s="1028">
        <f t="shared" si="16"/>
        <v>0</v>
      </c>
      <c r="H38" s="977">
        <f t="shared" si="18"/>
        <v>0</v>
      </c>
      <c r="I38" s="1017"/>
      <c r="J38" s="1017"/>
      <c r="K38" s="977">
        <f t="shared" si="17"/>
        <v>0</v>
      </c>
      <c r="L38" s="1018" t="str">
        <f t="shared" si="5"/>
        <v>****</v>
      </c>
      <c r="M38" s="593" t="s">
        <v>20</v>
      </c>
      <c r="N38" s="593" t="s">
        <v>1104</v>
      </c>
    </row>
    <row r="39" spans="1:14">
      <c r="A39" s="647" t="s">
        <v>650</v>
      </c>
      <c r="B39" s="612"/>
      <c r="C39" s="593" t="s">
        <v>1105</v>
      </c>
      <c r="D39" s="613"/>
      <c r="E39" s="613"/>
      <c r="F39" s="613"/>
      <c r="G39" s="1028">
        <f t="shared" si="16"/>
        <v>0</v>
      </c>
      <c r="H39" s="977">
        <f t="shared" si="18"/>
        <v>0</v>
      </c>
      <c r="I39" s="1017"/>
      <c r="J39" s="1017"/>
      <c r="K39" s="977">
        <f t="shared" si="17"/>
        <v>0</v>
      </c>
      <c r="L39" s="1018"/>
      <c r="M39" s="593"/>
      <c r="N39" s="593"/>
    </row>
    <row r="40" spans="1:14">
      <c r="A40" s="647"/>
      <c r="B40" s="612"/>
      <c r="C40" s="593" t="s">
        <v>1106</v>
      </c>
      <c r="D40" s="613"/>
      <c r="E40" s="613"/>
      <c r="F40" s="613"/>
      <c r="G40" s="1028">
        <f t="shared" si="16"/>
        <v>0</v>
      </c>
      <c r="H40" s="977">
        <f t="shared" si="18"/>
        <v>0</v>
      </c>
      <c r="I40" s="1017"/>
      <c r="J40" s="1017"/>
      <c r="K40" s="977">
        <f t="shared" si="17"/>
        <v>0</v>
      </c>
      <c r="L40" s="1018"/>
      <c r="M40" s="593"/>
      <c r="N40" s="593"/>
    </row>
    <row r="41" spans="1:14">
      <c r="A41" s="647"/>
      <c r="B41" s="997" t="s">
        <v>1045</v>
      </c>
      <c r="C41" s="998" t="s">
        <v>1107</v>
      </c>
      <c r="D41" s="999">
        <f t="shared" ref="D41" si="19">SUM(D42,D44,D49,D51,D65,D74)</f>
        <v>1149273.01</v>
      </c>
      <c r="E41" s="999"/>
      <c r="F41" s="999"/>
      <c r="G41" s="1025">
        <f>SUM(G42,G44,G49,G51,G65,G74)</f>
        <v>1149273.01</v>
      </c>
      <c r="H41" s="1000">
        <f>SUM(H42,H44,H49,H51,H65,H74)</f>
        <v>225947074</v>
      </c>
      <c r="I41" s="1013"/>
      <c r="J41" s="1013"/>
      <c r="K41" s="1000">
        <f>SUM(K42,K44,K49,K51,K65,K74)</f>
        <v>225947074</v>
      </c>
      <c r="L41" s="1014" t="str">
        <f>B41</f>
        <v>**</v>
      </c>
      <c r="M41" s="998"/>
      <c r="N41" s="998"/>
    </row>
    <row r="42" spans="1:14">
      <c r="A42" s="647"/>
      <c r="B42" s="609" t="s">
        <v>1047</v>
      </c>
      <c r="C42" s="610" t="s">
        <v>1108</v>
      </c>
      <c r="D42" s="611">
        <f t="shared" ref="D42" si="20">D43</f>
        <v>1000000</v>
      </c>
      <c r="E42" s="611"/>
      <c r="F42" s="611"/>
      <c r="G42" s="1026">
        <f>G43</f>
        <v>1000000</v>
      </c>
      <c r="H42" s="976">
        <f>H43</f>
        <v>196600000</v>
      </c>
      <c r="I42" s="1015"/>
      <c r="J42" s="1015"/>
      <c r="K42" s="976">
        <f>K43</f>
        <v>196600000</v>
      </c>
      <c r="L42" s="1016" t="str">
        <f>B42</f>
        <v>***</v>
      </c>
      <c r="M42" s="610"/>
      <c r="N42" s="610"/>
    </row>
    <row r="43" spans="1:14">
      <c r="A43" s="647" t="s">
        <v>2652</v>
      </c>
      <c r="B43" s="612" t="s">
        <v>1049</v>
      </c>
      <c r="C43" s="593" t="s">
        <v>1109</v>
      </c>
      <c r="D43" s="613">
        <v>1000000</v>
      </c>
      <c r="E43" s="613"/>
      <c r="F43" s="613"/>
      <c r="G43" s="1028">
        <f>D43+E43-F43</f>
        <v>1000000</v>
      </c>
      <c r="H43" s="977">
        <f>ROUND(G43*$G$4,)</f>
        <v>196600000</v>
      </c>
      <c r="I43" s="1017"/>
      <c r="J43" s="1017"/>
      <c r="K43" s="977">
        <f>H43+I43-J43</f>
        <v>196600000</v>
      </c>
      <c r="L43" s="1018" t="str">
        <f>B43</f>
        <v>****</v>
      </c>
      <c r="M43" s="593" t="s">
        <v>1110</v>
      </c>
      <c r="N43" s="593" t="s">
        <v>1111</v>
      </c>
    </row>
    <row r="44" spans="1:14">
      <c r="A44" s="647"/>
      <c r="B44" s="609" t="s">
        <v>1047</v>
      </c>
      <c r="C44" s="610" t="s">
        <v>1112</v>
      </c>
      <c r="D44" s="611">
        <f t="shared" ref="D44" si="21">SUM(D45,D48)</f>
        <v>0</v>
      </c>
      <c r="E44" s="611"/>
      <c r="F44" s="611"/>
      <c r="G44" s="1026">
        <f>SUM(G45,G48)</f>
        <v>0</v>
      </c>
      <c r="H44" s="976">
        <f>SUM(H45,H48)</f>
        <v>0</v>
      </c>
      <c r="I44" s="1015"/>
      <c r="J44" s="1015"/>
      <c r="K44" s="976">
        <f>SUM(K45,K48)</f>
        <v>0</v>
      </c>
      <c r="L44" s="1016"/>
      <c r="M44" s="610"/>
      <c r="N44" s="610"/>
    </row>
    <row r="45" spans="1:14">
      <c r="A45" s="647"/>
      <c r="B45" s="612" t="s">
        <v>1049</v>
      </c>
      <c r="C45" s="593" t="s">
        <v>1113</v>
      </c>
      <c r="D45" s="613">
        <f t="shared" ref="D45" si="22">SUM(D46:D47)</f>
        <v>0</v>
      </c>
      <c r="E45" s="613"/>
      <c r="F45" s="613"/>
      <c r="G45" s="1027">
        <f>SUM(G46:G47)</f>
        <v>0</v>
      </c>
      <c r="H45" s="718">
        <f>SUM(H46:H47)</f>
        <v>0</v>
      </c>
      <c r="I45" s="1017"/>
      <c r="J45" s="1017"/>
      <c r="K45" s="718">
        <f>SUM(K46:K47)</f>
        <v>0</v>
      </c>
      <c r="L45" s="1018" t="str">
        <f t="shared" ref="L45:L67" si="23">B45</f>
        <v>****</v>
      </c>
      <c r="M45" s="593"/>
      <c r="N45" s="593"/>
    </row>
    <row r="46" spans="1:14">
      <c r="A46" s="647" t="s">
        <v>679</v>
      </c>
      <c r="B46" s="612" t="s">
        <v>1051</v>
      </c>
      <c r="C46" s="593" t="s">
        <v>1114</v>
      </c>
      <c r="D46" s="613">
        <v>0</v>
      </c>
      <c r="E46" s="613"/>
      <c r="F46" s="613"/>
      <c r="G46" s="1028">
        <f>D46+E46-F46</f>
        <v>0</v>
      </c>
      <c r="H46" s="977">
        <f t="shared" ref="H46:H73" si="24">ROUND(G46*$G$4,)</f>
        <v>0</v>
      </c>
      <c r="I46" s="1017"/>
      <c r="J46" s="1017"/>
      <c r="K46" s="977">
        <f>H46+I46-J46</f>
        <v>0</v>
      </c>
      <c r="L46" s="1018" t="str">
        <f t="shared" si="23"/>
        <v>*****</v>
      </c>
      <c r="M46" s="593" t="s">
        <v>1115</v>
      </c>
      <c r="N46" s="593" t="s">
        <v>1116</v>
      </c>
    </row>
    <row r="47" spans="1:14">
      <c r="A47" s="647" t="s">
        <v>680</v>
      </c>
      <c r="B47" s="612" t="s">
        <v>1051</v>
      </c>
      <c r="C47" s="593" t="s">
        <v>1117</v>
      </c>
      <c r="D47" s="613">
        <v>0</v>
      </c>
      <c r="E47" s="613"/>
      <c r="F47" s="613"/>
      <c r="G47" s="1028">
        <f>D47+E47-F47</f>
        <v>0</v>
      </c>
      <c r="H47" s="977">
        <f t="shared" si="24"/>
        <v>0</v>
      </c>
      <c r="I47" s="1017"/>
      <c r="J47" s="1017"/>
      <c r="K47" s="977">
        <f>H47+I47-J47</f>
        <v>0</v>
      </c>
      <c r="L47" s="1018" t="str">
        <f t="shared" si="23"/>
        <v>*****</v>
      </c>
      <c r="M47" s="593" t="s">
        <v>1115</v>
      </c>
      <c r="N47" s="593" t="s">
        <v>1118</v>
      </c>
    </row>
    <row r="48" spans="1:14">
      <c r="A48" s="647"/>
      <c r="B48" s="612" t="s">
        <v>1049</v>
      </c>
      <c r="C48" s="593" t="s">
        <v>1119</v>
      </c>
      <c r="D48" s="613">
        <v>0</v>
      </c>
      <c r="E48" s="613"/>
      <c r="F48" s="613"/>
      <c r="G48" s="1028">
        <f>D48+E48-F48</f>
        <v>0</v>
      </c>
      <c r="H48" s="977">
        <f t="shared" si="24"/>
        <v>0</v>
      </c>
      <c r="I48" s="1017"/>
      <c r="J48" s="1017"/>
      <c r="K48" s="977">
        <f>H48+I48-J48</f>
        <v>0</v>
      </c>
      <c r="L48" s="1018" t="str">
        <f t="shared" si="23"/>
        <v>****</v>
      </c>
      <c r="M48" s="593" t="s">
        <v>1115</v>
      </c>
      <c r="N48" s="593" t="s">
        <v>1120</v>
      </c>
    </row>
    <row r="49" spans="1:14">
      <c r="A49" s="647"/>
      <c r="B49" s="609" t="s">
        <v>1047</v>
      </c>
      <c r="C49" s="610" t="s">
        <v>1121</v>
      </c>
      <c r="D49" s="611">
        <f t="shared" ref="D49" si="25">D50</f>
        <v>0</v>
      </c>
      <c r="E49" s="611"/>
      <c r="F49" s="611"/>
      <c r="G49" s="1026">
        <f>G50</f>
        <v>0</v>
      </c>
      <c r="H49" s="976">
        <f>H50</f>
        <v>0</v>
      </c>
      <c r="I49" s="1015"/>
      <c r="J49" s="1015"/>
      <c r="K49" s="976">
        <f>K50</f>
        <v>0</v>
      </c>
      <c r="L49" s="1016" t="str">
        <f t="shared" si="23"/>
        <v>***</v>
      </c>
      <c r="M49" s="610"/>
      <c r="N49" s="610"/>
    </row>
    <row r="50" spans="1:14">
      <c r="A50" s="647"/>
      <c r="B50" s="612" t="s">
        <v>1049</v>
      </c>
      <c r="C50" s="593" t="s">
        <v>1122</v>
      </c>
      <c r="D50" s="613"/>
      <c r="E50" s="613"/>
      <c r="F50" s="613"/>
      <c r="G50" s="1028">
        <f>D50+E50-F50</f>
        <v>0</v>
      </c>
      <c r="H50" s="977">
        <f t="shared" si="24"/>
        <v>0</v>
      </c>
      <c r="I50" s="1017"/>
      <c r="J50" s="1017"/>
      <c r="K50" s="977">
        <f>H50+I50-J50</f>
        <v>0</v>
      </c>
      <c r="L50" s="1018" t="str">
        <f t="shared" si="23"/>
        <v>****</v>
      </c>
      <c r="M50" s="593" t="s">
        <v>1123</v>
      </c>
      <c r="N50" s="593" t="s">
        <v>1124</v>
      </c>
    </row>
    <row r="51" spans="1:14">
      <c r="A51" s="647"/>
      <c r="B51" s="609" t="s">
        <v>1125</v>
      </c>
      <c r="C51" s="610" t="s">
        <v>1126</v>
      </c>
      <c r="D51" s="611">
        <f t="shared" ref="D51" si="26">SUM(D52:D64)</f>
        <v>149273.01</v>
      </c>
      <c r="E51" s="611"/>
      <c r="F51" s="611"/>
      <c r="G51" s="1026">
        <f>SUM(G52:G64)</f>
        <v>149273.01</v>
      </c>
      <c r="H51" s="976">
        <f>SUM(H52:H64)</f>
        <v>29347074</v>
      </c>
      <c r="I51" s="1015"/>
      <c r="J51" s="1015"/>
      <c r="K51" s="976">
        <f>SUM(K52:K64)</f>
        <v>29347074</v>
      </c>
      <c r="L51" s="1016" t="str">
        <f t="shared" si="23"/>
        <v>***</v>
      </c>
      <c r="M51" s="610"/>
      <c r="N51" s="610"/>
    </row>
    <row r="52" spans="1:14">
      <c r="A52" s="647"/>
      <c r="B52" s="612" t="s">
        <v>1049</v>
      </c>
      <c r="C52" s="593" t="s">
        <v>1127</v>
      </c>
      <c r="D52" s="613"/>
      <c r="E52" s="613"/>
      <c r="F52" s="613"/>
      <c r="G52" s="1028">
        <f t="shared" ref="G52:G64" si="27">D52+E52-F52</f>
        <v>0</v>
      </c>
      <c r="H52" s="977">
        <f t="shared" si="24"/>
        <v>0</v>
      </c>
      <c r="I52" s="1017"/>
      <c r="J52" s="1017"/>
      <c r="K52" s="977">
        <f t="shared" ref="K52:K64" si="28">H52+I52-J52</f>
        <v>0</v>
      </c>
      <c r="L52" s="1018" t="str">
        <f t="shared" si="23"/>
        <v>****</v>
      </c>
      <c r="M52" s="593" t="s">
        <v>27</v>
      </c>
      <c r="N52" s="593" t="s">
        <v>1128</v>
      </c>
    </row>
    <row r="53" spans="1:14">
      <c r="A53" s="647"/>
      <c r="B53" s="612" t="s">
        <v>1049</v>
      </c>
      <c r="C53" s="593" t="s">
        <v>1129</v>
      </c>
      <c r="D53" s="613"/>
      <c r="E53" s="613"/>
      <c r="F53" s="613"/>
      <c r="G53" s="1028">
        <f t="shared" si="27"/>
        <v>0</v>
      </c>
      <c r="H53" s="977">
        <f t="shared" si="24"/>
        <v>0</v>
      </c>
      <c r="I53" s="1017"/>
      <c r="J53" s="1017"/>
      <c r="K53" s="977">
        <f t="shared" si="28"/>
        <v>0</v>
      </c>
      <c r="L53" s="1018" t="str">
        <f t="shared" si="23"/>
        <v>****</v>
      </c>
      <c r="M53" s="593" t="s">
        <v>27</v>
      </c>
      <c r="N53" s="593" t="s">
        <v>1130</v>
      </c>
    </row>
    <row r="54" spans="1:14">
      <c r="A54" s="647"/>
      <c r="B54" s="612" t="s">
        <v>1049</v>
      </c>
      <c r="C54" s="593" t="s">
        <v>1132</v>
      </c>
      <c r="D54" s="613"/>
      <c r="E54" s="613"/>
      <c r="F54" s="613"/>
      <c r="G54" s="1028">
        <f t="shared" si="27"/>
        <v>0</v>
      </c>
      <c r="H54" s="977">
        <f t="shared" si="24"/>
        <v>0</v>
      </c>
      <c r="I54" s="1017"/>
      <c r="J54" s="1017"/>
      <c r="K54" s="977">
        <f t="shared" si="28"/>
        <v>0</v>
      </c>
      <c r="L54" s="1018" t="str">
        <f t="shared" si="23"/>
        <v>****</v>
      </c>
      <c r="M54" s="593" t="s">
        <v>27</v>
      </c>
      <c r="N54" s="593" t="s">
        <v>1133</v>
      </c>
    </row>
    <row r="55" spans="1:14">
      <c r="A55" s="647"/>
      <c r="B55" s="612" t="s">
        <v>1049</v>
      </c>
      <c r="C55" s="593" t="s">
        <v>1134</v>
      </c>
      <c r="D55" s="613"/>
      <c r="E55" s="613"/>
      <c r="F55" s="613"/>
      <c r="G55" s="1028">
        <f t="shared" si="27"/>
        <v>0</v>
      </c>
      <c r="H55" s="977">
        <f t="shared" si="24"/>
        <v>0</v>
      </c>
      <c r="I55" s="1017"/>
      <c r="J55" s="1017"/>
      <c r="K55" s="977">
        <f t="shared" si="28"/>
        <v>0</v>
      </c>
      <c r="L55" s="1018" t="str">
        <f t="shared" si="23"/>
        <v>****</v>
      </c>
      <c r="M55" s="593" t="s">
        <v>27</v>
      </c>
      <c r="N55" s="593" t="s">
        <v>1135</v>
      </c>
    </row>
    <row r="56" spans="1:14">
      <c r="A56" s="647"/>
      <c r="B56" s="612" t="s">
        <v>1049</v>
      </c>
      <c r="C56" s="593" t="s">
        <v>1136</v>
      </c>
      <c r="D56" s="613"/>
      <c r="E56" s="613"/>
      <c r="F56" s="613"/>
      <c r="G56" s="1028">
        <f t="shared" si="27"/>
        <v>0</v>
      </c>
      <c r="H56" s="977">
        <f t="shared" si="24"/>
        <v>0</v>
      </c>
      <c r="I56" s="1017"/>
      <c r="J56" s="1017"/>
      <c r="K56" s="977">
        <f t="shared" si="28"/>
        <v>0</v>
      </c>
      <c r="L56" s="1018" t="str">
        <f t="shared" si="23"/>
        <v>****</v>
      </c>
      <c r="M56" s="593" t="s">
        <v>27</v>
      </c>
      <c r="N56" s="593" t="s">
        <v>1137</v>
      </c>
    </row>
    <row r="57" spans="1:14">
      <c r="A57" s="647"/>
      <c r="B57" s="612" t="s">
        <v>1049</v>
      </c>
      <c r="C57" s="593" t="s">
        <v>1138</v>
      </c>
      <c r="D57" s="613"/>
      <c r="E57" s="613"/>
      <c r="F57" s="613"/>
      <c r="G57" s="1028">
        <f t="shared" si="27"/>
        <v>0</v>
      </c>
      <c r="H57" s="977">
        <f t="shared" si="24"/>
        <v>0</v>
      </c>
      <c r="I57" s="1017"/>
      <c r="J57" s="1017"/>
      <c r="K57" s="977">
        <f t="shared" si="28"/>
        <v>0</v>
      </c>
      <c r="L57" s="1018" t="str">
        <f t="shared" si="23"/>
        <v>****</v>
      </c>
      <c r="M57" s="593" t="s">
        <v>27</v>
      </c>
      <c r="N57" s="593" t="s">
        <v>1139</v>
      </c>
    </row>
    <row r="58" spans="1:14">
      <c r="A58" s="647" t="s">
        <v>665</v>
      </c>
      <c r="B58" s="612" t="s">
        <v>1049</v>
      </c>
      <c r="C58" s="593" t="s">
        <v>1140</v>
      </c>
      <c r="D58" s="613">
        <v>276063.23</v>
      </c>
      <c r="E58" s="613"/>
      <c r="F58" s="613"/>
      <c r="G58" s="1028">
        <f t="shared" si="27"/>
        <v>276063.23</v>
      </c>
      <c r="H58" s="977">
        <f t="shared" si="24"/>
        <v>54274031</v>
      </c>
      <c r="I58" s="1017"/>
      <c r="J58" s="1017"/>
      <c r="K58" s="977">
        <f t="shared" si="28"/>
        <v>54274031</v>
      </c>
      <c r="L58" s="1018" t="str">
        <f t="shared" si="23"/>
        <v>****</v>
      </c>
      <c r="M58" s="593" t="s">
        <v>27</v>
      </c>
      <c r="N58" s="593" t="s">
        <v>1141</v>
      </c>
    </row>
    <row r="59" spans="1:14">
      <c r="A59" s="647" t="s">
        <v>666</v>
      </c>
      <c r="B59" s="612" t="s">
        <v>1049</v>
      </c>
      <c r="C59" s="593" t="s">
        <v>1142</v>
      </c>
      <c r="D59" s="613">
        <v>-147859.31</v>
      </c>
      <c r="E59" s="613"/>
      <c r="F59" s="613"/>
      <c r="G59" s="1028">
        <f t="shared" si="27"/>
        <v>-147859.31</v>
      </c>
      <c r="H59" s="977">
        <f t="shared" si="24"/>
        <v>-29069140</v>
      </c>
      <c r="I59" s="1017"/>
      <c r="J59" s="1017"/>
      <c r="K59" s="977">
        <f t="shared" si="28"/>
        <v>-29069140</v>
      </c>
      <c r="L59" s="1018" t="str">
        <f t="shared" si="23"/>
        <v>****</v>
      </c>
      <c r="M59" s="593" t="s">
        <v>27</v>
      </c>
      <c r="N59" s="593" t="s">
        <v>1143</v>
      </c>
    </row>
    <row r="60" spans="1:14">
      <c r="A60" s="647"/>
      <c r="B60" s="612" t="s">
        <v>1049</v>
      </c>
      <c r="C60" s="593" t="s">
        <v>1144</v>
      </c>
      <c r="D60" s="613"/>
      <c r="E60" s="613"/>
      <c r="F60" s="613"/>
      <c r="G60" s="1028">
        <f t="shared" si="27"/>
        <v>0</v>
      </c>
      <c r="H60" s="977">
        <f t="shared" si="24"/>
        <v>0</v>
      </c>
      <c r="I60" s="1017"/>
      <c r="J60" s="1017"/>
      <c r="K60" s="977">
        <f t="shared" si="28"/>
        <v>0</v>
      </c>
      <c r="L60" s="1018" t="str">
        <f t="shared" si="23"/>
        <v>****</v>
      </c>
      <c r="M60" s="593" t="s">
        <v>27</v>
      </c>
      <c r="N60" s="593" t="s">
        <v>1145</v>
      </c>
    </row>
    <row r="61" spans="1:14">
      <c r="A61" s="647" t="s">
        <v>668</v>
      </c>
      <c r="B61" s="612" t="s">
        <v>1049</v>
      </c>
      <c r="C61" s="593" t="s">
        <v>1146</v>
      </c>
      <c r="D61" s="613">
        <v>50407.45</v>
      </c>
      <c r="E61" s="613"/>
      <c r="F61" s="613"/>
      <c r="G61" s="1028">
        <f t="shared" si="27"/>
        <v>50407.45</v>
      </c>
      <c r="H61" s="977">
        <f t="shared" si="24"/>
        <v>9910105</v>
      </c>
      <c r="I61" s="1017"/>
      <c r="J61" s="1017"/>
      <c r="K61" s="977">
        <f t="shared" si="28"/>
        <v>9910105</v>
      </c>
      <c r="L61" s="1018" t="str">
        <f t="shared" si="23"/>
        <v>****</v>
      </c>
      <c r="M61" s="593" t="s">
        <v>27</v>
      </c>
      <c r="N61" s="593" t="s">
        <v>1026</v>
      </c>
    </row>
    <row r="62" spans="1:14">
      <c r="A62" s="647" t="s">
        <v>670</v>
      </c>
      <c r="B62" s="612" t="s">
        <v>1049</v>
      </c>
      <c r="C62" s="593" t="s">
        <v>1147</v>
      </c>
      <c r="D62" s="613">
        <v>-29338.36</v>
      </c>
      <c r="E62" s="613"/>
      <c r="F62" s="613"/>
      <c r="G62" s="1028">
        <f t="shared" si="27"/>
        <v>-29338.36</v>
      </c>
      <c r="H62" s="977">
        <f t="shared" si="24"/>
        <v>-5767922</v>
      </c>
      <c r="I62" s="1017"/>
      <c r="J62" s="1017"/>
      <c r="K62" s="977">
        <f t="shared" si="28"/>
        <v>-5767922</v>
      </c>
      <c r="L62" s="1018" t="str">
        <f t="shared" si="23"/>
        <v>****</v>
      </c>
      <c r="M62" s="593" t="s">
        <v>27</v>
      </c>
      <c r="N62" s="593" t="s">
        <v>1148</v>
      </c>
    </row>
    <row r="63" spans="1:14">
      <c r="A63" s="647" t="s">
        <v>672</v>
      </c>
      <c r="B63" s="612" t="s">
        <v>1049</v>
      </c>
      <c r="C63" s="593" t="s">
        <v>2544</v>
      </c>
      <c r="D63" s="613"/>
      <c r="E63" s="613">
        <v>0</v>
      </c>
      <c r="F63" s="613"/>
      <c r="G63" s="1028">
        <f t="shared" si="27"/>
        <v>0</v>
      </c>
      <c r="H63" s="977">
        <f t="shared" si="24"/>
        <v>0</v>
      </c>
      <c r="I63" s="1017"/>
      <c r="J63" s="1017"/>
      <c r="K63" s="977">
        <f t="shared" si="28"/>
        <v>0</v>
      </c>
      <c r="L63" s="1018" t="str">
        <f t="shared" si="23"/>
        <v>****</v>
      </c>
      <c r="M63" s="593" t="s">
        <v>27</v>
      </c>
      <c r="N63" s="593" t="s">
        <v>1149</v>
      </c>
    </row>
    <row r="64" spans="1:14">
      <c r="A64" s="647" t="s">
        <v>673</v>
      </c>
      <c r="B64" s="612" t="s">
        <v>1049</v>
      </c>
      <c r="C64" s="593" t="s">
        <v>2545</v>
      </c>
      <c r="D64" s="613"/>
      <c r="E64" s="613"/>
      <c r="F64" s="613">
        <v>0</v>
      </c>
      <c r="G64" s="1028">
        <f t="shared" si="27"/>
        <v>0</v>
      </c>
      <c r="H64" s="977">
        <f t="shared" si="24"/>
        <v>0</v>
      </c>
      <c r="I64" s="1017"/>
      <c r="J64" s="1017"/>
      <c r="K64" s="977">
        <f t="shared" si="28"/>
        <v>0</v>
      </c>
      <c r="L64" s="1018" t="str">
        <f t="shared" si="23"/>
        <v>****</v>
      </c>
      <c r="M64" s="593" t="s">
        <v>27</v>
      </c>
      <c r="N64" s="593" t="s">
        <v>1150</v>
      </c>
    </row>
    <row r="65" spans="1:14">
      <c r="A65" s="647"/>
      <c r="B65" s="609" t="s">
        <v>1047</v>
      </c>
      <c r="C65" s="610" t="s">
        <v>1151</v>
      </c>
      <c r="D65" s="611">
        <f t="shared" ref="D65" si="29">SUM(D66:D69,D72,D73)</f>
        <v>0</v>
      </c>
      <c r="E65" s="611"/>
      <c r="F65" s="611"/>
      <c r="G65" s="1026">
        <f>SUM(G66:G69,G72,G73)</f>
        <v>0</v>
      </c>
      <c r="H65" s="976">
        <f>SUM(H66:H69,H72,H73)</f>
        <v>0</v>
      </c>
      <c r="I65" s="1015"/>
      <c r="J65" s="1015"/>
      <c r="K65" s="976">
        <f>SUM(K66:K69,K72,K73)</f>
        <v>0</v>
      </c>
      <c r="L65" s="1016" t="str">
        <f t="shared" si="23"/>
        <v>***</v>
      </c>
      <c r="M65" s="610"/>
      <c r="N65" s="610"/>
    </row>
    <row r="66" spans="1:14">
      <c r="A66" s="647"/>
      <c r="B66" s="612" t="s">
        <v>1049</v>
      </c>
      <c r="C66" s="593" t="s">
        <v>1152</v>
      </c>
      <c r="D66" s="613"/>
      <c r="E66" s="613"/>
      <c r="F66" s="613"/>
      <c r="G66" s="1028">
        <f t="shared" ref="G66:G68" si="30">D66+E66-F66</f>
        <v>0</v>
      </c>
      <c r="H66" s="977">
        <f t="shared" si="24"/>
        <v>0</v>
      </c>
      <c r="I66" s="1017"/>
      <c r="J66" s="1017"/>
      <c r="K66" s="977">
        <f t="shared" ref="K66:K68" si="31">H66+I66-J66</f>
        <v>0</v>
      </c>
      <c r="L66" s="1018" t="str">
        <f t="shared" si="23"/>
        <v>****</v>
      </c>
      <c r="M66" s="593" t="s">
        <v>875</v>
      </c>
      <c r="N66" s="593" t="s">
        <v>1153</v>
      </c>
    </row>
    <row r="67" spans="1:14">
      <c r="A67" s="647"/>
      <c r="B67" s="612" t="s">
        <v>1049</v>
      </c>
      <c r="C67" s="593" t="s">
        <v>1154</v>
      </c>
      <c r="D67" s="613"/>
      <c r="E67" s="613"/>
      <c r="F67" s="613"/>
      <c r="G67" s="1028">
        <f t="shared" si="30"/>
        <v>0</v>
      </c>
      <c r="H67" s="977">
        <f t="shared" si="24"/>
        <v>0</v>
      </c>
      <c r="I67" s="1017"/>
      <c r="J67" s="1017"/>
      <c r="K67" s="977">
        <f t="shared" si="31"/>
        <v>0</v>
      </c>
      <c r="L67" s="1018" t="str">
        <f t="shared" si="23"/>
        <v>****</v>
      </c>
      <c r="M67" s="593" t="s">
        <v>875</v>
      </c>
      <c r="N67" s="593" t="s">
        <v>1155</v>
      </c>
    </row>
    <row r="68" spans="1:14">
      <c r="A68" s="647"/>
      <c r="B68" s="612" t="s">
        <v>1049</v>
      </c>
      <c r="C68" s="593" t="s">
        <v>1156</v>
      </c>
      <c r="D68" s="613"/>
      <c r="E68" s="613"/>
      <c r="F68" s="613"/>
      <c r="G68" s="1028">
        <f t="shared" si="30"/>
        <v>0</v>
      </c>
      <c r="H68" s="977">
        <f t="shared" si="24"/>
        <v>0</v>
      </c>
      <c r="I68" s="1017"/>
      <c r="J68" s="1017"/>
      <c r="K68" s="977">
        <f t="shared" si="31"/>
        <v>0</v>
      </c>
      <c r="L68" s="1018"/>
      <c r="M68" s="593" t="s">
        <v>875</v>
      </c>
      <c r="N68" s="593" t="s">
        <v>1157</v>
      </c>
    </row>
    <row r="69" spans="1:14">
      <c r="A69" s="647"/>
      <c r="B69" s="612" t="s">
        <v>1049</v>
      </c>
      <c r="C69" s="593" t="s">
        <v>1158</v>
      </c>
      <c r="D69" s="613">
        <f t="shared" ref="D69" si="32">SUM(D70:D71)</f>
        <v>0</v>
      </c>
      <c r="E69" s="613"/>
      <c r="F69" s="613"/>
      <c r="G69" s="1027">
        <f>SUM(G70:G71)</f>
        <v>0</v>
      </c>
      <c r="H69" s="718">
        <f>SUM(H70:H71)</f>
        <v>0</v>
      </c>
      <c r="I69" s="1017"/>
      <c r="J69" s="1017"/>
      <c r="K69" s="718">
        <f>SUM(K70:K71)</f>
        <v>0</v>
      </c>
      <c r="L69" s="1018" t="str">
        <f>B69</f>
        <v>****</v>
      </c>
      <c r="M69" s="593"/>
      <c r="N69" s="593"/>
    </row>
    <row r="70" spans="1:14">
      <c r="A70" s="647"/>
      <c r="B70" s="612" t="s">
        <v>1051</v>
      </c>
      <c r="C70" s="593" t="s">
        <v>1159</v>
      </c>
      <c r="D70" s="613"/>
      <c r="E70" s="613"/>
      <c r="F70" s="613"/>
      <c r="G70" s="1028">
        <f t="shared" ref="G70:G72" si="33">D70+E70-F70</f>
        <v>0</v>
      </c>
      <c r="H70" s="977">
        <f t="shared" si="24"/>
        <v>0</v>
      </c>
      <c r="I70" s="1017"/>
      <c r="J70" s="1017"/>
      <c r="K70" s="977">
        <f t="shared" ref="K70:K72" si="34">H70+I70-J70</f>
        <v>0</v>
      </c>
      <c r="L70" s="1018" t="str">
        <f>B70</f>
        <v>*****</v>
      </c>
      <c r="M70" s="593" t="s">
        <v>35</v>
      </c>
      <c r="N70" s="593" t="s">
        <v>1160</v>
      </c>
    </row>
    <row r="71" spans="1:14">
      <c r="A71" s="647"/>
      <c r="B71" s="612" t="s">
        <v>1051</v>
      </c>
      <c r="C71" s="593" t="s">
        <v>1161</v>
      </c>
      <c r="D71" s="613"/>
      <c r="E71" s="613"/>
      <c r="F71" s="613"/>
      <c r="G71" s="1028">
        <f t="shared" si="33"/>
        <v>0</v>
      </c>
      <c r="H71" s="977">
        <f t="shared" si="24"/>
        <v>0</v>
      </c>
      <c r="I71" s="1017"/>
      <c r="J71" s="1017"/>
      <c r="K71" s="977">
        <f t="shared" si="34"/>
        <v>0</v>
      </c>
      <c r="L71" s="1018" t="str">
        <f>B71</f>
        <v>*****</v>
      </c>
      <c r="M71" s="593" t="s">
        <v>35</v>
      </c>
      <c r="N71" s="593" t="s">
        <v>1162</v>
      </c>
    </row>
    <row r="72" spans="1:14">
      <c r="A72" s="647"/>
      <c r="B72" s="612" t="s">
        <v>1051</v>
      </c>
      <c r="C72" s="593" t="s">
        <v>1163</v>
      </c>
      <c r="D72" s="613"/>
      <c r="E72" s="613"/>
      <c r="F72" s="613"/>
      <c r="G72" s="1028">
        <f t="shared" si="33"/>
        <v>0</v>
      </c>
      <c r="H72" s="977">
        <f t="shared" si="24"/>
        <v>0</v>
      </c>
      <c r="I72" s="1017"/>
      <c r="J72" s="1017"/>
      <c r="K72" s="977">
        <f t="shared" si="34"/>
        <v>0</v>
      </c>
      <c r="L72" s="1018" t="s">
        <v>1049</v>
      </c>
      <c r="M72" s="593" t="s">
        <v>875</v>
      </c>
      <c r="N72" s="593" t="s">
        <v>1164</v>
      </c>
    </row>
    <row r="73" spans="1:14">
      <c r="A73" s="647"/>
      <c r="B73" s="612"/>
      <c r="C73" s="593" t="s">
        <v>1165</v>
      </c>
      <c r="D73" s="613"/>
      <c r="E73" s="613"/>
      <c r="F73" s="613"/>
      <c r="G73" s="1028"/>
      <c r="H73" s="977">
        <f t="shared" si="24"/>
        <v>0</v>
      </c>
      <c r="I73" s="1017"/>
      <c r="J73" s="1017"/>
      <c r="K73" s="977"/>
      <c r="L73" s="1018"/>
      <c r="M73" s="593"/>
      <c r="N73" s="593"/>
    </row>
    <row r="74" spans="1:14">
      <c r="A74" s="647"/>
      <c r="B74" s="609" t="s">
        <v>1047</v>
      </c>
      <c r="C74" s="610" t="s">
        <v>1166</v>
      </c>
      <c r="D74" s="611"/>
      <c r="E74" s="611"/>
      <c r="F74" s="611"/>
      <c r="G74" s="1029">
        <v>0</v>
      </c>
      <c r="H74" s="1004">
        <v>0</v>
      </c>
      <c r="I74" s="1019"/>
      <c r="J74" s="1019"/>
      <c r="K74" s="1004">
        <v>0</v>
      </c>
      <c r="L74" s="1020" t="str">
        <f>B74</f>
        <v>***</v>
      </c>
      <c r="M74" s="1002" t="s">
        <v>1167</v>
      </c>
      <c r="N74" s="1002" t="s">
        <v>1167</v>
      </c>
    </row>
    <row r="75" spans="1:14">
      <c r="A75" s="647"/>
      <c r="B75" s="606" t="s">
        <v>1043</v>
      </c>
      <c r="C75" s="607" t="s">
        <v>1168</v>
      </c>
      <c r="D75" s="608">
        <f t="shared" ref="D75" si="35">SUM(D76,D98)</f>
        <v>2581128.54</v>
      </c>
      <c r="E75" s="608"/>
      <c r="F75" s="608">
        <f>G75-D75</f>
        <v>43781</v>
      </c>
      <c r="G75" s="1030">
        <f>SUM(G76,G98)</f>
        <v>2624909.54</v>
      </c>
      <c r="H75" s="975">
        <f>SUM(H76,H98)</f>
        <v>516057216</v>
      </c>
      <c r="I75" s="1021"/>
      <c r="J75" s="1021"/>
      <c r="K75" s="975">
        <f>SUM(K76,K98)</f>
        <v>516057216</v>
      </c>
      <c r="L75" s="1022" t="str">
        <f>B75</f>
        <v>*</v>
      </c>
      <c r="M75" s="607"/>
      <c r="N75" s="607"/>
    </row>
    <row r="76" spans="1:14">
      <c r="A76" s="647"/>
      <c r="B76" s="997" t="s">
        <v>1045</v>
      </c>
      <c r="C76" s="998" t="s">
        <v>1169</v>
      </c>
      <c r="D76" s="998">
        <f t="shared" ref="D76" si="36">SUM(D77,D78,D79,D80,D82,D85,D86,D87)</f>
        <v>2581128.54</v>
      </c>
      <c r="E76" s="998"/>
      <c r="F76" s="998"/>
      <c r="G76" s="1025">
        <f>SUM(G77,G78,G79,G80,G82,G85,G86,G87)</f>
        <v>2624909.54</v>
      </c>
      <c r="H76" s="1000">
        <f>SUM(H77,H78,H79,H80,H82,H85,H86,H87)</f>
        <v>516057216</v>
      </c>
      <c r="I76" s="1013"/>
      <c r="J76" s="1013"/>
      <c r="K76" s="1000">
        <f>SUM(K77,K78,K79,K80,K82,K85,K86,K87)</f>
        <v>516057216</v>
      </c>
      <c r="L76" s="1014" t="str">
        <f>B76</f>
        <v>**</v>
      </c>
      <c r="M76" s="998"/>
      <c r="N76" s="998"/>
    </row>
    <row r="77" spans="1:14">
      <c r="A77" s="647"/>
      <c r="B77" s="609" t="s">
        <v>1047</v>
      </c>
      <c r="C77" s="610" t="s">
        <v>1170</v>
      </c>
      <c r="D77" s="611">
        <v>0</v>
      </c>
      <c r="E77" s="611"/>
      <c r="F77" s="611"/>
      <c r="G77" s="1029">
        <f>D77-E77+F77</f>
        <v>0</v>
      </c>
      <c r="H77" s="1004">
        <f t="shared" ref="H77:H79" si="37">ROUND(G77*$G$4,)</f>
        <v>0</v>
      </c>
      <c r="I77" s="1019"/>
      <c r="J77" s="1019"/>
      <c r="K77" s="1004">
        <f>H77-I77+J77</f>
        <v>0</v>
      </c>
      <c r="L77" s="1020" t="str">
        <f>B77</f>
        <v>***</v>
      </c>
      <c r="M77" s="610" t="s">
        <v>880</v>
      </c>
      <c r="N77" s="610" t="s">
        <v>880</v>
      </c>
    </row>
    <row r="78" spans="1:14">
      <c r="A78" s="647"/>
      <c r="B78" s="609" t="s">
        <v>1047</v>
      </c>
      <c r="C78" s="610" t="s">
        <v>1171</v>
      </c>
      <c r="D78" s="611">
        <v>0</v>
      </c>
      <c r="E78" s="611"/>
      <c r="F78" s="611"/>
      <c r="G78" s="1029">
        <f t="shared" ref="G78:G79" si="38">D78-E78+F78</f>
        <v>0</v>
      </c>
      <c r="H78" s="1004">
        <f t="shared" si="37"/>
        <v>0</v>
      </c>
      <c r="I78" s="1019"/>
      <c r="J78" s="1019"/>
      <c r="K78" s="1004">
        <f t="shared" ref="K78:K79" si="39">H78-I78+J78</f>
        <v>0</v>
      </c>
      <c r="L78" s="1020" t="str">
        <f>B78</f>
        <v>***</v>
      </c>
      <c r="M78" s="610" t="s">
        <v>1091</v>
      </c>
      <c r="N78" s="610" t="s">
        <v>1172</v>
      </c>
    </row>
    <row r="79" spans="1:14">
      <c r="A79" s="647"/>
      <c r="B79" s="609"/>
      <c r="C79" s="610" t="s">
        <v>1173</v>
      </c>
      <c r="D79" s="611">
        <v>0</v>
      </c>
      <c r="E79" s="611"/>
      <c r="F79" s="611"/>
      <c r="G79" s="1029">
        <f t="shared" si="38"/>
        <v>0</v>
      </c>
      <c r="H79" s="1004">
        <f t="shared" si="37"/>
        <v>0</v>
      </c>
      <c r="I79" s="1019"/>
      <c r="J79" s="1019"/>
      <c r="K79" s="1004">
        <f t="shared" si="39"/>
        <v>0</v>
      </c>
      <c r="L79" s="1020"/>
      <c r="M79" s="607" t="s">
        <v>1174</v>
      </c>
      <c r="N79" s="610" t="s">
        <v>1175</v>
      </c>
    </row>
    <row r="80" spans="1:14">
      <c r="A80" s="647"/>
      <c r="B80" s="609" t="s">
        <v>1047</v>
      </c>
      <c r="C80" s="610" t="s">
        <v>1176</v>
      </c>
      <c r="D80" s="611">
        <f t="shared" ref="D80" si="40">D81</f>
        <v>2014311.06</v>
      </c>
      <c r="E80" s="611"/>
      <c r="F80" s="611"/>
      <c r="G80" s="1026">
        <f>G81</f>
        <v>2014311.06</v>
      </c>
      <c r="H80" s="976">
        <f>H81</f>
        <v>396013554</v>
      </c>
      <c r="I80" s="1015"/>
      <c r="J80" s="1015"/>
      <c r="K80" s="976">
        <f>K81</f>
        <v>396013554</v>
      </c>
      <c r="L80" s="1016" t="str">
        <f t="shared" ref="L80:L93" si="41">B80</f>
        <v>***</v>
      </c>
      <c r="M80" s="610"/>
      <c r="N80" s="610"/>
    </row>
    <row r="81" spans="1:14">
      <c r="A81" s="647" t="s">
        <v>681</v>
      </c>
      <c r="B81" s="612" t="s">
        <v>1049</v>
      </c>
      <c r="C81" s="593" t="s">
        <v>1177</v>
      </c>
      <c r="D81" s="613">
        <v>2014311.06</v>
      </c>
      <c r="E81" s="613"/>
      <c r="F81" s="613"/>
      <c r="G81" s="1028">
        <f>D81-E81+F81</f>
        <v>2014311.06</v>
      </c>
      <c r="H81" s="977">
        <f t="shared" ref="H81" si="42">ROUND(G81*$G$4,)</f>
        <v>396013554</v>
      </c>
      <c r="I81" s="1017"/>
      <c r="J81" s="1017"/>
      <c r="K81" s="977">
        <f>H81-I81+J81</f>
        <v>396013554</v>
      </c>
      <c r="L81" s="1018" t="str">
        <f t="shared" si="41"/>
        <v>****</v>
      </c>
      <c r="M81" s="593" t="s">
        <v>1087</v>
      </c>
      <c r="N81" s="593" t="s">
        <v>49</v>
      </c>
    </row>
    <row r="82" spans="1:14">
      <c r="A82" s="647"/>
      <c r="B82" s="609" t="s">
        <v>1047</v>
      </c>
      <c r="C82" s="610" t="s">
        <v>1178</v>
      </c>
      <c r="D82" s="611">
        <f t="shared" ref="D82" si="43">SUM(D83:D84)</f>
        <v>277577.48</v>
      </c>
      <c r="E82" s="611"/>
      <c r="F82" s="611"/>
      <c r="G82" s="1026">
        <f>SUM(G83:G84)</f>
        <v>277577.48</v>
      </c>
      <c r="H82" s="976">
        <f>SUM(H83:H84)</f>
        <v>54571733</v>
      </c>
      <c r="I82" s="1015"/>
      <c r="J82" s="1015"/>
      <c r="K82" s="976">
        <f>SUM(K83:K84)</f>
        <v>54571733</v>
      </c>
      <c r="L82" s="1016" t="str">
        <f t="shared" si="41"/>
        <v>***</v>
      </c>
      <c r="M82" s="610"/>
      <c r="N82" s="610"/>
    </row>
    <row r="83" spans="1:14">
      <c r="A83" s="647" t="s">
        <v>682</v>
      </c>
      <c r="B83" s="612" t="s">
        <v>1049</v>
      </c>
      <c r="C83" s="593" t="s">
        <v>1179</v>
      </c>
      <c r="D83" s="613">
        <v>0</v>
      </c>
      <c r="E83" s="613"/>
      <c r="F83" s="613"/>
      <c r="G83" s="1028">
        <f t="shared" ref="G83:G84" si="44">D83-E83+F83</f>
        <v>0</v>
      </c>
      <c r="H83" s="977">
        <f t="shared" ref="H83:H86" si="45">ROUND(G83*$G$4,)</f>
        <v>0</v>
      </c>
      <c r="I83" s="1017"/>
      <c r="J83" s="1017"/>
      <c r="K83" s="977">
        <f t="shared" ref="K83:K84" si="46">H83-I83+J83</f>
        <v>0</v>
      </c>
      <c r="L83" s="1018" t="str">
        <f t="shared" si="41"/>
        <v>****</v>
      </c>
      <c r="M83" s="593" t="s">
        <v>1087</v>
      </c>
      <c r="N83" s="593" t="s">
        <v>1180</v>
      </c>
    </row>
    <row r="84" spans="1:14">
      <c r="A84" s="647" t="s">
        <v>687</v>
      </c>
      <c r="B84" s="612" t="s">
        <v>1049</v>
      </c>
      <c r="C84" s="593" t="s">
        <v>1181</v>
      </c>
      <c r="D84" s="613">
        <v>277577.48</v>
      </c>
      <c r="E84" s="613"/>
      <c r="F84" s="613"/>
      <c r="G84" s="1028">
        <f t="shared" si="44"/>
        <v>277577.48</v>
      </c>
      <c r="H84" s="992">
        <f>ROUND(G84*$G$4,)</f>
        <v>54571733</v>
      </c>
      <c r="I84" s="1017"/>
      <c r="J84" s="1017"/>
      <c r="K84" s="977">
        <f t="shared" si="46"/>
        <v>54571733</v>
      </c>
      <c r="L84" s="1018" t="str">
        <f t="shared" si="41"/>
        <v>****</v>
      </c>
      <c r="M84" s="593" t="s">
        <v>1087</v>
      </c>
      <c r="N84" s="593" t="s">
        <v>1182</v>
      </c>
    </row>
    <row r="85" spans="1:14">
      <c r="A85" s="647"/>
      <c r="B85" s="609" t="s">
        <v>1047</v>
      </c>
      <c r="C85" s="610" t="s">
        <v>1183</v>
      </c>
      <c r="D85" s="611">
        <v>0</v>
      </c>
      <c r="E85" s="611"/>
      <c r="F85" s="611">
        <v>0</v>
      </c>
      <c r="G85" s="1029">
        <f>D85-E85+F85</f>
        <v>0</v>
      </c>
      <c r="H85" s="1004">
        <f t="shared" si="45"/>
        <v>0</v>
      </c>
      <c r="I85" s="1019"/>
      <c r="J85" s="1019"/>
      <c r="K85" s="1004">
        <f>H85-I85+J85</f>
        <v>0</v>
      </c>
      <c r="L85" s="1016" t="str">
        <f t="shared" si="41"/>
        <v>***</v>
      </c>
      <c r="M85" s="610" t="s">
        <v>1184</v>
      </c>
      <c r="N85" s="610" t="s">
        <v>1184</v>
      </c>
    </row>
    <row r="86" spans="1:14">
      <c r="A86" s="647" t="s">
        <v>688</v>
      </c>
      <c r="B86" s="609" t="s">
        <v>1047</v>
      </c>
      <c r="C86" s="610" t="s">
        <v>1185</v>
      </c>
      <c r="D86" s="611">
        <v>-43781</v>
      </c>
      <c r="E86" s="611"/>
      <c r="F86" s="611">
        <v>43781</v>
      </c>
      <c r="G86" s="1029">
        <f>D86-E86+F86</f>
        <v>0</v>
      </c>
      <c r="H86" s="1004">
        <f t="shared" si="45"/>
        <v>0</v>
      </c>
      <c r="I86" s="1019"/>
      <c r="J86" s="1019"/>
      <c r="K86" s="1004">
        <f>H86-I86+J86</f>
        <v>0</v>
      </c>
      <c r="L86" s="1016" t="str">
        <f t="shared" si="41"/>
        <v>***</v>
      </c>
      <c r="M86" s="610" t="s">
        <v>689</v>
      </c>
      <c r="N86" s="610" t="s">
        <v>1186</v>
      </c>
    </row>
    <row r="87" spans="1:14">
      <c r="A87" s="647"/>
      <c r="B87" s="609" t="s">
        <v>1047</v>
      </c>
      <c r="C87" s="610" t="s">
        <v>1187</v>
      </c>
      <c r="D87" s="611">
        <f t="shared" ref="D87" si="47">SUM(D88:D93)</f>
        <v>333021</v>
      </c>
      <c r="E87" s="611"/>
      <c r="F87" s="611"/>
      <c r="G87" s="1026">
        <f>SUM(G88:G93)</f>
        <v>333021</v>
      </c>
      <c r="H87" s="976">
        <f>SUM(H88:H93)</f>
        <v>65471929</v>
      </c>
      <c r="I87" s="1015"/>
      <c r="J87" s="1015"/>
      <c r="K87" s="976">
        <f>SUM(K88:K93)</f>
        <v>65471929</v>
      </c>
      <c r="L87" s="1016" t="str">
        <f t="shared" si="41"/>
        <v>***</v>
      </c>
      <c r="M87" s="610"/>
      <c r="N87" s="610"/>
    </row>
    <row r="88" spans="1:14">
      <c r="A88" s="647" t="s">
        <v>685</v>
      </c>
      <c r="B88" s="612" t="s">
        <v>1049</v>
      </c>
      <c r="C88" s="593" t="s">
        <v>1188</v>
      </c>
      <c r="D88" s="613">
        <v>333021</v>
      </c>
      <c r="E88" s="613"/>
      <c r="F88" s="613"/>
      <c r="G88" s="1028">
        <f t="shared" ref="G88:G93" si="48">D88-E88+F88</f>
        <v>333021</v>
      </c>
      <c r="H88" s="977">
        <f t="shared" ref="H88:H93" si="49">ROUND(G88*$G$4,)</f>
        <v>65471929</v>
      </c>
      <c r="I88" s="1017"/>
      <c r="J88" s="1017"/>
      <c r="K88" s="977">
        <f t="shared" ref="K88:K93" si="50">H88-I88+J88</f>
        <v>65471929</v>
      </c>
      <c r="L88" s="1018" t="str">
        <f t="shared" si="41"/>
        <v>****</v>
      </c>
      <c r="M88" s="593" t="s">
        <v>107</v>
      </c>
      <c r="N88" s="593" t="s">
        <v>1189</v>
      </c>
    </row>
    <row r="89" spans="1:14">
      <c r="A89" s="647" t="s">
        <v>683</v>
      </c>
      <c r="B89" s="612" t="s">
        <v>1049</v>
      </c>
      <c r="C89" s="593" t="s">
        <v>1190</v>
      </c>
      <c r="D89" s="613"/>
      <c r="E89" s="613"/>
      <c r="F89" s="613"/>
      <c r="G89" s="1028">
        <f t="shared" si="48"/>
        <v>0</v>
      </c>
      <c r="H89" s="977">
        <f t="shared" si="49"/>
        <v>0</v>
      </c>
      <c r="I89" s="1017"/>
      <c r="J89" s="1017"/>
      <c r="K89" s="977">
        <f t="shared" si="50"/>
        <v>0</v>
      </c>
      <c r="L89" s="1018" t="str">
        <f t="shared" si="41"/>
        <v>****</v>
      </c>
      <c r="M89" s="593" t="s">
        <v>107</v>
      </c>
      <c r="N89" s="593" t="s">
        <v>1191</v>
      </c>
    </row>
    <row r="90" spans="1:14">
      <c r="A90" s="647" t="s">
        <v>693</v>
      </c>
      <c r="B90" s="612" t="s">
        <v>1049</v>
      </c>
      <c r="C90" s="593" t="s">
        <v>2546</v>
      </c>
      <c r="D90" s="613">
        <v>0</v>
      </c>
      <c r="E90" s="613"/>
      <c r="F90" s="613">
        <v>0</v>
      </c>
      <c r="G90" s="1028">
        <f t="shared" si="48"/>
        <v>0</v>
      </c>
      <c r="H90" s="977">
        <f t="shared" si="49"/>
        <v>0</v>
      </c>
      <c r="I90" s="1017"/>
      <c r="J90" s="1017"/>
      <c r="K90" s="977">
        <f t="shared" si="50"/>
        <v>0</v>
      </c>
      <c r="L90" s="1018" t="str">
        <f t="shared" si="41"/>
        <v>****</v>
      </c>
      <c r="M90" s="593" t="s">
        <v>107</v>
      </c>
      <c r="N90" s="593" t="s">
        <v>1192</v>
      </c>
    </row>
    <row r="91" spans="1:14">
      <c r="A91" s="647"/>
      <c r="B91" s="612" t="s">
        <v>1049</v>
      </c>
      <c r="C91" s="593" t="s">
        <v>1193</v>
      </c>
      <c r="D91" s="613">
        <v>0</v>
      </c>
      <c r="E91" s="613"/>
      <c r="F91" s="613"/>
      <c r="G91" s="1028">
        <f t="shared" si="48"/>
        <v>0</v>
      </c>
      <c r="H91" s="977">
        <f t="shared" si="49"/>
        <v>0</v>
      </c>
      <c r="I91" s="1017"/>
      <c r="J91" s="1017"/>
      <c r="K91" s="977">
        <f t="shared" si="50"/>
        <v>0</v>
      </c>
      <c r="L91" s="1018" t="str">
        <f t="shared" si="41"/>
        <v>****</v>
      </c>
      <c r="M91" s="593" t="s">
        <v>107</v>
      </c>
      <c r="N91" s="593" t="s">
        <v>1194</v>
      </c>
    </row>
    <row r="92" spans="1:14">
      <c r="A92" s="647"/>
      <c r="B92" s="612" t="s">
        <v>1049</v>
      </c>
      <c r="C92" s="593" t="s">
        <v>1195</v>
      </c>
      <c r="D92" s="613">
        <v>0</v>
      </c>
      <c r="E92" s="613"/>
      <c r="F92" s="613"/>
      <c r="G92" s="1028">
        <f t="shared" si="48"/>
        <v>0</v>
      </c>
      <c r="H92" s="977">
        <f t="shared" si="49"/>
        <v>0</v>
      </c>
      <c r="I92" s="1017"/>
      <c r="J92" s="1017"/>
      <c r="K92" s="977">
        <f t="shared" si="50"/>
        <v>0</v>
      </c>
      <c r="L92" s="1018" t="str">
        <f t="shared" si="41"/>
        <v>****</v>
      </c>
      <c r="M92" s="593" t="s">
        <v>107</v>
      </c>
      <c r="N92" s="593" t="s">
        <v>1196</v>
      </c>
    </row>
    <row r="93" spans="1:14">
      <c r="A93" s="647"/>
      <c r="B93" s="612" t="s">
        <v>1049</v>
      </c>
      <c r="C93" s="593" t="s">
        <v>1197</v>
      </c>
      <c r="D93" s="613">
        <v>0</v>
      </c>
      <c r="E93" s="613"/>
      <c r="F93" s="613"/>
      <c r="G93" s="1028">
        <f t="shared" si="48"/>
        <v>0</v>
      </c>
      <c r="H93" s="977">
        <f t="shared" si="49"/>
        <v>0</v>
      </c>
      <c r="I93" s="1017"/>
      <c r="J93" s="1017"/>
      <c r="K93" s="977">
        <f t="shared" si="50"/>
        <v>0</v>
      </c>
      <c r="L93" s="1018" t="str">
        <f t="shared" si="41"/>
        <v>****</v>
      </c>
      <c r="M93" s="593" t="s">
        <v>107</v>
      </c>
      <c r="N93" s="593" t="s">
        <v>1198</v>
      </c>
    </row>
    <row r="94" spans="1:14">
      <c r="A94" s="647"/>
      <c r="B94" s="612"/>
      <c r="C94" s="593"/>
      <c r="D94" s="613"/>
      <c r="E94" s="613"/>
      <c r="F94" s="613"/>
      <c r="G94" s="1028"/>
      <c r="H94" s="977"/>
      <c r="I94" s="1017"/>
      <c r="J94" s="1017"/>
      <c r="K94" s="977"/>
      <c r="L94" s="1018"/>
      <c r="M94" s="593"/>
      <c r="N94" s="593"/>
    </row>
    <row r="95" spans="1:14">
      <c r="A95" s="647"/>
      <c r="B95" s="612"/>
      <c r="C95" s="593"/>
      <c r="D95" s="613"/>
      <c r="E95" s="613"/>
      <c r="F95" s="613"/>
      <c r="G95" s="1028"/>
      <c r="H95" s="977"/>
      <c r="I95" s="1017"/>
      <c r="J95" s="1017"/>
      <c r="K95" s="977"/>
      <c r="L95" s="1018"/>
      <c r="M95" s="593"/>
      <c r="N95" s="593"/>
    </row>
    <row r="96" spans="1:14">
      <c r="A96" s="647"/>
      <c r="B96" s="612"/>
      <c r="C96" s="593"/>
      <c r="D96" s="613"/>
      <c r="E96" s="613"/>
      <c r="F96" s="613"/>
      <c r="G96" s="1028"/>
      <c r="H96" s="977"/>
      <c r="I96" s="1017"/>
      <c r="J96" s="1017"/>
      <c r="K96" s="977"/>
      <c r="L96" s="1018"/>
      <c r="M96" s="593"/>
      <c r="N96" s="593"/>
    </row>
    <row r="97" spans="1:14">
      <c r="A97" s="647"/>
      <c r="B97" s="609" t="s">
        <v>1047</v>
      </c>
      <c r="C97" s="610" t="s">
        <v>1199</v>
      </c>
      <c r="D97" s="611">
        <v>0</v>
      </c>
      <c r="E97" s="611"/>
      <c r="F97" s="611"/>
      <c r="G97" s="1029">
        <f>D97-E97+F97</f>
        <v>0</v>
      </c>
      <c r="H97" s="1004">
        <v>0</v>
      </c>
      <c r="I97" s="1015"/>
      <c r="J97" s="1015"/>
      <c r="K97" s="1004">
        <f>H97-I97+J97</f>
        <v>0</v>
      </c>
      <c r="L97" s="1016" t="s">
        <v>1047</v>
      </c>
      <c r="M97" s="1002" t="s">
        <v>107</v>
      </c>
      <c r="N97" s="610" t="s">
        <v>691</v>
      </c>
    </row>
    <row r="98" spans="1:14">
      <c r="A98" s="647"/>
      <c r="B98" s="997" t="s">
        <v>1045</v>
      </c>
      <c r="C98" s="998" t="s">
        <v>1200</v>
      </c>
      <c r="D98" s="999">
        <f t="shared" ref="D98" si="51">SUM(D99,D102,D106,D107,D108,)</f>
        <v>0</v>
      </c>
      <c r="E98" s="999"/>
      <c r="F98" s="999"/>
      <c r="G98" s="1025">
        <f>SUM(G99,G102,G106,G107,G108,)</f>
        <v>0</v>
      </c>
      <c r="H98" s="1000">
        <f>SUM(H99,H102,H106,H107,H108,)</f>
        <v>0</v>
      </c>
      <c r="I98" s="1013"/>
      <c r="J98" s="1013"/>
      <c r="K98" s="1000">
        <f>SUM(K99,K102,K106,K107,K108,)</f>
        <v>0</v>
      </c>
      <c r="L98" s="1014" t="str">
        <f>B98</f>
        <v>**</v>
      </c>
      <c r="M98" s="998"/>
      <c r="N98" s="998"/>
    </row>
    <row r="99" spans="1:14">
      <c r="A99" s="647"/>
      <c r="B99" s="609" t="s">
        <v>1047</v>
      </c>
      <c r="C99" s="610" t="s">
        <v>1201</v>
      </c>
      <c r="D99" s="611">
        <f t="shared" ref="D99" si="52">SUM(D100:D101)</f>
        <v>0</v>
      </c>
      <c r="E99" s="611"/>
      <c r="F99" s="611"/>
      <c r="G99" s="1026">
        <f>SUM(G100:G101)</f>
        <v>0</v>
      </c>
      <c r="H99" s="976">
        <f>SUM(H100:H101)</f>
        <v>0</v>
      </c>
      <c r="I99" s="1015"/>
      <c r="J99" s="1015"/>
      <c r="K99" s="976">
        <f>SUM(K100:K101)</f>
        <v>0</v>
      </c>
      <c r="L99" s="1016" t="str">
        <f>B99</f>
        <v>***</v>
      </c>
      <c r="M99" s="610"/>
      <c r="N99" s="610"/>
    </row>
    <row r="100" spans="1:14">
      <c r="A100" s="647"/>
      <c r="B100" s="612" t="s">
        <v>1049</v>
      </c>
      <c r="C100" s="593" t="s">
        <v>1202</v>
      </c>
      <c r="D100" s="613">
        <v>0</v>
      </c>
      <c r="E100" s="613"/>
      <c r="F100" s="613"/>
      <c r="G100" s="1028">
        <f t="shared" ref="G100:G101" si="53">D100-E100+F100</f>
        <v>0</v>
      </c>
      <c r="H100" s="977">
        <f t="shared" ref="H100:H101" si="54">ROUND(G100*$G$4,)</f>
        <v>0</v>
      </c>
      <c r="I100" s="1017"/>
      <c r="J100" s="1017"/>
      <c r="K100" s="977">
        <f t="shared" ref="K100:K101" si="55">H100-I100+J100</f>
        <v>0</v>
      </c>
      <c r="L100" s="1018" t="str">
        <f>B100</f>
        <v>****</v>
      </c>
      <c r="M100" s="593" t="s">
        <v>585</v>
      </c>
      <c r="N100" s="593" t="s">
        <v>1203</v>
      </c>
    </row>
    <row r="101" spans="1:14">
      <c r="A101" s="647"/>
      <c r="B101" s="612" t="s">
        <v>1049</v>
      </c>
      <c r="C101" s="593" t="s">
        <v>1204</v>
      </c>
      <c r="D101" s="613">
        <v>0</v>
      </c>
      <c r="E101" s="613"/>
      <c r="F101" s="613"/>
      <c r="G101" s="1028">
        <f t="shared" si="53"/>
        <v>0</v>
      </c>
      <c r="H101" s="977">
        <f t="shared" si="54"/>
        <v>0</v>
      </c>
      <c r="I101" s="1017"/>
      <c r="J101" s="1017"/>
      <c r="K101" s="977">
        <f t="shared" si="55"/>
        <v>0</v>
      </c>
      <c r="L101" s="1018" t="str">
        <f>B101</f>
        <v>****</v>
      </c>
      <c r="M101" s="593" t="s">
        <v>585</v>
      </c>
      <c r="N101" s="593" t="s">
        <v>1205</v>
      </c>
    </row>
    <row r="102" spans="1:14">
      <c r="A102" s="647"/>
      <c r="B102" s="609" t="s">
        <v>1047</v>
      </c>
      <c r="C102" s="610" t="s">
        <v>1206</v>
      </c>
      <c r="D102" s="611">
        <f t="shared" ref="D102" si="56">SUM(D103:D105)</f>
        <v>0</v>
      </c>
      <c r="E102" s="611"/>
      <c r="F102" s="611"/>
      <c r="G102" s="1026">
        <f>SUM(G103:G105)</f>
        <v>0</v>
      </c>
      <c r="H102" s="976">
        <f>SUM(H103:H105)</f>
        <v>0</v>
      </c>
      <c r="I102" s="1015"/>
      <c r="J102" s="1015"/>
      <c r="K102" s="976">
        <f>SUM(K103:K105)</f>
        <v>0</v>
      </c>
      <c r="L102" s="1016" t="str">
        <f>B102</f>
        <v>***</v>
      </c>
      <c r="M102" s="610"/>
      <c r="N102" s="610"/>
    </row>
    <row r="103" spans="1:14">
      <c r="A103" s="647"/>
      <c r="B103" s="612" t="s">
        <v>1049</v>
      </c>
      <c r="C103" s="593" t="s">
        <v>1207</v>
      </c>
      <c r="D103" s="613">
        <v>0</v>
      </c>
      <c r="E103" s="613"/>
      <c r="F103" s="613"/>
      <c r="G103" s="1028">
        <f t="shared" ref="G103:G105" si="57">D103-E103+F103</f>
        <v>0</v>
      </c>
      <c r="H103" s="977">
        <f t="shared" ref="H103:H107" si="58">ROUND(G103*$G$4,)</f>
        <v>0</v>
      </c>
      <c r="I103" s="1017"/>
      <c r="J103" s="1017"/>
      <c r="K103" s="977">
        <f t="shared" ref="K103:K105" si="59">H103-I103+J103</f>
        <v>0</v>
      </c>
      <c r="L103" s="1023" t="s">
        <v>1049</v>
      </c>
      <c r="M103" s="593" t="s">
        <v>698</v>
      </c>
      <c r="N103" s="593" t="s">
        <v>698</v>
      </c>
    </row>
    <row r="104" spans="1:14">
      <c r="A104" s="647"/>
      <c r="B104" s="612" t="s">
        <v>1049</v>
      </c>
      <c r="C104" s="593" t="s">
        <v>1208</v>
      </c>
      <c r="D104" s="613">
        <v>0</v>
      </c>
      <c r="E104" s="613"/>
      <c r="F104" s="613"/>
      <c r="G104" s="1028">
        <f t="shared" si="57"/>
        <v>0</v>
      </c>
      <c r="H104" s="977">
        <f t="shared" si="58"/>
        <v>0</v>
      </c>
      <c r="I104" s="1017"/>
      <c r="J104" s="1017"/>
      <c r="K104" s="977">
        <f t="shared" si="59"/>
        <v>0</v>
      </c>
      <c r="L104" s="1023" t="s">
        <v>1049</v>
      </c>
      <c r="M104" s="593" t="s">
        <v>698</v>
      </c>
      <c r="N104" s="593" t="s">
        <v>1209</v>
      </c>
    </row>
    <row r="105" spans="1:14">
      <c r="A105" s="647"/>
      <c r="B105" s="612" t="s">
        <v>1049</v>
      </c>
      <c r="C105" s="593" t="s">
        <v>1210</v>
      </c>
      <c r="D105" s="613">
        <v>0</v>
      </c>
      <c r="E105" s="613"/>
      <c r="F105" s="613"/>
      <c r="G105" s="1028">
        <f t="shared" si="57"/>
        <v>0</v>
      </c>
      <c r="H105" s="977">
        <f t="shared" si="58"/>
        <v>0</v>
      </c>
      <c r="I105" s="1017"/>
      <c r="J105" s="1017"/>
      <c r="K105" s="977">
        <f t="shared" si="59"/>
        <v>0</v>
      </c>
      <c r="L105" s="1023" t="s">
        <v>1049</v>
      </c>
      <c r="M105" s="593" t="s">
        <v>698</v>
      </c>
      <c r="N105" s="593" t="s">
        <v>1211</v>
      </c>
    </row>
    <row r="106" spans="1:14">
      <c r="A106" s="647"/>
      <c r="B106" s="1001" t="s">
        <v>1047</v>
      </c>
      <c r="C106" s="1002" t="s">
        <v>1212</v>
      </c>
      <c r="D106" s="1003">
        <v>0</v>
      </c>
      <c r="E106" s="1003"/>
      <c r="F106" s="1003"/>
      <c r="G106" s="1029">
        <f>D106-E106+F106</f>
        <v>0</v>
      </c>
      <c r="H106" s="1004">
        <f t="shared" si="58"/>
        <v>0</v>
      </c>
      <c r="I106" s="1019"/>
      <c r="J106" s="1019"/>
      <c r="K106" s="1004">
        <f>H106-I106+J106</f>
        <v>0</v>
      </c>
      <c r="L106" s="1020" t="s">
        <v>1047</v>
      </c>
      <c r="M106" s="1002"/>
      <c r="N106" s="1002"/>
    </row>
    <row r="107" spans="1:14">
      <c r="A107" s="647"/>
      <c r="B107" s="1001" t="s">
        <v>1047</v>
      </c>
      <c r="C107" s="1002" t="s">
        <v>1213</v>
      </c>
      <c r="D107" s="1003">
        <v>0</v>
      </c>
      <c r="E107" s="1003"/>
      <c r="F107" s="1003"/>
      <c r="G107" s="1029">
        <f>D107-E107+F107</f>
        <v>0</v>
      </c>
      <c r="H107" s="1004">
        <f t="shared" si="58"/>
        <v>0</v>
      </c>
      <c r="I107" s="1019"/>
      <c r="J107" s="1019"/>
      <c r="K107" s="1004">
        <f>H107-I107+J107</f>
        <v>0</v>
      </c>
      <c r="L107" s="1020" t="s">
        <v>1047</v>
      </c>
      <c r="M107" s="1002" t="s">
        <v>506</v>
      </c>
      <c r="N107" s="1002" t="s">
        <v>506</v>
      </c>
    </row>
    <row r="108" spans="1:14">
      <c r="A108" s="647"/>
      <c r="B108" s="609" t="s">
        <v>1047</v>
      </c>
      <c r="C108" s="610" t="s">
        <v>1214</v>
      </c>
      <c r="D108" s="611">
        <f t="shared" ref="D108" si="60">SUM(D109:D110)</f>
        <v>0</v>
      </c>
      <c r="E108" s="611"/>
      <c r="F108" s="611"/>
      <c r="G108" s="1026">
        <f>SUM(G109:G110)</f>
        <v>0</v>
      </c>
      <c r="H108" s="976">
        <f>SUM(H109:H110)</f>
        <v>0</v>
      </c>
      <c r="I108" s="1015"/>
      <c r="J108" s="1015"/>
      <c r="K108" s="976">
        <f>SUM(K109:K110)</f>
        <v>0</v>
      </c>
      <c r="L108" s="1016"/>
      <c r="M108" s="610"/>
      <c r="N108" s="610"/>
    </row>
    <row r="109" spans="1:14">
      <c r="A109" s="647"/>
      <c r="B109" s="612" t="s">
        <v>1049</v>
      </c>
      <c r="C109" s="593" t="s">
        <v>1215</v>
      </c>
      <c r="D109" s="613">
        <v>0</v>
      </c>
      <c r="E109" s="613"/>
      <c r="F109" s="613"/>
      <c r="G109" s="1028">
        <f t="shared" ref="G109:G110" si="61">D109-E109+F109</f>
        <v>0</v>
      </c>
      <c r="H109" s="977">
        <f t="shared" ref="H109:H110" si="62">ROUND(G109*$G$4,)</f>
        <v>0</v>
      </c>
      <c r="I109" s="1017"/>
      <c r="J109" s="1017"/>
      <c r="K109" s="977">
        <f t="shared" ref="K109:K110" si="63">H109-I109+J109</f>
        <v>0</v>
      </c>
      <c r="L109" s="1018" t="str">
        <f>B109</f>
        <v>****</v>
      </c>
      <c r="M109" s="593" t="s">
        <v>1216</v>
      </c>
      <c r="N109" s="593" t="s">
        <v>883</v>
      </c>
    </row>
    <row r="110" spans="1:14">
      <c r="A110" s="647"/>
      <c r="B110" s="612"/>
      <c r="C110" s="593" t="s">
        <v>1217</v>
      </c>
      <c r="D110" s="613">
        <v>0</v>
      </c>
      <c r="E110" s="613"/>
      <c r="F110" s="613"/>
      <c r="G110" s="1028">
        <f t="shared" si="61"/>
        <v>0</v>
      </c>
      <c r="H110" s="977">
        <f t="shared" si="62"/>
        <v>0</v>
      </c>
      <c r="I110" s="1017"/>
      <c r="J110" s="1017"/>
      <c r="K110" s="977">
        <f t="shared" si="63"/>
        <v>0</v>
      </c>
      <c r="L110" s="1018"/>
      <c r="M110" s="593" t="s">
        <v>884</v>
      </c>
      <c r="N110" s="593" t="s">
        <v>57</v>
      </c>
    </row>
    <row r="111" spans="1:14">
      <c r="A111" s="647"/>
      <c r="B111" s="606" t="s">
        <v>1043</v>
      </c>
      <c r="C111" s="607" t="s">
        <v>1218</v>
      </c>
      <c r="D111" s="608">
        <f t="shared" ref="D111" si="64">SUM(D112,D115,D118,D120,D123)</f>
        <v>8911535.4699999988</v>
      </c>
      <c r="E111" s="608"/>
      <c r="F111" s="608"/>
      <c r="G111" s="1030">
        <f>SUM(G112,G115,G118,G120,G123)</f>
        <v>8911535.4699999988</v>
      </c>
      <c r="H111" s="975">
        <f>SUM(H112,H115,H118,H120,H123)</f>
        <v>1752007873</v>
      </c>
      <c r="I111" s="1021"/>
      <c r="J111" s="1021"/>
      <c r="K111" s="975">
        <f>SUM(K112,K115,K118,K120,K123)</f>
        <v>1752007873</v>
      </c>
      <c r="L111" s="1022" t="str">
        <f t="shared" ref="L111:L118" si="65">B111</f>
        <v>*</v>
      </c>
      <c r="M111" s="607"/>
      <c r="N111" s="607"/>
    </row>
    <row r="112" spans="1:14">
      <c r="A112" s="647"/>
      <c r="B112" s="997" t="s">
        <v>1045</v>
      </c>
      <c r="C112" s="998" t="s">
        <v>1219</v>
      </c>
      <c r="D112" s="999">
        <f t="shared" ref="D112" si="66">SUM(D113:D114)</f>
        <v>4127400</v>
      </c>
      <c r="E112" s="999"/>
      <c r="F112" s="999"/>
      <c r="G112" s="1025">
        <f>SUM(G113:G114)</f>
        <v>4127400</v>
      </c>
      <c r="H112" s="1000">
        <f>SUM(H113:H114)</f>
        <v>703476600</v>
      </c>
      <c r="I112" s="1013"/>
      <c r="J112" s="1013"/>
      <c r="K112" s="1000">
        <f>SUM(K113:K114)</f>
        <v>703476600</v>
      </c>
      <c r="L112" s="1014" t="str">
        <f t="shared" si="65"/>
        <v>**</v>
      </c>
      <c r="M112" s="998"/>
      <c r="N112" s="998"/>
    </row>
    <row r="113" spans="1:14">
      <c r="A113" s="647" t="s">
        <v>704</v>
      </c>
      <c r="B113" s="612" t="s">
        <v>1125</v>
      </c>
      <c r="C113" s="593" t="s">
        <v>1220</v>
      </c>
      <c r="D113" s="613">
        <v>4127400</v>
      </c>
      <c r="E113" s="613"/>
      <c r="F113" s="613"/>
      <c r="G113" s="1028">
        <f>D113-E113+F113</f>
        <v>4127400</v>
      </c>
      <c r="H113" s="992">
        <v>703476600</v>
      </c>
      <c r="I113" s="1017"/>
      <c r="J113" s="1017"/>
      <c r="K113" s="977">
        <f>H113-I113+J113</f>
        <v>703476600</v>
      </c>
      <c r="L113" s="1018" t="str">
        <f t="shared" si="65"/>
        <v>***</v>
      </c>
      <c r="M113" s="593" t="s">
        <v>887</v>
      </c>
      <c r="N113" s="593" t="s">
        <v>887</v>
      </c>
    </row>
    <row r="114" spans="1:14">
      <c r="A114" s="647"/>
      <c r="B114" s="612" t="s">
        <v>1125</v>
      </c>
      <c r="C114" s="593" t="s">
        <v>1221</v>
      </c>
      <c r="D114" s="613">
        <v>0</v>
      </c>
      <c r="E114" s="613"/>
      <c r="F114" s="613"/>
      <c r="G114" s="1028">
        <f>D114-E114+F114</f>
        <v>0</v>
      </c>
      <c r="H114" s="977">
        <v>0</v>
      </c>
      <c r="I114" s="1017"/>
      <c r="J114" s="1017"/>
      <c r="K114" s="977">
        <f>H114-I114+J114</f>
        <v>0</v>
      </c>
      <c r="L114" s="1018" t="str">
        <f t="shared" si="65"/>
        <v>***</v>
      </c>
      <c r="M114" s="593" t="s">
        <v>887</v>
      </c>
      <c r="N114" s="593" t="s">
        <v>1222</v>
      </c>
    </row>
    <row r="115" spans="1:14">
      <c r="A115" s="647"/>
      <c r="B115" s="997" t="s">
        <v>1045</v>
      </c>
      <c r="C115" s="998" t="s">
        <v>1223</v>
      </c>
      <c r="D115" s="999">
        <f t="shared" ref="D115" si="67">SUM(D116:D117)</f>
        <v>0</v>
      </c>
      <c r="E115" s="999"/>
      <c r="F115" s="999"/>
      <c r="G115" s="1025">
        <f>SUM(G116:G117)</f>
        <v>0</v>
      </c>
      <c r="H115" s="1000">
        <f>SUM(H116:H117)</f>
        <v>0</v>
      </c>
      <c r="I115" s="1013"/>
      <c r="J115" s="1013"/>
      <c r="K115" s="1000">
        <f>SUM(K116:K117)</f>
        <v>0</v>
      </c>
      <c r="L115" s="1014" t="str">
        <f t="shared" si="65"/>
        <v>**</v>
      </c>
      <c r="M115" s="998"/>
      <c r="N115" s="998"/>
    </row>
    <row r="116" spans="1:14">
      <c r="A116" s="647"/>
      <c r="B116" s="612" t="s">
        <v>1125</v>
      </c>
      <c r="C116" s="593" t="s">
        <v>1224</v>
      </c>
      <c r="D116" s="613">
        <v>0</v>
      </c>
      <c r="E116" s="613"/>
      <c r="F116" s="613"/>
      <c r="G116" s="1028">
        <f t="shared" ref="G116:G117" si="68">D116-E116+F116</f>
        <v>0</v>
      </c>
      <c r="H116" s="977">
        <v>0</v>
      </c>
      <c r="I116" s="1017"/>
      <c r="J116" s="1017"/>
      <c r="K116" s="977">
        <f t="shared" ref="K116:K117" si="69">H116-I116+J116</f>
        <v>0</v>
      </c>
      <c r="L116" s="1018" t="str">
        <f t="shared" si="65"/>
        <v>***</v>
      </c>
      <c r="M116" s="593" t="s">
        <v>1225</v>
      </c>
      <c r="N116" s="593" t="s">
        <v>1226</v>
      </c>
    </row>
    <row r="117" spans="1:14">
      <c r="A117" s="647"/>
      <c r="B117" s="612" t="s">
        <v>1125</v>
      </c>
      <c r="C117" s="593" t="s">
        <v>1227</v>
      </c>
      <c r="D117" s="613">
        <v>0</v>
      </c>
      <c r="E117" s="613"/>
      <c r="F117" s="613"/>
      <c r="G117" s="1028">
        <f t="shared" si="68"/>
        <v>0</v>
      </c>
      <c r="H117" s="977">
        <v>0</v>
      </c>
      <c r="I117" s="1017"/>
      <c r="J117" s="1017"/>
      <c r="K117" s="977">
        <f t="shared" si="69"/>
        <v>0</v>
      </c>
      <c r="L117" s="1018" t="str">
        <f t="shared" si="65"/>
        <v>***</v>
      </c>
      <c r="M117" s="593" t="s">
        <v>65</v>
      </c>
      <c r="N117" s="593" t="s">
        <v>1228</v>
      </c>
    </row>
    <row r="118" spans="1:14">
      <c r="A118" s="647"/>
      <c r="B118" s="997" t="s">
        <v>1045</v>
      </c>
      <c r="C118" s="998" t="s">
        <v>1229</v>
      </c>
      <c r="D118" s="999">
        <f t="shared" ref="D118" si="70">D119</f>
        <v>0</v>
      </c>
      <c r="E118" s="999"/>
      <c r="F118" s="999"/>
      <c r="G118" s="1025">
        <f>G119</f>
        <v>0</v>
      </c>
      <c r="H118" s="1000">
        <f>H119</f>
        <v>0</v>
      </c>
      <c r="I118" s="1013"/>
      <c r="J118" s="1013"/>
      <c r="K118" s="1000">
        <f>K119</f>
        <v>0</v>
      </c>
      <c r="L118" s="1014" t="str">
        <f t="shared" si="65"/>
        <v>**</v>
      </c>
      <c r="M118" s="998"/>
      <c r="N118" s="998"/>
    </row>
    <row r="119" spans="1:14">
      <c r="A119" s="647"/>
      <c r="B119" s="612"/>
      <c r="C119" s="593" t="s">
        <v>1230</v>
      </c>
      <c r="D119" s="613">
        <v>0</v>
      </c>
      <c r="E119" s="613"/>
      <c r="F119" s="613"/>
      <c r="G119" s="1028"/>
      <c r="H119" s="977">
        <v>0</v>
      </c>
      <c r="I119" s="1017"/>
      <c r="J119" s="1017"/>
      <c r="K119" s="977"/>
      <c r="L119" s="1018"/>
      <c r="M119" s="593"/>
      <c r="N119" s="593"/>
    </row>
    <row r="120" spans="1:14">
      <c r="A120" s="647"/>
      <c r="B120" s="997" t="s">
        <v>1045</v>
      </c>
      <c r="C120" s="998" t="s">
        <v>1231</v>
      </c>
      <c r="D120" s="998">
        <f t="shared" ref="D120" si="71">SUM(D121:D122)</f>
        <v>0</v>
      </c>
      <c r="E120" s="998"/>
      <c r="F120" s="998"/>
      <c r="G120" s="1025">
        <f>SUM(G121:G122)</f>
        <v>0</v>
      </c>
      <c r="H120" s="1000">
        <f>SUM(H121:H122)</f>
        <v>195745717</v>
      </c>
      <c r="I120" s="1013"/>
      <c r="J120" s="1013"/>
      <c r="K120" s="1000">
        <f>SUM(K121:K122)</f>
        <v>195745717</v>
      </c>
      <c r="L120" s="1014" t="str">
        <f t="shared" ref="L120:L128" si="72">B120</f>
        <v>**</v>
      </c>
      <c r="M120" s="998"/>
      <c r="N120" s="998"/>
    </row>
    <row r="121" spans="1:14">
      <c r="A121" s="647"/>
      <c r="B121" s="612" t="s">
        <v>1125</v>
      </c>
      <c r="C121" s="593" t="s">
        <v>1232</v>
      </c>
      <c r="D121" s="613">
        <v>0</v>
      </c>
      <c r="E121" s="613"/>
      <c r="F121" s="613"/>
      <c r="G121" s="1028">
        <f t="shared" ref="G121:G122" si="73">D121-E121+F121</f>
        <v>0</v>
      </c>
      <c r="H121" s="977">
        <v>0</v>
      </c>
      <c r="I121" s="1017"/>
      <c r="J121" s="1017"/>
      <c r="K121" s="977">
        <f t="shared" ref="K121:K122" si="74">H121-I121+J121</f>
        <v>0</v>
      </c>
      <c r="L121" s="1018" t="str">
        <f t="shared" si="72"/>
        <v>***</v>
      </c>
      <c r="M121" s="593" t="s">
        <v>1233</v>
      </c>
      <c r="N121" s="593" t="s">
        <v>69</v>
      </c>
    </row>
    <row r="122" spans="1:14">
      <c r="A122" s="647" t="s">
        <v>827</v>
      </c>
      <c r="B122" s="612" t="s">
        <v>1125</v>
      </c>
      <c r="C122" s="593" t="s">
        <v>1234</v>
      </c>
      <c r="D122" s="613">
        <v>0</v>
      </c>
      <c r="E122" s="613"/>
      <c r="F122" s="613"/>
      <c r="G122" s="1028">
        <f t="shared" si="73"/>
        <v>0</v>
      </c>
      <c r="H122" s="992">
        <f>HK!F123</f>
        <v>195745717</v>
      </c>
      <c r="I122" s="1017"/>
      <c r="J122" s="1017"/>
      <c r="K122" s="977">
        <f t="shared" si="74"/>
        <v>195745717</v>
      </c>
      <c r="L122" s="1018" t="str">
        <f t="shared" si="72"/>
        <v>***</v>
      </c>
      <c r="M122" s="593" t="s">
        <v>1233</v>
      </c>
      <c r="N122" s="593" t="s">
        <v>1235</v>
      </c>
    </row>
    <row r="123" spans="1:14">
      <c r="A123" s="647"/>
      <c r="B123" s="997" t="s">
        <v>1045</v>
      </c>
      <c r="C123" s="998" t="s">
        <v>1236</v>
      </c>
      <c r="D123" s="999">
        <f t="shared" ref="D123" si="75">D124</f>
        <v>4784135.47</v>
      </c>
      <c r="E123" s="999"/>
      <c r="F123" s="999"/>
      <c r="G123" s="1025">
        <f>G124</f>
        <v>4784135.47</v>
      </c>
      <c r="H123" s="1000">
        <f>H124</f>
        <v>852785556</v>
      </c>
      <c r="I123" s="1013"/>
      <c r="J123" s="1013"/>
      <c r="K123" s="1000">
        <f>K124</f>
        <v>852785556</v>
      </c>
      <c r="L123" s="1014" t="str">
        <f t="shared" si="72"/>
        <v>**</v>
      </c>
      <c r="M123" s="998"/>
      <c r="N123" s="998"/>
    </row>
    <row r="124" spans="1:14">
      <c r="A124" s="647" t="s">
        <v>714</v>
      </c>
      <c r="B124" s="612" t="s">
        <v>1125</v>
      </c>
      <c r="C124" s="593" t="s">
        <v>1237</v>
      </c>
      <c r="D124" s="613">
        <f t="shared" ref="D124" si="76">SUM(D125:D128)</f>
        <v>4784135.47</v>
      </c>
      <c r="E124" s="613"/>
      <c r="F124" s="613"/>
      <c r="G124" s="1027">
        <f>SUM(G125:G128)</f>
        <v>4784135.47</v>
      </c>
      <c r="H124" s="718">
        <f>SUM(H125:H128)</f>
        <v>852785556</v>
      </c>
      <c r="I124" s="1017"/>
      <c r="J124" s="1017"/>
      <c r="K124" s="718">
        <f>SUM(K125:K128)</f>
        <v>852785556</v>
      </c>
      <c r="L124" s="1018" t="str">
        <f t="shared" si="72"/>
        <v>***</v>
      </c>
      <c r="M124" s="593"/>
      <c r="N124" s="593"/>
    </row>
    <row r="125" spans="1:14">
      <c r="A125" s="647"/>
      <c r="B125" s="612" t="s">
        <v>1238</v>
      </c>
      <c r="C125" s="593" t="s">
        <v>1239</v>
      </c>
      <c r="D125" s="613">
        <v>4591386.71</v>
      </c>
      <c r="E125" s="973">
        <v>0</v>
      </c>
      <c r="F125" s="1017">
        <v>0</v>
      </c>
      <c r="G125" s="1028">
        <f t="shared" ref="G125:G128" si="77">D125-E125+F125</f>
        <v>4591386.71</v>
      </c>
      <c r="H125" s="992">
        <f>HK!G120</f>
        <v>808577665</v>
      </c>
      <c r="I125" s="1017"/>
      <c r="J125" s="1017"/>
      <c r="K125" s="977">
        <f t="shared" ref="K125:K128" si="78">H125-I125+J125</f>
        <v>808577665</v>
      </c>
      <c r="L125" s="1018" t="str">
        <f t="shared" si="72"/>
        <v>****</v>
      </c>
      <c r="M125" s="593" t="s">
        <v>1240</v>
      </c>
      <c r="N125" s="593" t="s">
        <v>1241</v>
      </c>
    </row>
    <row r="126" spans="1:14">
      <c r="A126" s="647"/>
      <c r="B126" s="612" t="s">
        <v>1238</v>
      </c>
      <c r="C126" s="593" t="s">
        <v>1242</v>
      </c>
      <c r="D126" s="613">
        <v>0</v>
      </c>
      <c r="E126" s="613"/>
      <c r="F126" s="613"/>
      <c r="G126" s="1028">
        <f t="shared" si="77"/>
        <v>0</v>
      </c>
      <c r="H126" s="977">
        <v>0</v>
      </c>
      <c r="I126" s="1017"/>
      <c r="J126" s="1017"/>
      <c r="K126" s="977">
        <f t="shared" si="78"/>
        <v>0</v>
      </c>
      <c r="L126" s="1018" t="str">
        <f t="shared" si="72"/>
        <v>****</v>
      </c>
      <c r="M126" s="593" t="s">
        <v>73</v>
      </c>
      <c r="N126" s="593" t="s">
        <v>1243</v>
      </c>
    </row>
    <row r="127" spans="1:14">
      <c r="A127" s="647"/>
      <c r="B127" s="612" t="s">
        <v>1238</v>
      </c>
      <c r="C127" s="593" t="s">
        <v>1244</v>
      </c>
      <c r="D127" s="613">
        <v>0</v>
      </c>
      <c r="E127" s="613"/>
      <c r="F127" s="613"/>
      <c r="G127" s="1028">
        <f t="shared" si="77"/>
        <v>0</v>
      </c>
      <c r="H127" s="977">
        <v>0</v>
      </c>
      <c r="I127" s="1017"/>
      <c r="J127" s="1017"/>
      <c r="K127" s="977">
        <f t="shared" si="78"/>
        <v>0</v>
      </c>
      <c r="L127" s="1018" t="str">
        <f t="shared" si="72"/>
        <v>****</v>
      </c>
      <c r="M127" s="593" t="s">
        <v>70</v>
      </c>
      <c r="N127" s="593" t="s">
        <v>1245</v>
      </c>
    </row>
    <row r="128" spans="1:14" ht="14.25" thickBot="1">
      <c r="A128" s="648"/>
      <c r="B128" s="612" t="s">
        <v>1238</v>
      </c>
      <c r="C128" s="593" t="s">
        <v>1246</v>
      </c>
      <c r="D128" s="973">
        <v>192748.76</v>
      </c>
      <c r="E128" s="1017"/>
      <c r="F128" s="1017">
        <f>HK_PL!F91</f>
        <v>0</v>
      </c>
      <c r="G128" s="1028">
        <f t="shared" si="77"/>
        <v>192748.76</v>
      </c>
      <c r="H128" s="979">
        <f>HK_PL!K84</f>
        <v>44207891</v>
      </c>
      <c r="I128" s="1017">
        <f>HK_PL!I90</f>
        <v>0</v>
      </c>
      <c r="J128" s="1017">
        <f>HK_PL!J90</f>
        <v>0</v>
      </c>
      <c r="K128" s="977">
        <f t="shared" si="78"/>
        <v>44207891</v>
      </c>
      <c r="L128" s="1018" t="str">
        <f t="shared" si="72"/>
        <v>****</v>
      </c>
      <c r="M128" s="593" t="s">
        <v>1240</v>
      </c>
      <c r="N128" s="593" t="s">
        <v>140</v>
      </c>
    </row>
    <row r="129" spans="2:11">
      <c r="D129" s="598">
        <f>D111+D75-D5</f>
        <v>0</v>
      </c>
      <c r="G129" s="598">
        <f>G111+G75-G5</f>
        <v>0</v>
      </c>
      <c r="H129" s="991">
        <f>H111+H75-H5</f>
        <v>0</v>
      </c>
      <c r="I129" s="991">
        <f>SUM(I5:I128)</f>
        <v>0</v>
      </c>
      <c r="J129" s="991">
        <f>SUM(J5:J128)</f>
        <v>0</v>
      </c>
      <c r="K129" s="991">
        <f>K111+K75-K5</f>
        <v>0</v>
      </c>
    </row>
    <row r="130" spans="2:11">
      <c r="H130" s="1036"/>
      <c r="I130" s="676"/>
      <c r="J130" s="676">
        <f>J129-I129</f>
        <v>0</v>
      </c>
      <c r="K130" s="676"/>
    </row>
    <row r="131" spans="2:11">
      <c r="C131" s="596" t="s">
        <v>2547</v>
      </c>
      <c r="D131" s="598">
        <v>4591386.71</v>
      </c>
      <c r="G131" s="598">
        <v>4591386.71</v>
      </c>
      <c r="H131" s="980"/>
    </row>
    <row r="132" spans="2:11">
      <c r="C132" s="596" t="s">
        <v>2548</v>
      </c>
      <c r="D132" s="598">
        <f t="shared" ref="D132" si="79">D131-D125</f>
        <v>0</v>
      </c>
      <c r="G132" s="598">
        <f>G131-G125</f>
        <v>0</v>
      </c>
      <c r="H132" s="980"/>
    </row>
    <row r="133" spans="2:11">
      <c r="H133" s="981"/>
      <c r="I133" s="596"/>
      <c r="J133" s="596"/>
      <c r="K133" s="596"/>
    </row>
    <row r="134" spans="2:11">
      <c r="H134" s="980"/>
    </row>
    <row r="135" spans="2:11">
      <c r="B135" s="616"/>
      <c r="H135" s="980"/>
    </row>
    <row r="136" spans="2:11">
      <c r="D136" s="982"/>
      <c r="E136" s="982"/>
      <c r="F136" s="982"/>
      <c r="G136" s="982"/>
      <c r="H136" s="980"/>
    </row>
    <row r="137" spans="2:11">
      <c r="D137" s="617"/>
      <c r="E137" s="617"/>
      <c r="F137" s="617"/>
      <c r="G137" s="617"/>
    </row>
  </sheetData>
  <mergeCells count="3">
    <mergeCell ref="B3:C3"/>
    <mergeCell ref="I3:J3"/>
    <mergeCell ref="E3:F3"/>
  </mergeCells>
  <phoneticPr fontId="4" type="noConversion"/>
  <pageMargins left="0.7" right="0.7" top="0.75" bottom="0.75" header="0.3" footer="0.3"/>
  <legacy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8">
    <tabColor theme="8" tint="0.79998168889431442"/>
  </sheetPr>
  <dimension ref="A1:X101"/>
  <sheetViews>
    <sheetView zoomScale="90" zoomScaleNormal="90" workbookViewId="0">
      <pane ySplit="4" topLeftCell="A29" activePane="bottomLeft" state="frozen"/>
      <selection pane="bottomLeft" activeCell="D23" sqref="D23"/>
    </sheetView>
  </sheetViews>
  <sheetFormatPr defaultRowHeight="13.5"/>
  <cols>
    <col min="1" max="1" width="9.625" style="589" customWidth="1"/>
    <col min="2" max="2" width="5" style="589" customWidth="1"/>
    <col min="3" max="3" width="27.375" style="589" customWidth="1"/>
    <col min="4" max="6" width="13.375" style="589" customWidth="1"/>
    <col min="7" max="7" width="13.375" style="615" customWidth="1"/>
    <col min="8" max="10" width="13.375" style="589" customWidth="1"/>
    <col min="11" max="11" width="13.375" style="615" customWidth="1"/>
    <col min="12" max="12" width="6.625" style="589" customWidth="1"/>
    <col min="13" max="13" width="14" style="589" customWidth="1"/>
    <col min="14" max="14" width="18.125" style="589" customWidth="1"/>
    <col min="15" max="15" width="9" style="589"/>
    <col min="16" max="16" width="32.125" style="589" customWidth="1"/>
    <col min="17" max="17" width="11.625" style="589" bestFit="1" customWidth="1"/>
    <col min="18" max="18" width="11.5" style="589" bestFit="1" customWidth="1"/>
    <col min="19" max="20" width="9" style="589"/>
    <col min="21" max="21" width="10.125" style="589" bestFit="1" customWidth="1"/>
    <col min="22" max="22" width="9" style="589"/>
    <col min="23" max="23" width="9.125" style="589" bestFit="1" customWidth="1"/>
    <col min="24" max="248" width="9" style="589"/>
    <col min="249" max="250" width="5" style="589" customWidth="1"/>
    <col min="251" max="251" width="27.375" style="589" customWidth="1"/>
    <col min="252" max="255" width="14" style="589" customWidth="1"/>
    <col min="256" max="257" width="4.125" style="589" customWidth="1"/>
    <col min="258" max="258" width="6.625" style="589" customWidth="1"/>
    <col min="259" max="259" width="14" style="589" customWidth="1"/>
    <col min="260" max="260" width="18.125" style="589" customWidth="1"/>
    <col min="261" max="261" width="23" style="589" customWidth="1"/>
    <col min="262" max="262" width="9.625" style="589" customWidth="1"/>
    <col min="263" max="263" width="20.125" style="589" customWidth="1"/>
    <col min="264" max="265" width="18.375" style="589" customWidth="1"/>
    <col min="266" max="266" width="14.125" style="589" bestFit="1" customWidth="1"/>
    <col min="267" max="267" width="11.125" style="589" bestFit="1" customWidth="1"/>
    <col min="268" max="504" width="9" style="589"/>
    <col min="505" max="506" width="5" style="589" customWidth="1"/>
    <col min="507" max="507" width="27.375" style="589" customWidth="1"/>
    <col min="508" max="511" width="14" style="589" customWidth="1"/>
    <col min="512" max="513" width="4.125" style="589" customWidth="1"/>
    <col min="514" max="514" width="6.625" style="589" customWidth="1"/>
    <col min="515" max="515" width="14" style="589" customWidth="1"/>
    <col min="516" max="516" width="18.125" style="589" customWidth="1"/>
    <col min="517" max="517" width="23" style="589" customWidth="1"/>
    <col min="518" max="518" width="9.625" style="589" customWidth="1"/>
    <col min="519" max="519" width="20.125" style="589" customWidth="1"/>
    <col min="520" max="521" width="18.375" style="589" customWidth="1"/>
    <col min="522" max="522" width="14.125" style="589" bestFit="1" customWidth="1"/>
    <col min="523" max="523" width="11.125" style="589" bestFit="1" customWidth="1"/>
    <col min="524" max="760" width="9" style="589"/>
    <col min="761" max="762" width="5" style="589" customWidth="1"/>
    <col min="763" max="763" width="27.375" style="589" customWidth="1"/>
    <col min="764" max="767" width="14" style="589" customWidth="1"/>
    <col min="768" max="769" width="4.125" style="589" customWidth="1"/>
    <col min="770" max="770" width="6.625" style="589" customWidth="1"/>
    <col min="771" max="771" width="14" style="589" customWidth="1"/>
    <col min="772" max="772" width="18.125" style="589" customWidth="1"/>
    <col min="773" max="773" width="23" style="589" customWidth="1"/>
    <col min="774" max="774" width="9.625" style="589" customWidth="1"/>
    <col min="775" max="775" width="20.125" style="589" customWidth="1"/>
    <col min="776" max="777" width="18.375" style="589" customWidth="1"/>
    <col min="778" max="778" width="14.125" style="589" bestFit="1" customWidth="1"/>
    <col min="779" max="779" width="11.125" style="589" bestFit="1" customWidth="1"/>
    <col min="780" max="1016" width="9" style="589"/>
    <col min="1017" max="1018" width="5" style="589" customWidth="1"/>
    <col min="1019" max="1019" width="27.375" style="589" customWidth="1"/>
    <col min="1020" max="1023" width="14" style="589" customWidth="1"/>
    <col min="1024" max="1025" width="4.125" style="589" customWidth="1"/>
    <col min="1026" max="1026" width="6.625" style="589" customWidth="1"/>
    <col min="1027" max="1027" width="14" style="589" customWidth="1"/>
    <col min="1028" max="1028" width="18.125" style="589" customWidth="1"/>
    <col min="1029" max="1029" width="23" style="589" customWidth="1"/>
    <col min="1030" max="1030" width="9.625" style="589" customWidth="1"/>
    <col min="1031" max="1031" width="20.125" style="589" customWidth="1"/>
    <col min="1032" max="1033" width="18.375" style="589" customWidth="1"/>
    <col min="1034" max="1034" width="14.125" style="589" bestFit="1" customWidth="1"/>
    <col min="1035" max="1035" width="11.125" style="589" bestFit="1" customWidth="1"/>
    <col min="1036" max="1272" width="9" style="589"/>
    <col min="1273" max="1274" width="5" style="589" customWidth="1"/>
    <col min="1275" max="1275" width="27.375" style="589" customWidth="1"/>
    <col min="1276" max="1279" width="14" style="589" customWidth="1"/>
    <col min="1280" max="1281" width="4.125" style="589" customWidth="1"/>
    <col min="1282" max="1282" width="6.625" style="589" customWidth="1"/>
    <col min="1283" max="1283" width="14" style="589" customWidth="1"/>
    <col min="1284" max="1284" width="18.125" style="589" customWidth="1"/>
    <col min="1285" max="1285" width="23" style="589" customWidth="1"/>
    <col min="1286" max="1286" width="9.625" style="589" customWidth="1"/>
    <col min="1287" max="1287" width="20.125" style="589" customWidth="1"/>
    <col min="1288" max="1289" width="18.375" style="589" customWidth="1"/>
    <col min="1290" max="1290" width="14.125" style="589" bestFit="1" customWidth="1"/>
    <col min="1291" max="1291" width="11.125" style="589" bestFit="1" customWidth="1"/>
    <col min="1292" max="1528" width="9" style="589"/>
    <col min="1529" max="1530" width="5" style="589" customWidth="1"/>
    <col min="1531" max="1531" width="27.375" style="589" customWidth="1"/>
    <col min="1532" max="1535" width="14" style="589" customWidth="1"/>
    <col min="1536" max="1537" width="4.125" style="589" customWidth="1"/>
    <col min="1538" max="1538" width="6.625" style="589" customWidth="1"/>
    <col min="1539" max="1539" width="14" style="589" customWidth="1"/>
    <col min="1540" max="1540" width="18.125" style="589" customWidth="1"/>
    <col min="1541" max="1541" width="23" style="589" customWidth="1"/>
    <col min="1542" max="1542" width="9.625" style="589" customWidth="1"/>
    <col min="1543" max="1543" width="20.125" style="589" customWidth="1"/>
    <col min="1544" max="1545" width="18.375" style="589" customWidth="1"/>
    <col min="1546" max="1546" width="14.125" style="589" bestFit="1" customWidth="1"/>
    <col min="1547" max="1547" width="11.125" style="589" bestFit="1" customWidth="1"/>
    <col min="1548" max="1784" width="9" style="589"/>
    <col min="1785" max="1786" width="5" style="589" customWidth="1"/>
    <col min="1787" max="1787" width="27.375" style="589" customWidth="1"/>
    <col min="1788" max="1791" width="14" style="589" customWidth="1"/>
    <col min="1792" max="1793" width="4.125" style="589" customWidth="1"/>
    <col min="1794" max="1794" width="6.625" style="589" customWidth="1"/>
    <col min="1795" max="1795" width="14" style="589" customWidth="1"/>
    <col min="1796" max="1796" width="18.125" style="589" customWidth="1"/>
    <col min="1797" max="1797" width="23" style="589" customWidth="1"/>
    <col min="1798" max="1798" width="9.625" style="589" customWidth="1"/>
    <col min="1799" max="1799" width="20.125" style="589" customWidth="1"/>
    <col min="1800" max="1801" width="18.375" style="589" customWidth="1"/>
    <col min="1802" max="1802" width="14.125" style="589" bestFit="1" customWidth="1"/>
    <col min="1803" max="1803" width="11.125" style="589" bestFit="1" customWidth="1"/>
    <col min="1804" max="2040" width="9" style="589"/>
    <col min="2041" max="2042" width="5" style="589" customWidth="1"/>
    <col min="2043" max="2043" width="27.375" style="589" customWidth="1"/>
    <col min="2044" max="2047" width="14" style="589" customWidth="1"/>
    <col min="2048" max="2049" width="4.125" style="589" customWidth="1"/>
    <col min="2050" max="2050" width="6.625" style="589" customWidth="1"/>
    <col min="2051" max="2051" width="14" style="589" customWidth="1"/>
    <col min="2052" max="2052" width="18.125" style="589" customWidth="1"/>
    <col min="2053" max="2053" width="23" style="589" customWidth="1"/>
    <col min="2054" max="2054" width="9.625" style="589" customWidth="1"/>
    <col min="2055" max="2055" width="20.125" style="589" customWidth="1"/>
    <col min="2056" max="2057" width="18.375" style="589" customWidth="1"/>
    <col min="2058" max="2058" width="14.125" style="589" bestFit="1" customWidth="1"/>
    <col min="2059" max="2059" width="11.125" style="589" bestFit="1" customWidth="1"/>
    <col min="2060" max="2296" width="9" style="589"/>
    <col min="2297" max="2298" width="5" style="589" customWidth="1"/>
    <col min="2299" max="2299" width="27.375" style="589" customWidth="1"/>
    <col min="2300" max="2303" width="14" style="589" customWidth="1"/>
    <col min="2304" max="2305" width="4.125" style="589" customWidth="1"/>
    <col min="2306" max="2306" width="6.625" style="589" customWidth="1"/>
    <col min="2307" max="2307" width="14" style="589" customWidth="1"/>
    <col min="2308" max="2308" width="18.125" style="589" customWidth="1"/>
    <col min="2309" max="2309" width="23" style="589" customWidth="1"/>
    <col min="2310" max="2310" width="9.625" style="589" customWidth="1"/>
    <col min="2311" max="2311" width="20.125" style="589" customWidth="1"/>
    <col min="2312" max="2313" width="18.375" style="589" customWidth="1"/>
    <col min="2314" max="2314" width="14.125" style="589" bestFit="1" customWidth="1"/>
    <col min="2315" max="2315" width="11.125" style="589" bestFit="1" customWidth="1"/>
    <col min="2316" max="2552" width="9" style="589"/>
    <col min="2553" max="2554" width="5" style="589" customWidth="1"/>
    <col min="2555" max="2555" width="27.375" style="589" customWidth="1"/>
    <col min="2556" max="2559" width="14" style="589" customWidth="1"/>
    <col min="2560" max="2561" width="4.125" style="589" customWidth="1"/>
    <col min="2562" max="2562" width="6.625" style="589" customWidth="1"/>
    <col min="2563" max="2563" width="14" style="589" customWidth="1"/>
    <col min="2564" max="2564" width="18.125" style="589" customWidth="1"/>
    <col min="2565" max="2565" width="23" style="589" customWidth="1"/>
    <col min="2566" max="2566" width="9.625" style="589" customWidth="1"/>
    <col min="2567" max="2567" width="20.125" style="589" customWidth="1"/>
    <col min="2568" max="2569" width="18.375" style="589" customWidth="1"/>
    <col min="2570" max="2570" width="14.125" style="589" bestFit="1" customWidth="1"/>
    <col min="2571" max="2571" width="11.125" style="589" bestFit="1" customWidth="1"/>
    <col min="2572" max="2808" width="9" style="589"/>
    <col min="2809" max="2810" width="5" style="589" customWidth="1"/>
    <col min="2811" max="2811" width="27.375" style="589" customWidth="1"/>
    <col min="2812" max="2815" width="14" style="589" customWidth="1"/>
    <col min="2816" max="2817" width="4.125" style="589" customWidth="1"/>
    <col min="2818" max="2818" width="6.625" style="589" customWidth="1"/>
    <col min="2819" max="2819" width="14" style="589" customWidth="1"/>
    <col min="2820" max="2820" width="18.125" style="589" customWidth="1"/>
    <col min="2821" max="2821" width="23" style="589" customWidth="1"/>
    <col min="2822" max="2822" width="9.625" style="589" customWidth="1"/>
    <col min="2823" max="2823" width="20.125" style="589" customWidth="1"/>
    <col min="2824" max="2825" width="18.375" style="589" customWidth="1"/>
    <col min="2826" max="2826" width="14.125" style="589" bestFit="1" customWidth="1"/>
    <col min="2827" max="2827" width="11.125" style="589" bestFit="1" customWidth="1"/>
    <col min="2828" max="3064" width="9" style="589"/>
    <col min="3065" max="3066" width="5" style="589" customWidth="1"/>
    <col min="3067" max="3067" width="27.375" style="589" customWidth="1"/>
    <col min="3068" max="3071" width="14" style="589" customWidth="1"/>
    <col min="3072" max="3073" width="4.125" style="589" customWidth="1"/>
    <col min="3074" max="3074" width="6.625" style="589" customWidth="1"/>
    <col min="3075" max="3075" width="14" style="589" customWidth="1"/>
    <col min="3076" max="3076" width="18.125" style="589" customWidth="1"/>
    <col min="3077" max="3077" width="23" style="589" customWidth="1"/>
    <col min="3078" max="3078" width="9.625" style="589" customWidth="1"/>
    <col min="3079" max="3079" width="20.125" style="589" customWidth="1"/>
    <col min="3080" max="3081" width="18.375" style="589" customWidth="1"/>
    <col min="3082" max="3082" width="14.125" style="589" bestFit="1" customWidth="1"/>
    <col min="3083" max="3083" width="11.125" style="589" bestFit="1" customWidth="1"/>
    <col min="3084" max="3320" width="9" style="589"/>
    <col min="3321" max="3322" width="5" style="589" customWidth="1"/>
    <col min="3323" max="3323" width="27.375" style="589" customWidth="1"/>
    <col min="3324" max="3327" width="14" style="589" customWidth="1"/>
    <col min="3328" max="3329" width="4.125" style="589" customWidth="1"/>
    <col min="3330" max="3330" width="6.625" style="589" customWidth="1"/>
    <col min="3331" max="3331" width="14" style="589" customWidth="1"/>
    <col min="3332" max="3332" width="18.125" style="589" customWidth="1"/>
    <col min="3333" max="3333" width="23" style="589" customWidth="1"/>
    <col min="3334" max="3334" width="9.625" style="589" customWidth="1"/>
    <col min="3335" max="3335" width="20.125" style="589" customWidth="1"/>
    <col min="3336" max="3337" width="18.375" style="589" customWidth="1"/>
    <col min="3338" max="3338" width="14.125" style="589" bestFit="1" customWidth="1"/>
    <col min="3339" max="3339" width="11.125" style="589" bestFit="1" customWidth="1"/>
    <col min="3340" max="3576" width="9" style="589"/>
    <col min="3577" max="3578" width="5" style="589" customWidth="1"/>
    <col min="3579" max="3579" width="27.375" style="589" customWidth="1"/>
    <col min="3580" max="3583" width="14" style="589" customWidth="1"/>
    <col min="3584" max="3585" width="4.125" style="589" customWidth="1"/>
    <col min="3586" max="3586" width="6.625" style="589" customWidth="1"/>
    <col min="3587" max="3587" width="14" style="589" customWidth="1"/>
    <col min="3588" max="3588" width="18.125" style="589" customWidth="1"/>
    <col min="3589" max="3589" width="23" style="589" customWidth="1"/>
    <col min="3590" max="3590" width="9.625" style="589" customWidth="1"/>
    <col min="3591" max="3591" width="20.125" style="589" customWidth="1"/>
    <col min="3592" max="3593" width="18.375" style="589" customWidth="1"/>
    <col min="3594" max="3594" width="14.125" style="589" bestFit="1" customWidth="1"/>
    <col min="3595" max="3595" width="11.125" style="589" bestFit="1" customWidth="1"/>
    <col min="3596" max="3832" width="9" style="589"/>
    <col min="3833" max="3834" width="5" style="589" customWidth="1"/>
    <col min="3835" max="3835" width="27.375" style="589" customWidth="1"/>
    <col min="3836" max="3839" width="14" style="589" customWidth="1"/>
    <col min="3840" max="3841" width="4.125" style="589" customWidth="1"/>
    <col min="3842" max="3842" width="6.625" style="589" customWidth="1"/>
    <col min="3843" max="3843" width="14" style="589" customWidth="1"/>
    <col min="3844" max="3844" width="18.125" style="589" customWidth="1"/>
    <col min="3845" max="3845" width="23" style="589" customWidth="1"/>
    <col min="3846" max="3846" width="9.625" style="589" customWidth="1"/>
    <col min="3847" max="3847" width="20.125" style="589" customWidth="1"/>
    <col min="3848" max="3849" width="18.375" style="589" customWidth="1"/>
    <col min="3850" max="3850" width="14.125" style="589" bestFit="1" customWidth="1"/>
    <col min="3851" max="3851" width="11.125" style="589" bestFit="1" customWidth="1"/>
    <col min="3852" max="4088" width="9" style="589"/>
    <col min="4089" max="4090" width="5" style="589" customWidth="1"/>
    <col min="4091" max="4091" width="27.375" style="589" customWidth="1"/>
    <col min="4092" max="4095" width="14" style="589" customWidth="1"/>
    <col min="4096" max="4097" width="4.125" style="589" customWidth="1"/>
    <col min="4098" max="4098" width="6.625" style="589" customWidth="1"/>
    <col min="4099" max="4099" width="14" style="589" customWidth="1"/>
    <col min="4100" max="4100" width="18.125" style="589" customWidth="1"/>
    <col min="4101" max="4101" width="23" style="589" customWidth="1"/>
    <col min="4102" max="4102" width="9.625" style="589" customWidth="1"/>
    <col min="4103" max="4103" width="20.125" style="589" customWidth="1"/>
    <col min="4104" max="4105" width="18.375" style="589" customWidth="1"/>
    <col min="4106" max="4106" width="14.125" style="589" bestFit="1" customWidth="1"/>
    <col min="4107" max="4107" width="11.125" style="589" bestFit="1" customWidth="1"/>
    <col min="4108" max="4344" width="9" style="589"/>
    <col min="4345" max="4346" width="5" style="589" customWidth="1"/>
    <col min="4347" max="4347" width="27.375" style="589" customWidth="1"/>
    <col min="4348" max="4351" width="14" style="589" customWidth="1"/>
    <col min="4352" max="4353" width="4.125" style="589" customWidth="1"/>
    <col min="4354" max="4354" width="6.625" style="589" customWidth="1"/>
    <col min="4355" max="4355" width="14" style="589" customWidth="1"/>
    <col min="4356" max="4356" width="18.125" style="589" customWidth="1"/>
    <col min="4357" max="4357" width="23" style="589" customWidth="1"/>
    <col min="4358" max="4358" width="9.625" style="589" customWidth="1"/>
    <col min="4359" max="4359" width="20.125" style="589" customWidth="1"/>
    <col min="4360" max="4361" width="18.375" style="589" customWidth="1"/>
    <col min="4362" max="4362" width="14.125" style="589" bestFit="1" customWidth="1"/>
    <col min="4363" max="4363" width="11.125" style="589" bestFit="1" customWidth="1"/>
    <col min="4364" max="4600" width="9" style="589"/>
    <col min="4601" max="4602" width="5" style="589" customWidth="1"/>
    <col min="4603" max="4603" width="27.375" style="589" customWidth="1"/>
    <col min="4604" max="4607" width="14" style="589" customWidth="1"/>
    <col min="4608" max="4609" width="4.125" style="589" customWidth="1"/>
    <col min="4610" max="4610" width="6.625" style="589" customWidth="1"/>
    <col min="4611" max="4611" width="14" style="589" customWidth="1"/>
    <col min="4612" max="4612" width="18.125" style="589" customWidth="1"/>
    <col min="4613" max="4613" width="23" style="589" customWidth="1"/>
    <col min="4614" max="4614" width="9.625" style="589" customWidth="1"/>
    <col min="4615" max="4615" width="20.125" style="589" customWidth="1"/>
    <col min="4616" max="4617" width="18.375" style="589" customWidth="1"/>
    <col min="4618" max="4618" width="14.125" style="589" bestFit="1" customWidth="1"/>
    <col min="4619" max="4619" width="11.125" style="589" bestFit="1" customWidth="1"/>
    <col min="4620" max="4856" width="9" style="589"/>
    <col min="4857" max="4858" width="5" style="589" customWidth="1"/>
    <col min="4859" max="4859" width="27.375" style="589" customWidth="1"/>
    <col min="4860" max="4863" width="14" style="589" customWidth="1"/>
    <col min="4864" max="4865" width="4.125" style="589" customWidth="1"/>
    <col min="4866" max="4866" width="6.625" style="589" customWidth="1"/>
    <col min="4867" max="4867" width="14" style="589" customWidth="1"/>
    <col min="4868" max="4868" width="18.125" style="589" customWidth="1"/>
    <col min="4869" max="4869" width="23" style="589" customWidth="1"/>
    <col min="4870" max="4870" width="9.625" style="589" customWidth="1"/>
    <col min="4871" max="4871" width="20.125" style="589" customWidth="1"/>
    <col min="4872" max="4873" width="18.375" style="589" customWidth="1"/>
    <col min="4874" max="4874" width="14.125" style="589" bestFit="1" customWidth="1"/>
    <col min="4875" max="4875" width="11.125" style="589" bestFit="1" customWidth="1"/>
    <col min="4876" max="5112" width="9" style="589"/>
    <col min="5113" max="5114" width="5" style="589" customWidth="1"/>
    <col min="5115" max="5115" width="27.375" style="589" customWidth="1"/>
    <col min="5116" max="5119" width="14" style="589" customWidth="1"/>
    <col min="5120" max="5121" width="4.125" style="589" customWidth="1"/>
    <col min="5122" max="5122" width="6.625" style="589" customWidth="1"/>
    <col min="5123" max="5123" width="14" style="589" customWidth="1"/>
    <col min="5124" max="5124" width="18.125" style="589" customWidth="1"/>
    <col min="5125" max="5125" width="23" style="589" customWidth="1"/>
    <col min="5126" max="5126" width="9.625" style="589" customWidth="1"/>
    <col min="5127" max="5127" width="20.125" style="589" customWidth="1"/>
    <col min="5128" max="5129" width="18.375" style="589" customWidth="1"/>
    <col min="5130" max="5130" width="14.125" style="589" bestFit="1" customWidth="1"/>
    <col min="5131" max="5131" width="11.125" style="589" bestFit="1" customWidth="1"/>
    <col min="5132" max="5368" width="9" style="589"/>
    <col min="5369" max="5370" width="5" style="589" customWidth="1"/>
    <col min="5371" max="5371" width="27.375" style="589" customWidth="1"/>
    <col min="5372" max="5375" width="14" style="589" customWidth="1"/>
    <col min="5376" max="5377" width="4.125" style="589" customWidth="1"/>
    <col min="5378" max="5378" width="6.625" style="589" customWidth="1"/>
    <col min="5379" max="5379" width="14" style="589" customWidth="1"/>
    <col min="5380" max="5380" width="18.125" style="589" customWidth="1"/>
    <col min="5381" max="5381" width="23" style="589" customWidth="1"/>
    <col min="5382" max="5382" width="9.625" style="589" customWidth="1"/>
    <col min="5383" max="5383" width="20.125" style="589" customWidth="1"/>
    <col min="5384" max="5385" width="18.375" style="589" customWidth="1"/>
    <col min="5386" max="5386" width="14.125" style="589" bestFit="1" customWidth="1"/>
    <col min="5387" max="5387" width="11.125" style="589" bestFit="1" customWidth="1"/>
    <col min="5388" max="5624" width="9" style="589"/>
    <col min="5625" max="5626" width="5" style="589" customWidth="1"/>
    <col min="5627" max="5627" width="27.375" style="589" customWidth="1"/>
    <col min="5628" max="5631" width="14" style="589" customWidth="1"/>
    <col min="5632" max="5633" width="4.125" style="589" customWidth="1"/>
    <col min="5634" max="5634" width="6.625" style="589" customWidth="1"/>
    <col min="5635" max="5635" width="14" style="589" customWidth="1"/>
    <col min="5636" max="5636" width="18.125" style="589" customWidth="1"/>
    <col min="5637" max="5637" width="23" style="589" customWidth="1"/>
    <col min="5638" max="5638" width="9.625" style="589" customWidth="1"/>
    <col min="5639" max="5639" width="20.125" style="589" customWidth="1"/>
    <col min="5640" max="5641" width="18.375" style="589" customWidth="1"/>
    <col min="5642" max="5642" width="14.125" style="589" bestFit="1" customWidth="1"/>
    <col min="5643" max="5643" width="11.125" style="589" bestFit="1" customWidth="1"/>
    <col min="5644" max="5880" width="9" style="589"/>
    <col min="5881" max="5882" width="5" style="589" customWidth="1"/>
    <col min="5883" max="5883" width="27.375" style="589" customWidth="1"/>
    <col min="5884" max="5887" width="14" style="589" customWidth="1"/>
    <col min="5888" max="5889" width="4.125" style="589" customWidth="1"/>
    <col min="5890" max="5890" width="6.625" style="589" customWidth="1"/>
    <col min="5891" max="5891" width="14" style="589" customWidth="1"/>
    <col min="5892" max="5892" width="18.125" style="589" customWidth="1"/>
    <col min="5893" max="5893" width="23" style="589" customWidth="1"/>
    <col min="5894" max="5894" width="9.625" style="589" customWidth="1"/>
    <col min="5895" max="5895" width="20.125" style="589" customWidth="1"/>
    <col min="5896" max="5897" width="18.375" style="589" customWidth="1"/>
    <col min="5898" max="5898" width="14.125" style="589" bestFit="1" customWidth="1"/>
    <col min="5899" max="5899" width="11.125" style="589" bestFit="1" customWidth="1"/>
    <col min="5900" max="6136" width="9" style="589"/>
    <col min="6137" max="6138" width="5" style="589" customWidth="1"/>
    <col min="6139" max="6139" width="27.375" style="589" customWidth="1"/>
    <col min="6140" max="6143" width="14" style="589" customWidth="1"/>
    <col min="6144" max="6145" width="4.125" style="589" customWidth="1"/>
    <col min="6146" max="6146" width="6.625" style="589" customWidth="1"/>
    <col min="6147" max="6147" width="14" style="589" customWidth="1"/>
    <col min="6148" max="6148" width="18.125" style="589" customWidth="1"/>
    <col min="6149" max="6149" width="23" style="589" customWidth="1"/>
    <col min="6150" max="6150" width="9.625" style="589" customWidth="1"/>
    <col min="6151" max="6151" width="20.125" style="589" customWidth="1"/>
    <col min="6152" max="6153" width="18.375" style="589" customWidth="1"/>
    <col min="6154" max="6154" width="14.125" style="589" bestFit="1" customWidth="1"/>
    <col min="6155" max="6155" width="11.125" style="589" bestFit="1" customWidth="1"/>
    <col min="6156" max="6392" width="9" style="589"/>
    <col min="6393" max="6394" width="5" style="589" customWidth="1"/>
    <col min="6395" max="6395" width="27.375" style="589" customWidth="1"/>
    <col min="6396" max="6399" width="14" style="589" customWidth="1"/>
    <col min="6400" max="6401" width="4.125" style="589" customWidth="1"/>
    <col min="6402" max="6402" width="6.625" style="589" customWidth="1"/>
    <col min="6403" max="6403" width="14" style="589" customWidth="1"/>
    <col min="6404" max="6404" width="18.125" style="589" customWidth="1"/>
    <col min="6405" max="6405" width="23" style="589" customWidth="1"/>
    <col min="6406" max="6406" width="9.625" style="589" customWidth="1"/>
    <col min="6407" max="6407" width="20.125" style="589" customWidth="1"/>
    <col min="6408" max="6409" width="18.375" style="589" customWidth="1"/>
    <col min="6410" max="6410" width="14.125" style="589" bestFit="1" customWidth="1"/>
    <col min="6411" max="6411" width="11.125" style="589" bestFit="1" customWidth="1"/>
    <col min="6412" max="6648" width="9" style="589"/>
    <col min="6649" max="6650" width="5" style="589" customWidth="1"/>
    <col min="6651" max="6651" width="27.375" style="589" customWidth="1"/>
    <col min="6652" max="6655" width="14" style="589" customWidth="1"/>
    <col min="6656" max="6657" width="4.125" style="589" customWidth="1"/>
    <col min="6658" max="6658" width="6.625" style="589" customWidth="1"/>
    <col min="6659" max="6659" width="14" style="589" customWidth="1"/>
    <col min="6660" max="6660" width="18.125" style="589" customWidth="1"/>
    <col min="6661" max="6661" width="23" style="589" customWidth="1"/>
    <col min="6662" max="6662" width="9.625" style="589" customWidth="1"/>
    <col min="6663" max="6663" width="20.125" style="589" customWidth="1"/>
    <col min="6664" max="6665" width="18.375" style="589" customWidth="1"/>
    <col min="6666" max="6666" width="14.125" style="589" bestFit="1" customWidth="1"/>
    <col min="6667" max="6667" width="11.125" style="589" bestFit="1" customWidth="1"/>
    <col min="6668" max="6904" width="9" style="589"/>
    <col min="6905" max="6906" width="5" style="589" customWidth="1"/>
    <col min="6907" max="6907" width="27.375" style="589" customWidth="1"/>
    <col min="6908" max="6911" width="14" style="589" customWidth="1"/>
    <col min="6912" max="6913" width="4.125" style="589" customWidth="1"/>
    <col min="6914" max="6914" width="6.625" style="589" customWidth="1"/>
    <col min="6915" max="6915" width="14" style="589" customWidth="1"/>
    <col min="6916" max="6916" width="18.125" style="589" customWidth="1"/>
    <col min="6917" max="6917" width="23" style="589" customWidth="1"/>
    <col min="6918" max="6918" width="9.625" style="589" customWidth="1"/>
    <col min="6919" max="6919" width="20.125" style="589" customWidth="1"/>
    <col min="6920" max="6921" width="18.375" style="589" customWidth="1"/>
    <col min="6922" max="6922" width="14.125" style="589" bestFit="1" customWidth="1"/>
    <col min="6923" max="6923" width="11.125" style="589" bestFit="1" customWidth="1"/>
    <col min="6924" max="7160" width="9" style="589"/>
    <col min="7161" max="7162" width="5" style="589" customWidth="1"/>
    <col min="7163" max="7163" width="27.375" style="589" customWidth="1"/>
    <col min="7164" max="7167" width="14" style="589" customWidth="1"/>
    <col min="7168" max="7169" width="4.125" style="589" customWidth="1"/>
    <col min="7170" max="7170" width="6.625" style="589" customWidth="1"/>
    <col min="7171" max="7171" width="14" style="589" customWidth="1"/>
    <col min="7172" max="7172" width="18.125" style="589" customWidth="1"/>
    <col min="7173" max="7173" width="23" style="589" customWidth="1"/>
    <col min="7174" max="7174" width="9.625" style="589" customWidth="1"/>
    <col min="7175" max="7175" width="20.125" style="589" customWidth="1"/>
    <col min="7176" max="7177" width="18.375" style="589" customWidth="1"/>
    <col min="7178" max="7178" width="14.125" style="589" bestFit="1" customWidth="1"/>
    <col min="7179" max="7179" width="11.125" style="589" bestFit="1" customWidth="1"/>
    <col min="7180" max="7416" width="9" style="589"/>
    <col min="7417" max="7418" width="5" style="589" customWidth="1"/>
    <col min="7419" max="7419" width="27.375" style="589" customWidth="1"/>
    <col min="7420" max="7423" width="14" style="589" customWidth="1"/>
    <col min="7424" max="7425" width="4.125" style="589" customWidth="1"/>
    <col min="7426" max="7426" width="6.625" style="589" customWidth="1"/>
    <col min="7427" max="7427" width="14" style="589" customWidth="1"/>
    <col min="7428" max="7428" width="18.125" style="589" customWidth="1"/>
    <col min="7429" max="7429" width="23" style="589" customWidth="1"/>
    <col min="7430" max="7430" width="9.625" style="589" customWidth="1"/>
    <col min="7431" max="7431" width="20.125" style="589" customWidth="1"/>
    <col min="7432" max="7433" width="18.375" style="589" customWidth="1"/>
    <col min="7434" max="7434" width="14.125" style="589" bestFit="1" customWidth="1"/>
    <col min="7435" max="7435" width="11.125" style="589" bestFit="1" customWidth="1"/>
    <col min="7436" max="7672" width="9" style="589"/>
    <col min="7673" max="7674" width="5" style="589" customWidth="1"/>
    <col min="7675" max="7675" width="27.375" style="589" customWidth="1"/>
    <col min="7676" max="7679" width="14" style="589" customWidth="1"/>
    <col min="7680" max="7681" width="4.125" style="589" customWidth="1"/>
    <col min="7682" max="7682" width="6.625" style="589" customWidth="1"/>
    <col min="7683" max="7683" width="14" style="589" customWidth="1"/>
    <col min="7684" max="7684" width="18.125" style="589" customWidth="1"/>
    <col min="7685" max="7685" width="23" style="589" customWidth="1"/>
    <col min="7686" max="7686" width="9.625" style="589" customWidth="1"/>
    <col min="7687" max="7687" width="20.125" style="589" customWidth="1"/>
    <col min="7688" max="7689" width="18.375" style="589" customWidth="1"/>
    <col min="7690" max="7690" width="14.125" style="589" bestFit="1" customWidth="1"/>
    <col min="7691" max="7691" width="11.125" style="589" bestFit="1" customWidth="1"/>
    <col min="7692" max="7928" width="9" style="589"/>
    <col min="7929" max="7930" width="5" style="589" customWidth="1"/>
    <col min="7931" max="7931" width="27.375" style="589" customWidth="1"/>
    <col min="7932" max="7935" width="14" style="589" customWidth="1"/>
    <col min="7936" max="7937" width="4.125" style="589" customWidth="1"/>
    <col min="7938" max="7938" width="6.625" style="589" customWidth="1"/>
    <col min="7939" max="7939" width="14" style="589" customWidth="1"/>
    <col min="7940" max="7940" width="18.125" style="589" customWidth="1"/>
    <col min="7941" max="7941" width="23" style="589" customWidth="1"/>
    <col min="7942" max="7942" width="9.625" style="589" customWidth="1"/>
    <col min="7943" max="7943" width="20.125" style="589" customWidth="1"/>
    <col min="7944" max="7945" width="18.375" style="589" customWidth="1"/>
    <col min="7946" max="7946" width="14.125" style="589" bestFit="1" customWidth="1"/>
    <col min="7947" max="7947" width="11.125" style="589" bestFit="1" customWidth="1"/>
    <col min="7948" max="8184" width="9" style="589"/>
    <col min="8185" max="8186" width="5" style="589" customWidth="1"/>
    <col min="8187" max="8187" width="27.375" style="589" customWidth="1"/>
    <col min="8188" max="8191" width="14" style="589" customWidth="1"/>
    <col min="8192" max="8193" width="4.125" style="589" customWidth="1"/>
    <col min="8194" max="8194" width="6.625" style="589" customWidth="1"/>
    <col min="8195" max="8195" width="14" style="589" customWidth="1"/>
    <col min="8196" max="8196" width="18.125" style="589" customWidth="1"/>
    <col min="8197" max="8197" width="23" style="589" customWidth="1"/>
    <col min="8198" max="8198" width="9.625" style="589" customWidth="1"/>
    <col min="8199" max="8199" width="20.125" style="589" customWidth="1"/>
    <col min="8200" max="8201" width="18.375" style="589" customWidth="1"/>
    <col min="8202" max="8202" width="14.125" style="589" bestFit="1" customWidth="1"/>
    <col min="8203" max="8203" width="11.125" style="589" bestFit="1" customWidth="1"/>
    <col min="8204" max="8440" width="9" style="589"/>
    <col min="8441" max="8442" width="5" style="589" customWidth="1"/>
    <col min="8443" max="8443" width="27.375" style="589" customWidth="1"/>
    <col min="8444" max="8447" width="14" style="589" customWidth="1"/>
    <col min="8448" max="8449" width="4.125" style="589" customWidth="1"/>
    <col min="8450" max="8450" width="6.625" style="589" customWidth="1"/>
    <col min="8451" max="8451" width="14" style="589" customWidth="1"/>
    <col min="8452" max="8452" width="18.125" style="589" customWidth="1"/>
    <col min="8453" max="8453" width="23" style="589" customWidth="1"/>
    <col min="8454" max="8454" width="9.625" style="589" customWidth="1"/>
    <col min="8455" max="8455" width="20.125" style="589" customWidth="1"/>
    <col min="8456" max="8457" width="18.375" style="589" customWidth="1"/>
    <col min="8458" max="8458" width="14.125" style="589" bestFit="1" customWidth="1"/>
    <col min="8459" max="8459" width="11.125" style="589" bestFit="1" customWidth="1"/>
    <col min="8460" max="8696" width="9" style="589"/>
    <col min="8697" max="8698" width="5" style="589" customWidth="1"/>
    <col min="8699" max="8699" width="27.375" style="589" customWidth="1"/>
    <col min="8700" max="8703" width="14" style="589" customWidth="1"/>
    <col min="8704" max="8705" width="4.125" style="589" customWidth="1"/>
    <col min="8706" max="8706" width="6.625" style="589" customWidth="1"/>
    <col min="8707" max="8707" width="14" style="589" customWidth="1"/>
    <col min="8708" max="8708" width="18.125" style="589" customWidth="1"/>
    <col min="8709" max="8709" width="23" style="589" customWidth="1"/>
    <col min="8710" max="8710" width="9.625" style="589" customWidth="1"/>
    <col min="8711" max="8711" width="20.125" style="589" customWidth="1"/>
    <col min="8712" max="8713" width="18.375" style="589" customWidth="1"/>
    <col min="8714" max="8714" width="14.125" style="589" bestFit="1" customWidth="1"/>
    <col min="8715" max="8715" width="11.125" style="589" bestFit="1" customWidth="1"/>
    <col min="8716" max="8952" width="9" style="589"/>
    <col min="8953" max="8954" width="5" style="589" customWidth="1"/>
    <col min="8955" max="8955" width="27.375" style="589" customWidth="1"/>
    <col min="8956" max="8959" width="14" style="589" customWidth="1"/>
    <col min="8960" max="8961" width="4.125" style="589" customWidth="1"/>
    <col min="8962" max="8962" width="6.625" style="589" customWidth="1"/>
    <col min="8963" max="8963" width="14" style="589" customWidth="1"/>
    <col min="8964" max="8964" width="18.125" style="589" customWidth="1"/>
    <col min="8965" max="8965" width="23" style="589" customWidth="1"/>
    <col min="8966" max="8966" width="9.625" style="589" customWidth="1"/>
    <col min="8967" max="8967" width="20.125" style="589" customWidth="1"/>
    <col min="8968" max="8969" width="18.375" style="589" customWidth="1"/>
    <col min="8970" max="8970" width="14.125" style="589" bestFit="1" customWidth="1"/>
    <col min="8971" max="8971" width="11.125" style="589" bestFit="1" customWidth="1"/>
    <col min="8972" max="9208" width="9" style="589"/>
    <col min="9209" max="9210" width="5" style="589" customWidth="1"/>
    <col min="9211" max="9211" width="27.375" style="589" customWidth="1"/>
    <col min="9212" max="9215" width="14" style="589" customWidth="1"/>
    <col min="9216" max="9217" width="4.125" style="589" customWidth="1"/>
    <col min="9218" max="9218" width="6.625" style="589" customWidth="1"/>
    <col min="9219" max="9219" width="14" style="589" customWidth="1"/>
    <col min="9220" max="9220" width="18.125" style="589" customWidth="1"/>
    <col min="9221" max="9221" width="23" style="589" customWidth="1"/>
    <col min="9222" max="9222" width="9.625" style="589" customWidth="1"/>
    <col min="9223" max="9223" width="20.125" style="589" customWidth="1"/>
    <col min="9224" max="9225" width="18.375" style="589" customWidth="1"/>
    <col min="9226" max="9226" width="14.125" style="589" bestFit="1" customWidth="1"/>
    <col min="9227" max="9227" width="11.125" style="589" bestFit="1" customWidth="1"/>
    <col min="9228" max="9464" width="9" style="589"/>
    <col min="9465" max="9466" width="5" style="589" customWidth="1"/>
    <col min="9467" max="9467" width="27.375" style="589" customWidth="1"/>
    <col min="9468" max="9471" width="14" style="589" customWidth="1"/>
    <col min="9472" max="9473" width="4.125" style="589" customWidth="1"/>
    <col min="9474" max="9474" width="6.625" style="589" customWidth="1"/>
    <col min="9475" max="9475" width="14" style="589" customWidth="1"/>
    <col min="9476" max="9476" width="18.125" style="589" customWidth="1"/>
    <col min="9477" max="9477" width="23" style="589" customWidth="1"/>
    <col min="9478" max="9478" width="9.625" style="589" customWidth="1"/>
    <col min="9479" max="9479" width="20.125" style="589" customWidth="1"/>
    <col min="9480" max="9481" width="18.375" style="589" customWidth="1"/>
    <col min="9482" max="9482" width="14.125" style="589" bestFit="1" customWidth="1"/>
    <col min="9483" max="9483" width="11.125" style="589" bestFit="1" customWidth="1"/>
    <col min="9484" max="9720" width="9" style="589"/>
    <col min="9721" max="9722" width="5" style="589" customWidth="1"/>
    <col min="9723" max="9723" width="27.375" style="589" customWidth="1"/>
    <col min="9724" max="9727" width="14" style="589" customWidth="1"/>
    <col min="9728" max="9729" width="4.125" style="589" customWidth="1"/>
    <col min="9730" max="9730" width="6.625" style="589" customWidth="1"/>
    <col min="9731" max="9731" width="14" style="589" customWidth="1"/>
    <col min="9732" max="9732" width="18.125" style="589" customWidth="1"/>
    <col min="9733" max="9733" width="23" style="589" customWidth="1"/>
    <col min="9734" max="9734" width="9.625" style="589" customWidth="1"/>
    <col min="9735" max="9735" width="20.125" style="589" customWidth="1"/>
    <col min="9736" max="9737" width="18.375" style="589" customWidth="1"/>
    <col min="9738" max="9738" width="14.125" style="589" bestFit="1" customWidth="1"/>
    <col min="9739" max="9739" width="11.125" style="589" bestFit="1" customWidth="1"/>
    <col min="9740" max="9976" width="9" style="589"/>
    <col min="9977" max="9978" width="5" style="589" customWidth="1"/>
    <col min="9979" max="9979" width="27.375" style="589" customWidth="1"/>
    <col min="9980" max="9983" width="14" style="589" customWidth="1"/>
    <col min="9984" max="9985" width="4.125" style="589" customWidth="1"/>
    <col min="9986" max="9986" width="6.625" style="589" customWidth="1"/>
    <col min="9987" max="9987" width="14" style="589" customWidth="1"/>
    <col min="9988" max="9988" width="18.125" style="589" customWidth="1"/>
    <col min="9989" max="9989" width="23" style="589" customWidth="1"/>
    <col min="9990" max="9990" width="9.625" style="589" customWidth="1"/>
    <col min="9991" max="9991" width="20.125" style="589" customWidth="1"/>
    <col min="9992" max="9993" width="18.375" style="589" customWidth="1"/>
    <col min="9994" max="9994" width="14.125" style="589" bestFit="1" customWidth="1"/>
    <col min="9995" max="9995" width="11.125" style="589" bestFit="1" customWidth="1"/>
    <col min="9996" max="10232" width="9" style="589"/>
    <col min="10233" max="10234" width="5" style="589" customWidth="1"/>
    <col min="10235" max="10235" width="27.375" style="589" customWidth="1"/>
    <col min="10236" max="10239" width="14" style="589" customWidth="1"/>
    <col min="10240" max="10241" width="4.125" style="589" customWidth="1"/>
    <col min="10242" max="10242" width="6.625" style="589" customWidth="1"/>
    <col min="10243" max="10243" width="14" style="589" customWidth="1"/>
    <col min="10244" max="10244" width="18.125" style="589" customWidth="1"/>
    <col min="10245" max="10245" width="23" style="589" customWidth="1"/>
    <col min="10246" max="10246" width="9.625" style="589" customWidth="1"/>
    <col min="10247" max="10247" width="20.125" style="589" customWidth="1"/>
    <col min="10248" max="10249" width="18.375" style="589" customWidth="1"/>
    <col min="10250" max="10250" width="14.125" style="589" bestFit="1" customWidth="1"/>
    <col min="10251" max="10251" width="11.125" style="589" bestFit="1" customWidth="1"/>
    <col min="10252" max="10488" width="9" style="589"/>
    <col min="10489" max="10490" width="5" style="589" customWidth="1"/>
    <col min="10491" max="10491" width="27.375" style="589" customWidth="1"/>
    <col min="10492" max="10495" width="14" style="589" customWidth="1"/>
    <col min="10496" max="10497" width="4.125" style="589" customWidth="1"/>
    <col min="10498" max="10498" width="6.625" style="589" customWidth="1"/>
    <col min="10499" max="10499" width="14" style="589" customWidth="1"/>
    <col min="10500" max="10500" width="18.125" style="589" customWidth="1"/>
    <col min="10501" max="10501" width="23" style="589" customWidth="1"/>
    <col min="10502" max="10502" width="9.625" style="589" customWidth="1"/>
    <col min="10503" max="10503" width="20.125" style="589" customWidth="1"/>
    <col min="10504" max="10505" width="18.375" style="589" customWidth="1"/>
    <col min="10506" max="10506" width="14.125" style="589" bestFit="1" customWidth="1"/>
    <col min="10507" max="10507" width="11.125" style="589" bestFit="1" customWidth="1"/>
    <col min="10508" max="10744" width="9" style="589"/>
    <col min="10745" max="10746" width="5" style="589" customWidth="1"/>
    <col min="10747" max="10747" width="27.375" style="589" customWidth="1"/>
    <col min="10748" max="10751" width="14" style="589" customWidth="1"/>
    <col min="10752" max="10753" width="4.125" style="589" customWidth="1"/>
    <col min="10754" max="10754" width="6.625" style="589" customWidth="1"/>
    <col min="10755" max="10755" width="14" style="589" customWidth="1"/>
    <col min="10756" max="10756" width="18.125" style="589" customWidth="1"/>
    <col min="10757" max="10757" width="23" style="589" customWidth="1"/>
    <col min="10758" max="10758" width="9.625" style="589" customWidth="1"/>
    <col min="10759" max="10759" width="20.125" style="589" customWidth="1"/>
    <col min="10760" max="10761" width="18.375" style="589" customWidth="1"/>
    <col min="10762" max="10762" width="14.125" style="589" bestFit="1" customWidth="1"/>
    <col min="10763" max="10763" width="11.125" style="589" bestFit="1" customWidth="1"/>
    <col min="10764" max="11000" width="9" style="589"/>
    <col min="11001" max="11002" width="5" style="589" customWidth="1"/>
    <col min="11003" max="11003" width="27.375" style="589" customWidth="1"/>
    <col min="11004" max="11007" width="14" style="589" customWidth="1"/>
    <col min="11008" max="11009" width="4.125" style="589" customWidth="1"/>
    <col min="11010" max="11010" width="6.625" style="589" customWidth="1"/>
    <col min="11011" max="11011" width="14" style="589" customWidth="1"/>
    <col min="11012" max="11012" width="18.125" style="589" customWidth="1"/>
    <col min="11013" max="11013" width="23" style="589" customWidth="1"/>
    <col min="11014" max="11014" width="9.625" style="589" customWidth="1"/>
    <col min="11015" max="11015" width="20.125" style="589" customWidth="1"/>
    <col min="11016" max="11017" width="18.375" style="589" customWidth="1"/>
    <col min="11018" max="11018" width="14.125" style="589" bestFit="1" customWidth="1"/>
    <col min="11019" max="11019" width="11.125" style="589" bestFit="1" customWidth="1"/>
    <col min="11020" max="11256" width="9" style="589"/>
    <col min="11257" max="11258" width="5" style="589" customWidth="1"/>
    <col min="11259" max="11259" width="27.375" style="589" customWidth="1"/>
    <col min="11260" max="11263" width="14" style="589" customWidth="1"/>
    <col min="11264" max="11265" width="4.125" style="589" customWidth="1"/>
    <col min="11266" max="11266" width="6.625" style="589" customWidth="1"/>
    <col min="11267" max="11267" width="14" style="589" customWidth="1"/>
    <col min="11268" max="11268" width="18.125" style="589" customWidth="1"/>
    <col min="11269" max="11269" width="23" style="589" customWidth="1"/>
    <col min="11270" max="11270" width="9.625" style="589" customWidth="1"/>
    <col min="11271" max="11271" width="20.125" style="589" customWidth="1"/>
    <col min="11272" max="11273" width="18.375" style="589" customWidth="1"/>
    <col min="11274" max="11274" width="14.125" style="589" bestFit="1" customWidth="1"/>
    <col min="11275" max="11275" width="11.125" style="589" bestFit="1" customWidth="1"/>
    <col min="11276" max="11512" width="9" style="589"/>
    <col min="11513" max="11514" width="5" style="589" customWidth="1"/>
    <col min="11515" max="11515" width="27.375" style="589" customWidth="1"/>
    <col min="11516" max="11519" width="14" style="589" customWidth="1"/>
    <col min="11520" max="11521" width="4.125" style="589" customWidth="1"/>
    <col min="11522" max="11522" width="6.625" style="589" customWidth="1"/>
    <col min="11523" max="11523" width="14" style="589" customWidth="1"/>
    <col min="11524" max="11524" width="18.125" style="589" customWidth="1"/>
    <col min="11525" max="11525" width="23" style="589" customWidth="1"/>
    <col min="11526" max="11526" width="9.625" style="589" customWidth="1"/>
    <col min="11527" max="11527" width="20.125" style="589" customWidth="1"/>
    <col min="11528" max="11529" width="18.375" style="589" customWidth="1"/>
    <col min="11530" max="11530" width="14.125" style="589" bestFit="1" customWidth="1"/>
    <col min="11531" max="11531" width="11.125" style="589" bestFit="1" customWidth="1"/>
    <col min="11532" max="11768" width="9" style="589"/>
    <col min="11769" max="11770" width="5" style="589" customWidth="1"/>
    <col min="11771" max="11771" width="27.375" style="589" customWidth="1"/>
    <col min="11772" max="11775" width="14" style="589" customWidth="1"/>
    <col min="11776" max="11777" width="4.125" style="589" customWidth="1"/>
    <col min="11778" max="11778" width="6.625" style="589" customWidth="1"/>
    <col min="11779" max="11779" width="14" style="589" customWidth="1"/>
    <col min="11780" max="11780" width="18.125" style="589" customWidth="1"/>
    <col min="11781" max="11781" width="23" style="589" customWidth="1"/>
    <col min="11782" max="11782" width="9.625" style="589" customWidth="1"/>
    <col min="11783" max="11783" width="20.125" style="589" customWidth="1"/>
    <col min="11784" max="11785" width="18.375" style="589" customWidth="1"/>
    <col min="11786" max="11786" width="14.125" style="589" bestFit="1" customWidth="1"/>
    <col min="11787" max="11787" width="11.125" style="589" bestFit="1" customWidth="1"/>
    <col min="11788" max="12024" width="9" style="589"/>
    <col min="12025" max="12026" width="5" style="589" customWidth="1"/>
    <col min="12027" max="12027" width="27.375" style="589" customWidth="1"/>
    <col min="12028" max="12031" width="14" style="589" customWidth="1"/>
    <col min="12032" max="12033" width="4.125" style="589" customWidth="1"/>
    <col min="12034" max="12034" width="6.625" style="589" customWidth="1"/>
    <col min="12035" max="12035" width="14" style="589" customWidth="1"/>
    <col min="12036" max="12036" width="18.125" style="589" customWidth="1"/>
    <col min="12037" max="12037" width="23" style="589" customWidth="1"/>
    <col min="12038" max="12038" width="9.625" style="589" customWidth="1"/>
    <col min="12039" max="12039" width="20.125" style="589" customWidth="1"/>
    <col min="12040" max="12041" width="18.375" style="589" customWidth="1"/>
    <col min="12042" max="12042" width="14.125" style="589" bestFit="1" customWidth="1"/>
    <col min="12043" max="12043" width="11.125" style="589" bestFit="1" customWidth="1"/>
    <col min="12044" max="12280" width="9" style="589"/>
    <col min="12281" max="12282" width="5" style="589" customWidth="1"/>
    <col min="12283" max="12283" width="27.375" style="589" customWidth="1"/>
    <col min="12284" max="12287" width="14" style="589" customWidth="1"/>
    <col min="12288" max="12289" width="4.125" style="589" customWidth="1"/>
    <col min="12290" max="12290" width="6.625" style="589" customWidth="1"/>
    <col min="12291" max="12291" width="14" style="589" customWidth="1"/>
    <col min="12292" max="12292" width="18.125" style="589" customWidth="1"/>
    <col min="12293" max="12293" width="23" style="589" customWidth="1"/>
    <col min="12294" max="12294" width="9.625" style="589" customWidth="1"/>
    <col min="12295" max="12295" width="20.125" style="589" customWidth="1"/>
    <col min="12296" max="12297" width="18.375" style="589" customWidth="1"/>
    <col min="12298" max="12298" width="14.125" style="589" bestFit="1" customWidth="1"/>
    <col min="12299" max="12299" width="11.125" style="589" bestFit="1" customWidth="1"/>
    <col min="12300" max="12536" width="9" style="589"/>
    <col min="12537" max="12538" width="5" style="589" customWidth="1"/>
    <col min="12539" max="12539" width="27.375" style="589" customWidth="1"/>
    <col min="12540" max="12543" width="14" style="589" customWidth="1"/>
    <col min="12544" max="12545" width="4.125" style="589" customWidth="1"/>
    <col min="12546" max="12546" width="6.625" style="589" customWidth="1"/>
    <col min="12547" max="12547" width="14" style="589" customWidth="1"/>
    <col min="12548" max="12548" width="18.125" style="589" customWidth="1"/>
    <col min="12549" max="12549" width="23" style="589" customWidth="1"/>
    <col min="12550" max="12550" width="9.625" style="589" customWidth="1"/>
    <col min="12551" max="12551" width="20.125" style="589" customWidth="1"/>
    <col min="12552" max="12553" width="18.375" style="589" customWidth="1"/>
    <col min="12554" max="12554" width="14.125" style="589" bestFit="1" customWidth="1"/>
    <col min="12555" max="12555" width="11.125" style="589" bestFit="1" customWidth="1"/>
    <col min="12556" max="12792" width="9" style="589"/>
    <col min="12793" max="12794" width="5" style="589" customWidth="1"/>
    <col min="12795" max="12795" width="27.375" style="589" customWidth="1"/>
    <col min="12796" max="12799" width="14" style="589" customWidth="1"/>
    <col min="12800" max="12801" width="4.125" style="589" customWidth="1"/>
    <col min="12802" max="12802" width="6.625" style="589" customWidth="1"/>
    <col min="12803" max="12803" width="14" style="589" customWidth="1"/>
    <col min="12804" max="12804" width="18.125" style="589" customWidth="1"/>
    <col min="12805" max="12805" width="23" style="589" customWidth="1"/>
    <col min="12806" max="12806" width="9.625" style="589" customWidth="1"/>
    <col min="12807" max="12807" width="20.125" style="589" customWidth="1"/>
    <col min="12808" max="12809" width="18.375" style="589" customWidth="1"/>
    <col min="12810" max="12810" width="14.125" style="589" bestFit="1" customWidth="1"/>
    <col min="12811" max="12811" width="11.125" style="589" bestFit="1" customWidth="1"/>
    <col min="12812" max="13048" width="9" style="589"/>
    <col min="13049" max="13050" width="5" style="589" customWidth="1"/>
    <col min="13051" max="13051" width="27.375" style="589" customWidth="1"/>
    <col min="13052" max="13055" width="14" style="589" customWidth="1"/>
    <col min="13056" max="13057" width="4.125" style="589" customWidth="1"/>
    <col min="13058" max="13058" width="6.625" style="589" customWidth="1"/>
    <col min="13059" max="13059" width="14" style="589" customWidth="1"/>
    <col min="13060" max="13060" width="18.125" style="589" customWidth="1"/>
    <col min="13061" max="13061" width="23" style="589" customWidth="1"/>
    <col min="13062" max="13062" width="9.625" style="589" customWidth="1"/>
    <col min="13063" max="13063" width="20.125" style="589" customWidth="1"/>
    <col min="13064" max="13065" width="18.375" style="589" customWidth="1"/>
    <col min="13066" max="13066" width="14.125" style="589" bestFit="1" customWidth="1"/>
    <col min="13067" max="13067" width="11.125" style="589" bestFit="1" customWidth="1"/>
    <col min="13068" max="13304" width="9" style="589"/>
    <col min="13305" max="13306" width="5" style="589" customWidth="1"/>
    <col min="13307" max="13307" width="27.375" style="589" customWidth="1"/>
    <col min="13308" max="13311" width="14" style="589" customWidth="1"/>
    <col min="13312" max="13313" width="4.125" style="589" customWidth="1"/>
    <col min="13314" max="13314" width="6.625" style="589" customWidth="1"/>
    <col min="13315" max="13315" width="14" style="589" customWidth="1"/>
    <col min="13316" max="13316" width="18.125" style="589" customWidth="1"/>
    <col min="13317" max="13317" width="23" style="589" customWidth="1"/>
    <col min="13318" max="13318" width="9.625" style="589" customWidth="1"/>
    <col min="13319" max="13319" width="20.125" style="589" customWidth="1"/>
    <col min="13320" max="13321" width="18.375" style="589" customWidth="1"/>
    <col min="13322" max="13322" width="14.125" style="589" bestFit="1" customWidth="1"/>
    <col min="13323" max="13323" width="11.125" style="589" bestFit="1" customWidth="1"/>
    <col min="13324" max="13560" width="9" style="589"/>
    <col min="13561" max="13562" width="5" style="589" customWidth="1"/>
    <col min="13563" max="13563" width="27.375" style="589" customWidth="1"/>
    <col min="13564" max="13567" width="14" style="589" customWidth="1"/>
    <col min="13568" max="13569" width="4.125" style="589" customWidth="1"/>
    <col min="13570" max="13570" width="6.625" style="589" customWidth="1"/>
    <col min="13571" max="13571" width="14" style="589" customWidth="1"/>
    <col min="13572" max="13572" width="18.125" style="589" customWidth="1"/>
    <col min="13573" max="13573" width="23" style="589" customWidth="1"/>
    <col min="13574" max="13574" width="9.625" style="589" customWidth="1"/>
    <col min="13575" max="13575" width="20.125" style="589" customWidth="1"/>
    <col min="13576" max="13577" width="18.375" style="589" customWidth="1"/>
    <col min="13578" max="13578" width="14.125" style="589" bestFit="1" customWidth="1"/>
    <col min="13579" max="13579" width="11.125" style="589" bestFit="1" customWidth="1"/>
    <col min="13580" max="13816" width="9" style="589"/>
    <col min="13817" max="13818" width="5" style="589" customWidth="1"/>
    <col min="13819" max="13819" width="27.375" style="589" customWidth="1"/>
    <col min="13820" max="13823" width="14" style="589" customWidth="1"/>
    <col min="13824" max="13825" width="4.125" style="589" customWidth="1"/>
    <col min="13826" max="13826" width="6.625" style="589" customWidth="1"/>
    <col min="13827" max="13827" width="14" style="589" customWidth="1"/>
    <col min="13828" max="13828" width="18.125" style="589" customWidth="1"/>
    <col min="13829" max="13829" width="23" style="589" customWidth="1"/>
    <col min="13830" max="13830" width="9.625" style="589" customWidth="1"/>
    <col min="13831" max="13831" width="20.125" style="589" customWidth="1"/>
    <col min="13832" max="13833" width="18.375" style="589" customWidth="1"/>
    <col min="13834" max="13834" width="14.125" style="589" bestFit="1" customWidth="1"/>
    <col min="13835" max="13835" width="11.125" style="589" bestFit="1" customWidth="1"/>
    <col min="13836" max="14072" width="9" style="589"/>
    <col min="14073" max="14074" width="5" style="589" customWidth="1"/>
    <col min="14075" max="14075" width="27.375" style="589" customWidth="1"/>
    <col min="14076" max="14079" width="14" style="589" customWidth="1"/>
    <col min="14080" max="14081" width="4.125" style="589" customWidth="1"/>
    <col min="14082" max="14082" width="6.625" style="589" customWidth="1"/>
    <col min="14083" max="14083" width="14" style="589" customWidth="1"/>
    <col min="14084" max="14084" width="18.125" style="589" customWidth="1"/>
    <col min="14085" max="14085" width="23" style="589" customWidth="1"/>
    <col min="14086" max="14086" width="9.625" style="589" customWidth="1"/>
    <col min="14087" max="14087" width="20.125" style="589" customWidth="1"/>
    <col min="14088" max="14089" width="18.375" style="589" customWidth="1"/>
    <col min="14090" max="14090" width="14.125" style="589" bestFit="1" customWidth="1"/>
    <col min="14091" max="14091" width="11.125" style="589" bestFit="1" customWidth="1"/>
    <col min="14092" max="14328" width="9" style="589"/>
    <col min="14329" max="14330" width="5" style="589" customWidth="1"/>
    <col min="14331" max="14331" width="27.375" style="589" customWidth="1"/>
    <col min="14332" max="14335" width="14" style="589" customWidth="1"/>
    <col min="14336" max="14337" width="4.125" style="589" customWidth="1"/>
    <col min="14338" max="14338" width="6.625" style="589" customWidth="1"/>
    <col min="14339" max="14339" width="14" style="589" customWidth="1"/>
    <col min="14340" max="14340" width="18.125" style="589" customWidth="1"/>
    <col min="14341" max="14341" width="23" style="589" customWidth="1"/>
    <col min="14342" max="14342" width="9.625" style="589" customWidth="1"/>
    <col min="14343" max="14343" width="20.125" style="589" customWidth="1"/>
    <col min="14344" max="14345" width="18.375" style="589" customWidth="1"/>
    <col min="14346" max="14346" width="14.125" style="589" bestFit="1" customWidth="1"/>
    <col min="14347" max="14347" width="11.125" style="589" bestFit="1" customWidth="1"/>
    <col min="14348" max="14584" width="9" style="589"/>
    <col min="14585" max="14586" width="5" style="589" customWidth="1"/>
    <col min="14587" max="14587" width="27.375" style="589" customWidth="1"/>
    <col min="14588" max="14591" width="14" style="589" customWidth="1"/>
    <col min="14592" max="14593" width="4.125" style="589" customWidth="1"/>
    <col min="14594" max="14594" width="6.625" style="589" customWidth="1"/>
    <col min="14595" max="14595" width="14" style="589" customWidth="1"/>
    <col min="14596" max="14596" width="18.125" style="589" customWidth="1"/>
    <col min="14597" max="14597" width="23" style="589" customWidth="1"/>
    <col min="14598" max="14598" width="9.625" style="589" customWidth="1"/>
    <col min="14599" max="14599" width="20.125" style="589" customWidth="1"/>
    <col min="14600" max="14601" width="18.375" style="589" customWidth="1"/>
    <col min="14602" max="14602" width="14.125" style="589" bestFit="1" customWidth="1"/>
    <col min="14603" max="14603" width="11.125" style="589" bestFit="1" customWidth="1"/>
    <col min="14604" max="14840" width="9" style="589"/>
    <col min="14841" max="14842" width="5" style="589" customWidth="1"/>
    <col min="14843" max="14843" width="27.375" style="589" customWidth="1"/>
    <col min="14844" max="14847" width="14" style="589" customWidth="1"/>
    <col min="14848" max="14849" width="4.125" style="589" customWidth="1"/>
    <col min="14850" max="14850" width="6.625" style="589" customWidth="1"/>
    <col min="14851" max="14851" width="14" style="589" customWidth="1"/>
    <col min="14852" max="14852" width="18.125" style="589" customWidth="1"/>
    <col min="14853" max="14853" width="23" style="589" customWidth="1"/>
    <col min="14854" max="14854" width="9.625" style="589" customWidth="1"/>
    <col min="14855" max="14855" width="20.125" style="589" customWidth="1"/>
    <col min="14856" max="14857" width="18.375" style="589" customWidth="1"/>
    <col min="14858" max="14858" width="14.125" style="589" bestFit="1" customWidth="1"/>
    <col min="14859" max="14859" width="11.125" style="589" bestFit="1" customWidth="1"/>
    <col min="14860" max="15096" width="9" style="589"/>
    <col min="15097" max="15098" width="5" style="589" customWidth="1"/>
    <col min="15099" max="15099" width="27.375" style="589" customWidth="1"/>
    <col min="15100" max="15103" width="14" style="589" customWidth="1"/>
    <col min="15104" max="15105" width="4.125" style="589" customWidth="1"/>
    <col min="15106" max="15106" width="6.625" style="589" customWidth="1"/>
    <col min="15107" max="15107" width="14" style="589" customWidth="1"/>
    <col min="15108" max="15108" width="18.125" style="589" customWidth="1"/>
    <col min="15109" max="15109" width="23" style="589" customWidth="1"/>
    <col min="15110" max="15110" width="9.625" style="589" customWidth="1"/>
    <col min="15111" max="15111" width="20.125" style="589" customWidth="1"/>
    <col min="15112" max="15113" width="18.375" style="589" customWidth="1"/>
    <col min="15114" max="15114" width="14.125" style="589" bestFit="1" customWidth="1"/>
    <col min="15115" max="15115" width="11.125" style="589" bestFit="1" customWidth="1"/>
    <col min="15116" max="15352" width="9" style="589"/>
    <col min="15353" max="15354" width="5" style="589" customWidth="1"/>
    <col min="15355" max="15355" width="27.375" style="589" customWidth="1"/>
    <col min="15356" max="15359" width="14" style="589" customWidth="1"/>
    <col min="15360" max="15361" width="4.125" style="589" customWidth="1"/>
    <col min="15362" max="15362" width="6.625" style="589" customWidth="1"/>
    <col min="15363" max="15363" width="14" style="589" customWidth="1"/>
    <col min="15364" max="15364" width="18.125" style="589" customWidth="1"/>
    <col min="15365" max="15365" width="23" style="589" customWidth="1"/>
    <col min="15366" max="15366" width="9.625" style="589" customWidth="1"/>
    <col min="15367" max="15367" width="20.125" style="589" customWidth="1"/>
    <col min="15368" max="15369" width="18.375" style="589" customWidth="1"/>
    <col min="15370" max="15370" width="14.125" style="589" bestFit="1" customWidth="1"/>
    <col min="15371" max="15371" width="11.125" style="589" bestFit="1" customWidth="1"/>
    <col min="15372" max="15608" width="9" style="589"/>
    <col min="15609" max="15610" width="5" style="589" customWidth="1"/>
    <col min="15611" max="15611" width="27.375" style="589" customWidth="1"/>
    <col min="15612" max="15615" width="14" style="589" customWidth="1"/>
    <col min="15616" max="15617" width="4.125" style="589" customWidth="1"/>
    <col min="15618" max="15618" width="6.625" style="589" customWidth="1"/>
    <col min="15619" max="15619" width="14" style="589" customWidth="1"/>
    <col min="15620" max="15620" width="18.125" style="589" customWidth="1"/>
    <col min="15621" max="15621" width="23" style="589" customWidth="1"/>
    <col min="15622" max="15622" width="9.625" style="589" customWidth="1"/>
    <col min="15623" max="15623" width="20.125" style="589" customWidth="1"/>
    <col min="15624" max="15625" width="18.375" style="589" customWidth="1"/>
    <col min="15626" max="15626" width="14.125" style="589" bestFit="1" customWidth="1"/>
    <col min="15627" max="15627" width="11.125" style="589" bestFit="1" customWidth="1"/>
    <col min="15628" max="15864" width="9" style="589"/>
    <col min="15865" max="15866" width="5" style="589" customWidth="1"/>
    <col min="15867" max="15867" width="27.375" style="589" customWidth="1"/>
    <col min="15868" max="15871" width="14" style="589" customWidth="1"/>
    <col min="15872" max="15873" width="4.125" style="589" customWidth="1"/>
    <col min="15874" max="15874" width="6.625" style="589" customWidth="1"/>
    <col min="15875" max="15875" width="14" style="589" customWidth="1"/>
    <col min="15876" max="15876" width="18.125" style="589" customWidth="1"/>
    <col min="15877" max="15877" width="23" style="589" customWidth="1"/>
    <col min="15878" max="15878" width="9.625" style="589" customWidth="1"/>
    <col min="15879" max="15879" width="20.125" style="589" customWidth="1"/>
    <col min="15880" max="15881" width="18.375" style="589" customWidth="1"/>
    <col min="15882" max="15882" width="14.125" style="589" bestFit="1" customWidth="1"/>
    <col min="15883" max="15883" width="11.125" style="589" bestFit="1" customWidth="1"/>
    <col min="15884" max="16120" width="9" style="589"/>
    <col min="16121" max="16122" width="5" style="589" customWidth="1"/>
    <col min="16123" max="16123" width="27.375" style="589" customWidth="1"/>
    <col min="16124" max="16127" width="14" style="589" customWidth="1"/>
    <col min="16128" max="16129" width="4.125" style="589" customWidth="1"/>
    <col min="16130" max="16130" width="6.625" style="589" customWidth="1"/>
    <col min="16131" max="16131" width="14" style="589" customWidth="1"/>
    <col min="16132" max="16132" width="18.125" style="589" customWidth="1"/>
    <col min="16133" max="16133" width="23" style="589" customWidth="1"/>
    <col min="16134" max="16134" width="9.625" style="589" customWidth="1"/>
    <col min="16135" max="16135" width="20.125" style="589" customWidth="1"/>
    <col min="16136" max="16137" width="18.375" style="589" customWidth="1"/>
    <col min="16138" max="16138" width="14.125" style="589" bestFit="1" customWidth="1"/>
    <col min="16139" max="16139" width="11.125" style="589" bestFit="1" customWidth="1"/>
    <col min="16140" max="16384" width="9" style="589"/>
  </cols>
  <sheetData>
    <row r="1" spans="1:24">
      <c r="A1" s="589" t="s">
        <v>829</v>
      </c>
    </row>
    <row r="2" spans="1:24">
      <c r="D2" s="596"/>
      <c r="E2" s="596"/>
      <c r="F2" s="596"/>
      <c r="H2" s="596"/>
    </row>
    <row r="3" spans="1:24" s="604" customFormat="1" ht="17.25" thickBot="1">
      <c r="B3" s="1986" t="s">
        <v>1035</v>
      </c>
      <c r="C3" s="1986"/>
      <c r="D3" s="590" t="s">
        <v>1036</v>
      </c>
      <c r="E3" s="1984" t="s">
        <v>1037</v>
      </c>
      <c r="F3" s="1985"/>
      <c r="G3" s="618" t="str">
        <f>D3</f>
        <v>HK $</v>
      </c>
      <c r="H3" s="1135">
        <f>HK_BS!H3</f>
        <v>46203</v>
      </c>
      <c r="I3" s="1984" t="s">
        <v>1037</v>
      </c>
      <c r="J3" s="1985"/>
      <c r="K3" s="1134">
        <f>H3</f>
        <v>46203</v>
      </c>
      <c r="L3" s="1986" t="s">
        <v>1038</v>
      </c>
      <c r="M3" s="1986"/>
      <c r="N3" s="590"/>
    </row>
    <row r="4" spans="1:24" s="592" customFormat="1" ht="30.6" customHeight="1">
      <c r="A4" s="646" t="s">
        <v>486</v>
      </c>
      <c r="B4" s="619" t="s">
        <v>1039</v>
      </c>
      <c r="C4" s="619" t="s">
        <v>1040</v>
      </c>
      <c r="D4" s="591"/>
      <c r="E4" s="1010" t="s">
        <v>230</v>
      </c>
      <c r="F4" s="1010" t="s">
        <v>232</v>
      </c>
      <c r="G4" s="1031">
        <f>환율!C6</f>
        <v>189.66</v>
      </c>
      <c r="H4" s="590" t="s">
        <v>573</v>
      </c>
      <c r="I4" s="1010" t="s">
        <v>230</v>
      </c>
      <c r="J4" s="1010" t="s">
        <v>232</v>
      </c>
      <c r="K4" s="620" t="s">
        <v>234</v>
      </c>
      <c r="L4" s="619" t="s">
        <v>1039</v>
      </c>
      <c r="M4" s="594" t="s">
        <v>1042</v>
      </c>
      <c r="N4" s="594" t="s">
        <v>1040</v>
      </c>
      <c r="P4" s="1007"/>
    </row>
    <row r="5" spans="1:24">
      <c r="A5" s="647"/>
      <c r="B5" s="621" t="s">
        <v>1319</v>
      </c>
      <c r="C5" s="621" t="s">
        <v>1248</v>
      </c>
      <c r="D5" s="608">
        <f t="shared" ref="D5" si="0">D6+D9</f>
        <v>4258292.0299999993</v>
      </c>
      <c r="E5" s="608"/>
      <c r="F5" s="608"/>
      <c r="G5" s="1032">
        <f>SUM(G6,G9)</f>
        <v>4258292.0299999993</v>
      </c>
      <c r="H5" s="975">
        <f>H6+H9</f>
        <v>807627666</v>
      </c>
      <c r="I5" s="975"/>
      <c r="J5" s="975"/>
      <c r="K5" s="978">
        <f>SUM(K6,K9)</f>
        <v>807627666</v>
      </c>
      <c r="L5" s="622" t="str">
        <f t="shared" ref="L5:L14" si="1">B5</f>
        <v>*</v>
      </c>
      <c r="M5" s="607"/>
      <c r="N5" s="607"/>
    </row>
    <row r="6" spans="1:24">
      <c r="A6" s="647"/>
      <c r="B6" s="595" t="s">
        <v>1257</v>
      </c>
      <c r="C6" s="595" t="s">
        <v>1320</v>
      </c>
      <c r="D6" s="611">
        <f t="shared" ref="D6" si="2">SUM(D7:D8)</f>
        <v>0</v>
      </c>
      <c r="E6" s="611"/>
      <c r="F6" s="611"/>
      <c r="G6" s="983">
        <f>SUM(G7:G8)</f>
        <v>0</v>
      </c>
      <c r="H6" s="976">
        <f>SUM(H7:H8)</f>
        <v>0</v>
      </c>
      <c r="I6" s="976"/>
      <c r="J6" s="976"/>
      <c r="K6" s="987">
        <f>SUM(K7:K8)</f>
        <v>0</v>
      </c>
      <c r="L6" s="623" t="str">
        <f t="shared" si="1"/>
        <v>**</v>
      </c>
      <c r="M6" s="610"/>
      <c r="N6" s="610"/>
      <c r="Q6" s="556"/>
      <c r="R6" s="556"/>
      <c r="U6" s="556"/>
      <c r="W6" s="556"/>
    </row>
    <row r="7" spans="1:24">
      <c r="A7" s="647" t="s">
        <v>717</v>
      </c>
      <c r="B7" s="595" t="s">
        <v>1125</v>
      </c>
      <c r="C7" s="595" t="s">
        <v>1321</v>
      </c>
      <c r="D7" s="613"/>
      <c r="E7" s="613"/>
      <c r="F7" s="613"/>
      <c r="G7" s="1033">
        <f t="shared" ref="G7:G8" si="3">D7-E7+F7</f>
        <v>0</v>
      </c>
      <c r="H7" s="718">
        <f t="shared" ref="H7:H8" si="4">ROUND(G7*$G$4,)</f>
        <v>0</v>
      </c>
      <c r="I7" s="718"/>
      <c r="J7" s="718"/>
      <c r="K7" s="977">
        <f t="shared" ref="K7:K8" si="5">H7-I7+J7</f>
        <v>0</v>
      </c>
      <c r="L7" s="595" t="str">
        <f t="shared" si="1"/>
        <v>***</v>
      </c>
      <c r="M7" s="593" t="s">
        <v>1322</v>
      </c>
      <c r="N7" s="593" t="s">
        <v>1323</v>
      </c>
      <c r="Q7" s="556"/>
      <c r="R7" s="556"/>
      <c r="W7" s="556"/>
    </row>
    <row r="8" spans="1:24">
      <c r="A8" s="647" t="s">
        <v>717</v>
      </c>
      <c r="B8" s="595" t="s">
        <v>1125</v>
      </c>
      <c r="C8" s="595" t="s">
        <v>1250</v>
      </c>
      <c r="D8" s="613"/>
      <c r="E8" s="613"/>
      <c r="F8" s="613"/>
      <c r="G8" s="1033">
        <f t="shared" si="3"/>
        <v>0</v>
      </c>
      <c r="H8" s="718">
        <f t="shared" si="4"/>
        <v>0</v>
      </c>
      <c r="I8" s="718"/>
      <c r="J8" s="718"/>
      <c r="K8" s="977">
        <f t="shared" si="5"/>
        <v>0</v>
      </c>
      <c r="L8" s="595" t="str">
        <f t="shared" si="1"/>
        <v>***</v>
      </c>
      <c r="M8" s="593" t="s">
        <v>1322</v>
      </c>
      <c r="N8" s="593" t="s">
        <v>1324</v>
      </c>
      <c r="Q8" s="556"/>
      <c r="R8" s="556"/>
      <c r="S8" s="556"/>
      <c r="U8" s="556"/>
      <c r="W8" s="556"/>
      <c r="X8" s="556"/>
    </row>
    <row r="9" spans="1:24">
      <c r="A9" s="647"/>
      <c r="B9" s="595" t="s">
        <v>1257</v>
      </c>
      <c r="C9" s="595" t="s">
        <v>1325</v>
      </c>
      <c r="D9" s="611">
        <f t="shared" ref="D9" si="6">D10</f>
        <v>4258292.0299999993</v>
      </c>
      <c r="E9" s="611"/>
      <c r="F9" s="611"/>
      <c r="G9" s="983">
        <f>G10</f>
        <v>4258292.0299999993</v>
      </c>
      <c r="H9" s="976">
        <f>H10</f>
        <v>807627666</v>
      </c>
      <c r="I9" s="976"/>
      <c r="J9" s="976"/>
      <c r="K9" s="987">
        <f>K10</f>
        <v>807627666</v>
      </c>
      <c r="L9" s="623" t="str">
        <f t="shared" si="1"/>
        <v>**</v>
      </c>
      <c r="M9" s="610"/>
      <c r="N9" s="610"/>
      <c r="Q9" s="556"/>
      <c r="R9" s="556"/>
      <c r="U9" s="556"/>
    </row>
    <row r="10" spans="1:24">
      <c r="A10" s="647" t="s">
        <v>716</v>
      </c>
      <c r="B10" s="595" t="s">
        <v>1125</v>
      </c>
      <c r="C10" s="595" t="s">
        <v>1249</v>
      </c>
      <c r="D10" s="613">
        <v>4258292.0299999993</v>
      </c>
      <c r="E10" s="613"/>
      <c r="F10" s="613"/>
      <c r="G10" s="1033">
        <f>D10-E10+F10</f>
        <v>4258292.0299999993</v>
      </c>
      <c r="H10" s="718">
        <f>ROUND(G10*$G$4,)</f>
        <v>807627666</v>
      </c>
      <c r="I10" s="718"/>
      <c r="J10" s="718"/>
      <c r="K10" s="977">
        <f>H10-I10+J10</f>
        <v>807627666</v>
      </c>
      <c r="L10" s="595" t="str">
        <f t="shared" si="1"/>
        <v>***</v>
      </c>
      <c r="M10" s="593" t="s">
        <v>1322</v>
      </c>
      <c r="N10" s="593" t="s">
        <v>1326</v>
      </c>
      <c r="Q10" s="556"/>
      <c r="R10" s="556"/>
      <c r="U10" s="556"/>
    </row>
    <row r="11" spans="1:24">
      <c r="A11" s="647"/>
      <c r="B11" s="621" t="s">
        <v>1319</v>
      </c>
      <c r="C11" s="621" t="s">
        <v>1251</v>
      </c>
      <c r="D11" s="608">
        <f t="shared" ref="D11" si="7">D12+D18</f>
        <v>2033926.3499999999</v>
      </c>
      <c r="E11" s="608"/>
      <c r="F11" s="608"/>
      <c r="G11" s="1034">
        <f>G12+G18</f>
        <v>2033926.3499999999</v>
      </c>
      <c r="H11" s="975">
        <f>H12+H18</f>
        <v>378103308</v>
      </c>
      <c r="I11" s="975"/>
      <c r="J11" s="975"/>
      <c r="K11" s="975">
        <f>K12+K18</f>
        <v>378103308</v>
      </c>
      <c r="L11" s="622" t="str">
        <f t="shared" si="1"/>
        <v>*</v>
      </c>
      <c r="M11" s="607"/>
      <c r="N11" s="607"/>
      <c r="Q11" s="556"/>
      <c r="R11" s="556"/>
    </row>
    <row r="12" spans="1:24">
      <c r="A12" s="647"/>
      <c r="B12" s="595" t="s">
        <v>1257</v>
      </c>
      <c r="C12" s="595" t="s">
        <v>1327</v>
      </c>
      <c r="D12" s="611">
        <v>0</v>
      </c>
      <c r="E12" s="611"/>
      <c r="F12" s="611"/>
      <c r="G12" s="1035">
        <f>G13+G14+G15-G16-G17</f>
        <v>0</v>
      </c>
      <c r="H12" s="976">
        <f>H13+H14+H15-H16-H17</f>
        <v>0</v>
      </c>
      <c r="I12" s="976"/>
      <c r="J12" s="976"/>
      <c r="K12" s="976">
        <f>K13+K14+K15-K16-K17</f>
        <v>0</v>
      </c>
      <c r="L12" s="623" t="str">
        <f t="shared" si="1"/>
        <v>**</v>
      </c>
      <c r="M12" s="610" t="s">
        <v>82</v>
      </c>
      <c r="N12" s="610"/>
      <c r="Q12" s="556"/>
      <c r="R12" s="556"/>
      <c r="U12" s="556"/>
      <c r="W12" s="556"/>
    </row>
    <row r="13" spans="1:24">
      <c r="A13" s="647" t="s">
        <v>718</v>
      </c>
      <c r="B13" s="595" t="s">
        <v>1125</v>
      </c>
      <c r="C13" s="595" t="s">
        <v>1328</v>
      </c>
      <c r="D13" s="613">
        <v>0</v>
      </c>
      <c r="E13" s="613"/>
      <c r="F13" s="613"/>
      <c r="G13" s="1033">
        <f>D13-E13+F13</f>
        <v>0</v>
      </c>
      <c r="H13" s="718">
        <f t="shared" ref="H13:H21" si="8">ROUND(G13*$G$4,)</f>
        <v>0</v>
      </c>
      <c r="I13" s="718"/>
      <c r="J13" s="718"/>
      <c r="K13" s="977">
        <f>H13-I13+J13</f>
        <v>0</v>
      </c>
      <c r="L13" s="595" t="str">
        <f t="shared" si="1"/>
        <v>***</v>
      </c>
      <c r="M13" s="593"/>
      <c r="N13" s="593" t="s">
        <v>1329</v>
      </c>
      <c r="Q13" s="556"/>
      <c r="R13" s="556"/>
      <c r="W13" s="556"/>
    </row>
    <row r="14" spans="1:24">
      <c r="A14" s="647" t="s">
        <v>1741</v>
      </c>
      <c r="B14" s="595" t="s">
        <v>1125</v>
      </c>
      <c r="C14" s="595" t="s">
        <v>1330</v>
      </c>
      <c r="D14" s="613"/>
      <c r="E14" s="613"/>
      <c r="F14" s="613"/>
      <c r="G14" s="1033">
        <f>D14-E14+F14</f>
        <v>0</v>
      </c>
      <c r="H14" s="718">
        <f t="shared" si="8"/>
        <v>0</v>
      </c>
      <c r="I14" s="718"/>
      <c r="J14" s="718"/>
      <c r="K14" s="977">
        <f>H14-I14+J14</f>
        <v>0</v>
      </c>
      <c r="L14" s="595" t="str">
        <f t="shared" si="1"/>
        <v>***</v>
      </c>
      <c r="M14" s="593"/>
      <c r="N14" s="593" t="s">
        <v>83</v>
      </c>
      <c r="Q14" s="556"/>
      <c r="R14" s="556"/>
    </row>
    <row r="15" spans="1:24">
      <c r="A15" s="647"/>
      <c r="B15" s="595"/>
      <c r="C15" s="595" t="s">
        <v>1331</v>
      </c>
      <c r="D15" s="613"/>
      <c r="E15" s="613"/>
      <c r="F15" s="613"/>
      <c r="G15" s="1033"/>
      <c r="H15" s="718">
        <f t="shared" si="8"/>
        <v>0</v>
      </c>
      <c r="I15" s="718"/>
      <c r="J15" s="718"/>
      <c r="K15" s="977"/>
      <c r="L15" s="595"/>
      <c r="M15" s="593"/>
      <c r="N15" s="593"/>
    </row>
    <row r="16" spans="1:24">
      <c r="A16" s="647"/>
      <c r="B16" s="595"/>
      <c r="C16" s="595" t="s">
        <v>1332</v>
      </c>
      <c r="D16" s="613"/>
      <c r="E16" s="613"/>
      <c r="F16" s="613"/>
      <c r="G16" s="1033"/>
      <c r="H16" s="718">
        <f t="shared" si="8"/>
        <v>0</v>
      </c>
      <c r="I16" s="718"/>
      <c r="J16" s="718"/>
      <c r="K16" s="977"/>
      <c r="L16" s="595"/>
      <c r="M16" s="593"/>
      <c r="N16" s="593"/>
    </row>
    <row r="17" spans="1:23">
      <c r="A17" s="647" t="s">
        <v>1745</v>
      </c>
      <c r="B17" s="595" t="s">
        <v>1125</v>
      </c>
      <c r="C17" s="595" t="s">
        <v>1333</v>
      </c>
      <c r="D17" s="613"/>
      <c r="E17" s="613"/>
      <c r="F17" s="613"/>
      <c r="G17" s="1033">
        <f>D17-E17+F17</f>
        <v>0</v>
      </c>
      <c r="H17" s="718">
        <f t="shared" si="8"/>
        <v>0</v>
      </c>
      <c r="I17" s="718"/>
      <c r="J17" s="718"/>
      <c r="K17" s="977">
        <f>H17-I17+J17</f>
        <v>0</v>
      </c>
      <c r="L17" s="595"/>
      <c r="M17" s="593"/>
      <c r="N17" s="593"/>
    </row>
    <row r="18" spans="1:23" ht="15" customHeight="1">
      <c r="A18" s="647"/>
      <c r="B18" s="595" t="s">
        <v>1257</v>
      </c>
      <c r="C18" s="595" t="s">
        <v>1334</v>
      </c>
      <c r="D18" s="983">
        <f t="shared" ref="D18" si="9">D19+D20-D22-D21</f>
        <v>2033926.3499999999</v>
      </c>
      <c r="E18" s="983"/>
      <c r="F18" s="983"/>
      <c r="G18" s="983">
        <f>G19+G20-G22-G21</f>
        <v>2033926.3499999999</v>
      </c>
      <c r="H18" s="987">
        <f>H19+H20-H22-H21</f>
        <v>378103308</v>
      </c>
      <c r="I18" s="987"/>
      <c r="J18" s="987"/>
      <c r="K18" s="987">
        <f>K19+K20-K22-K21</f>
        <v>378103308</v>
      </c>
      <c r="L18" s="623" t="str">
        <f>B18</f>
        <v>**</v>
      </c>
      <c r="M18" s="610" t="s">
        <v>82</v>
      </c>
      <c r="N18" s="610" t="s">
        <v>1335</v>
      </c>
    </row>
    <row r="19" spans="1:23" ht="15" customHeight="1">
      <c r="A19" s="647" t="s">
        <v>1747</v>
      </c>
      <c r="B19" s="595" t="s">
        <v>1125</v>
      </c>
      <c r="C19" s="595" t="s">
        <v>1252</v>
      </c>
      <c r="D19" s="990">
        <v>503799.81</v>
      </c>
      <c r="E19" s="613"/>
      <c r="F19" s="613"/>
      <c r="G19" s="1033">
        <f t="shared" ref="G19:G22" si="10">D19+E19-F19</f>
        <v>503799.81</v>
      </c>
      <c r="H19" s="989">
        <v>92905723</v>
      </c>
      <c r="I19" s="718"/>
      <c r="J19" s="718"/>
      <c r="K19" s="977">
        <f t="shared" ref="K19:K22" si="11">H19+I19-J19</f>
        <v>92905723</v>
      </c>
      <c r="L19" s="595" t="str">
        <f>B19</f>
        <v>***</v>
      </c>
      <c r="M19" s="593"/>
      <c r="N19" s="593"/>
      <c r="Q19" s="991"/>
      <c r="R19" s="991"/>
    </row>
    <row r="20" spans="1:23">
      <c r="A20" s="647" t="s">
        <v>1749</v>
      </c>
      <c r="B20" s="595" t="s">
        <v>1125</v>
      </c>
      <c r="C20" s="595" t="s">
        <v>1253</v>
      </c>
      <c r="D20" s="613">
        <v>2256196.7999999998</v>
      </c>
      <c r="E20" s="613"/>
      <c r="F20" s="613"/>
      <c r="G20" s="1033">
        <f t="shared" si="10"/>
        <v>2256196.7999999998</v>
      </c>
      <c r="H20" s="718">
        <f t="shared" si="8"/>
        <v>427910285</v>
      </c>
      <c r="I20" s="718"/>
      <c r="J20" s="718"/>
      <c r="K20" s="977">
        <f t="shared" si="11"/>
        <v>427910285</v>
      </c>
      <c r="L20" s="595" t="str">
        <f>B20</f>
        <v>***</v>
      </c>
      <c r="M20" s="593"/>
      <c r="N20" s="593"/>
    </row>
    <row r="21" spans="1:23">
      <c r="A21" s="984" t="s">
        <v>2543</v>
      </c>
      <c r="B21" s="985"/>
      <c r="C21" s="985" t="s">
        <v>2542</v>
      </c>
      <c r="D21" s="1006">
        <v>4713.7299999999996</v>
      </c>
      <c r="E21" s="613"/>
      <c r="F21" s="613"/>
      <c r="G21" s="1033">
        <f t="shared" si="10"/>
        <v>4713.7299999999996</v>
      </c>
      <c r="H21" s="718">
        <f t="shared" si="8"/>
        <v>894006</v>
      </c>
      <c r="I21" s="988"/>
      <c r="J21" s="988"/>
      <c r="K21" s="977">
        <f t="shared" si="11"/>
        <v>894006</v>
      </c>
      <c r="L21" s="985"/>
      <c r="M21" s="986"/>
      <c r="N21" s="986"/>
    </row>
    <row r="22" spans="1:23">
      <c r="A22" s="647" t="s">
        <v>1752</v>
      </c>
      <c r="B22" s="595" t="s">
        <v>1125</v>
      </c>
      <c r="C22" s="595" t="s">
        <v>1254</v>
      </c>
      <c r="D22" s="990">
        <f>HK_BS!D34</f>
        <v>721356.53</v>
      </c>
      <c r="E22" s="613"/>
      <c r="F22" s="613"/>
      <c r="G22" s="1033">
        <f t="shared" si="10"/>
        <v>721356.53</v>
      </c>
      <c r="H22" s="989">
        <f>ROUND(G22*HK_BS!$G$4,)</f>
        <v>141818694</v>
      </c>
      <c r="I22" s="718"/>
      <c r="J22" s="718"/>
      <c r="K22" s="977">
        <f t="shared" si="11"/>
        <v>141818694</v>
      </c>
      <c r="L22" s="595" t="str">
        <f t="shared" ref="L22:L42" si="12">B22</f>
        <v>***</v>
      </c>
      <c r="M22" s="593"/>
      <c r="N22" s="593"/>
      <c r="Q22" s="598"/>
      <c r="R22" s="991"/>
    </row>
    <row r="23" spans="1:23">
      <c r="A23" s="647"/>
      <c r="B23" s="621" t="s">
        <v>1319</v>
      </c>
      <c r="C23" s="621" t="s">
        <v>1255</v>
      </c>
      <c r="D23" s="608">
        <f t="shared" ref="D23" si="13">D5-D11</f>
        <v>2224365.6799999997</v>
      </c>
      <c r="E23" s="608"/>
      <c r="F23" s="608"/>
      <c r="G23" s="1034">
        <f>G5-G11</f>
        <v>2224365.6799999997</v>
      </c>
      <c r="H23" s="975">
        <f>H5-H11</f>
        <v>429524358</v>
      </c>
      <c r="I23" s="975"/>
      <c r="J23" s="975"/>
      <c r="K23" s="975">
        <f>K5-K11</f>
        <v>429524358</v>
      </c>
      <c r="L23" s="622" t="str">
        <f t="shared" si="12"/>
        <v>*</v>
      </c>
      <c r="M23" s="607"/>
      <c r="N23" s="607"/>
      <c r="W23" s="556"/>
    </row>
    <row r="24" spans="1:23">
      <c r="A24" s="647"/>
      <c r="B24" s="621" t="s">
        <v>1319</v>
      </c>
      <c r="C24" s="621" t="s">
        <v>1256</v>
      </c>
      <c r="D24" s="608">
        <f t="shared" ref="D24" si="14">SUM(D25:D57)</f>
        <v>2019162.18</v>
      </c>
      <c r="E24" s="608"/>
      <c r="F24" s="608"/>
      <c r="G24" s="1034">
        <f>SUM(G25:G57)</f>
        <v>2019162.18</v>
      </c>
      <c r="H24" s="975">
        <f>SUM(H25:H57)</f>
        <v>382954300</v>
      </c>
      <c r="I24" s="975"/>
      <c r="J24" s="975"/>
      <c r="K24" s="975">
        <f>SUM(K25:K57)</f>
        <v>382954300</v>
      </c>
      <c r="L24" s="622" t="str">
        <f t="shared" si="12"/>
        <v>*</v>
      </c>
      <c r="M24" s="607"/>
      <c r="N24" s="607"/>
    </row>
    <row r="25" spans="1:23">
      <c r="A25" s="647" t="s">
        <v>751</v>
      </c>
      <c r="B25" s="595" t="s">
        <v>1257</v>
      </c>
      <c r="C25" s="595" t="s">
        <v>1258</v>
      </c>
      <c r="D25" s="613">
        <f>913946.19+516500</f>
        <v>1430446.19</v>
      </c>
      <c r="E25" s="613"/>
      <c r="F25" s="613"/>
      <c r="G25" s="1033">
        <f t="shared" ref="G25:G56" si="15">D25+E25-F25</f>
        <v>1430446.19</v>
      </c>
      <c r="H25" s="718">
        <f t="shared" ref="H25:H57" si="16">ROUND(G25*$G$4,)</f>
        <v>271298424</v>
      </c>
      <c r="I25" s="718"/>
      <c r="J25" s="718"/>
      <c r="K25" s="977">
        <f t="shared" ref="K25:K56" si="17">H25+I25-J25</f>
        <v>271298424</v>
      </c>
      <c r="L25" s="595" t="str">
        <f t="shared" si="12"/>
        <v>**</v>
      </c>
      <c r="M25" s="593" t="s">
        <v>1259</v>
      </c>
      <c r="N25" s="593" t="s">
        <v>752</v>
      </c>
    </row>
    <row r="26" spans="1:23">
      <c r="A26" s="647" t="s">
        <v>753</v>
      </c>
      <c r="B26" s="595" t="s">
        <v>1257</v>
      </c>
      <c r="C26" s="595" t="s">
        <v>1260</v>
      </c>
      <c r="D26" s="613"/>
      <c r="E26" s="613"/>
      <c r="F26" s="613"/>
      <c r="G26" s="1033">
        <f t="shared" si="15"/>
        <v>0</v>
      </c>
      <c r="H26" s="718">
        <f t="shared" si="16"/>
        <v>0</v>
      </c>
      <c r="I26" s="718"/>
      <c r="J26" s="718"/>
      <c r="K26" s="977">
        <f t="shared" si="17"/>
        <v>0</v>
      </c>
      <c r="L26" s="595" t="str">
        <f t="shared" si="12"/>
        <v>**</v>
      </c>
      <c r="M26" s="593" t="s">
        <v>1259</v>
      </c>
      <c r="N26" s="593" t="s">
        <v>725</v>
      </c>
      <c r="Q26" s="598"/>
    </row>
    <row r="27" spans="1:23">
      <c r="A27" s="647" t="s">
        <v>755</v>
      </c>
      <c r="B27" s="595" t="s">
        <v>1257</v>
      </c>
      <c r="C27" s="595" t="s">
        <v>1261</v>
      </c>
      <c r="D27" s="613"/>
      <c r="E27" s="613"/>
      <c r="F27" s="613"/>
      <c r="G27" s="1033">
        <f t="shared" si="15"/>
        <v>0</v>
      </c>
      <c r="H27" s="718">
        <f t="shared" si="16"/>
        <v>0</v>
      </c>
      <c r="I27" s="718"/>
      <c r="J27" s="718"/>
      <c r="K27" s="977">
        <f t="shared" si="17"/>
        <v>0</v>
      </c>
      <c r="L27" s="595" t="str">
        <f t="shared" si="12"/>
        <v>**</v>
      </c>
      <c r="M27" s="593" t="s">
        <v>1259</v>
      </c>
      <c r="N27" s="593" t="s">
        <v>756</v>
      </c>
      <c r="Q27" s="598"/>
    </row>
    <row r="28" spans="1:23">
      <c r="A28" s="647" t="s">
        <v>754</v>
      </c>
      <c r="B28" s="595" t="s">
        <v>1257</v>
      </c>
      <c r="C28" s="595" t="s">
        <v>1262</v>
      </c>
      <c r="D28" s="613"/>
      <c r="E28" s="613"/>
      <c r="F28" s="613"/>
      <c r="G28" s="1033">
        <f t="shared" si="15"/>
        <v>0</v>
      </c>
      <c r="H28" s="718">
        <f t="shared" si="16"/>
        <v>0</v>
      </c>
      <c r="I28" s="718"/>
      <c r="J28" s="718"/>
      <c r="K28" s="977">
        <f t="shared" si="17"/>
        <v>0</v>
      </c>
      <c r="L28" s="595" t="str">
        <f t="shared" si="12"/>
        <v>**</v>
      </c>
      <c r="M28" s="593" t="s">
        <v>1259</v>
      </c>
      <c r="N28" s="593" t="s">
        <v>1263</v>
      </c>
    </row>
    <row r="29" spans="1:23">
      <c r="A29" s="647" t="s">
        <v>754</v>
      </c>
      <c r="B29" s="595" t="s">
        <v>1257</v>
      </c>
      <c r="C29" s="595" t="s">
        <v>1264</v>
      </c>
      <c r="D29" s="613"/>
      <c r="E29" s="613"/>
      <c r="F29" s="613"/>
      <c r="G29" s="1033">
        <f t="shared" si="15"/>
        <v>0</v>
      </c>
      <c r="H29" s="718">
        <f t="shared" si="16"/>
        <v>0</v>
      </c>
      <c r="I29" s="718"/>
      <c r="J29" s="718"/>
      <c r="K29" s="977">
        <f t="shared" si="17"/>
        <v>0</v>
      </c>
      <c r="L29" s="595" t="str">
        <f t="shared" si="12"/>
        <v>**</v>
      </c>
      <c r="M29" s="593" t="s">
        <v>1259</v>
      </c>
      <c r="N29" s="593" t="s">
        <v>178</v>
      </c>
    </row>
    <row r="30" spans="1:23">
      <c r="A30" s="647" t="s">
        <v>757</v>
      </c>
      <c r="B30" s="595" t="s">
        <v>1257</v>
      </c>
      <c r="C30" s="595" t="s">
        <v>1265</v>
      </c>
      <c r="D30" s="613">
        <f>34072.5+6729.96</f>
        <v>40802.46</v>
      </c>
      <c r="E30" s="613"/>
      <c r="F30" s="613"/>
      <c r="G30" s="1033">
        <f t="shared" si="15"/>
        <v>40802.46</v>
      </c>
      <c r="H30" s="718">
        <f t="shared" si="16"/>
        <v>7738595</v>
      </c>
      <c r="I30" s="718"/>
      <c r="J30" s="718"/>
      <c r="K30" s="977">
        <f t="shared" si="17"/>
        <v>7738595</v>
      </c>
      <c r="L30" s="595" t="str">
        <f t="shared" si="12"/>
        <v>**</v>
      </c>
      <c r="M30" s="593" t="s">
        <v>1259</v>
      </c>
      <c r="N30" s="593" t="s">
        <v>393</v>
      </c>
    </row>
    <row r="31" spans="1:23">
      <c r="A31" s="647" t="s">
        <v>758</v>
      </c>
      <c r="B31" s="595" t="s">
        <v>1257</v>
      </c>
      <c r="C31" s="595" t="s">
        <v>1266</v>
      </c>
      <c r="D31" s="1499">
        <f>36262.46+424.92</f>
        <v>36687.379999999997</v>
      </c>
      <c r="E31" s="613"/>
      <c r="F31" s="613"/>
      <c r="G31" s="1033">
        <f t="shared" si="15"/>
        <v>36687.379999999997</v>
      </c>
      <c r="H31" s="718">
        <f t="shared" si="16"/>
        <v>6958128</v>
      </c>
      <c r="I31" s="718"/>
      <c r="J31" s="718"/>
      <c r="K31" s="977">
        <f t="shared" si="17"/>
        <v>6958128</v>
      </c>
      <c r="L31" s="595" t="str">
        <f t="shared" si="12"/>
        <v>**</v>
      </c>
      <c r="M31" s="593" t="s">
        <v>1259</v>
      </c>
      <c r="N31" s="593" t="s">
        <v>508</v>
      </c>
    </row>
    <row r="32" spans="1:23">
      <c r="A32" s="647" t="s">
        <v>759</v>
      </c>
      <c r="B32" s="595" t="s">
        <v>1257</v>
      </c>
      <c r="C32" s="595" t="s">
        <v>1267</v>
      </c>
      <c r="D32" s="613">
        <v>51258.1</v>
      </c>
      <c r="E32" s="613"/>
      <c r="F32" s="613"/>
      <c r="G32" s="1033">
        <f t="shared" si="15"/>
        <v>51258.1</v>
      </c>
      <c r="H32" s="718">
        <f t="shared" si="16"/>
        <v>9721611</v>
      </c>
      <c r="I32" s="718"/>
      <c r="J32" s="718"/>
      <c r="K32" s="977">
        <f t="shared" si="17"/>
        <v>9721611</v>
      </c>
      <c r="L32" s="595" t="str">
        <f t="shared" si="12"/>
        <v>**</v>
      </c>
      <c r="M32" s="593" t="s">
        <v>1259</v>
      </c>
      <c r="N32" s="593" t="s">
        <v>511</v>
      </c>
    </row>
    <row r="33" spans="1:14">
      <c r="A33" s="647" t="s">
        <v>760</v>
      </c>
      <c r="B33" s="595" t="s">
        <v>1257</v>
      </c>
      <c r="C33" s="595" t="s">
        <v>1268</v>
      </c>
      <c r="D33" s="613">
        <f>16725+11628</f>
        <v>28353</v>
      </c>
      <c r="E33" s="613"/>
      <c r="F33" s="613"/>
      <c r="G33" s="1033">
        <f t="shared" si="15"/>
        <v>28353</v>
      </c>
      <c r="H33" s="718">
        <f t="shared" si="16"/>
        <v>5377430</v>
      </c>
      <c r="I33" s="718"/>
      <c r="J33" s="718"/>
      <c r="K33" s="977">
        <f t="shared" si="17"/>
        <v>5377430</v>
      </c>
      <c r="L33" s="595" t="str">
        <f t="shared" si="12"/>
        <v>**</v>
      </c>
      <c r="M33" s="593" t="s">
        <v>1259</v>
      </c>
      <c r="N33" s="593" t="s">
        <v>509</v>
      </c>
    </row>
    <row r="34" spans="1:14">
      <c r="A34" s="647" t="s">
        <v>761</v>
      </c>
      <c r="B34" s="595" t="s">
        <v>1257</v>
      </c>
      <c r="C34" s="595" t="s">
        <v>1269</v>
      </c>
      <c r="D34" s="613"/>
      <c r="E34" s="613"/>
      <c r="F34" s="613"/>
      <c r="G34" s="1033">
        <f t="shared" si="15"/>
        <v>0</v>
      </c>
      <c r="H34" s="718">
        <f t="shared" si="16"/>
        <v>0</v>
      </c>
      <c r="I34" s="718"/>
      <c r="J34" s="718"/>
      <c r="K34" s="977">
        <f t="shared" si="17"/>
        <v>0</v>
      </c>
      <c r="L34" s="595" t="str">
        <f t="shared" si="12"/>
        <v>**</v>
      </c>
      <c r="M34" s="593" t="s">
        <v>1259</v>
      </c>
      <c r="N34" s="593" t="s">
        <v>515</v>
      </c>
    </row>
    <row r="35" spans="1:14">
      <c r="A35" s="647" t="s">
        <v>762</v>
      </c>
      <c r="B35" s="595" t="s">
        <v>1257</v>
      </c>
      <c r="C35" s="595" t="s">
        <v>1270</v>
      </c>
      <c r="D35" s="613"/>
      <c r="E35" s="613"/>
      <c r="F35" s="613"/>
      <c r="G35" s="1033">
        <f t="shared" si="15"/>
        <v>0</v>
      </c>
      <c r="H35" s="718">
        <f t="shared" si="16"/>
        <v>0</v>
      </c>
      <c r="I35" s="718"/>
      <c r="J35" s="718"/>
      <c r="K35" s="977">
        <f t="shared" si="17"/>
        <v>0</v>
      </c>
      <c r="L35" s="595" t="str">
        <f t="shared" si="12"/>
        <v>**</v>
      </c>
      <c r="M35" s="593" t="s">
        <v>1259</v>
      </c>
      <c r="N35" s="593" t="s">
        <v>395</v>
      </c>
    </row>
    <row r="36" spans="1:14">
      <c r="A36" s="647" t="s">
        <v>763</v>
      </c>
      <c r="B36" s="595" t="s">
        <v>1257</v>
      </c>
      <c r="C36" s="595" t="s">
        <v>1271</v>
      </c>
      <c r="D36" s="613">
        <v>22020.05</v>
      </c>
      <c r="E36" s="613">
        <v>0</v>
      </c>
      <c r="F36" s="613"/>
      <c r="G36" s="1033">
        <f t="shared" si="15"/>
        <v>22020.05</v>
      </c>
      <c r="H36" s="718">
        <f t="shared" si="16"/>
        <v>4176323</v>
      </c>
      <c r="I36" s="718"/>
      <c r="J36" s="718"/>
      <c r="K36" s="977">
        <f t="shared" si="17"/>
        <v>4176323</v>
      </c>
      <c r="L36" s="595" t="str">
        <f t="shared" si="12"/>
        <v>**</v>
      </c>
      <c r="M36" s="593" t="s">
        <v>85</v>
      </c>
      <c r="N36" s="593" t="s">
        <v>1272</v>
      </c>
    </row>
    <row r="37" spans="1:14">
      <c r="A37" s="647" t="s">
        <v>764</v>
      </c>
      <c r="B37" s="595" t="s">
        <v>1257</v>
      </c>
      <c r="C37" s="595" t="s">
        <v>1273</v>
      </c>
      <c r="D37" s="613">
        <v>153775</v>
      </c>
      <c r="E37" s="613"/>
      <c r="F37" s="613">
        <v>0</v>
      </c>
      <c r="G37" s="1033">
        <f t="shared" si="15"/>
        <v>153775</v>
      </c>
      <c r="H37" s="718">
        <f t="shared" si="16"/>
        <v>29164967</v>
      </c>
      <c r="I37" s="718"/>
      <c r="J37" s="718"/>
      <c r="K37" s="977">
        <f t="shared" si="17"/>
        <v>29164967</v>
      </c>
      <c r="L37" s="595" t="str">
        <f t="shared" si="12"/>
        <v>**</v>
      </c>
      <c r="M37" s="593" t="s">
        <v>1259</v>
      </c>
      <c r="N37" s="593" t="s">
        <v>1274</v>
      </c>
    </row>
    <row r="38" spans="1:14">
      <c r="A38" s="647" t="s">
        <v>765</v>
      </c>
      <c r="B38" s="595" t="s">
        <v>1257</v>
      </c>
      <c r="C38" s="595" t="s">
        <v>1275</v>
      </c>
      <c r="D38" s="613">
        <v>500</v>
      </c>
      <c r="E38" s="613"/>
      <c r="F38" s="613"/>
      <c r="G38" s="1033">
        <f t="shared" si="15"/>
        <v>500</v>
      </c>
      <c r="H38" s="718">
        <f t="shared" si="16"/>
        <v>94830</v>
      </c>
      <c r="I38" s="718"/>
      <c r="J38" s="718"/>
      <c r="K38" s="977">
        <f t="shared" si="17"/>
        <v>94830</v>
      </c>
      <c r="L38" s="595" t="str">
        <f t="shared" si="12"/>
        <v>**</v>
      </c>
      <c r="M38" s="593" t="s">
        <v>1259</v>
      </c>
      <c r="N38" s="593" t="s">
        <v>390</v>
      </c>
    </row>
    <row r="39" spans="1:14">
      <c r="A39" s="647" t="s">
        <v>766</v>
      </c>
      <c r="B39" s="595" t="s">
        <v>1257</v>
      </c>
      <c r="C39" s="595" t="s">
        <v>1276</v>
      </c>
      <c r="D39" s="613">
        <v>6202.3399999999992</v>
      </c>
      <c r="E39" s="613"/>
      <c r="F39" s="613"/>
      <c r="G39" s="1033">
        <f t="shared" si="15"/>
        <v>6202.3399999999992</v>
      </c>
      <c r="H39" s="718">
        <f t="shared" si="16"/>
        <v>1176336</v>
      </c>
      <c r="I39" s="718"/>
      <c r="J39" s="718"/>
      <c r="K39" s="977">
        <f t="shared" si="17"/>
        <v>1176336</v>
      </c>
      <c r="L39" s="595" t="str">
        <f t="shared" si="12"/>
        <v>**</v>
      </c>
      <c r="M39" s="593" t="s">
        <v>1259</v>
      </c>
      <c r="N39" s="593" t="s">
        <v>510</v>
      </c>
    </row>
    <row r="40" spans="1:14">
      <c r="A40" s="647" t="s">
        <v>767</v>
      </c>
      <c r="B40" s="595" t="s">
        <v>1257</v>
      </c>
      <c r="C40" s="595" t="s">
        <v>1277</v>
      </c>
      <c r="D40" s="613"/>
      <c r="E40" s="613"/>
      <c r="F40" s="613"/>
      <c r="G40" s="1033">
        <f t="shared" si="15"/>
        <v>0</v>
      </c>
      <c r="H40" s="718">
        <f t="shared" si="16"/>
        <v>0</v>
      </c>
      <c r="I40" s="718"/>
      <c r="J40" s="718"/>
      <c r="K40" s="977">
        <f t="shared" si="17"/>
        <v>0</v>
      </c>
      <c r="L40" s="595" t="str">
        <f t="shared" si="12"/>
        <v>**</v>
      </c>
      <c r="M40" s="593" t="s">
        <v>1259</v>
      </c>
      <c r="N40" s="593" t="s">
        <v>512</v>
      </c>
    </row>
    <row r="41" spans="1:14">
      <c r="A41" s="647" t="s">
        <v>768</v>
      </c>
      <c r="B41" s="595" t="s">
        <v>1257</v>
      </c>
      <c r="C41" s="595" t="s">
        <v>1278</v>
      </c>
      <c r="D41" s="613"/>
      <c r="E41" s="613"/>
      <c r="F41" s="613"/>
      <c r="G41" s="1033">
        <f t="shared" si="15"/>
        <v>0</v>
      </c>
      <c r="H41" s="718">
        <f t="shared" si="16"/>
        <v>0</v>
      </c>
      <c r="I41" s="718"/>
      <c r="J41" s="718"/>
      <c r="K41" s="977">
        <f t="shared" si="17"/>
        <v>0</v>
      </c>
      <c r="L41" s="595" t="str">
        <f t="shared" si="12"/>
        <v>**</v>
      </c>
      <c r="M41" s="593" t="s">
        <v>1259</v>
      </c>
      <c r="N41" s="593" t="s">
        <v>1279</v>
      </c>
    </row>
    <row r="42" spans="1:14">
      <c r="A42" s="647" t="s">
        <v>769</v>
      </c>
      <c r="B42" s="595" t="s">
        <v>1257</v>
      </c>
      <c r="C42" s="595" t="s">
        <v>1280</v>
      </c>
      <c r="D42" s="613"/>
      <c r="E42" s="613"/>
      <c r="F42" s="613"/>
      <c r="G42" s="1033">
        <f t="shared" si="15"/>
        <v>0</v>
      </c>
      <c r="H42" s="718">
        <f t="shared" si="16"/>
        <v>0</v>
      </c>
      <c r="I42" s="718"/>
      <c r="J42" s="718"/>
      <c r="K42" s="977">
        <f t="shared" si="17"/>
        <v>0</v>
      </c>
      <c r="L42" s="595" t="str">
        <f t="shared" si="12"/>
        <v>**</v>
      </c>
      <c r="M42" s="593" t="s">
        <v>1259</v>
      </c>
      <c r="N42" s="593" t="s">
        <v>388</v>
      </c>
    </row>
    <row r="43" spans="1:14">
      <c r="A43" s="647" t="s">
        <v>1391</v>
      </c>
      <c r="B43" s="595" t="s">
        <v>1045</v>
      </c>
      <c r="C43" s="595" t="s">
        <v>1281</v>
      </c>
      <c r="D43" s="613"/>
      <c r="E43" s="613"/>
      <c r="F43" s="613"/>
      <c r="G43" s="1033">
        <f t="shared" si="15"/>
        <v>0</v>
      </c>
      <c r="H43" s="718">
        <f t="shared" si="16"/>
        <v>0</v>
      </c>
      <c r="I43" s="718"/>
      <c r="J43" s="718"/>
      <c r="K43" s="977">
        <f t="shared" si="17"/>
        <v>0</v>
      </c>
      <c r="L43" s="595" t="s">
        <v>1045</v>
      </c>
      <c r="M43" s="593" t="s">
        <v>85</v>
      </c>
      <c r="N43" s="593" t="s">
        <v>1282</v>
      </c>
    </row>
    <row r="44" spans="1:14">
      <c r="A44" s="647" t="s">
        <v>770</v>
      </c>
      <c r="B44" s="595" t="s">
        <v>1257</v>
      </c>
      <c r="C44" s="595" t="s">
        <v>1283</v>
      </c>
      <c r="D44" s="613"/>
      <c r="E44" s="613"/>
      <c r="F44" s="613"/>
      <c r="G44" s="1033">
        <f t="shared" si="15"/>
        <v>0</v>
      </c>
      <c r="H44" s="718">
        <f t="shared" si="16"/>
        <v>0</v>
      </c>
      <c r="I44" s="718"/>
      <c r="J44" s="718"/>
      <c r="K44" s="977">
        <f t="shared" si="17"/>
        <v>0</v>
      </c>
      <c r="L44" s="595" t="str">
        <f t="shared" ref="L44:L66" si="18">B44</f>
        <v>**</v>
      </c>
      <c r="M44" s="593" t="s">
        <v>1259</v>
      </c>
      <c r="N44" s="593" t="s">
        <v>514</v>
      </c>
    </row>
    <row r="45" spans="1:14">
      <c r="A45" s="647" t="s">
        <v>771</v>
      </c>
      <c r="B45" s="595" t="s">
        <v>1257</v>
      </c>
      <c r="C45" s="595" t="s">
        <v>1284</v>
      </c>
      <c r="D45" s="613"/>
      <c r="E45" s="613"/>
      <c r="F45" s="613"/>
      <c r="G45" s="1033">
        <f t="shared" si="15"/>
        <v>0</v>
      </c>
      <c r="H45" s="718">
        <f t="shared" si="16"/>
        <v>0</v>
      </c>
      <c r="I45" s="718"/>
      <c r="J45" s="718"/>
      <c r="K45" s="977">
        <f t="shared" si="17"/>
        <v>0</v>
      </c>
      <c r="L45" s="595" t="str">
        <f t="shared" si="18"/>
        <v>**</v>
      </c>
      <c r="M45" s="593" t="s">
        <v>1259</v>
      </c>
      <c r="N45" s="593" t="s">
        <v>513</v>
      </c>
    </row>
    <row r="46" spans="1:14">
      <c r="A46" s="647" t="s">
        <v>772</v>
      </c>
      <c r="B46" s="595" t="s">
        <v>1257</v>
      </c>
      <c r="C46" s="595" t="s">
        <v>1285</v>
      </c>
      <c r="D46" s="613"/>
      <c r="E46" s="613"/>
      <c r="F46" s="613"/>
      <c r="G46" s="1033">
        <f t="shared" si="15"/>
        <v>0</v>
      </c>
      <c r="H46" s="718">
        <f t="shared" si="16"/>
        <v>0</v>
      </c>
      <c r="I46" s="718"/>
      <c r="J46" s="718"/>
      <c r="K46" s="977">
        <f t="shared" si="17"/>
        <v>0</v>
      </c>
      <c r="L46" s="595" t="str">
        <f t="shared" si="18"/>
        <v>**</v>
      </c>
      <c r="M46" s="593" t="s">
        <v>1259</v>
      </c>
      <c r="N46" s="593" t="s">
        <v>773</v>
      </c>
    </row>
    <row r="47" spans="1:14">
      <c r="A47" s="647" t="s">
        <v>774</v>
      </c>
      <c r="B47" s="595" t="s">
        <v>1257</v>
      </c>
      <c r="C47" s="595" t="s">
        <v>1286</v>
      </c>
      <c r="D47" s="613"/>
      <c r="E47" s="613"/>
      <c r="F47" s="613"/>
      <c r="G47" s="1033">
        <f t="shared" si="15"/>
        <v>0</v>
      </c>
      <c r="H47" s="718">
        <f t="shared" si="16"/>
        <v>0</v>
      </c>
      <c r="I47" s="718"/>
      <c r="J47" s="718"/>
      <c r="K47" s="977">
        <f t="shared" si="17"/>
        <v>0</v>
      </c>
      <c r="L47" s="595" t="str">
        <f t="shared" si="18"/>
        <v>**</v>
      </c>
      <c r="M47" s="593" t="s">
        <v>1259</v>
      </c>
      <c r="N47" s="593" t="s">
        <v>742</v>
      </c>
    </row>
    <row r="48" spans="1:14">
      <c r="A48" s="647" t="s">
        <v>775</v>
      </c>
      <c r="B48" s="595" t="s">
        <v>1257</v>
      </c>
      <c r="C48" s="595" t="s">
        <v>1287</v>
      </c>
      <c r="D48" s="613">
        <f>10684.02</f>
        <v>10684.02</v>
      </c>
      <c r="E48" s="613"/>
      <c r="F48" s="613"/>
      <c r="G48" s="1033">
        <f t="shared" si="15"/>
        <v>10684.02</v>
      </c>
      <c r="H48" s="718">
        <f t="shared" si="16"/>
        <v>2026331</v>
      </c>
      <c r="I48" s="718"/>
      <c r="J48" s="718"/>
      <c r="K48" s="977">
        <f t="shared" si="17"/>
        <v>2026331</v>
      </c>
      <c r="L48" s="595" t="str">
        <f t="shared" si="18"/>
        <v>**</v>
      </c>
      <c r="M48" s="593" t="s">
        <v>1259</v>
      </c>
      <c r="N48" s="593" t="s">
        <v>387</v>
      </c>
    </row>
    <row r="49" spans="1:16">
      <c r="A49" s="647" t="s">
        <v>776</v>
      </c>
      <c r="B49" s="595" t="s">
        <v>1257</v>
      </c>
      <c r="C49" s="595" t="s">
        <v>1288</v>
      </c>
      <c r="D49" s="613">
        <f>SUM(D93:D101)</f>
        <v>65579.64</v>
      </c>
      <c r="E49" s="613"/>
      <c r="F49" s="613"/>
      <c r="G49" s="1033">
        <f t="shared" si="15"/>
        <v>65579.64</v>
      </c>
      <c r="H49" s="718">
        <f t="shared" si="16"/>
        <v>12437835</v>
      </c>
      <c r="I49" s="718"/>
      <c r="J49" s="718"/>
      <c r="K49" s="977">
        <f t="shared" si="17"/>
        <v>12437835</v>
      </c>
      <c r="L49" s="595" t="str">
        <f t="shared" si="18"/>
        <v>**</v>
      </c>
      <c r="M49" s="593" t="s">
        <v>1259</v>
      </c>
      <c r="N49" s="593" t="s">
        <v>385</v>
      </c>
    </row>
    <row r="50" spans="1:16">
      <c r="A50" s="647" t="s">
        <v>1393</v>
      </c>
      <c r="B50" s="595" t="s">
        <v>1257</v>
      </c>
      <c r="C50" s="595" t="s">
        <v>1289</v>
      </c>
      <c r="D50" s="613"/>
      <c r="E50" s="613"/>
      <c r="F50" s="613"/>
      <c r="G50" s="1033">
        <f t="shared" si="15"/>
        <v>0</v>
      </c>
      <c r="H50" s="718">
        <f t="shared" si="16"/>
        <v>0</v>
      </c>
      <c r="I50" s="718"/>
      <c r="J50" s="718"/>
      <c r="K50" s="977">
        <f t="shared" si="17"/>
        <v>0</v>
      </c>
      <c r="L50" s="595" t="str">
        <f t="shared" si="18"/>
        <v>**</v>
      </c>
      <c r="M50" s="593" t="s">
        <v>1259</v>
      </c>
      <c r="N50" s="593" t="s">
        <v>1290</v>
      </c>
    </row>
    <row r="51" spans="1:16">
      <c r="A51" s="647" t="s">
        <v>777</v>
      </c>
      <c r="B51" s="595" t="s">
        <v>1257</v>
      </c>
      <c r="C51" s="595" t="s">
        <v>1291</v>
      </c>
      <c r="D51" s="613">
        <v>108654</v>
      </c>
      <c r="E51" s="613"/>
      <c r="F51" s="613"/>
      <c r="G51" s="1033">
        <f t="shared" si="15"/>
        <v>108654</v>
      </c>
      <c r="H51" s="718">
        <f t="shared" si="16"/>
        <v>20607318</v>
      </c>
      <c r="I51" s="718"/>
      <c r="J51" s="718"/>
      <c r="K51" s="977">
        <f t="shared" si="17"/>
        <v>20607318</v>
      </c>
      <c r="L51" s="595" t="str">
        <f t="shared" si="18"/>
        <v>**</v>
      </c>
      <c r="M51" s="593" t="s">
        <v>1259</v>
      </c>
      <c r="N51" s="593" t="s">
        <v>386</v>
      </c>
    </row>
    <row r="52" spans="1:16">
      <c r="A52" s="647" t="s">
        <v>778</v>
      </c>
      <c r="B52" s="595" t="s">
        <v>1257</v>
      </c>
      <c r="C52" s="595" t="s">
        <v>1292</v>
      </c>
      <c r="D52" s="613"/>
      <c r="E52" s="613"/>
      <c r="F52" s="613"/>
      <c r="G52" s="1033">
        <f t="shared" si="15"/>
        <v>0</v>
      </c>
      <c r="H52" s="718">
        <f t="shared" si="16"/>
        <v>0</v>
      </c>
      <c r="I52" s="718"/>
      <c r="J52" s="718"/>
      <c r="K52" s="977">
        <f t="shared" si="17"/>
        <v>0</v>
      </c>
      <c r="L52" s="595" t="str">
        <f t="shared" si="18"/>
        <v>**</v>
      </c>
      <c r="M52" s="593" t="s">
        <v>1259</v>
      </c>
      <c r="N52" s="593" t="s">
        <v>174</v>
      </c>
    </row>
    <row r="53" spans="1:16">
      <c r="A53" s="647" t="s">
        <v>779</v>
      </c>
      <c r="B53" s="595" t="s">
        <v>1257</v>
      </c>
      <c r="C53" s="595" t="s">
        <v>1293</v>
      </c>
      <c r="D53" s="613">
        <f>24000+40200</f>
        <v>64200</v>
      </c>
      <c r="E53" s="613"/>
      <c r="F53" s="613"/>
      <c r="G53" s="1033">
        <f t="shared" si="15"/>
        <v>64200</v>
      </c>
      <c r="H53" s="718">
        <f t="shared" si="16"/>
        <v>12176172</v>
      </c>
      <c r="I53" s="718"/>
      <c r="J53" s="718"/>
      <c r="K53" s="977">
        <f t="shared" si="17"/>
        <v>12176172</v>
      </c>
      <c r="L53" s="595" t="str">
        <f t="shared" si="18"/>
        <v>**</v>
      </c>
      <c r="M53" s="593" t="s">
        <v>1259</v>
      </c>
      <c r="N53" s="593" t="s">
        <v>1294</v>
      </c>
    </row>
    <row r="54" spans="1:16">
      <c r="A54" s="647" t="s">
        <v>780</v>
      </c>
      <c r="B54" s="595" t="s">
        <v>1257</v>
      </c>
      <c r="C54" s="595" t="s">
        <v>1295</v>
      </c>
      <c r="D54" s="613"/>
      <c r="E54" s="613"/>
      <c r="F54" s="613"/>
      <c r="G54" s="1033">
        <f t="shared" si="15"/>
        <v>0</v>
      </c>
      <c r="H54" s="718">
        <f t="shared" si="16"/>
        <v>0</v>
      </c>
      <c r="I54" s="718"/>
      <c r="J54" s="718"/>
      <c r="K54" s="977">
        <f t="shared" si="17"/>
        <v>0</v>
      </c>
      <c r="L54" s="595" t="str">
        <f t="shared" si="18"/>
        <v>**</v>
      </c>
      <c r="M54" s="593" t="s">
        <v>1259</v>
      </c>
      <c r="N54" s="593" t="s">
        <v>1296</v>
      </c>
    </row>
    <row r="55" spans="1:16">
      <c r="A55" s="647" t="s">
        <v>782</v>
      </c>
      <c r="B55" s="595" t="s">
        <v>1257</v>
      </c>
      <c r="C55" s="595" t="s">
        <v>1297</v>
      </c>
      <c r="D55" s="613"/>
      <c r="E55" s="613"/>
      <c r="F55" s="613"/>
      <c r="G55" s="1033">
        <f t="shared" si="15"/>
        <v>0</v>
      </c>
      <c r="H55" s="718">
        <f t="shared" si="16"/>
        <v>0</v>
      </c>
      <c r="I55" s="718"/>
      <c r="J55" s="718"/>
      <c r="K55" s="977">
        <f t="shared" si="17"/>
        <v>0</v>
      </c>
      <c r="L55" s="595" t="str">
        <f t="shared" si="18"/>
        <v>**</v>
      </c>
      <c r="M55" s="593" t="s">
        <v>1259</v>
      </c>
      <c r="N55" s="593" t="s">
        <v>1298</v>
      </c>
    </row>
    <row r="56" spans="1:16">
      <c r="A56" s="647" t="s">
        <v>783</v>
      </c>
      <c r="B56" s="595" t="s">
        <v>1257</v>
      </c>
      <c r="C56" s="595" t="s">
        <v>1299</v>
      </c>
      <c r="D56" s="613"/>
      <c r="E56" s="613"/>
      <c r="F56" s="613"/>
      <c r="G56" s="1033">
        <f t="shared" si="15"/>
        <v>0</v>
      </c>
      <c r="H56" s="718">
        <f t="shared" si="16"/>
        <v>0</v>
      </c>
      <c r="I56" s="718"/>
      <c r="J56" s="718"/>
      <c r="K56" s="977">
        <f t="shared" si="17"/>
        <v>0</v>
      </c>
      <c r="L56" s="595" t="str">
        <f t="shared" si="18"/>
        <v>**</v>
      </c>
      <c r="M56" s="593" t="s">
        <v>1259</v>
      </c>
      <c r="N56" s="593" t="s">
        <v>749</v>
      </c>
    </row>
    <row r="57" spans="1:16">
      <c r="A57" s="647" t="s">
        <v>784</v>
      </c>
      <c r="B57" s="595" t="s">
        <v>1257</v>
      </c>
      <c r="C57" s="595" t="s">
        <v>1300</v>
      </c>
      <c r="D57" s="613"/>
      <c r="E57" s="613"/>
      <c r="F57" s="613"/>
      <c r="G57" s="1033">
        <f>D57+E57-F57</f>
        <v>0</v>
      </c>
      <c r="H57" s="718">
        <f t="shared" si="16"/>
        <v>0</v>
      </c>
      <c r="I57" s="718"/>
      <c r="J57" s="718"/>
      <c r="K57" s="977">
        <f>H57+I57-J57</f>
        <v>0</v>
      </c>
      <c r="L57" s="595" t="str">
        <f t="shared" si="18"/>
        <v>**</v>
      </c>
      <c r="M57" s="593" t="s">
        <v>1259</v>
      </c>
      <c r="N57" s="593" t="s">
        <v>1301</v>
      </c>
    </row>
    <row r="58" spans="1:16">
      <c r="A58" s="647"/>
      <c r="B58" s="621" t="s">
        <v>1319</v>
      </c>
      <c r="C58" s="621" t="s">
        <v>1302</v>
      </c>
      <c r="D58" s="608">
        <f t="shared" ref="D58" si="19">D23-D24</f>
        <v>205203.49999999977</v>
      </c>
      <c r="E58" s="608"/>
      <c r="F58" s="608"/>
      <c r="G58" s="1034">
        <f>G23-G24</f>
        <v>205203.49999999977</v>
      </c>
      <c r="H58" s="975">
        <f>H23-H24</f>
        <v>46570058</v>
      </c>
      <c r="I58" s="975"/>
      <c r="J58" s="975"/>
      <c r="K58" s="975">
        <f>K23-K24</f>
        <v>46570058</v>
      </c>
      <c r="L58" s="622" t="str">
        <f t="shared" si="18"/>
        <v>*</v>
      </c>
      <c r="M58" s="607"/>
      <c r="N58" s="607"/>
    </row>
    <row r="59" spans="1:16">
      <c r="A59" s="647"/>
      <c r="B59" s="621" t="s">
        <v>1319</v>
      </c>
      <c r="C59" s="621" t="s">
        <v>1303</v>
      </c>
      <c r="D59" s="608">
        <f t="shared" ref="D59" si="20">SUM(D60:D69)</f>
        <v>49.269999999999996</v>
      </c>
      <c r="E59" s="608"/>
      <c r="F59" s="608"/>
      <c r="G59" s="1034">
        <f>SUM(G60:G69)</f>
        <v>49.269999999999996</v>
      </c>
      <c r="H59" s="975">
        <f>SUM(H60:H69)</f>
        <v>9344</v>
      </c>
      <c r="I59" s="975"/>
      <c r="J59" s="975"/>
      <c r="K59" s="975">
        <f>SUM(K60:K69)</f>
        <v>9344</v>
      </c>
      <c r="L59" s="622" t="str">
        <f t="shared" si="18"/>
        <v>*</v>
      </c>
      <c r="M59" s="607"/>
      <c r="N59" s="607"/>
    </row>
    <row r="60" spans="1:16">
      <c r="A60" s="647" t="s">
        <v>793</v>
      </c>
      <c r="B60" s="595" t="s">
        <v>1257</v>
      </c>
      <c r="C60" s="595" t="s">
        <v>1304</v>
      </c>
      <c r="D60" s="613">
        <v>3.4699999999999998</v>
      </c>
      <c r="E60" s="613"/>
      <c r="F60" s="613"/>
      <c r="G60" s="1033">
        <f t="shared" ref="G60:G69" si="21">D60-E60+F60</f>
        <v>3.4699999999999998</v>
      </c>
      <c r="H60" s="718">
        <f t="shared" ref="H60:H69" si="22">ROUND(G60*$G$4,)</f>
        <v>658</v>
      </c>
      <c r="I60" s="718"/>
      <c r="J60" s="718"/>
      <c r="K60" s="977">
        <f t="shared" ref="K60:K69" si="23">H60-I60+J60</f>
        <v>658</v>
      </c>
      <c r="L60" s="595" t="str">
        <f t="shared" si="18"/>
        <v>**</v>
      </c>
      <c r="M60" s="593" t="s">
        <v>1336</v>
      </c>
      <c r="N60" s="593" t="s">
        <v>133</v>
      </c>
    </row>
    <row r="61" spans="1:16">
      <c r="A61" s="647"/>
      <c r="B61" s="595" t="s">
        <v>1257</v>
      </c>
      <c r="C61" s="595" t="s">
        <v>1337</v>
      </c>
      <c r="D61" s="613"/>
      <c r="E61" s="613"/>
      <c r="F61" s="613"/>
      <c r="G61" s="1033">
        <f t="shared" si="21"/>
        <v>0</v>
      </c>
      <c r="H61" s="718">
        <f t="shared" si="22"/>
        <v>0</v>
      </c>
      <c r="I61" s="718"/>
      <c r="J61" s="718"/>
      <c r="K61" s="977">
        <f t="shared" si="23"/>
        <v>0</v>
      </c>
      <c r="L61" s="595" t="str">
        <f t="shared" si="18"/>
        <v>**</v>
      </c>
      <c r="M61" s="593" t="s">
        <v>1338</v>
      </c>
      <c r="N61" s="593" t="s">
        <v>1339</v>
      </c>
    </row>
    <row r="62" spans="1:16">
      <c r="A62" s="647" t="s">
        <v>794</v>
      </c>
      <c r="B62" s="595" t="s">
        <v>1257</v>
      </c>
      <c r="C62" s="595" t="s">
        <v>1340</v>
      </c>
      <c r="D62" s="613"/>
      <c r="E62" s="613"/>
      <c r="F62" s="613"/>
      <c r="G62" s="1033">
        <f t="shared" si="21"/>
        <v>0</v>
      </c>
      <c r="H62" s="718">
        <f t="shared" si="22"/>
        <v>0</v>
      </c>
      <c r="I62" s="718"/>
      <c r="J62" s="718"/>
      <c r="K62" s="977">
        <f t="shared" si="23"/>
        <v>0</v>
      </c>
      <c r="L62" s="595" t="str">
        <f t="shared" si="18"/>
        <v>**</v>
      </c>
      <c r="M62" s="593" t="s">
        <v>90</v>
      </c>
      <c r="N62" s="593" t="s">
        <v>120</v>
      </c>
    </row>
    <row r="63" spans="1:16">
      <c r="A63" s="647" t="s">
        <v>795</v>
      </c>
      <c r="B63" s="595" t="s">
        <v>1257</v>
      </c>
      <c r="C63" s="595" t="s">
        <v>1341</v>
      </c>
      <c r="D63" s="613">
        <v>0</v>
      </c>
      <c r="E63" s="613"/>
      <c r="F63" s="613"/>
      <c r="G63" s="1033">
        <f t="shared" si="21"/>
        <v>0</v>
      </c>
      <c r="H63" s="718">
        <f t="shared" si="22"/>
        <v>0</v>
      </c>
      <c r="I63" s="718"/>
      <c r="J63" s="718"/>
      <c r="K63" s="977">
        <f t="shared" si="23"/>
        <v>0</v>
      </c>
      <c r="L63" s="595" t="str">
        <f t="shared" si="18"/>
        <v>**</v>
      </c>
      <c r="M63" s="593" t="s">
        <v>90</v>
      </c>
      <c r="N63" s="593" t="s">
        <v>121</v>
      </c>
    </row>
    <row r="64" spans="1:16">
      <c r="A64" s="647"/>
      <c r="B64" s="595" t="s">
        <v>1257</v>
      </c>
      <c r="C64" s="595" t="s">
        <v>1342</v>
      </c>
      <c r="D64" s="613"/>
      <c r="E64" s="613"/>
      <c r="F64" s="613"/>
      <c r="G64" s="1033">
        <f t="shared" si="21"/>
        <v>0</v>
      </c>
      <c r="H64" s="718">
        <f t="shared" si="22"/>
        <v>0</v>
      </c>
      <c r="I64" s="718"/>
      <c r="J64" s="718"/>
      <c r="K64" s="977">
        <f t="shared" si="23"/>
        <v>0</v>
      </c>
      <c r="L64" s="595" t="str">
        <f t="shared" si="18"/>
        <v>**</v>
      </c>
      <c r="M64" s="593" t="s">
        <v>87</v>
      </c>
      <c r="N64" s="593" t="s">
        <v>122</v>
      </c>
      <c r="P64" s="589">
        <f>SUMIF(HK_PL!$A:$A,PL!H119,HK_PL!$H:$H)</f>
        <v>99968525</v>
      </c>
    </row>
    <row r="65" spans="1:14">
      <c r="A65" s="647" t="s">
        <v>798</v>
      </c>
      <c r="B65" s="595" t="s">
        <v>1257</v>
      </c>
      <c r="C65" s="595" t="s">
        <v>1343</v>
      </c>
      <c r="D65" s="613">
        <v>45.8</v>
      </c>
      <c r="E65" s="613"/>
      <c r="F65" s="613"/>
      <c r="G65" s="1033">
        <f t="shared" si="21"/>
        <v>45.8</v>
      </c>
      <c r="H65" s="718">
        <f t="shared" si="22"/>
        <v>8686</v>
      </c>
      <c r="I65" s="718"/>
      <c r="J65" s="718"/>
      <c r="K65" s="977">
        <f t="shared" si="23"/>
        <v>8686</v>
      </c>
      <c r="L65" s="595" t="str">
        <f t="shared" si="18"/>
        <v>**</v>
      </c>
      <c r="M65" s="593" t="s">
        <v>1338</v>
      </c>
      <c r="N65" s="593" t="s">
        <v>123</v>
      </c>
    </row>
    <row r="66" spans="1:14">
      <c r="A66" s="647"/>
      <c r="B66" s="595" t="s">
        <v>1257</v>
      </c>
      <c r="C66" s="595" t="s">
        <v>1344</v>
      </c>
      <c r="D66" s="613"/>
      <c r="E66" s="613"/>
      <c r="F66" s="613"/>
      <c r="G66" s="1033">
        <f t="shared" si="21"/>
        <v>0</v>
      </c>
      <c r="H66" s="718">
        <f t="shared" si="22"/>
        <v>0</v>
      </c>
      <c r="I66" s="718"/>
      <c r="J66" s="718"/>
      <c r="K66" s="977">
        <f t="shared" si="23"/>
        <v>0</v>
      </c>
      <c r="L66" s="595" t="str">
        <f t="shared" si="18"/>
        <v>**</v>
      </c>
      <c r="M66" s="593" t="s">
        <v>1338</v>
      </c>
      <c r="N66" s="593" t="s">
        <v>1345</v>
      </c>
    </row>
    <row r="67" spans="1:14">
      <c r="A67" s="647"/>
      <c r="B67" s="595" t="s">
        <v>1045</v>
      </c>
      <c r="C67" s="595" t="s">
        <v>1346</v>
      </c>
      <c r="D67" s="613"/>
      <c r="E67" s="613"/>
      <c r="F67" s="613"/>
      <c r="G67" s="1033">
        <f t="shared" si="21"/>
        <v>0</v>
      </c>
      <c r="H67" s="718">
        <f t="shared" si="22"/>
        <v>0</v>
      </c>
      <c r="I67" s="718"/>
      <c r="J67" s="718"/>
      <c r="K67" s="977">
        <f t="shared" si="23"/>
        <v>0</v>
      </c>
      <c r="L67" s="595" t="s">
        <v>1045</v>
      </c>
      <c r="M67" s="593" t="s">
        <v>90</v>
      </c>
      <c r="N67" s="613" t="s">
        <v>1305</v>
      </c>
    </row>
    <row r="68" spans="1:14">
      <c r="A68" s="647"/>
      <c r="B68" s="595" t="s">
        <v>1045</v>
      </c>
      <c r="C68" s="595" t="s">
        <v>1347</v>
      </c>
      <c r="D68" s="613"/>
      <c r="E68" s="613"/>
      <c r="F68" s="613"/>
      <c r="G68" s="1033">
        <f>D68-E68+F68</f>
        <v>0</v>
      </c>
      <c r="H68" s="718">
        <f t="shared" si="22"/>
        <v>0</v>
      </c>
      <c r="I68" s="718"/>
      <c r="J68" s="718"/>
      <c r="K68" s="977">
        <f>H68-I68+J68</f>
        <v>0</v>
      </c>
      <c r="L68" s="595" t="s">
        <v>1045</v>
      </c>
      <c r="M68" s="593" t="s">
        <v>1338</v>
      </c>
      <c r="N68" s="613" t="s">
        <v>1348</v>
      </c>
    </row>
    <row r="69" spans="1:14">
      <c r="A69" s="647"/>
      <c r="B69" s="595" t="s">
        <v>1257</v>
      </c>
      <c r="C69" s="595" t="s">
        <v>1349</v>
      </c>
      <c r="D69" s="613"/>
      <c r="E69" s="613"/>
      <c r="F69" s="613"/>
      <c r="G69" s="1033">
        <f t="shared" si="21"/>
        <v>0</v>
      </c>
      <c r="H69" s="718">
        <f t="shared" si="22"/>
        <v>0</v>
      </c>
      <c r="I69" s="718"/>
      <c r="J69" s="718"/>
      <c r="K69" s="977">
        <f t="shared" si="23"/>
        <v>0</v>
      </c>
      <c r="L69" s="595" t="str">
        <f t="shared" ref="L69:L74" si="24">B69</f>
        <v>**</v>
      </c>
      <c r="M69" s="593" t="s">
        <v>90</v>
      </c>
      <c r="N69" s="613" t="s">
        <v>1306</v>
      </c>
    </row>
    <row r="70" spans="1:14">
      <c r="A70" s="647"/>
      <c r="B70" s="595" t="s">
        <v>1319</v>
      </c>
      <c r="C70" s="595" t="s">
        <v>1307</v>
      </c>
      <c r="D70" s="608">
        <f t="shared" ref="D70" si="25">SUM(D71:D80)</f>
        <v>12504.01</v>
      </c>
      <c r="E70" s="608"/>
      <c r="F70" s="608"/>
      <c r="G70" s="1034">
        <f>SUM(G71:G80)</f>
        <v>12504.01</v>
      </c>
      <c r="H70" s="975">
        <f>SUM(H71:H80)</f>
        <v>2371511</v>
      </c>
      <c r="I70" s="975"/>
      <c r="J70" s="975"/>
      <c r="K70" s="975">
        <f>SUM(K71:K80)</f>
        <v>2371511</v>
      </c>
      <c r="L70" s="622" t="str">
        <f t="shared" si="24"/>
        <v>*</v>
      </c>
      <c r="M70" s="607"/>
      <c r="N70" s="608"/>
    </row>
    <row r="71" spans="1:14">
      <c r="A71" s="647" t="s">
        <v>802</v>
      </c>
      <c r="B71" s="595" t="s">
        <v>1257</v>
      </c>
      <c r="C71" s="595" t="s">
        <v>1308</v>
      </c>
      <c r="D71" s="613"/>
      <c r="E71" s="613">
        <v>0</v>
      </c>
      <c r="F71" s="613"/>
      <c r="G71" s="1033">
        <f>D71+E71-F71</f>
        <v>0</v>
      </c>
      <c r="H71" s="718">
        <f t="shared" ref="H71:H80" si="26">ROUND(G71*$G$4,)</f>
        <v>0</v>
      </c>
      <c r="I71" s="718"/>
      <c r="J71" s="718"/>
      <c r="K71" s="977">
        <f>H71+I71-J71</f>
        <v>0</v>
      </c>
      <c r="L71" s="595" t="str">
        <f t="shared" si="24"/>
        <v>**</v>
      </c>
      <c r="M71" s="593" t="s">
        <v>1350</v>
      </c>
      <c r="N71" s="613" t="s">
        <v>179</v>
      </c>
    </row>
    <row r="72" spans="1:14">
      <c r="A72" s="647" t="s">
        <v>803</v>
      </c>
      <c r="B72" s="595" t="s">
        <v>1257</v>
      </c>
      <c r="C72" s="595" t="s">
        <v>1351</v>
      </c>
      <c r="D72" s="613">
        <v>9645.83</v>
      </c>
      <c r="E72" s="613"/>
      <c r="F72" s="613"/>
      <c r="G72" s="1033">
        <f t="shared" ref="G72:G80" si="27">D72+E72-F72</f>
        <v>9645.83</v>
      </c>
      <c r="H72" s="718">
        <f t="shared" si="26"/>
        <v>1829428</v>
      </c>
      <c r="I72" s="718"/>
      <c r="J72" s="718"/>
      <c r="K72" s="977">
        <f t="shared" ref="K72:K80" si="28">H72+I72-J72</f>
        <v>1829428</v>
      </c>
      <c r="L72" s="595" t="str">
        <f t="shared" si="24"/>
        <v>**</v>
      </c>
      <c r="M72" s="593" t="s">
        <v>91</v>
      </c>
      <c r="N72" s="613" t="s">
        <v>125</v>
      </c>
    </row>
    <row r="73" spans="1:14">
      <c r="A73" s="647" t="s">
        <v>805</v>
      </c>
      <c r="B73" s="595" t="s">
        <v>1257</v>
      </c>
      <c r="C73" s="595" t="s">
        <v>1352</v>
      </c>
      <c r="D73" s="613">
        <v>0.01</v>
      </c>
      <c r="E73" s="613"/>
      <c r="F73" s="613"/>
      <c r="G73" s="1033">
        <f t="shared" si="27"/>
        <v>0.01</v>
      </c>
      <c r="H73" s="718">
        <f t="shared" si="26"/>
        <v>2</v>
      </c>
      <c r="I73" s="718"/>
      <c r="J73" s="718"/>
      <c r="K73" s="977">
        <f t="shared" si="28"/>
        <v>2</v>
      </c>
      <c r="L73" s="595" t="str">
        <f t="shared" si="24"/>
        <v>**</v>
      </c>
      <c r="M73" s="593" t="s">
        <v>91</v>
      </c>
      <c r="N73" s="613" t="s">
        <v>1353</v>
      </c>
    </row>
    <row r="74" spans="1:14">
      <c r="A74" s="647"/>
      <c r="B74" s="595" t="s">
        <v>1257</v>
      </c>
      <c r="C74" s="595" t="s">
        <v>1354</v>
      </c>
      <c r="D74" s="613"/>
      <c r="E74" s="613"/>
      <c r="F74" s="613"/>
      <c r="G74" s="1033">
        <f t="shared" si="27"/>
        <v>0</v>
      </c>
      <c r="H74" s="718">
        <f t="shared" si="26"/>
        <v>0</v>
      </c>
      <c r="I74" s="718"/>
      <c r="J74" s="718"/>
      <c r="K74" s="977">
        <f t="shared" si="28"/>
        <v>0</v>
      </c>
      <c r="L74" s="595" t="str">
        <f t="shared" si="24"/>
        <v>**</v>
      </c>
      <c r="M74" s="593" t="s">
        <v>88</v>
      </c>
      <c r="N74" s="613" t="s">
        <v>89</v>
      </c>
    </row>
    <row r="75" spans="1:14">
      <c r="A75" s="647" t="s">
        <v>804</v>
      </c>
      <c r="B75" s="595" t="s">
        <v>1045</v>
      </c>
      <c r="C75" s="595" t="s">
        <v>2875</v>
      </c>
      <c r="D75" s="613">
        <v>700</v>
      </c>
      <c r="E75" s="613"/>
      <c r="F75" s="613"/>
      <c r="G75" s="1033">
        <f t="shared" si="27"/>
        <v>700</v>
      </c>
      <c r="H75" s="718">
        <f t="shared" si="26"/>
        <v>132762</v>
      </c>
      <c r="I75" s="718"/>
      <c r="J75" s="718"/>
      <c r="K75" s="977">
        <f t="shared" si="28"/>
        <v>132762</v>
      </c>
      <c r="L75" s="595" t="s">
        <v>1045</v>
      </c>
      <c r="M75" s="593" t="s">
        <v>91</v>
      </c>
      <c r="N75" s="613" t="s">
        <v>1310</v>
      </c>
    </row>
    <row r="76" spans="1:14">
      <c r="A76" s="647" t="s">
        <v>810</v>
      </c>
      <c r="B76" s="595" t="s">
        <v>1257</v>
      </c>
      <c r="C76" s="595" t="s">
        <v>1355</v>
      </c>
      <c r="D76" s="613">
        <v>2158.17</v>
      </c>
      <c r="E76" s="613"/>
      <c r="F76" s="613"/>
      <c r="G76" s="1033">
        <f t="shared" si="27"/>
        <v>2158.17</v>
      </c>
      <c r="H76" s="718">
        <f t="shared" si="26"/>
        <v>409319</v>
      </c>
      <c r="I76" s="718"/>
      <c r="J76" s="718"/>
      <c r="K76" s="977">
        <f t="shared" si="28"/>
        <v>409319</v>
      </c>
      <c r="L76" s="595" t="str">
        <f>B76</f>
        <v>**</v>
      </c>
      <c r="M76" s="593" t="s">
        <v>88</v>
      </c>
      <c r="N76" s="613" t="s">
        <v>130</v>
      </c>
    </row>
    <row r="77" spans="1:14">
      <c r="A77" s="647" t="s">
        <v>800</v>
      </c>
      <c r="B77" s="595"/>
      <c r="C77" s="624" t="s">
        <v>1356</v>
      </c>
      <c r="D77" s="613"/>
      <c r="E77" s="613"/>
      <c r="F77" s="613"/>
      <c r="G77" s="1033">
        <f t="shared" si="27"/>
        <v>0</v>
      </c>
      <c r="H77" s="718">
        <f t="shared" si="26"/>
        <v>0</v>
      </c>
      <c r="I77" s="718"/>
      <c r="J77" s="718"/>
      <c r="K77" s="977">
        <f t="shared" si="28"/>
        <v>0</v>
      </c>
      <c r="L77" s="595"/>
      <c r="M77" s="593" t="s">
        <v>1350</v>
      </c>
      <c r="N77" s="613" t="s">
        <v>1311</v>
      </c>
    </row>
    <row r="78" spans="1:14">
      <c r="A78" s="647"/>
      <c r="B78" s="595" t="s">
        <v>1257</v>
      </c>
      <c r="C78" s="595" t="s">
        <v>1357</v>
      </c>
      <c r="D78" s="613"/>
      <c r="E78" s="613"/>
      <c r="F78" s="613"/>
      <c r="G78" s="1033">
        <f t="shared" si="27"/>
        <v>0</v>
      </c>
      <c r="H78" s="718">
        <f t="shared" si="26"/>
        <v>0</v>
      </c>
      <c r="I78" s="718"/>
      <c r="J78" s="718"/>
      <c r="K78" s="977">
        <f t="shared" si="28"/>
        <v>0</v>
      </c>
      <c r="L78" s="595" t="str">
        <f>B78</f>
        <v>**</v>
      </c>
      <c r="M78" s="593" t="s">
        <v>1350</v>
      </c>
      <c r="N78" s="613" t="s">
        <v>1358</v>
      </c>
    </row>
    <row r="79" spans="1:14">
      <c r="A79" s="647" t="s">
        <v>808</v>
      </c>
      <c r="B79" s="595"/>
      <c r="C79" s="595" t="s">
        <v>1359</v>
      </c>
      <c r="D79" s="613"/>
      <c r="E79" s="613"/>
      <c r="F79" s="613"/>
      <c r="G79" s="1033">
        <f t="shared" si="27"/>
        <v>0</v>
      </c>
      <c r="H79" s="718">
        <f t="shared" si="26"/>
        <v>0</v>
      </c>
      <c r="I79" s="718"/>
      <c r="J79" s="718"/>
      <c r="K79" s="977">
        <f t="shared" si="28"/>
        <v>0</v>
      </c>
      <c r="L79" s="595"/>
      <c r="M79" s="593"/>
      <c r="N79" s="613"/>
    </row>
    <row r="80" spans="1:14">
      <c r="A80" s="647"/>
      <c r="B80" s="595"/>
      <c r="C80" s="625" t="s">
        <v>1360</v>
      </c>
      <c r="D80" s="613"/>
      <c r="E80" s="613"/>
      <c r="F80" s="613"/>
      <c r="G80" s="1033">
        <f t="shared" si="27"/>
        <v>0</v>
      </c>
      <c r="H80" s="718">
        <f t="shared" si="26"/>
        <v>0</v>
      </c>
      <c r="I80" s="718"/>
      <c r="J80" s="718"/>
      <c r="K80" s="977">
        <f t="shared" si="28"/>
        <v>0</v>
      </c>
      <c r="L80" s="595"/>
      <c r="M80" s="593"/>
      <c r="N80" s="613"/>
    </row>
    <row r="81" spans="1:14">
      <c r="A81" s="647"/>
      <c r="B81" s="595" t="s">
        <v>1319</v>
      </c>
      <c r="C81" s="595" t="s">
        <v>1312</v>
      </c>
      <c r="D81" s="608">
        <f t="shared" ref="D81" si="29">D58+D59-D70</f>
        <v>192748.75999999975</v>
      </c>
      <c r="E81" s="608"/>
      <c r="F81" s="608"/>
      <c r="G81" s="1032">
        <f>G58+G59-G70</f>
        <v>192748.75999999975</v>
      </c>
      <c r="H81" s="975">
        <f>H58+H59-H70</f>
        <v>44207891</v>
      </c>
      <c r="I81" s="975"/>
      <c r="J81" s="975"/>
      <c r="K81" s="978">
        <f>K58+K59-K70</f>
        <v>44207891</v>
      </c>
      <c r="L81" s="622" t="str">
        <f>B81</f>
        <v>*</v>
      </c>
      <c r="M81" s="607"/>
      <c r="N81" s="608"/>
    </row>
    <row r="82" spans="1:14">
      <c r="A82" s="647"/>
      <c r="B82" s="595" t="s">
        <v>1319</v>
      </c>
      <c r="C82" s="595" t="s">
        <v>1313</v>
      </c>
      <c r="D82" s="608">
        <f t="shared" ref="D82" si="30">D83</f>
        <v>0</v>
      </c>
      <c r="E82" s="608"/>
      <c r="F82" s="608"/>
      <c r="G82" s="1032">
        <f>G83</f>
        <v>0</v>
      </c>
      <c r="H82" s="975">
        <f>H83</f>
        <v>0</v>
      </c>
      <c r="I82" s="975"/>
      <c r="J82" s="975"/>
      <c r="K82" s="978">
        <f>K83</f>
        <v>0</v>
      </c>
      <c r="L82" s="622" t="s">
        <v>1047</v>
      </c>
      <c r="M82" s="607"/>
      <c r="N82" s="607"/>
    </row>
    <row r="83" spans="1:14">
      <c r="A83" s="647" t="s">
        <v>811</v>
      </c>
      <c r="B83" s="595" t="s">
        <v>1257</v>
      </c>
      <c r="C83" s="595" t="s">
        <v>1314</v>
      </c>
      <c r="D83" s="613">
        <v>0</v>
      </c>
      <c r="E83" s="613"/>
      <c r="F83" s="613"/>
      <c r="G83" s="1033">
        <f>D83+E83-F83</f>
        <v>0</v>
      </c>
      <c r="H83" s="718">
        <f t="shared" ref="H83" si="31">ROUND(G83*$G$4,)</f>
        <v>0</v>
      </c>
      <c r="I83" s="718"/>
      <c r="J83" s="718"/>
      <c r="K83" s="977">
        <f>H83+I83-J83</f>
        <v>0</v>
      </c>
      <c r="L83" s="595" t="str">
        <f>B83</f>
        <v>**</v>
      </c>
      <c r="M83" s="593" t="s">
        <v>1361</v>
      </c>
      <c r="N83" s="593" t="s">
        <v>238</v>
      </c>
    </row>
    <row r="84" spans="1:14">
      <c r="A84" s="647"/>
      <c r="B84" s="595" t="s">
        <v>1319</v>
      </c>
      <c r="C84" s="595" t="s">
        <v>1315</v>
      </c>
      <c r="D84" s="608">
        <f t="shared" ref="D84" si="32">D81-D82</f>
        <v>192748.75999999975</v>
      </c>
      <c r="E84" s="608"/>
      <c r="F84" s="608"/>
      <c r="G84" s="1032">
        <f>G81-G82</f>
        <v>192748.75999999975</v>
      </c>
      <c r="H84" s="975">
        <f>H81-H82</f>
        <v>44207891</v>
      </c>
      <c r="I84" s="975"/>
      <c r="J84" s="975"/>
      <c r="K84" s="978">
        <f>K81-K82</f>
        <v>44207891</v>
      </c>
      <c r="L84" s="622" t="str">
        <f>B84</f>
        <v>*</v>
      </c>
      <c r="M84" s="607"/>
      <c r="N84" s="607"/>
    </row>
    <row r="85" spans="1:14">
      <c r="A85" s="647"/>
      <c r="B85" s="595" t="s">
        <v>1319</v>
      </c>
      <c r="C85" s="595" t="s">
        <v>1362</v>
      </c>
      <c r="D85" s="608">
        <f t="shared" ref="D85" si="33">SUM(D86:D87)</f>
        <v>0</v>
      </c>
      <c r="E85" s="608"/>
      <c r="F85" s="608"/>
      <c r="G85" s="1032">
        <f>SUM(G86:G86)</f>
        <v>0</v>
      </c>
      <c r="H85" s="975">
        <f>SUM(H86:H87)</f>
        <v>99968525</v>
      </c>
      <c r="I85" s="975"/>
      <c r="J85" s="975"/>
      <c r="K85" s="975">
        <f>SUM(K86:K87)</f>
        <v>99968525</v>
      </c>
      <c r="L85" s="622" t="s">
        <v>1047</v>
      </c>
      <c r="M85" s="607"/>
      <c r="N85" s="607"/>
    </row>
    <row r="86" spans="1:14">
      <c r="A86" s="647" t="s">
        <v>1790</v>
      </c>
      <c r="B86" s="595" t="s">
        <v>1257</v>
      </c>
      <c r="C86" s="595" t="s">
        <v>78</v>
      </c>
      <c r="D86" s="613"/>
      <c r="E86" s="613"/>
      <c r="F86" s="613"/>
      <c r="G86" s="1033">
        <f>D86+E86-F86</f>
        <v>0</v>
      </c>
      <c r="H86" s="718">
        <v>0</v>
      </c>
      <c r="I86" s="718"/>
      <c r="J86" s="718"/>
      <c r="K86" s="977">
        <f>H86+I86-J86</f>
        <v>0</v>
      </c>
      <c r="L86" s="595" t="s">
        <v>1043</v>
      </c>
      <c r="M86" s="593" t="s">
        <v>1363</v>
      </c>
      <c r="N86" s="593" t="s">
        <v>78</v>
      </c>
    </row>
    <row r="87" spans="1:14">
      <c r="A87" s="647" t="s">
        <v>1794</v>
      </c>
      <c r="B87" s="595"/>
      <c r="C87" s="595" t="s">
        <v>1668</v>
      </c>
      <c r="D87" s="613"/>
      <c r="E87" s="613"/>
      <c r="F87" s="613"/>
      <c r="G87" s="1033">
        <f>D87+E87-F87</f>
        <v>0</v>
      </c>
      <c r="H87" s="989">
        <f>HK!F122</f>
        <v>99968525</v>
      </c>
      <c r="I87" s="718"/>
      <c r="J87" s="1017"/>
      <c r="K87" s="977">
        <f>H87+I87-J87</f>
        <v>99968525</v>
      </c>
      <c r="L87" s="595"/>
      <c r="M87" s="593"/>
      <c r="N87" s="593"/>
    </row>
    <row r="88" spans="1:14" ht="14.25" thickBot="1">
      <c r="A88" s="648"/>
      <c r="B88" s="595" t="s">
        <v>1319</v>
      </c>
      <c r="C88" s="595" t="s">
        <v>1364</v>
      </c>
      <c r="D88" s="608">
        <f t="shared" ref="D88" si="34">D84+D85</f>
        <v>192748.75999999975</v>
      </c>
      <c r="E88" s="608"/>
      <c r="F88" s="608"/>
      <c r="G88" s="1034">
        <f>G84+G85</f>
        <v>192748.75999999975</v>
      </c>
      <c r="H88" s="975">
        <f>H84+H85</f>
        <v>144176416</v>
      </c>
      <c r="I88" s="975"/>
      <c r="J88" s="975"/>
      <c r="K88" s="975">
        <f>K84+K85</f>
        <v>144176416</v>
      </c>
      <c r="L88" s="622" t="s">
        <v>1047</v>
      </c>
      <c r="M88" s="607"/>
      <c r="N88" s="607"/>
    </row>
    <row r="89" spans="1:14">
      <c r="A89" s="596"/>
      <c r="D89" s="598"/>
      <c r="E89" s="598"/>
      <c r="F89" s="598"/>
      <c r="H89" s="599"/>
      <c r="I89" s="599"/>
      <c r="J89" s="599"/>
    </row>
    <row r="90" spans="1:14">
      <c r="A90" s="596"/>
      <c r="D90" s="626"/>
      <c r="E90" s="599">
        <f>SUM(E5:E84)</f>
        <v>0</v>
      </c>
      <c r="F90" s="599">
        <f>SUM(F5:F84)</f>
        <v>0</v>
      </c>
      <c r="H90" s="599"/>
      <c r="I90" s="599">
        <f>SUM(I5:I84)</f>
        <v>0</v>
      </c>
      <c r="J90" s="599">
        <f>SUM(J5:J84)</f>
        <v>0</v>
      </c>
    </row>
    <row r="91" spans="1:14">
      <c r="C91" s="600"/>
      <c r="D91" s="627"/>
      <c r="E91" s="627"/>
      <c r="F91" s="627">
        <f>F90-E90</f>
        <v>0</v>
      </c>
      <c r="H91" s="601"/>
    </row>
    <row r="92" spans="1:14">
      <c r="C92" s="589" t="s">
        <v>2619</v>
      </c>
    </row>
    <row r="93" spans="1:14">
      <c r="C93" s="1292" t="s">
        <v>2881</v>
      </c>
      <c r="D93" s="1579">
        <v>39600</v>
      </c>
    </row>
    <row r="94" spans="1:14">
      <c r="C94" s="1578" t="s">
        <v>2993</v>
      </c>
      <c r="D94" s="1580">
        <v>0</v>
      </c>
    </row>
    <row r="95" spans="1:14">
      <c r="C95" s="1292" t="s">
        <v>2876</v>
      </c>
      <c r="D95" s="1579">
        <v>0</v>
      </c>
    </row>
    <row r="96" spans="1:14">
      <c r="C96" s="1292" t="s">
        <v>2877</v>
      </c>
      <c r="D96" s="1579">
        <v>10687.98</v>
      </c>
      <c r="G96" s="1293"/>
    </row>
    <row r="97" spans="3:4">
      <c r="C97" s="1292" t="s">
        <v>2878</v>
      </c>
      <c r="D97" s="1579">
        <v>3000</v>
      </c>
    </row>
    <row r="98" spans="3:4">
      <c r="C98" s="1292" t="s">
        <v>2879</v>
      </c>
      <c r="D98" s="1579">
        <v>0</v>
      </c>
    </row>
    <row r="99" spans="3:4">
      <c r="C99" s="1578" t="s">
        <v>3408</v>
      </c>
      <c r="D99" s="1580">
        <v>1991.6599999999999</v>
      </c>
    </row>
    <row r="100" spans="3:4">
      <c r="C100" s="1292" t="s">
        <v>2880</v>
      </c>
      <c r="D100" s="1579">
        <v>2200</v>
      </c>
    </row>
    <row r="101" spans="3:4">
      <c r="C101" s="1292" t="s">
        <v>2935</v>
      </c>
      <c r="D101" s="1579">
        <v>8100</v>
      </c>
    </row>
  </sheetData>
  <mergeCells count="4">
    <mergeCell ref="B3:C3"/>
    <mergeCell ref="I3:J3"/>
    <mergeCell ref="L3:M3"/>
    <mergeCell ref="E3:F3"/>
  </mergeCells>
  <phoneticPr fontId="3" type="noConversion"/>
  <pageMargins left="0.7" right="0.7" top="0.75" bottom="0.75" header="0.3" footer="0.3"/>
  <legacy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9">
    <tabColor theme="8" tint="0.79998168889431442"/>
  </sheetPr>
  <dimension ref="A1:N137"/>
  <sheetViews>
    <sheetView zoomScale="85" zoomScaleNormal="85" workbookViewId="0">
      <pane ySplit="4" topLeftCell="A95" activePane="bottomLeft" state="frozen"/>
      <selection activeCell="H136" sqref="H136"/>
      <selection pane="bottomLeft" activeCell="D131" sqref="D131"/>
    </sheetView>
  </sheetViews>
  <sheetFormatPr defaultColWidth="8" defaultRowHeight="13.5"/>
  <cols>
    <col min="1" max="1" width="8.875" style="1008" customWidth="1"/>
    <col min="2" max="2" width="5.625" style="602" customWidth="1"/>
    <col min="3" max="3" width="27.625" style="596" customWidth="1"/>
    <col min="4" max="7" width="13.625" style="598" customWidth="1"/>
    <col min="8" max="8" width="13.625" style="603" customWidth="1"/>
    <col min="9" max="11" width="13.625" style="1008" customWidth="1"/>
    <col min="12" max="12" width="5.625" style="1008" customWidth="1"/>
    <col min="13" max="13" width="18" style="596" customWidth="1"/>
    <col min="14" max="14" width="34" style="596" customWidth="1"/>
    <col min="15" max="15" width="8" style="596"/>
    <col min="16" max="16" width="10.125" style="596" bestFit="1" customWidth="1"/>
    <col min="17" max="18" width="9" style="596" bestFit="1" customWidth="1"/>
    <col min="19" max="16384" width="8" style="596"/>
  </cols>
  <sheetData>
    <row r="1" spans="1:14">
      <c r="A1" s="1008" t="s">
        <v>2626</v>
      </c>
    </row>
    <row r="3" spans="1:14" s="604" customFormat="1" ht="14.25" thickBot="1">
      <c r="B3" s="1983" t="s">
        <v>1035</v>
      </c>
      <c r="C3" s="1983"/>
      <c r="D3" s="590" t="s">
        <v>1036</v>
      </c>
      <c r="E3" s="1984" t="s">
        <v>1037</v>
      </c>
      <c r="F3" s="1985"/>
      <c r="G3" s="590" t="s">
        <v>1036</v>
      </c>
      <c r="H3" s="1134">
        <f>HK_PL!H3</f>
        <v>46203</v>
      </c>
      <c r="I3" s="1984" t="s">
        <v>1037</v>
      </c>
      <c r="J3" s="1985"/>
      <c r="K3" s="1134">
        <f>H3</f>
        <v>46203</v>
      </c>
      <c r="L3" s="1009" t="s">
        <v>1038</v>
      </c>
      <c r="M3" s="1009"/>
      <c r="N3" s="590"/>
    </row>
    <row r="4" spans="1:14" ht="27" customHeight="1">
      <c r="A4" s="646" t="s">
        <v>486</v>
      </c>
      <c r="B4" s="594" t="s">
        <v>1039</v>
      </c>
      <c r="C4" s="594" t="s">
        <v>1040</v>
      </c>
      <c r="D4" s="591"/>
      <c r="E4" s="1010" t="s">
        <v>230</v>
      </c>
      <c r="F4" s="1010" t="s">
        <v>232</v>
      </c>
      <c r="G4" s="591">
        <f>환율!C7</f>
        <v>196.6</v>
      </c>
      <c r="H4" s="605" t="s">
        <v>1041</v>
      </c>
      <c r="I4" s="1010" t="s">
        <v>230</v>
      </c>
      <c r="J4" s="1010" t="s">
        <v>232</v>
      </c>
      <c r="K4" s="605" t="s">
        <v>2536</v>
      </c>
      <c r="L4" s="1010" t="s">
        <v>1039</v>
      </c>
      <c r="M4" s="594" t="s">
        <v>1042</v>
      </c>
      <c r="N4" s="594" t="s">
        <v>1040</v>
      </c>
    </row>
    <row r="5" spans="1:14">
      <c r="A5" s="647"/>
      <c r="B5" s="993" t="s">
        <v>1043</v>
      </c>
      <c r="C5" s="994" t="s">
        <v>1044</v>
      </c>
      <c r="D5" s="995">
        <f t="shared" ref="D5" si="0">SUM(D6,D41)</f>
        <v>1822146.4699999997</v>
      </c>
      <c r="E5" s="995"/>
      <c r="F5" s="995"/>
      <c r="G5" s="995">
        <f t="shared" ref="G5" si="1">SUM(G6,G41)</f>
        <v>1822146.4699999997</v>
      </c>
      <c r="H5" s="996">
        <f>SUM(H6,H41)</f>
        <v>358233996</v>
      </c>
      <c r="I5" s="1011"/>
      <c r="J5" s="1011"/>
      <c r="K5" s="996">
        <f>SUM(K6,K41)</f>
        <v>358233996</v>
      </c>
      <c r="L5" s="1012" t="str">
        <f t="shared" ref="L5:L10" si="2">B5</f>
        <v>*</v>
      </c>
      <c r="M5" s="994"/>
      <c r="N5" s="994"/>
    </row>
    <row r="6" spans="1:14">
      <c r="A6" s="647"/>
      <c r="B6" s="997" t="s">
        <v>1045</v>
      </c>
      <c r="C6" s="998" t="s">
        <v>1046</v>
      </c>
      <c r="D6" s="999">
        <f t="shared" ref="D6" si="3">SUM(D7,D33)</f>
        <v>338123.41</v>
      </c>
      <c r="E6" s="999"/>
      <c r="F6" s="999"/>
      <c r="G6" s="999">
        <f t="shared" ref="G6" si="4">SUM(G7,G33)</f>
        <v>338123.41</v>
      </c>
      <c r="H6" s="1000">
        <f>SUM(H7,H33)</f>
        <v>66475063</v>
      </c>
      <c r="I6" s="1013"/>
      <c r="J6" s="1013"/>
      <c r="K6" s="1000">
        <f>SUM(K7,K33)</f>
        <v>66475063</v>
      </c>
      <c r="L6" s="1014" t="str">
        <f t="shared" si="2"/>
        <v>**</v>
      </c>
      <c r="M6" s="998"/>
      <c r="N6" s="998"/>
    </row>
    <row r="7" spans="1:14">
      <c r="A7" s="647"/>
      <c r="B7" s="609" t="s">
        <v>1047</v>
      </c>
      <c r="C7" s="610" t="s">
        <v>1048</v>
      </c>
      <c r="D7" s="611">
        <f t="shared" ref="D7" si="5">SUM(D8,D13,D19,D22,D23)</f>
        <v>338123.41</v>
      </c>
      <c r="E7" s="611"/>
      <c r="F7" s="611"/>
      <c r="G7" s="611">
        <f t="shared" ref="G7" si="6">SUM(G8,G13,G19,G22,G23)</f>
        <v>338123.41</v>
      </c>
      <c r="H7" s="976">
        <f>SUM(H8,H13,H19,H22,H23)</f>
        <v>66475063</v>
      </c>
      <c r="I7" s="1015"/>
      <c r="J7" s="1015"/>
      <c r="K7" s="976">
        <f>SUM(K8,K13,K19,K22,K23)</f>
        <v>66475063</v>
      </c>
      <c r="L7" s="1016" t="str">
        <f t="shared" si="2"/>
        <v>***</v>
      </c>
      <c r="M7" s="610"/>
      <c r="N7" s="610"/>
    </row>
    <row r="8" spans="1:14">
      <c r="A8" s="647"/>
      <c r="B8" s="612" t="s">
        <v>1049</v>
      </c>
      <c r="C8" s="593" t="s">
        <v>1050</v>
      </c>
      <c r="D8" s="613">
        <f t="shared" ref="D8" si="7">SUM(D9:D10,D12)</f>
        <v>126300.38999999998</v>
      </c>
      <c r="E8" s="613"/>
      <c r="F8" s="613"/>
      <c r="G8" s="1027">
        <f>SUM(G9:G10,G12)</f>
        <v>126300.38999999998</v>
      </c>
      <c r="H8" s="718">
        <f>SUM(H9:H10,H12)</f>
        <v>24830657</v>
      </c>
      <c r="I8" s="1017"/>
      <c r="J8" s="1017"/>
      <c r="K8" s="718">
        <f>SUM(K9:K10,K12)</f>
        <v>24830657</v>
      </c>
      <c r="L8" s="1018" t="str">
        <f t="shared" si="2"/>
        <v>****</v>
      </c>
      <c r="M8" s="593"/>
      <c r="N8" s="593"/>
    </row>
    <row r="9" spans="1:14">
      <c r="A9" s="647" t="s">
        <v>623</v>
      </c>
      <c r="B9" s="612" t="s">
        <v>1051</v>
      </c>
      <c r="C9" s="593" t="s">
        <v>1052</v>
      </c>
      <c r="D9" s="613">
        <v>0</v>
      </c>
      <c r="E9" s="613"/>
      <c r="F9" s="613"/>
      <c r="G9" s="1028">
        <f>D9+E9-F9</f>
        <v>0</v>
      </c>
      <c r="H9" s="977">
        <f>ROUND(G9*$G$4,)</f>
        <v>0</v>
      </c>
      <c r="I9" s="1017"/>
      <c r="J9" s="1017"/>
      <c r="K9" s="977">
        <f>H9+I9-J9</f>
        <v>0</v>
      </c>
      <c r="L9" s="1018" t="str">
        <f t="shared" si="2"/>
        <v>*****</v>
      </c>
      <c r="M9" s="593" t="s">
        <v>359</v>
      </c>
      <c r="N9" s="593" t="s">
        <v>1053</v>
      </c>
    </row>
    <row r="10" spans="1:14">
      <c r="A10" s="647" t="s">
        <v>624</v>
      </c>
      <c r="B10" s="612" t="s">
        <v>1051</v>
      </c>
      <c r="C10" s="593" t="s">
        <v>1055</v>
      </c>
      <c r="D10" s="614">
        <v>126300.38999999998</v>
      </c>
      <c r="E10" s="614"/>
      <c r="F10" s="614"/>
      <c r="G10" s="1028">
        <f>D10+E10-F10</f>
        <v>126300.38999999998</v>
      </c>
      <c r="H10" s="977">
        <f>ROUND(G10*$G$4,)</f>
        <v>24830657</v>
      </c>
      <c r="I10" s="1017"/>
      <c r="J10" s="1017"/>
      <c r="K10" s="977">
        <f>H10+I10-J10</f>
        <v>24830657</v>
      </c>
      <c r="L10" s="1018" t="str">
        <f t="shared" si="2"/>
        <v>*****</v>
      </c>
      <c r="M10" s="593" t="s">
        <v>359</v>
      </c>
      <c r="N10" s="593" t="s">
        <v>1056</v>
      </c>
    </row>
    <row r="11" spans="1:14">
      <c r="A11" s="647"/>
      <c r="B11" s="612"/>
      <c r="C11" s="593" t="s">
        <v>1057</v>
      </c>
      <c r="D11" s="613"/>
      <c r="E11" s="613"/>
      <c r="F11" s="613"/>
      <c r="G11" s="1028">
        <f>D11+E11-F11</f>
        <v>0</v>
      </c>
      <c r="H11" s="977">
        <f>ROUND(G11*$G$4,)</f>
        <v>0</v>
      </c>
      <c r="I11" s="1017"/>
      <c r="J11" s="1017"/>
      <c r="K11" s="977">
        <f>H11+I11-J11</f>
        <v>0</v>
      </c>
      <c r="L11" s="1018"/>
      <c r="M11" s="593"/>
      <c r="N11" s="593"/>
    </row>
    <row r="12" spans="1:14">
      <c r="A12" s="647" t="s">
        <v>625</v>
      </c>
      <c r="B12" s="612" t="s">
        <v>1051</v>
      </c>
      <c r="C12" s="593" t="s">
        <v>1058</v>
      </c>
      <c r="D12" s="613">
        <v>0</v>
      </c>
      <c r="E12" s="613"/>
      <c r="F12" s="613"/>
      <c r="G12" s="1028">
        <f>D12+E12-F12</f>
        <v>0</v>
      </c>
      <c r="H12" s="977">
        <f>ROUND(G12*$G$4,)</f>
        <v>0</v>
      </c>
      <c r="I12" s="1017"/>
      <c r="J12" s="1017"/>
      <c r="K12" s="977">
        <f>H12+I12-J12</f>
        <v>0</v>
      </c>
      <c r="L12" s="1018" t="str">
        <f t="shared" ref="L12:L38" si="8">B12</f>
        <v>*****</v>
      </c>
      <c r="M12" s="593" t="s">
        <v>359</v>
      </c>
      <c r="N12" s="593" t="s">
        <v>1059</v>
      </c>
    </row>
    <row r="13" spans="1:14">
      <c r="A13" s="647"/>
      <c r="B13" s="612" t="s">
        <v>1049</v>
      </c>
      <c r="C13" s="593" t="s">
        <v>1060</v>
      </c>
      <c r="D13" s="613"/>
      <c r="E13" s="613"/>
      <c r="F13" s="613"/>
      <c r="G13" s="1027">
        <f>SUM(G14:G15,G18)</f>
        <v>0</v>
      </c>
      <c r="H13" s="718">
        <f>SUM(H14:H15,H18)</f>
        <v>0</v>
      </c>
      <c r="I13" s="1017"/>
      <c r="J13" s="1017"/>
      <c r="K13" s="718">
        <f>SUM(K14:K15,K18)</f>
        <v>0</v>
      </c>
      <c r="L13" s="1018" t="str">
        <f t="shared" si="8"/>
        <v>****</v>
      </c>
      <c r="M13" s="593"/>
      <c r="N13" s="593"/>
    </row>
    <row r="14" spans="1:14">
      <c r="A14" s="647"/>
      <c r="B14" s="612" t="s">
        <v>1051</v>
      </c>
      <c r="C14" s="593" t="s">
        <v>1062</v>
      </c>
      <c r="D14" s="613"/>
      <c r="E14" s="613"/>
      <c r="F14" s="613"/>
      <c r="G14" s="1028">
        <f>D14+E14-F14</f>
        <v>0</v>
      </c>
      <c r="H14" s="977">
        <f t="shared" ref="H14:H18" si="9">ROUND(G14*$G$4,)</f>
        <v>0</v>
      </c>
      <c r="I14" s="1017"/>
      <c r="J14" s="1017"/>
      <c r="K14" s="977">
        <f>H14+I14-J14</f>
        <v>0</v>
      </c>
      <c r="L14" s="1018" t="str">
        <f t="shared" si="8"/>
        <v>*****</v>
      </c>
      <c r="M14" s="593" t="s">
        <v>1063</v>
      </c>
      <c r="N14" s="593" t="s">
        <v>1064</v>
      </c>
    </row>
    <row r="15" spans="1:14">
      <c r="A15" s="647"/>
      <c r="B15" s="612" t="s">
        <v>1051</v>
      </c>
      <c r="C15" s="593" t="s">
        <v>1065</v>
      </c>
      <c r="D15" s="613"/>
      <c r="E15" s="613"/>
      <c r="F15" s="613"/>
      <c r="G15" s="1028">
        <f>D15+E15-F15</f>
        <v>0</v>
      </c>
      <c r="H15" s="977">
        <f t="shared" si="9"/>
        <v>0</v>
      </c>
      <c r="I15" s="1017"/>
      <c r="J15" s="1017"/>
      <c r="K15" s="977">
        <f>H15+I15-J15</f>
        <v>0</v>
      </c>
      <c r="L15" s="1018" t="str">
        <f t="shared" si="8"/>
        <v>*****</v>
      </c>
      <c r="M15" s="593"/>
      <c r="N15" s="593"/>
    </row>
    <row r="16" spans="1:14">
      <c r="A16" s="647"/>
      <c r="B16" s="612" t="s">
        <v>1066</v>
      </c>
      <c r="C16" s="593" t="s">
        <v>1067</v>
      </c>
      <c r="D16" s="613"/>
      <c r="E16" s="613"/>
      <c r="F16" s="613"/>
      <c r="G16" s="1028">
        <f>D16+E16-F16</f>
        <v>0</v>
      </c>
      <c r="H16" s="977">
        <f t="shared" si="9"/>
        <v>0</v>
      </c>
      <c r="I16" s="1017"/>
      <c r="J16" s="1017"/>
      <c r="K16" s="977">
        <f>H16+I16-J16</f>
        <v>0</v>
      </c>
      <c r="L16" s="1018" t="str">
        <f t="shared" si="8"/>
        <v>******</v>
      </c>
      <c r="M16" s="593" t="s">
        <v>1054</v>
      </c>
      <c r="N16" s="593" t="s">
        <v>1068</v>
      </c>
    </row>
    <row r="17" spans="1:14">
      <c r="A17" s="647"/>
      <c r="B17" s="612" t="s">
        <v>1066</v>
      </c>
      <c r="C17" s="593" t="s">
        <v>1069</v>
      </c>
      <c r="D17" s="613"/>
      <c r="E17" s="613"/>
      <c r="F17" s="613"/>
      <c r="G17" s="1028">
        <f>D17+E17-F17</f>
        <v>0</v>
      </c>
      <c r="H17" s="977">
        <f t="shared" si="9"/>
        <v>0</v>
      </c>
      <c r="I17" s="1017"/>
      <c r="J17" s="1017"/>
      <c r="K17" s="977">
        <f>H17+I17-J17</f>
        <v>0</v>
      </c>
      <c r="L17" s="1018" t="str">
        <f t="shared" si="8"/>
        <v>******</v>
      </c>
      <c r="M17" s="593" t="s">
        <v>1054</v>
      </c>
      <c r="N17" s="593" t="s">
        <v>1070</v>
      </c>
    </row>
    <row r="18" spans="1:14">
      <c r="A18" s="647"/>
      <c r="B18" s="612" t="s">
        <v>1051</v>
      </c>
      <c r="C18" s="593" t="s">
        <v>1071</v>
      </c>
      <c r="D18" s="613"/>
      <c r="E18" s="613"/>
      <c r="F18" s="613"/>
      <c r="G18" s="1028">
        <f>D18+E18-F18</f>
        <v>0</v>
      </c>
      <c r="H18" s="977">
        <f t="shared" si="9"/>
        <v>0</v>
      </c>
      <c r="I18" s="1017"/>
      <c r="J18" s="1017"/>
      <c r="K18" s="977">
        <f>H18+I18-J18</f>
        <v>0</v>
      </c>
      <c r="L18" s="1018" t="str">
        <f t="shared" si="8"/>
        <v>*****</v>
      </c>
      <c r="M18" s="593" t="s">
        <v>1063</v>
      </c>
      <c r="N18" s="593" t="s">
        <v>1072</v>
      </c>
    </row>
    <row r="19" spans="1:14">
      <c r="A19" s="647"/>
      <c r="B19" s="612" t="s">
        <v>1049</v>
      </c>
      <c r="C19" s="593" t="s">
        <v>1073</v>
      </c>
      <c r="D19" s="1027">
        <f>SUM(D20:D21)</f>
        <v>0</v>
      </c>
      <c r="E19" s="613"/>
      <c r="F19" s="613"/>
      <c r="G19" s="1027">
        <f>SUM(G20:G21)</f>
        <v>0</v>
      </c>
      <c r="H19" s="718">
        <f>SUM(H20:H21)</f>
        <v>0</v>
      </c>
      <c r="I19" s="1017"/>
      <c r="J19" s="1017"/>
      <c r="K19" s="718">
        <f>SUM(K20:K21)</f>
        <v>0</v>
      </c>
      <c r="L19" s="1018" t="str">
        <f t="shared" si="8"/>
        <v>****</v>
      </c>
      <c r="M19" s="593"/>
      <c r="N19" s="593"/>
    </row>
    <row r="20" spans="1:14">
      <c r="A20" s="647" t="s">
        <v>628</v>
      </c>
      <c r="B20" s="612" t="s">
        <v>1051</v>
      </c>
      <c r="C20" s="593" t="s">
        <v>1074</v>
      </c>
      <c r="D20" s="613">
        <v>0</v>
      </c>
      <c r="E20" s="613"/>
      <c r="F20" s="613"/>
      <c r="G20" s="1028">
        <f>D20+E20-F20</f>
        <v>0</v>
      </c>
      <c r="H20" s="1154">
        <f>ROUND(G20*$G$4,)</f>
        <v>0</v>
      </c>
      <c r="I20" s="1017"/>
      <c r="J20" s="1017"/>
      <c r="K20" s="977">
        <f>H20+I20-J20</f>
        <v>0</v>
      </c>
      <c r="L20" s="1018" t="str">
        <f t="shared" si="8"/>
        <v>*****</v>
      </c>
      <c r="M20" s="593" t="s">
        <v>1054</v>
      </c>
      <c r="N20" s="593" t="s">
        <v>1075</v>
      </c>
    </row>
    <row r="21" spans="1:14">
      <c r="A21" s="647" t="s">
        <v>629</v>
      </c>
      <c r="B21" s="612" t="s">
        <v>1051</v>
      </c>
      <c r="C21" s="593" t="s">
        <v>1076</v>
      </c>
      <c r="D21" s="613"/>
      <c r="E21" s="613"/>
      <c r="F21" s="613"/>
      <c r="G21" s="1028">
        <f>D21+E21-F21</f>
        <v>0</v>
      </c>
      <c r="H21" s="977">
        <f t="shared" ref="H21" si="10">ROUND(G21*$G$4,)</f>
        <v>0</v>
      </c>
      <c r="I21" s="1017"/>
      <c r="J21" s="1017"/>
      <c r="K21" s="977">
        <f>H21+I21-J21</f>
        <v>0</v>
      </c>
      <c r="L21" s="1018" t="str">
        <f t="shared" si="8"/>
        <v>*****</v>
      </c>
      <c r="M21" s="593" t="s">
        <v>1054</v>
      </c>
      <c r="N21" s="593" t="s">
        <v>1077</v>
      </c>
    </row>
    <row r="22" spans="1:14">
      <c r="A22" s="647"/>
      <c r="B22" s="612" t="s">
        <v>1049</v>
      </c>
      <c r="C22" s="593" t="s">
        <v>1078</v>
      </c>
      <c r="D22" s="613"/>
      <c r="E22" s="613"/>
      <c r="F22" s="613"/>
      <c r="G22" s="1028">
        <f>D22+E22-F22</f>
        <v>0</v>
      </c>
      <c r="H22" s="977">
        <f>ROUND(G22*$G$4,)</f>
        <v>0</v>
      </c>
      <c r="I22" s="1017"/>
      <c r="J22" s="1017"/>
      <c r="K22" s="977">
        <f>H22+I22-J22</f>
        <v>0</v>
      </c>
      <c r="L22" s="1018" t="str">
        <f t="shared" si="8"/>
        <v>****</v>
      </c>
      <c r="M22" s="593" t="s">
        <v>105</v>
      </c>
      <c r="N22" s="593" t="s">
        <v>1079</v>
      </c>
    </row>
    <row r="23" spans="1:14">
      <c r="A23" s="647"/>
      <c r="B23" s="612" t="s">
        <v>1049</v>
      </c>
      <c r="C23" s="593" t="s">
        <v>1080</v>
      </c>
      <c r="D23" s="1027">
        <f>SUM(D24:D28,D31:D32)</f>
        <v>211823.02</v>
      </c>
      <c r="E23" s="613"/>
      <c r="F23" s="613"/>
      <c r="G23" s="1027">
        <f>SUM(G24:G28,G31:G32)</f>
        <v>211823.02</v>
      </c>
      <c r="H23" s="1027">
        <f>SUM(H24:H28,H31:H32)</f>
        <v>41644406</v>
      </c>
      <c r="I23" s="1017"/>
      <c r="J23" s="1017"/>
      <c r="K23" s="1027">
        <f>SUM(K24:K28,K31:K32)</f>
        <v>41644406</v>
      </c>
      <c r="L23" s="1018" t="str">
        <f t="shared" si="8"/>
        <v>****</v>
      </c>
      <c r="M23" s="593"/>
      <c r="N23" s="593"/>
    </row>
    <row r="24" spans="1:14">
      <c r="A24" s="647"/>
      <c r="B24" s="612" t="s">
        <v>1051</v>
      </c>
      <c r="C24" s="593" t="s">
        <v>1081</v>
      </c>
      <c r="D24" s="613"/>
      <c r="E24" s="613"/>
      <c r="F24" s="613"/>
      <c r="G24" s="1028">
        <f>D24+E24-F24</f>
        <v>0</v>
      </c>
      <c r="H24" s="977">
        <f t="shared" ref="H24:H32" si="11">ROUND(G24*$G$4,)</f>
        <v>0</v>
      </c>
      <c r="I24" s="1017"/>
      <c r="J24" s="1017"/>
      <c r="K24" s="977">
        <f>H24+I24-J24</f>
        <v>0</v>
      </c>
      <c r="L24" s="1018" t="str">
        <f t="shared" si="8"/>
        <v>*****</v>
      </c>
      <c r="M24" s="593" t="s">
        <v>1054</v>
      </c>
      <c r="N24" s="593" t="s">
        <v>1082</v>
      </c>
    </row>
    <row r="25" spans="1:14">
      <c r="A25" s="647"/>
      <c r="B25" s="612" t="s">
        <v>1051</v>
      </c>
      <c r="C25" s="593" t="s">
        <v>1083</v>
      </c>
      <c r="D25" s="613"/>
      <c r="E25" s="613"/>
      <c r="F25" s="613"/>
      <c r="G25" s="1028">
        <f>D25+E25-F25</f>
        <v>0</v>
      </c>
      <c r="H25" s="977">
        <f t="shared" si="11"/>
        <v>0</v>
      </c>
      <c r="I25" s="1017"/>
      <c r="J25" s="1017"/>
      <c r="K25" s="977">
        <f>H25+I25-J25</f>
        <v>0</v>
      </c>
      <c r="L25" s="1018" t="str">
        <f t="shared" si="8"/>
        <v>*****</v>
      </c>
      <c r="M25" s="593" t="s">
        <v>1054</v>
      </c>
      <c r="N25" s="593" t="s">
        <v>1084</v>
      </c>
    </row>
    <row r="26" spans="1:14">
      <c r="A26" s="647"/>
      <c r="B26" s="612" t="s">
        <v>1051</v>
      </c>
      <c r="C26" s="593" t="s">
        <v>1085</v>
      </c>
      <c r="D26" s="613"/>
      <c r="E26" s="613"/>
      <c r="F26" s="613"/>
      <c r="G26" s="1028">
        <f>D26+E26-F26</f>
        <v>0</v>
      </c>
      <c r="H26" s="977">
        <f t="shared" si="11"/>
        <v>0</v>
      </c>
      <c r="I26" s="1017"/>
      <c r="J26" s="1017"/>
      <c r="K26" s="977">
        <f>H26+I26-J26</f>
        <v>0</v>
      </c>
      <c r="L26" s="1018" t="str">
        <f t="shared" si="8"/>
        <v>*****</v>
      </c>
      <c r="M26" s="593" t="s">
        <v>1054</v>
      </c>
      <c r="N26" s="593" t="s">
        <v>1086</v>
      </c>
    </row>
    <row r="27" spans="1:14">
      <c r="A27" s="647"/>
      <c r="B27" s="612" t="s">
        <v>1051</v>
      </c>
      <c r="C27" s="593" t="s">
        <v>1088</v>
      </c>
      <c r="D27" s="613"/>
      <c r="E27" s="613"/>
      <c r="F27" s="613"/>
      <c r="G27" s="1028">
        <f>D27+E27-F27</f>
        <v>0</v>
      </c>
      <c r="H27" s="977">
        <f t="shared" si="11"/>
        <v>0</v>
      </c>
      <c r="I27" s="1017"/>
      <c r="J27" s="1017"/>
      <c r="K27" s="977">
        <f>H27+I27-J27</f>
        <v>0</v>
      </c>
      <c r="L27" s="1018" t="str">
        <f t="shared" si="8"/>
        <v>*****</v>
      </c>
      <c r="M27" s="593" t="s">
        <v>1054</v>
      </c>
      <c r="N27" s="593" t="s">
        <v>1089</v>
      </c>
    </row>
    <row r="28" spans="1:14">
      <c r="A28" s="647"/>
      <c r="B28" s="612" t="s">
        <v>1051</v>
      </c>
      <c r="C28" s="593" t="s">
        <v>1090</v>
      </c>
      <c r="D28" s="1027">
        <f>SUM(D29,D30)</f>
        <v>6107.52</v>
      </c>
      <c r="E28" s="613"/>
      <c r="F28" s="613"/>
      <c r="G28" s="1027">
        <f>SUM(G29,G30)</f>
        <v>6107.52</v>
      </c>
      <c r="H28" s="977">
        <f>H29+H30</f>
        <v>1200739</v>
      </c>
      <c r="I28" s="1017"/>
      <c r="J28" s="1017"/>
      <c r="K28" s="718">
        <f>SUM(K29,K30)</f>
        <v>1200739</v>
      </c>
      <c r="L28" s="1018" t="str">
        <f t="shared" si="8"/>
        <v>*****</v>
      </c>
      <c r="M28" s="593"/>
      <c r="N28" s="593"/>
    </row>
    <row r="29" spans="1:14">
      <c r="A29" s="647" t="s">
        <v>634</v>
      </c>
      <c r="B29" s="612" t="s">
        <v>1066</v>
      </c>
      <c r="C29" s="593" t="s">
        <v>1092</v>
      </c>
      <c r="D29" s="613">
        <v>6107.52</v>
      </c>
      <c r="E29" s="613"/>
      <c r="F29" s="613"/>
      <c r="G29" s="1028">
        <f t="shared" ref="G29:G32" si="12">D29+E29-F29</f>
        <v>6107.52</v>
      </c>
      <c r="H29" s="992">
        <f>ROUND(G29*$G$4,)+1</f>
        <v>1200739</v>
      </c>
      <c r="I29" s="1017"/>
      <c r="J29" s="1017"/>
      <c r="K29" s="977">
        <f t="shared" ref="K29:K32" si="13">H29+I29-J29</f>
        <v>1200739</v>
      </c>
      <c r="L29" s="1018" t="str">
        <f t="shared" si="8"/>
        <v>******</v>
      </c>
      <c r="M29" s="593" t="s">
        <v>105</v>
      </c>
      <c r="N29" s="593" t="s">
        <v>1093</v>
      </c>
    </row>
    <row r="30" spans="1:14">
      <c r="A30" s="647"/>
      <c r="B30" s="612" t="s">
        <v>1066</v>
      </c>
      <c r="C30" s="593" t="s">
        <v>1094</v>
      </c>
      <c r="D30" s="613"/>
      <c r="E30" s="613"/>
      <c r="F30" s="613"/>
      <c r="G30" s="1028">
        <f t="shared" si="12"/>
        <v>0</v>
      </c>
      <c r="H30" s="977">
        <f t="shared" si="11"/>
        <v>0</v>
      </c>
      <c r="I30" s="1017"/>
      <c r="J30" s="1017"/>
      <c r="K30" s="977">
        <f t="shared" si="13"/>
        <v>0</v>
      </c>
      <c r="L30" s="1018" t="str">
        <f t="shared" si="8"/>
        <v>******</v>
      </c>
      <c r="M30" s="593" t="s">
        <v>105</v>
      </c>
      <c r="N30" s="593" t="s">
        <v>1095</v>
      </c>
    </row>
    <row r="31" spans="1:14">
      <c r="A31" s="647" t="s">
        <v>2509</v>
      </c>
      <c r="B31" s="612" t="s">
        <v>1051</v>
      </c>
      <c r="C31" s="593" t="s">
        <v>2538</v>
      </c>
      <c r="D31" s="613">
        <v>205715.5</v>
      </c>
      <c r="E31" s="613"/>
      <c r="F31" s="613"/>
      <c r="G31" s="1028">
        <f t="shared" si="12"/>
        <v>205715.5</v>
      </c>
      <c r="H31" s="977">
        <f t="shared" si="11"/>
        <v>40443667</v>
      </c>
      <c r="I31" s="1017"/>
      <c r="J31" s="1017"/>
      <c r="K31" s="977">
        <f t="shared" si="13"/>
        <v>40443667</v>
      </c>
      <c r="L31" s="1018" t="str">
        <f t="shared" si="8"/>
        <v>*****</v>
      </c>
      <c r="M31" s="593" t="s">
        <v>1096</v>
      </c>
      <c r="N31" s="593" t="s">
        <v>1061</v>
      </c>
    </row>
    <row r="32" spans="1:14">
      <c r="A32" s="647" t="s">
        <v>2540</v>
      </c>
      <c r="B32" s="612" t="s">
        <v>1051</v>
      </c>
      <c r="C32" s="593" t="s">
        <v>2539</v>
      </c>
      <c r="D32" s="613"/>
      <c r="E32" s="613"/>
      <c r="F32" s="613"/>
      <c r="G32" s="1028">
        <f t="shared" si="12"/>
        <v>0</v>
      </c>
      <c r="H32" s="977">
        <f t="shared" si="11"/>
        <v>0</v>
      </c>
      <c r="I32" s="1017"/>
      <c r="J32" s="1017"/>
      <c r="K32" s="977">
        <f t="shared" si="13"/>
        <v>0</v>
      </c>
      <c r="L32" s="1018" t="str">
        <f t="shared" si="8"/>
        <v>*****</v>
      </c>
      <c r="M32" s="593" t="s">
        <v>105</v>
      </c>
      <c r="N32" s="593" t="s">
        <v>18</v>
      </c>
    </row>
    <row r="33" spans="1:14">
      <c r="A33" s="647"/>
      <c r="B33" s="609" t="s">
        <v>1047</v>
      </c>
      <c r="C33" s="610" t="s">
        <v>1097</v>
      </c>
      <c r="D33" s="611">
        <f t="shared" ref="D33" si="14">SUM(D34,D35,D36,D37,D38,D39,D40)</f>
        <v>0</v>
      </c>
      <c r="E33" s="611"/>
      <c r="F33" s="611"/>
      <c r="G33" s="1026">
        <f>SUM(G34,G35,G36,G37,G38,G39,G40)</f>
        <v>0</v>
      </c>
      <c r="H33" s="976">
        <f>SUM(H34,H35,H36,H37,H38,H39,H40)</f>
        <v>0</v>
      </c>
      <c r="I33" s="1015"/>
      <c r="J33" s="1015"/>
      <c r="K33" s="976">
        <f>SUM(K34,K35,K36,K37,K38,K39,K40)</f>
        <v>0</v>
      </c>
      <c r="L33" s="1016" t="str">
        <f t="shared" si="8"/>
        <v>***</v>
      </c>
      <c r="M33" s="610"/>
      <c r="N33" s="610"/>
    </row>
    <row r="34" spans="1:14">
      <c r="A34" s="647" t="s">
        <v>645</v>
      </c>
      <c r="B34" s="612" t="s">
        <v>1049</v>
      </c>
      <c r="C34" s="593" t="s">
        <v>1316</v>
      </c>
      <c r="D34" s="613">
        <v>0</v>
      </c>
      <c r="E34" s="613"/>
      <c r="F34" s="613"/>
      <c r="G34" s="1028">
        <f t="shared" ref="G34:G40" si="15">D34+E34-F34</f>
        <v>0</v>
      </c>
      <c r="H34" s="977">
        <f>ROUND(G34*$G$4,)</f>
        <v>0</v>
      </c>
      <c r="I34" s="1017"/>
      <c r="J34" s="1017"/>
      <c r="K34" s="977">
        <f t="shared" ref="K34:K40" si="16">H34+I34-J34</f>
        <v>0</v>
      </c>
      <c r="L34" s="1018" t="str">
        <f t="shared" si="8"/>
        <v>****</v>
      </c>
      <c r="M34" s="593" t="s">
        <v>20</v>
      </c>
      <c r="N34" s="593" t="s">
        <v>1098</v>
      </c>
    </row>
    <row r="35" spans="1:14">
      <c r="A35" s="647" t="s">
        <v>643</v>
      </c>
      <c r="B35" s="612" t="s">
        <v>1049</v>
      </c>
      <c r="C35" s="593" t="s">
        <v>1099</v>
      </c>
      <c r="D35" s="613"/>
      <c r="E35" s="613"/>
      <c r="F35" s="613"/>
      <c r="G35" s="1028">
        <f t="shared" si="15"/>
        <v>0</v>
      </c>
      <c r="H35" s="977">
        <f t="shared" ref="H35:H40" si="17">ROUND(G35*$G$4,)</f>
        <v>0</v>
      </c>
      <c r="I35" s="1017"/>
      <c r="J35" s="1017"/>
      <c r="K35" s="977">
        <f t="shared" si="16"/>
        <v>0</v>
      </c>
      <c r="L35" s="1018" t="str">
        <f t="shared" si="8"/>
        <v>****</v>
      </c>
      <c r="M35" s="593" t="s">
        <v>20</v>
      </c>
      <c r="N35" s="593" t="s">
        <v>1100</v>
      </c>
    </row>
    <row r="36" spans="1:14">
      <c r="A36" s="647" t="s">
        <v>646</v>
      </c>
      <c r="B36" s="612" t="s">
        <v>1049</v>
      </c>
      <c r="C36" s="593" t="s">
        <v>1317</v>
      </c>
      <c r="D36" s="613"/>
      <c r="E36" s="613"/>
      <c r="F36" s="613"/>
      <c r="G36" s="1028">
        <f t="shared" si="15"/>
        <v>0</v>
      </c>
      <c r="H36" s="977">
        <f t="shared" si="17"/>
        <v>0</v>
      </c>
      <c r="I36" s="1017"/>
      <c r="J36" s="1017"/>
      <c r="K36" s="977">
        <f t="shared" si="16"/>
        <v>0</v>
      </c>
      <c r="L36" s="1018" t="str">
        <f t="shared" si="8"/>
        <v>****</v>
      </c>
      <c r="M36" s="593" t="s">
        <v>20</v>
      </c>
      <c r="N36" s="593" t="s">
        <v>1101</v>
      </c>
    </row>
    <row r="37" spans="1:14">
      <c r="A37" s="647" t="s">
        <v>647</v>
      </c>
      <c r="B37" s="612" t="s">
        <v>1049</v>
      </c>
      <c r="C37" s="593" t="s">
        <v>1318</v>
      </c>
      <c r="D37" s="613"/>
      <c r="E37" s="613"/>
      <c r="F37" s="613"/>
      <c r="G37" s="1028">
        <f t="shared" si="15"/>
        <v>0</v>
      </c>
      <c r="H37" s="977">
        <f t="shared" si="17"/>
        <v>0</v>
      </c>
      <c r="I37" s="1017"/>
      <c r="J37" s="1017"/>
      <c r="K37" s="977">
        <f t="shared" si="16"/>
        <v>0</v>
      </c>
      <c r="L37" s="1018" t="str">
        <f t="shared" si="8"/>
        <v>****</v>
      </c>
      <c r="M37" s="593" t="s">
        <v>20</v>
      </c>
      <c r="N37" s="593" t="s">
        <v>1102</v>
      </c>
    </row>
    <row r="38" spans="1:14">
      <c r="A38" s="647" t="s">
        <v>649</v>
      </c>
      <c r="B38" s="612" t="s">
        <v>1049</v>
      </c>
      <c r="C38" s="593" t="s">
        <v>1103</v>
      </c>
      <c r="D38" s="613"/>
      <c r="E38" s="613"/>
      <c r="F38" s="613"/>
      <c r="G38" s="1028">
        <f t="shared" si="15"/>
        <v>0</v>
      </c>
      <c r="H38" s="977">
        <f t="shared" si="17"/>
        <v>0</v>
      </c>
      <c r="I38" s="1017"/>
      <c r="J38" s="1017"/>
      <c r="K38" s="977">
        <f t="shared" si="16"/>
        <v>0</v>
      </c>
      <c r="L38" s="1018" t="str">
        <f t="shared" si="8"/>
        <v>****</v>
      </c>
      <c r="M38" s="593" t="s">
        <v>20</v>
      </c>
      <c r="N38" s="593" t="s">
        <v>1104</v>
      </c>
    </row>
    <row r="39" spans="1:14">
      <c r="A39" s="647" t="s">
        <v>650</v>
      </c>
      <c r="B39" s="612"/>
      <c r="C39" s="593" t="s">
        <v>1105</v>
      </c>
      <c r="D39" s="613"/>
      <c r="E39" s="613"/>
      <c r="F39" s="613"/>
      <c r="G39" s="1028">
        <f t="shared" si="15"/>
        <v>0</v>
      </c>
      <c r="H39" s="977">
        <f t="shared" si="17"/>
        <v>0</v>
      </c>
      <c r="I39" s="1017"/>
      <c r="J39" s="1017"/>
      <c r="K39" s="977">
        <f t="shared" si="16"/>
        <v>0</v>
      </c>
      <c r="L39" s="1018"/>
      <c r="M39" s="593"/>
      <c r="N39" s="593"/>
    </row>
    <row r="40" spans="1:14">
      <c r="A40" s="647"/>
      <c r="B40" s="612"/>
      <c r="C40" s="593" t="s">
        <v>1106</v>
      </c>
      <c r="D40" s="613"/>
      <c r="E40" s="613"/>
      <c r="F40" s="613"/>
      <c r="G40" s="1028">
        <f t="shared" si="15"/>
        <v>0</v>
      </c>
      <c r="H40" s="977">
        <f t="shared" si="17"/>
        <v>0</v>
      </c>
      <c r="I40" s="1017"/>
      <c r="J40" s="1017"/>
      <c r="K40" s="977">
        <f t="shared" si="16"/>
        <v>0</v>
      </c>
      <c r="L40" s="1018"/>
      <c r="M40" s="593"/>
      <c r="N40" s="593"/>
    </row>
    <row r="41" spans="1:14">
      <c r="A41" s="647"/>
      <c r="B41" s="997" t="s">
        <v>1045</v>
      </c>
      <c r="C41" s="998" t="s">
        <v>1107</v>
      </c>
      <c r="D41" s="999">
        <f t="shared" ref="D41" si="18">SUM(D42,D44,D49,D51,D65,D74)</f>
        <v>1484023.0599999998</v>
      </c>
      <c r="E41" s="999"/>
      <c r="F41" s="999"/>
      <c r="G41" s="1025">
        <f>SUM(G42,G44,G49,G51,G65,G74)</f>
        <v>1484023.0599999998</v>
      </c>
      <c r="H41" s="1000">
        <f>SUM(H42,H44,H49,H51,H65,H74)</f>
        <v>291758933</v>
      </c>
      <c r="I41" s="1013"/>
      <c r="J41" s="1013"/>
      <c r="K41" s="1000">
        <f>SUM(K42,K44,K49,K51,K65,K74)</f>
        <v>291758933</v>
      </c>
      <c r="L41" s="1014" t="str">
        <f>B41</f>
        <v>**</v>
      </c>
      <c r="M41" s="998"/>
      <c r="N41" s="998"/>
    </row>
    <row r="42" spans="1:14">
      <c r="A42" s="647"/>
      <c r="B42" s="609" t="s">
        <v>1047</v>
      </c>
      <c r="C42" s="610" t="s">
        <v>1108</v>
      </c>
      <c r="D42" s="611">
        <f t="shared" ref="D42" si="19">D43</f>
        <v>0</v>
      </c>
      <c r="E42" s="611"/>
      <c r="F42" s="611"/>
      <c r="G42" s="1026">
        <f>G43</f>
        <v>0</v>
      </c>
      <c r="H42" s="976">
        <f>H43</f>
        <v>0</v>
      </c>
      <c r="I42" s="1015"/>
      <c r="J42" s="1015"/>
      <c r="K42" s="976">
        <f>K43</f>
        <v>0</v>
      </c>
      <c r="L42" s="1016" t="str">
        <f>B42</f>
        <v>***</v>
      </c>
      <c r="M42" s="610"/>
      <c r="N42" s="610"/>
    </row>
    <row r="43" spans="1:14">
      <c r="A43" s="647" t="s">
        <v>906</v>
      </c>
      <c r="B43" s="612" t="s">
        <v>1049</v>
      </c>
      <c r="C43" s="593" t="s">
        <v>1109</v>
      </c>
      <c r="D43" s="613"/>
      <c r="E43" s="613"/>
      <c r="F43" s="613"/>
      <c r="G43" s="1028">
        <f>D43+E43-F43</f>
        <v>0</v>
      </c>
      <c r="H43" s="977">
        <f>ROUND(G43*$G$4,)</f>
        <v>0</v>
      </c>
      <c r="I43" s="1017"/>
      <c r="J43" s="1017"/>
      <c r="K43" s="977">
        <f>H43+I43-J43</f>
        <v>0</v>
      </c>
      <c r="L43" s="1018" t="str">
        <f>B43</f>
        <v>****</v>
      </c>
      <c r="M43" s="593" t="s">
        <v>1110</v>
      </c>
      <c r="N43" s="593" t="s">
        <v>1111</v>
      </c>
    </row>
    <row r="44" spans="1:14">
      <c r="A44" s="647"/>
      <c r="B44" s="609" t="s">
        <v>1047</v>
      </c>
      <c r="C44" s="610" t="s">
        <v>1112</v>
      </c>
      <c r="D44" s="611">
        <f t="shared" ref="D44" si="20">SUM(D45,D48)</f>
        <v>0</v>
      </c>
      <c r="E44" s="611"/>
      <c r="F44" s="611"/>
      <c r="G44" s="1026">
        <f>SUM(G45,G48)</f>
        <v>0</v>
      </c>
      <c r="H44" s="976">
        <f>SUM(H45,H48)</f>
        <v>0</v>
      </c>
      <c r="I44" s="1015"/>
      <c r="J44" s="1015"/>
      <c r="K44" s="976">
        <f>SUM(K45,K48)</f>
        <v>0</v>
      </c>
      <c r="L44" s="1016"/>
      <c r="M44" s="610"/>
      <c r="N44" s="610"/>
    </row>
    <row r="45" spans="1:14">
      <c r="A45" s="647"/>
      <c r="B45" s="612" t="s">
        <v>1049</v>
      </c>
      <c r="C45" s="593" t="s">
        <v>1113</v>
      </c>
      <c r="D45" s="613">
        <f t="shared" ref="D45" si="21">SUM(D46:D47)</f>
        <v>0</v>
      </c>
      <c r="E45" s="613"/>
      <c r="F45" s="613"/>
      <c r="G45" s="1027">
        <f>SUM(G46:G47)</f>
        <v>0</v>
      </c>
      <c r="H45" s="718">
        <f>SUM(H46:H47)</f>
        <v>0</v>
      </c>
      <c r="I45" s="1017"/>
      <c r="J45" s="1017"/>
      <c r="K45" s="718">
        <f>SUM(K46:K47)</f>
        <v>0</v>
      </c>
      <c r="L45" s="1018" t="str">
        <f t="shared" ref="L45:L67" si="22">B45</f>
        <v>****</v>
      </c>
      <c r="M45" s="593"/>
      <c r="N45" s="593"/>
    </row>
    <row r="46" spans="1:14">
      <c r="A46" s="647" t="s">
        <v>679</v>
      </c>
      <c r="B46" s="612" t="s">
        <v>1051</v>
      </c>
      <c r="C46" s="593" t="s">
        <v>1114</v>
      </c>
      <c r="D46" s="613">
        <v>0</v>
      </c>
      <c r="E46" s="613"/>
      <c r="F46" s="613"/>
      <c r="G46" s="1028">
        <f>D46+E46-F46</f>
        <v>0</v>
      </c>
      <c r="H46" s="977">
        <f t="shared" ref="H46:H73" si="23">ROUND(G46*$G$4,)</f>
        <v>0</v>
      </c>
      <c r="I46" s="1017"/>
      <c r="J46" s="1017"/>
      <c r="K46" s="977">
        <f>H46+I46-J46</f>
        <v>0</v>
      </c>
      <c r="L46" s="1018" t="str">
        <f t="shared" si="22"/>
        <v>*****</v>
      </c>
      <c r="M46" s="593" t="s">
        <v>1115</v>
      </c>
      <c r="N46" s="593" t="s">
        <v>1116</v>
      </c>
    </row>
    <row r="47" spans="1:14">
      <c r="A47" s="647" t="s">
        <v>680</v>
      </c>
      <c r="B47" s="612" t="s">
        <v>1051</v>
      </c>
      <c r="C47" s="593" t="s">
        <v>1117</v>
      </c>
      <c r="D47" s="613">
        <v>0</v>
      </c>
      <c r="E47" s="613"/>
      <c r="F47" s="613"/>
      <c r="G47" s="1028">
        <f>D47+E47-F47</f>
        <v>0</v>
      </c>
      <c r="H47" s="977">
        <f t="shared" si="23"/>
        <v>0</v>
      </c>
      <c r="I47" s="1017"/>
      <c r="J47" s="1017"/>
      <c r="K47" s="977">
        <f>H47+I47-J47</f>
        <v>0</v>
      </c>
      <c r="L47" s="1018" t="str">
        <f t="shared" si="22"/>
        <v>*****</v>
      </c>
      <c r="M47" s="593" t="s">
        <v>1115</v>
      </c>
      <c r="N47" s="593" t="s">
        <v>1118</v>
      </c>
    </row>
    <row r="48" spans="1:14">
      <c r="A48" s="647"/>
      <c r="B48" s="612" t="s">
        <v>1049</v>
      </c>
      <c r="C48" s="593" t="s">
        <v>1119</v>
      </c>
      <c r="D48" s="613">
        <v>0</v>
      </c>
      <c r="E48" s="613"/>
      <c r="F48" s="613"/>
      <c r="G48" s="1028">
        <f>D48+E48-F48</f>
        <v>0</v>
      </c>
      <c r="H48" s="977">
        <f t="shared" si="23"/>
        <v>0</v>
      </c>
      <c r="I48" s="1017"/>
      <c r="J48" s="1017"/>
      <c r="K48" s="977">
        <f>H48+I48-J48</f>
        <v>0</v>
      </c>
      <c r="L48" s="1018" t="str">
        <f t="shared" si="22"/>
        <v>****</v>
      </c>
      <c r="M48" s="593" t="s">
        <v>1115</v>
      </c>
      <c r="N48" s="593" t="s">
        <v>1120</v>
      </c>
    </row>
    <row r="49" spans="1:14">
      <c r="A49" s="647"/>
      <c r="B49" s="609" t="s">
        <v>1047</v>
      </c>
      <c r="C49" s="610" t="s">
        <v>1121</v>
      </c>
      <c r="D49" s="611">
        <f t="shared" ref="D49" si="24">D50</f>
        <v>0</v>
      </c>
      <c r="E49" s="611"/>
      <c r="F49" s="611"/>
      <c r="G49" s="1026">
        <f>G50</f>
        <v>0</v>
      </c>
      <c r="H49" s="976">
        <f>H50</f>
        <v>0</v>
      </c>
      <c r="I49" s="1015"/>
      <c r="J49" s="1015"/>
      <c r="K49" s="976">
        <f>K50</f>
        <v>0</v>
      </c>
      <c r="L49" s="1016" t="str">
        <f t="shared" si="22"/>
        <v>***</v>
      </c>
      <c r="M49" s="610"/>
      <c r="N49" s="610"/>
    </row>
    <row r="50" spans="1:14">
      <c r="A50" s="647"/>
      <c r="B50" s="612" t="s">
        <v>1049</v>
      </c>
      <c r="C50" s="593" t="s">
        <v>1122</v>
      </c>
      <c r="D50" s="613"/>
      <c r="E50" s="613"/>
      <c r="F50" s="613"/>
      <c r="G50" s="1028">
        <f>D50+E50-F50</f>
        <v>0</v>
      </c>
      <c r="H50" s="977">
        <f t="shared" si="23"/>
        <v>0</v>
      </c>
      <c r="I50" s="1017"/>
      <c r="J50" s="1017"/>
      <c r="K50" s="977">
        <f>H50+I50-J50</f>
        <v>0</v>
      </c>
      <c r="L50" s="1018" t="str">
        <f t="shared" si="22"/>
        <v>****</v>
      </c>
      <c r="M50" s="593" t="s">
        <v>1123</v>
      </c>
      <c r="N50" s="593" t="s">
        <v>1124</v>
      </c>
    </row>
    <row r="51" spans="1:14">
      <c r="A51" s="647"/>
      <c r="B51" s="609" t="s">
        <v>1125</v>
      </c>
      <c r="C51" s="610" t="s">
        <v>1126</v>
      </c>
      <c r="D51" s="611">
        <f t="shared" ref="D51" si="25">SUM(D52:D64)</f>
        <v>1484023.0599999998</v>
      </c>
      <c r="E51" s="611"/>
      <c r="F51" s="611"/>
      <c r="G51" s="1026">
        <f>SUM(G52:G64)</f>
        <v>1484023.0599999998</v>
      </c>
      <c r="H51" s="976">
        <f>SUM(H52:H64)</f>
        <v>291758933</v>
      </c>
      <c r="I51" s="1015"/>
      <c r="J51" s="1015"/>
      <c r="K51" s="976">
        <f>SUM(K52:K64)</f>
        <v>291758933</v>
      </c>
      <c r="L51" s="1016" t="str">
        <f t="shared" si="22"/>
        <v>***</v>
      </c>
      <c r="M51" s="610"/>
      <c r="N51" s="610"/>
    </row>
    <row r="52" spans="1:14">
      <c r="A52" s="647"/>
      <c r="B52" s="612" t="s">
        <v>1049</v>
      </c>
      <c r="C52" s="593" t="s">
        <v>1127</v>
      </c>
      <c r="D52" s="613"/>
      <c r="E52" s="613"/>
      <c r="F52" s="613"/>
      <c r="G52" s="1028">
        <f t="shared" ref="G52:G64" si="26">D52+E52-F52</f>
        <v>0</v>
      </c>
      <c r="H52" s="977">
        <f t="shared" si="23"/>
        <v>0</v>
      </c>
      <c r="I52" s="1017"/>
      <c r="J52" s="1017"/>
      <c r="K52" s="977">
        <f t="shared" ref="K52:K64" si="27">H52+I52-J52</f>
        <v>0</v>
      </c>
      <c r="L52" s="1018" t="str">
        <f t="shared" si="22"/>
        <v>****</v>
      </c>
      <c r="M52" s="593" t="s">
        <v>27</v>
      </c>
      <c r="N52" s="593" t="s">
        <v>1128</v>
      </c>
    </row>
    <row r="53" spans="1:14">
      <c r="A53" s="647"/>
      <c r="B53" s="612" t="s">
        <v>1049</v>
      </c>
      <c r="C53" s="593" t="s">
        <v>1129</v>
      </c>
      <c r="D53" s="613"/>
      <c r="E53" s="613"/>
      <c r="F53" s="613"/>
      <c r="G53" s="1028">
        <f t="shared" si="26"/>
        <v>0</v>
      </c>
      <c r="H53" s="977">
        <f t="shared" si="23"/>
        <v>0</v>
      </c>
      <c r="I53" s="1017"/>
      <c r="J53" s="1017"/>
      <c r="K53" s="977">
        <f t="shared" si="27"/>
        <v>0</v>
      </c>
      <c r="L53" s="1018" t="str">
        <f t="shared" si="22"/>
        <v>****</v>
      </c>
      <c r="M53" s="593" t="s">
        <v>27</v>
      </c>
      <c r="N53" s="593" t="s">
        <v>1130</v>
      </c>
    </row>
    <row r="54" spans="1:14">
      <c r="A54" s="647"/>
      <c r="B54" s="612" t="s">
        <v>1049</v>
      </c>
      <c r="C54" s="593" t="s">
        <v>1132</v>
      </c>
      <c r="D54" s="613"/>
      <c r="E54" s="613"/>
      <c r="F54" s="613"/>
      <c r="G54" s="1028">
        <f t="shared" si="26"/>
        <v>0</v>
      </c>
      <c r="H54" s="977">
        <f t="shared" si="23"/>
        <v>0</v>
      </c>
      <c r="I54" s="1017"/>
      <c r="J54" s="1017"/>
      <c r="K54" s="977">
        <f t="shared" si="27"/>
        <v>0</v>
      </c>
      <c r="L54" s="1018" t="str">
        <f t="shared" si="22"/>
        <v>****</v>
      </c>
      <c r="M54" s="593" t="s">
        <v>27</v>
      </c>
      <c r="N54" s="593" t="s">
        <v>1133</v>
      </c>
    </row>
    <row r="55" spans="1:14">
      <c r="A55" s="647"/>
      <c r="B55" s="612" t="s">
        <v>1049</v>
      </c>
      <c r="C55" s="593" t="s">
        <v>1134</v>
      </c>
      <c r="D55" s="613"/>
      <c r="E55" s="613"/>
      <c r="F55" s="613"/>
      <c r="G55" s="1028">
        <f t="shared" si="26"/>
        <v>0</v>
      </c>
      <c r="H55" s="977">
        <f t="shared" si="23"/>
        <v>0</v>
      </c>
      <c r="I55" s="1017"/>
      <c r="J55" s="1017"/>
      <c r="K55" s="977">
        <f t="shared" si="27"/>
        <v>0</v>
      </c>
      <c r="L55" s="1018" t="str">
        <f t="shared" si="22"/>
        <v>****</v>
      </c>
      <c r="M55" s="593" t="s">
        <v>27</v>
      </c>
      <c r="N55" s="593" t="s">
        <v>1135</v>
      </c>
    </row>
    <row r="56" spans="1:14">
      <c r="A56" s="647"/>
      <c r="B56" s="612" t="s">
        <v>1049</v>
      </c>
      <c r="C56" s="593" t="s">
        <v>1136</v>
      </c>
      <c r="D56" s="613"/>
      <c r="E56" s="613"/>
      <c r="F56" s="613"/>
      <c r="G56" s="1028">
        <f t="shared" si="26"/>
        <v>0</v>
      </c>
      <c r="H56" s="977">
        <f t="shared" si="23"/>
        <v>0</v>
      </c>
      <c r="I56" s="1017"/>
      <c r="J56" s="1017"/>
      <c r="K56" s="977">
        <f t="shared" si="27"/>
        <v>0</v>
      </c>
      <c r="L56" s="1018" t="str">
        <f t="shared" si="22"/>
        <v>****</v>
      </c>
      <c r="M56" s="593" t="s">
        <v>27</v>
      </c>
      <c r="N56" s="593" t="s">
        <v>1137</v>
      </c>
    </row>
    <row r="57" spans="1:14">
      <c r="A57" s="647"/>
      <c r="B57" s="612" t="s">
        <v>1049</v>
      </c>
      <c r="C57" s="593" t="s">
        <v>1138</v>
      </c>
      <c r="D57" s="613"/>
      <c r="E57" s="613"/>
      <c r="F57" s="613"/>
      <c r="G57" s="1028">
        <f t="shared" si="26"/>
        <v>0</v>
      </c>
      <c r="H57" s="977">
        <f t="shared" si="23"/>
        <v>0</v>
      </c>
      <c r="I57" s="1017"/>
      <c r="J57" s="1017"/>
      <c r="K57" s="977">
        <f t="shared" si="27"/>
        <v>0</v>
      </c>
      <c r="L57" s="1018" t="str">
        <f t="shared" si="22"/>
        <v>****</v>
      </c>
      <c r="M57" s="593" t="s">
        <v>27</v>
      </c>
      <c r="N57" s="593" t="s">
        <v>1139</v>
      </c>
    </row>
    <row r="58" spans="1:14">
      <c r="A58" s="647" t="s">
        <v>665</v>
      </c>
      <c r="B58" s="612" t="s">
        <v>1049</v>
      </c>
      <c r="C58" s="593" t="s">
        <v>1140</v>
      </c>
      <c r="D58" s="613">
        <v>885827.11</v>
      </c>
      <c r="E58" s="613"/>
      <c r="F58" s="613"/>
      <c r="G58" s="1028">
        <f t="shared" si="26"/>
        <v>885827.11</v>
      </c>
      <c r="H58" s="977">
        <f t="shared" si="23"/>
        <v>174153610</v>
      </c>
      <c r="I58" s="1017"/>
      <c r="J58" s="1017"/>
      <c r="K58" s="977">
        <f t="shared" si="27"/>
        <v>174153610</v>
      </c>
      <c r="L58" s="1018" t="str">
        <f t="shared" si="22"/>
        <v>****</v>
      </c>
      <c r="M58" s="593" t="s">
        <v>27</v>
      </c>
      <c r="N58" s="593" t="s">
        <v>1141</v>
      </c>
    </row>
    <row r="59" spans="1:14">
      <c r="A59" s="647" t="s">
        <v>666</v>
      </c>
      <c r="B59" s="612" t="s">
        <v>1049</v>
      </c>
      <c r="C59" s="593" t="s">
        <v>1142</v>
      </c>
      <c r="D59" s="613">
        <v>-405817.7</v>
      </c>
      <c r="E59" s="613"/>
      <c r="F59" s="613"/>
      <c r="G59" s="1028">
        <f t="shared" si="26"/>
        <v>-405817.7</v>
      </c>
      <c r="H59" s="977">
        <f t="shared" si="23"/>
        <v>-79783760</v>
      </c>
      <c r="I59" s="1017"/>
      <c r="J59" s="1017"/>
      <c r="K59" s="977">
        <f t="shared" si="27"/>
        <v>-79783760</v>
      </c>
      <c r="L59" s="1018" t="str">
        <f t="shared" si="22"/>
        <v>****</v>
      </c>
      <c r="M59" s="593" t="s">
        <v>27</v>
      </c>
      <c r="N59" s="593" t="s">
        <v>1143</v>
      </c>
    </row>
    <row r="60" spans="1:14">
      <c r="A60" s="647"/>
      <c r="B60" s="612" t="s">
        <v>1049</v>
      </c>
      <c r="C60" s="593" t="s">
        <v>1144</v>
      </c>
      <c r="D60" s="613"/>
      <c r="E60" s="613"/>
      <c r="F60" s="613"/>
      <c r="G60" s="1028">
        <f t="shared" si="26"/>
        <v>0</v>
      </c>
      <c r="H60" s="977">
        <f t="shared" si="23"/>
        <v>0</v>
      </c>
      <c r="I60" s="1017"/>
      <c r="J60" s="1017"/>
      <c r="K60" s="977">
        <f t="shared" si="27"/>
        <v>0</v>
      </c>
      <c r="L60" s="1018" t="str">
        <f t="shared" si="22"/>
        <v>****</v>
      </c>
      <c r="M60" s="593" t="s">
        <v>27</v>
      </c>
      <c r="N60" s="593" t="s">
        <v>1145</v>
      </c>
    </row>
    <row r="61" spans="1:14">
      <c r="A61" s="647" t="s">
        <v>668</v>
      </c>
      <c r="B61" s="612" t="s">
        <v>1049</v>
      </c>
      <c r="C61" s="593" t="s">
        <v>1146</v>
      </c>
      <c r="D61" s="613">
        <f>28712.76+2052732.4</f>
        <v>2081445.16</v>
      </c>
      <c r="E61" s="613"/>
      <c r="F61" s="613"/>
      <c r="G61" s="1028">
        <f t="shared" si="26"/>
        <v>2081445.16</v>
      </c>
      <c r="H61" s="977">
        <f t="shared" si="23"/>
        <v>409212118</v>
      </c>
      <c r="I61" s="1017"/>
      <c r="J61" s="1017"/>
      <c r="K61" s="977">
        <f t="shared" si="27"/>
        <v>409212118</v>
      </c>
      <c r="L61" s="1018" t="str">
        <f t="shared" si="22"/>
        <v>****</v>
      </c>
      <c r="M61" s="593" t="s">
        <v>27</v>
      </c>
      <c r="N61" s="593" t="s">
        <v>1026</v>
      </c>
    </row>
    <row r="62" spans="1:14">
      <c r="A62" s="647" t="s">
        <v>670</v>
      </c>
      <c r="B62" s="612" t="s">
        <v>1049</v>
      </c>
      <c r="C62" s="593" t="s">
        <v>1147</v>
      </c>
      <c r="D62" s="613">
        <f>-14833.76-1062597.75</f>
        <v>-1077431.51</v>
      </c>
      <c r="E62" s="613"/>
      <c r="F62" s="613"/>
      <c r="G62" s="1028">
        <f t="shared" si="26"/>
        <v>-1077431.51</v>
      </c>
      <c r="H62" s="977">
        <f t="shared" si="23"/>
        <v>-211823035</v>
      </c>
      <c r="I62" s="1017"/>
      <c r="J62" s="1017"/>
      <c r="K62" s="977">
        <f t="shared" si="27"/>
        <v>-211823035</v>
      </c>
      <c r="L62" s="1018" t="str">
        <f t="shared" si="22"/>
        <v>****</v>
      </c>
      <c r="M62" s="593" t="s">
        <v>27</v>
      </c>
      <c r="N62" s="593" t="s">
        <v>1148</v>
      </c>
    </row>
    <row r="63" spans="1:14">
      <c r="A63" s="647" t="s">
        <v>672</v>
      </c>
      <c r="B63" s="612" t="s">
        <v>1049</v>
      </c>
      <c r="C63" s="593" t="s">
        <v>2544</v>
      </c>
      <c r="D63" s="613"/>
      <c r="E63" s="613">
        <v>0</v>
      </c>
      <c r="F63" s="613"/>
      <c r="G63" s="1028">
        <f t="shared" si="26"/>
        <v>0</v>
      </c>
      <c r="H63" s="977">
        <f t="shared" si="23"/>
        <v>0</v>
      </c>
      <c r="I63" s="1017"/>
      <c r="J63" s="1017"/>
      <c r="K63" s="977">
        <f t="shared" si="27"/>
        <v>0</v>
      </c>
      <c r="L63" s="1018" t="str">
        <f t="shared" si="22"/>
        <v>****</v>
      </c>
      <c r="M63" s="593" t="s">
        <v>27</v>
      </c>
      <c r="N63" s="593" t="s">
        <v>1149</v>
      </c>
    </row>
    <row r="64" spans="1:14">
      <c r="A64" s="647" t="s">
        <v>673</v>
      </c>
      <c r="B64" s="612" t="s">
        <v>1049</v>
      </c>
      <c r="C64" s="593" t="s">
        <v>2545</v>
      </c>
      <c r="D64" s="613"/>
      <c r="E64" s="613"/>
      <c r="F64" s="613">
        <v>0</v>
      </c>
      <c r="G64" s="1028">
        <f t="shared" si="26"/>
        <v>0</v>
      </c>
      <c r="H64" s="977">
        <f t="shared" si="23"/>
        <v>0</v>
      </c>
      <c r="I64" s="1017"/>
      <c r="J64" s="1017"/>
      <c r="K64" s="977">
        <f t="shared" si="27"/>
        <v>0</v>
      </c>
      <c r="L64" s="1018" t="str">
        <f t="shared" si="22"/>
        <v>****</v>
      </c>
      <c r="M64" s="593" t="s">
        <v>27</v>
      </c>
      <c r="N64" s="593" t="s">
        <v>1150</v>
      </c>
    </row>
    <row r="65" spans="1:14">
      <c r="A65" s="647"/>
      <c r="B65" s="609" t="s">
        <v>1047</v>
      </c>
      <c r="C65" s="610" t="s">
        <v>1151</v>
      </c>
      <c r="D65" s="611">
        <f t="shared" ref="D65" si="28">SUM(D66:D69,D72,D73)</f>
        <v>0</v>
      </c>
      <c r="E65" s="611"/>
      <c r="F65" s="611"/>
      <c r="G65" s="1026">
        <f>SUM(G66:G69,G72,G73)</f>
        <v>0</v>
      </c>
      <c r="H65" s="976">
        <f>SUM(H66:H69,H72,H73)</f>
        <v>0</v>
      </c>
      <c r="I65" s="1015"/>
      <c r="J65" s="1015"/>
      <c r="K65" s="976">
        <f>SUM(K66:K69,K72,K73)</f>
        <v>0</v>
      </c>
      <c r="L65" s="1016" t="str">
        <f t="shared" si="22"/>
        <v>***</v>
      </c>
      <c r="M65" s="610"/>
      <c r="N65" s="610"/>
    </row>
    <row r="66" spans="1:14">
      <c r="A66" s="647"/>
      <c r="B66" s="612" t="s">
        <v>1049</v>
      </c>
      <c r="C66" s="593" t="s">
        <v>1152</v>
      </c>
      <c r="D66" s="613"/>
      <c r="E66" s="613"/>
      <c r="F66" s="613"/>
      <c r="G66" s="1028">
        <f t="shared" ref="G66:G68" si="29">D66+E66-F66</f>
        <v>0</v>
      </c>
      <c r="H66" s="977">
        <f t="shared" si="23"/>
        <v>0</v>
      </c>
      <c r="I66" s="1017"/>
      <c r="J66" s="1017"/>
      <c r="K66" s="977">
        <f t="shared" ref="K66:K68" si="30">H66+I66-J66</f>
        <v>0</v>
      </c>
      <c r="L66" s="1018" t="str">
        <f t="shared" si="22"/>
        <v>****</v>
      </c>
      <c r="M66" s="593" t="s">
        <v>875</v>
      </c>
      <c r="N66" s="593" t="s">
        <v>1153</v>
      </c>
    </row>
    <row r="67" spans="1:14">
      <c r="A67" s="647"/>
      <c r="B67" s="612" t="s">
        <v>1049</v>
      </c>
      <c r="C67" s="593" t="s">
        <v>1154</v>
      </c>
      <c r="D67" s="613"/>
      <c r="E67" s="613"/>
      <c r="F67" s="613"/>
      <c r="G67" s="1028">
        <f t="shared" si="29"/>
        <v>0</v>
      </c>
      <c r="H67" s="977">
        <f t="shared" si="23"/>
        <v>0</v>
      </c>
      <c r="I67" s="1017"/>
      <c r="J67" s="1017"/>
      <c r="K67" s="977">
        <f t="shared" si="30"/>
        <v>0</v>
      </c>
      <c r="L67" s="1018" t="str">
        <f t="shared" si="22"/>
        <v>****</v>
      </c>
      <c r="M67" s="593" t="s">
        <v>875</v>
      </c>
      <c r="N67" s="593" t="s">
        <v>1155</v>
      </c>
    </row>
    <row r="68" spans="1:14">
      <c r="A68" s="647"/>
      <c r="B68" s="612" t="s">
        <v>1049</v>
      </c>
      <c r="C68" s="593" t="s">
        <v>1156</v>
      </c>
      <c r="D68" s="613"/>
      <c r="E68" s="613"/>
      <c r="F68" s="613"/>
      <c r="G68" s="1028">
        <f t="shared" si="29"/>
        <v>0</v>
      </c>
      <c r="H68" s="977">
        <f t="shared" si="23"/>
        <v>0</v>
      </c>
      <c r="I68" s="1017"/>
      <c r="J68" s="1017"/>
      <c r="K68" s="977">
        <f t="shared" si="30"/>
        <v>0</v>
      </c>
      <c r="L68" s="1018"/>
      <c r="M68" s="593" t="s">
        <v>875</v>
      </c>
      <c r="N68" s="593" t="s">
        <v>1157</v>
      </c>
    </row>
    <row r="69" spans="1:14">
      <c r="A69" s="647"/>
      <c r="B69" s="612" t="s">
        <v>1049</v>
      </c>
      <c r="C69" s="593" t="s">
        <v>1158</v>
      </c>
      <c r="D69" s="613">
        <f t="shared" ref="D69" si="31">SUM(D70:D71)</f>
        <v>0</v>
      </c>
      <c r="E69" s="613"/>
      <c r="F69" s="613"/>
      <c r="G69" s="1027">
        <f>SUM(G70:G71)</f>
        <v>0</v>
      </c>
      <c r="H69" s="718">
        <f>SUM(H70:H71)</f>
        <v>0</v>
      </c>
      <c r="I69" s="1017"/>
      <c r="J69" s="1017"/>
      <c r="K69" s="718">
        <f>SUM(K70:K71)</f>
        <v>0</v>
      </c>
      <c r="L69" s="1018" t="str">
        <f>B69</f>
        <v>****</v>
      </c>
      <c r="M69" s="593"/>
      <c r="N69" s="593"/>
    </row>
    <row r="70" spans="1:14">
      <c r="A70" s="647"/>
      <c r="B70" s="612" t="s">
        <v>1051</v>
      </c>
      <c r="C70" s="593" t="s">
        <v>1159</v>
      </c>
      <c r="D70" s="613"/>
      <c r="E70" s="613"/>
      <c r="F70" s="613"/>
      <c r="G70" s="1028">
        <f t="shared" ref="G70:G72" si="32">D70+E70-F70</f>
        <v>0</v>
      </c>
      <c r="H70" s="977">
        <f t="shared" si="23"/>
        <v>0</v>
      </c>
      <c r="I70" s="1017"/>
      <c r="J70" s="1017"/>
      <c r="K70" s="977">
        <f t="shared" ref="K70:K72" si="33">H70+I70-J70</f>
        <v>0</v>
      </c>
      <c r="L70" s="1018" t="str">
        <f>B70</f>
        <v>*****</v>
      </c>
      <c r="M70" s="593" t="s">
        <v>35</v>
      </c>
      <c r="N70" s="593" t="s">
        <v>1160</v>
      </c>
    </row>
    <row r="71" spans="1:14">
      <c r="A71" s="647"/>
      <c r="B71" s="612" t="s">
        <v>1051</v>
      </c>
      <c r="C71" s="593" t="s">
        <v>1161</v>
      </c>
      <c r="D71" s="613"/>
      <c r="E71" s="613"/>
      <c r="F71" s="613"/>
      <c r="G71" s="1028">
        <f t="shared" si="32"/>
        <v>0</v>
      </c>
      <c r="H71" s="977">
        <f t="shared" si="23"/>
        <v>0</v>
      </c>
      <c r="I71" s="1017"/>
      <c r="J71" s="1017"/>
      <c r="K71" s="977">
        <f t="shared" si="33"/>
        <v>0</v>
      </c>
      <c r="L71" s="1018" t="str">
        <f>B71</f>
        <v>*****</v>
      </c>
      <c r="M71" s="593" t="s">
        <v>35</v>
      </c>
      <c r="N71" s="593" t="s">
        <v>1162</v>
      </c>
    </row>
    <row r="72" spans="1:14">
      <c r="A72" s="647"/>
      <c r="B72" s="612" t="s">
        <v>1051</v>
      </c>
      <c r="C72" s="593" t="s">
        <v>1163</v>
      </c>
      <c r="D72" s="613"/>
      <c r="E72" s="613"/>
      <c r="F72" s="613"/>
      <c r="G72" s="1028">
        <f t="shared" si="32"/>
        <v>0</v>
      </c>
      <c r="H72" s="977">
        <f t="shared" si="23"/>
        <v>0</v>
      </c>
      <c r="I72" s="1017"/>
      <c r="J72" s="1017"/>
      <c r="K72" s="977">
        <f t="shared" si="33"/>
        <v>0</v>
      </c>
      <c r="L72" s="1018" t="s">
        <v>1049</v>
      </c>
      <c r="M72" s="593" t="s">
        <v>875</v>
      </c>
      <c r="N72" s="593" t="s">
        <v>1164</v>
      </c>
    </row>
    <row r="73" spans="1:14">
      <c r="A73" s="647"/>
      <c r="B73" s="612"/>
      <c r="C73" s="593" t="s">
        <v>1165</v>
      </c>
      <c r="D73" s="613"/>
      <c r="E73" s="613"/>
      <c r="F73" s="613"/>
      <c r="G73" s="1028"/>
      <c r="H73" s="977">
        <f t="shared" si="23"/>
        <v>0</v>
      </c>
      <c r="I73" s="1017"/>
      <c r="J73" s="1017"/>
      <c r="K73" s="977"/>
      <c r="L73" s="1018"/>
      <c r="M73" s="593"/>
      <c r="N73" s="593"/>
    </row>
    <row r="74" spans="1:14">
      <c r="A74" s="647"/>
      <c r="B74" s="609" t="s">
        <v>1047</v>
      </c>
      <c r="C74" s="610" t="s">
        <v>1166</v>
      </c>
      <c r="D74" s="611"/>
      <c r="E74" s="611"/>
      <c r="F74" s="611"/>
      <c r="G74" s="1029">
        <v>0</v>
      </c>
      <c r="H74" s="1004">
        <v>0</v>
      </c>
      <c r="I74" s="1019"/>
      <c r="J74" s="1019"/>
      <c r="K74" s="1004">
        <v>0</v>
      </c>
      <c r="L74" s="1020" t="str">
        <f>B74</f>
        <v>***</v>
      </c>
      <c r="M74" s="1002" t="s">
        <v>1167</v>
      </c>
      <c r="N74" s="1002" t="s">
        <v>1167</v>
      </c>
    </row>
    <row r="75" spans="1:14">
      <c r="A75" s="647"/>
      <c r="B75" s="606" t="s">
        <v>1043</v>
      </c>
      <c r="C75" s="607" t="s">
        <v>1168</v>
      </c>
      <c r="D75" s="608">
        <f t="shared" ref="D75" si="34">SUM(D76,D98)</f>
        <v>8391002.5800000001</v>
      </c>
      <c r="E75" s="608"/>
      <c r="F75" s="608"/>
      <c r="G75" s="1030">
        <f>SUM(G76,G98)</f>
        <v>8391002.5800000001</v>
      </c>
      <c r="H75" s="975">
        <f>SUM(H76,H98)</f>
        <v>1649671107</v>
      </c>
      <c r="I75" s="1021"/>
      <c r="J75" s="1021"/>
      <c r="K75" s="975">
        <f>SUM(K76,K98)</f>
        <v>1649671107</v>
      </c>
      <c r="L75" s="1022" t="str">
        <f>B75</f>
        <v>*</v>
      </c>
      <c r="M75" s="607"/>
      <c r="N75" s="607"/>
    </row>
    <row r="76" spans="1:14">
      <c r="A76" s="647"/>
      <c r="B76" s="997" t="s">
        <v>1045</v>
      </c>
      <c r="C76" s="998" t="s">
        <v>1169</v>
      </c>
      <c r="D76" s="998">
        <f t="shared" ref="D76" si="35">SUM(D77,D78,D79,D80,D82,D85,D86,D87)</f>
        <v>8391002.5800000001</v>
      </c>
      <c r="E76" s="998"/>
      <c r="F76" s="998"/>
      <c r="G76" s="1025">
        <f>SUM(G77,G78,G79,G80,G82,G85,G86,G87)</f>
        <v>8391002.5800000001</v>
      </c>
      <c r="H76" s="1000">
        <f>SUM(H77,H78,H79,H80,H82,H85,H86,H87)</f>
        <v>1649671107</v>
      </c>
      <c r="I76" s="1013"/>
      <c r="J76" s="1013"/>
      <c r="K76" s="1000">
        <f>SUM(K77,K78,K79,K80,K82,K85,K86,K87)</f>
        <v>1649671107</v>
      </c>
      <c r="L76" s="1014" t="str">
        <f>B76</f>
        <v>**</v>
      </c>
      <c r="M76" s="998"/>
      <c r="N76" s="998"/>
    </row>
    <row r="77" spans="1:14">
      <c r="A77" s="647"/>
      <c r="B77" s="609" t="s">
        <v>1047</v>
      </c>
      <c r="C77" s="610" t="s">
        <v>1170</v>
      </c>
      <c r="D77" s="611">
        <v>0</v>
      </c>
      <c r="E77" s="611"/>
      <c r="F77" s="611"/>
      <c r="G77" s="1029">
        <f>D77-E77+F77</f>
        <v>0</v>
      </c>
      <c r="H77" s="1004">
        <f t="shared" ref="H77:H79" si="36">ROUND(G77*$G$4,)</f>
        <v>0</v>
      </c>
      <c r="I77" s="1019"/>
      <c r="J77" s="1019"/>
      <c r="K77" s="1004">
        <f>H77-I77+J77</f>
        <v>0</v>
      </c>
      <c r="L77" s="1020" t="str">
        <f>B77</f>
        <v>***</v>
      </c>
      <c r="M77" s="610" t="s">
        <v>880</v>
      </c>
      <c r="N77" s="610" t="s">
        <v>880</v>
      </c>
    </row>
    <row r="78" spans="1:14">
      <c r="A78" s="647"/>
      <c r="B78" s="609" t="s">
        <v>1047</v>
      </c>
      <c r="C78" s="610" t="s">
        <v>1171</v>
      </c>
      <c r="D78" s="611">
        <v>0</v>
      </c>
      <c r="E78" s="611"/>
      <c r="F78" s="611"/>
      <c r="G78" s="1029">
        <f t="shared" ref="G78:G79" si="37">D78-E78+F78</f>
        <v>0</v>
      </c>
      <c r="H78" s="1004">
        <f t="shared" si="36"/>
        <v>0</v>
      </c>
      <c r="I78" s="1019"/>
      <c r="J78" s="1019"/>
      <c r="K78" s="1004">
        <f t="shared" ref="K78:K79" si="38">H78-I78+J78</f>
        <v>0</v>
      </c>
      <c r="L78" s="1020" t="str">
        <f>B78</f>
        <v>***</v>
      </c>
      <c r="M78" s="610" t="s">
        <v>1091</v>
      </c>
      <c r="N78" s="610" t="s">
        <v>1172</v>
      </c>
    </row>
    <row r="79" spans="1:14">
      <c r="A79" s="647"/>
      <c r="B79" s="609"/>
      <c r="C79" s="610" t="s">
        <v>1173</v>
      </c>
      <c r="D79" s="611">
        <v>0</v>
      </c>
      <c r="E79" s="611"/>
      <c r="F79" s="611"/>
      <c r="G79" s="1029">
        <f t="shared" si="37"/>
        <v>0</v>
      </c>
      <c r="H79" s="1004">
        <f t="shared" si="36"/>
        <v>0</v>
      </c>
      <c r="I79" s="1019"/>
      <c r="J79" s="1019"/>
      <c r="K79" s="1004">
        <f t="shared" si="38"/>
        <v>0</v>
      </c>
      <c r="L79" s="1020"/>
      <c r="M79" s="607" t="s">
        <v>1174</v>
      </c>
      <c r="N79" s="610" t="s">
        <v>1175</v>
      </c>
    </row>
    <row r="80" spans="1:14">
      <c r="A80" s="647"/>
      <c r="B80" s="609" t="s">
        <v>1047</v>
      </c>
      <c r="C80" s="610" t="s">
        <v>1176</v>
      </c>
      <c r="D80" s="611">
        <f t="shared" ref="D80" si="39">D81</f>
        <v>8343622.5800000001</v>
      </c>
      <c r="E80" s="611"/>
      <c r="F80" s="611"/>
      <c r="G80" s="1026">
        <f>G81</f>
        <v>8343622.5800000001</v>
      </c>
      <c r="H80" s="976">
        <f>H81</f>
        <v>1640356199</v>
      </c>
      <c r="I80" s="1015"/>
      <c r="J80" s="1015"/>
      <c r="K80" s="976">
        <f>K81</f>
        <v>1640356199</v>
      </c>
      <c r="L80" s="1016" t="str">
        <f t="shared" ref="L80:L93" si="40">B80</f>
        <v>***</v>
      </c>
      <c r="M80" s="610"/>
      <c r="N80" s="610"/>
    </row>
    <row r="81" spans="1:14">
      <c r="A81" s="647" t="s">
        <v>681</v>
      </c>
      <c r="B81" s="612" t="s">
        <v>1049</v>
      </c>
      <c r="C81" s="593" t="s">
        <v>1177</v>
      </c>
      <c r="D81" s="613">
        <f>817246.84+7526375.74</f>
        <v>8343622.5800000001</v>
      </c>
      <c r="E81" s="613"/>
      <c r="F81" s="613"/>
      <c r="G81" s="1028">
        <f>D81-E81+F81</f>
        <v>8343622.5800000001</v>
      </c>
      <c r="H81" s="977">
        <f t="shared" ref="H81" si="41">ROUND(G81*$G$4,)</f>
        <v>1640356199</v>
      </c>
      <c r="I81" s="1017"/>
      <c r="J81" s="1017"/>
      <c r="K81" s="977">
        <f>H81-I81+J81</f>
        <v>1640356199</v>
      </c>
      <c r="L81" s="1018" t="str">
        <f t="shared" si="40"/>
        <v>****</v>
      </c>
      <c r="M81" s="593" t="s">
        <v>1087</v>
      </c>
      <c r="N81" s="593" t="s">
        <v>49</v>
      </c>
    </row>
    <row r="82" spans="1:14">
      <c r="A82" s="647"/>
      <c r="B82" s="609" t="s">
        <v>1047</v>
      </c>
      <c r="C82" s="610" t="s">
        <v>1178</v>
      </c>
      <c r="D82" s="611">
        <f t="shared" ref="D82" si="42">SUM(D83:D84)</f>
        <v>46500</v>
      </c>
      <c r="E82" s="611"/>
      <c r="F82" s="611"/>
      <c r="G82" s="1026">
        <f>SUM(G83:G84)</f>
        <v>46500</v>
      </c>
      <c r="H82" s="976">
        <f>SUM(H83:H84)</f>
        <v>9141900</v>
      </c>
      <c r="I82" s="1015"/>
      <c r="J82" s="1015"/>
      <c r="K82" s="976">
        <f>SUM(K83:K84)</f>
        <v>9141900</v>
      </c>
      <c r="L82" s="1016" t="str">
        <f t="shared" si="40"/>
        <v>***</v>
      </c>
      <c r="M82" s="610"/>
      <c r="N82" s="610"/>
    </row>
    <row r="83" spans="1:14">
      <c r="A83" s="647" t="s">
        <v>682</v>
      </c>
      <c r="B83" s="612" t="s">
        <v>1049</v>
      </c>
      <c r="C83" s="593" t="s">
        <v>1179</v>
      </c>
      <c r="D83" s="613"/>
      <c r="E83" s="613"/>
      <c r="F83" s="613"/>
      <c r="G83" s="1028">
        <f t="shared" ref="G83:G84" si="43">D83-E83+F83</f>
        <v>0</v>
      </c>
      <c r="H83" s="977">
        <f t="shared" ref="H83:H84" si="44">ROUND(G83*$G$4,)</f>
        <v>0</v>
      </c>
      <c r="I83" s="1017"/>
      <c r="J83" s="1017"/>
      <c r="K83" s="977">
        <f t="shared" ref="K83:K84" si="45">H83-I83+J83</f>
        <v>0</v>
      </c>
      <c r="L83" s="1018" t="str">
        <f t="shared" si="40"/>
        <v>****</v>
      </c>
      <c r="M83" s="593" t="s">
        <v>1087</v>
      </c>
      <c r="N83" s="593" t="s">
        <v>1180</v>
      </c>
    </row>
    <row r="84" spans="1:14">
      <c r="A84" s="647" t="s">
        <v>687</v>
      </c>
      <c r="B84" s="612" t="s">
        <v>1049</v>
      </c>
      <c r="C84" s="593" t="s">
        <v>1181</v>
      </c>
      <c r="D84" s="613">
        <v>46500</v>
      </c>
      <c r="E84" s="613"/>
      <c r="F84" s="613"/>
      <c r="G84" s="1028">
        <f t="shared" si="43"/>
        <v>46500</v>
      </c>
      <c r="H84" s="977">
        <f t="shared" si="44"/>
        <v>9141900</v>
      </c>
      <c r="I84" s="1017"/>
      <c r="J84" s="1017"/>
      <c r="K84" s="977">
        <f t="shared" si="45"/>
        <v>9141900</v>
      </c>
      <c r="L84" s="1018" t="str">
        <f t="shared" si="40"/>
        <v>****</v>
      </c>
      <c r="M84" s="593" t="s">
        <v>1087</v>
      </c>
      <c r="N84" s="593" t="s">
        <v>1182</v>
      </c>
    </row>
    <row r="85" spans="1:14">
      <c r="A85" s="647"/>
      <c r="B85" s="609" t="s">
        <v>1047</v>
      </c>
      <c r="C85" s="610" t="s">
        <v>1183</v>
      </c>
      <c r="D85" s="611">
        <v>0</v>
      </c>
      <c r="E85" s="611"/>
      <c r="F85" s="611"/>
      <c r="G85" s="1029">
        <f>D85-E85+F85</f>
        <v>0</v>
      </c>
      <c r="H85" s="1004">
        <v>0</v>
      </c>
      <c r="I85" s="1019"/>
      <c r="J85" s="1019"/>
      <c r="K85" s="1004">
        <f>H85-I85+J85</f>
        <v>0</v>
      </c>
      <c r="L85" s="1016" t="str">
        <f t="shared" si="40"/>
        <v>***</v>
      </c>
      <c r="M85" s="610" t="s">
        <v>1184</v>
      </c>
      <c r="N85" s="610" t="s">
        <v>1184</v>
      </c>
    </row>
    <row r="86" spans="1:14">
      <c r="A86" s="647"/>
      <c r="B86" s="609" t="s">
        <v>1047</v>
      </c>
      <c r="C86" s="610" t="s">
        <v>1185</v>
      </c>
      <c r="D86" s="611">
        <v>0</v>
      </c>
      <c r="E86" s="611"/>
      <c r="F86" s="611"/>
      <c r="G86" s="1029">
        <f>D86-E86+F86</f>
        <v>0</v>
      </c>
      <c r="H86" s="1004">
        <v>0</v>
      </c>
      <c r="I86" s="1019"/>
      <c r="J86" s="1019"/>
      <c r="K86" s="1004">
        <f>H86-I86+J86</f>
        <v>0</v>
      </c>
      <c r="L86" s="1016" t="str">
        <f t="shared" si="40"/>
        <v>***</v>
      </c>
      <c r="M86" s="610" t="s">
        <v>689</v>
      </c>
      <c r="N86" s="610" t="s">
        <v>1186</v>
      </c>
    </row>
    <row r="87" spans="1:14">
      <c r="A87" s="647"/>
      <c r="B87" s="609" t="s">
        <v>1047</v>
      </c>
      <c r="C87" s="610" t="s">
        <v>1187</v>
      </c>
      <c r="D87" s="611">
        <f t="shared" ref="D87" si="46">SUM(D88:D93)</f>
        <v>880</v>
      </c>
      <c r="E87" s="611"/>
      <c r="F87" s="611"/>
      <c r="G87" s="1026">
        <f>SUM(G88:G93)</f>
        <v>880</v>
      </c>
      <c r="H87" s="976">
        <f>SUM(H88:H93)</f>
        <v>173008</v>
      </c>
      <c r="I87" s="1015"/>
      <c r="J87" s="1015"/>
      <c r="K87" s="976">
        <f>SUM(K88:K93)</f>
        <v>173008</v>
      </c>
      <c r="L87" s="1016" t="str">
        <f t="shared" si="40"/>
        <v>***</v>
      </c>
      <c r="M87" s="610"/>
      <c r="N87" s="610"/>
    </row>
    <row r="88" spans="1:14">
      <c r="A88" s="647" t="s">
        <v>685</v>
      </c>
      <c r="B88" s="612" t="s">
        <v>1049</v>
      </c>
      <c r="C88" s="593" t="s">
        <v>1188</v>
      </c>
      <c r="D88" s="613">
        <v>880</v>
      </c>
      <c r="E88" s="613"/>
      <c r="F88" s="613"/>
      <c r="G88" s="1028">
        <f t="shared" ref="G88:G93" si="47">D88-E88+F88</f>
        <v>880</v>
      </c>
      <c r="H88" s="977">
        <f t="shared" ref="H88:H93" si="48">ROUND(G88*$G$4,)</f>
        <v>173008</v>
      </c>
      <c r="I88" s="1017"/>
      <c r="J88" s="1017"/>
      <c r="K88" s="977">
        <f t="shared" ref="K88:K93" si="49">H88-I88+J88</f>
        <v>173008</v>
      </c>
      <c r="L88" s="1018" t="str">
        <f t="shared" si="40"/>
        <v>****</v>
      </c>
      <c r="M88" s="593" t="s">
        <v>107</v>
      </c>
      <c r="N88" s="593" t="s">
        <v>1189</v>
      </c>
    </row>
    <row r="89" spans="1:14">
      <c r="A89" s="647" t="s">
        <v>683</v>
      </c>
      <c r="B89" s="612" t="s">
        <v>1049</v>
      </c>
      <c r="C89" s="593" t="s">
        <v>1190</v>
      </c>
      <c r="D89" s="613">
        <v>0</v>
      </c>
      <c r="E89" s="613"/>
      <c r="F89" s="613"/>
      <c r="G89" s="1028">
        <f t="shared" si="47"/>
        <v>0</v>
      </c>
      <c r="H89" s="977">
        <f t="shared" si="48"/>
        <v>0</v>
      </c>
      <c r="I89" s="1017"/>
      <c r="J89" s="1017"/>
      <c r="K89" s="977">
        <f t="shared" si="49"/>
        <v>0</v>
      </c>
      <c r="L89" s="1018" t="str">
        <f t="shared" si="40"/>
        <v>****</v>
      </c>
      <c r="M89" s="593" t="s">
        <v>107</v>
      </c>
      <c r="N89" s="593" t="s">
        <v>879</v>
      </c>
    </row>
    <row r="90" spans="1:14">
      <c r="A90" s="647" t="s">
        <v>693</v>
      </c>
      <c r="B90" s="612" t="s">
        <v>1049</v>
      </c>
      <c r="C90" s="593" t="s">
        <v>2546</v>
      </c>
      <c r="D90" s="613">
        <v>0</v>
      </c>
      <c r="E90" s="613"/>
      <c r="F90" s="613">
        <v>0</v>
      </c>
      <c r="G90" s="1028">
        <f t="shared" si="47"/>
        <v>0</v>
      </c>
      <c r="H90" s="977">
        <f t="shared" si="48"/>
        <v>0</v>
      </c>
      <c r="I90" s="1017"/>
      <c r="J90" s="1017"/>
      <c r="K90" s="977">
        <f t="shared" si="49"/>
        <v>0</v>
      </c>
      <c r="L90" s="1018" t="str">
        <f t="shared" si="40"/>
        <v>****</v>
      </c>
      <c r="M90" s="593" t="s">
        <v>107</v>
      </c>
      <c r="N90" s="593" t="s">
        <v>1192</v>
      </c>
    </row>
    <row r="91" spans="1:14">
      <c r="A91" s="647"/>
      <c r="B91" s="612" t="s">
        <v>1049</v>
      </c>
      <c r="C91" s="593" t="s">
        <v>1193</v>
      </c>
      <c r="D91" s="613">
        <v>0</v>
      </c>
      <c r="E91" s="613"/>
      <c r="F91" s="613"/>
      <c r="G91" s="1028">
        <f t="shared" si="47"/>
        <v>0</v>
      </c>
      <c r="H91" s="977">
        <f t="shared" si="48"/>
        <v>0</v>
      </c>
      <c r="I91" s="1017"/>
      <c r="J91" s="1017"/>
      <c r="K91" s="977">
        <f t="shared" si="49"/>
        <v>0</v>
      </c>
      <c r="L91" s="1018" t="str">
        <f t="shared" si="40"/>
        <v>****</v>
      </c>
      <c r="M91" s="593" t="s">
        <v>107</v>
      </c>
      <c r="N91" s="593" t="s">
        <v>1194</v>
      </c>
    </row>
    <row r="92" spans="1:14">
      <c r="A92" s="647"/>
      <c r="B92" s="612" t="s">
        <v>1049</v>
      </c>
      <c r="C92" s="593" t="s">
        <v>1195</v>
      </c>
      <c r="D92" s="613">
        <v>0</v>
      </c>
      <c r="E92" s="613"/>
      <c r="F92" s="613"/>
      <c r="G92" s="1028">
        <f t="shared" si="47"/>
        <v>0</v>
      </c>
      <c r="H92" s="977">
        <f t="shared" si="48"/>
        <v>0</v>
      </c>
      <c r="I92" s="1017"/>
      <c r="J92" s="1017"/>
      <c r="K92" s="977">
        <f t="shared" si="49"/>
        <v>0</v>
      </c>
      <c r="L92" s="1018" t="str">
        <f t="shared" si="40"/>
        <v>****</v>
      </c>
      <c r="M92" s="593" t="s">
        <v>107</v>
      </c>
      <c r="N92" s="593" t="s">
        <v>1196</v>
      </c>
    </row>
    <row r="93" spans="1:14">
      <c r="A93" s="647"/>
      <c r="B93" s="612" t="s">
        <v>1049</v>
      </c>
      <c r="C93" s="593" t="s">
        <v>1197</v>
      </c>
      <c r="D93" s="613">
        <v>0</v>
      </c>
      <c r="E93" s="613"/>
      <c r="F93" s="613"/>
      <c r="G93" s="1028">
        <f t="shared" si="47"/>
        <v>0</v>
      </c>
      <c r="H93" s="977">
        <f t="shared" si="48"/>
        <v>0</v>
      </c>
      <c r="I93" s="1017"/>
      <c r="J93" s="1017"/>
      <c r="K93" s="977">
        <f t="shared" si="49"/>
        <v>0</v>
      </c>
      <c r="L93" s="1018" t="str">
        <f t="shared" si="40"/>
        <v>****</v>
      </c>
      <c r="M93" s="593" t="s">
        <v>107</v>
      </c>
      <c r="N93" s="593" t="s">
        <v>1198</v>
      </c>
    </row>
    <row r="94" spans="1:14">
      <c r="A94" s="647"/>
      <c r="B94" s="612"/>
      <c r="C94" s="593"/>
      <c r="D94" s="613"/>
      <c r="E94" s="613"/>
      <c r="F94" s="613"/>
      <c r="G94" s="1028"/>
      <c r="H94" s="977"/>
      <c r="I94" s="1017"/>
      <c r="J94" s="1017"/>
      <c r="K94" s="977"/>
      <c r="L94" s="1018"/>
      <c r="M94" s="593"/>
      <c r="N94" s="593"/>
    </row>
    <row r="95" spans="1:14">
      <c r="A95" s="647"/>
      <c r="B95" s="612"/>
      <c r="C95" s="593"/>
      <c r="D95" s="613"/>
      <c r="E95" s="613"/>
      <c r="F95" s="613"/>
      <c r="G95" s="1028"/>
      <c r="H95" s="977"/>
      <c r="I95" s="1017"/>
      <c r="J95" s="1017"/>
      <c r="K95" s="977"/>
      <c r="L95" s="1018"/>
      <c r="M95" s="593"/>
      <c r="N95" s="593"/>
    </row>
    <row r="96" spans="1:14">
      <c r="A96" s="647"/>
      <c r="B96" s="612"/>
      <c r="C96" s="593"/>
      <c r="D96" s="613"/>
      <c r="E96" s="613"/>
      <c r="F96" s="613"/>
      <c r="G96" s="1028"/>
      <c r="H96" s="977"/>
      <c r="I96" s="1017"/>
      <c r="J96" s="1017"/>
      <c r="K96" s="977"/>
      <c r="L96" s="1018"/>
      <c r="M96" s="593"/>
      <c r="N96" s="593"/>
    </row>
    <row r="97" spans="1:14">
      <c r="A97" s="647"/>
      <c r="B97" s="609" t="s">
        <v>1047</v>
      </c>
      <c r="C97" s="610" t="s">
        <v>1199</v>
      </c>
      <c r="D97" s="611">
        <v>0</v>
      </c>
      <c r="E97" s="611"/>
      <c r="F97" s="611"/>
      <c r="G97" s="1029">
        <f>D97-E97+F97</f>
        <v>0</v>
      </c>
      <c r="H97" s="1004">
        <v>0</v>
      </c>
      <c r="I97" s="1015"/>
      <c r="J97" s="1015"/>
      <c r="K97" s="1004">
        <f>H97-I97+J97</f>
        <v>0</v>
      </c>
      <c r="L97" s="1016" t="s">
        <v>1047</v>
      </c>
      <c r="M97" s="1002" t="s">
        <v>107</v>
      </c>
      <c r="N97" s="610" t="s">
        <v>691</v>
      </c>
    </row>
    <row r="98" spans="1:14">
      <c r="A98" s="647"/>
      <c r="B98" s="997" t="s">
        <v>1045</v>
      </c>
      <c r="C98" s="998" t="s">
        <v>1200</v>
      </c>
      <c r="D98" s="999">
        <f t="shared" ref="D98" si="50">SUM(D99,D102,D106,D107,D108,)</f>
        <v>0</v>
      </c>
      <c r="E98" s="999"/>
      <c r="F98" s="999"/>
      <c r="G98" s="1025">
        <f>SUM(G99,G102,G106,G107,G108,)</f>
        <v>0</v>
      </c>
      <c r="H98" s="1000">
        <f>SUM(H99,H102,H106,H107,H108,)</f>
        <v>0</v>
      </c>
      <c r="I98" s="1013"/>
      <c r="J98" s="1013"/>
      <c r="K98" s="1000">
        <f>SUM(K99,K102,K106,K107,K108,)</f>
        <v>0</v>
      </c>
      <c r="L98" s="1014" t="str">
        <f>B98</f>
        <v>**</v>
      </c>
      <c r="M98" s="998"/>
      <c r="N98" s="998"/>
    </row>
    <row r="99" spans="1:14">
      <c r="A99" s="647"/>
      <c r="B99" s="609" t="s">
        <v>1047</v>
      </c>
      <c r="C99" s="610" t="s">
        <v>1201</v>
      </c>
      <c r="D99" s="611">
        <f t="shared" ref="D99" si="51">SUM(D100:D101)</f>
        <v>0</v>
      </c>
      <c r="E99" s="611"/>
      <c r="F99" s="611"/>
      <c r="G99" s="1026">
        <f>SUM(G100:G101)</f>
        <v>0</v>
      </c>
      <c r="H99" s="976">
        <f>SUM(H100:H101)</f>
        <v>0</v>
      </c>
      <c r="I99" s="1015"/>
      <c r="J99" s="1015"/>
      <c r="K99" s="976">
        <f>SUM(K100:K101)</f>
        <v>0</v>
      </c>
      <c r="L99" s="1016" t="str">
        <f>B99</f>
        <v>***</v>
      </c>
      <c r="M99" s="610"/>
      <c r="N99" s="610"/>
    </row>
    <row r="100" spans="1:14">
      <c r="A100" s="647"/>
      <c r="B100" s="612" t="s">
        <v>1049</v>
      </c>
      <c r="C100" s="593" t="s">
        <v>1202</v>
      </c>
      <c r="D100" s="613">
        <v>0</v>
      </c>
      <c r="E100" s="613"/>
      <c r="F100" s="613"/>
      <c r="G100" s="1028">
        <f t="shared" ref="G100:G101" si="52">D100-E100+F100</f>
        <v>0</v>
      </c>
      <c r="H100" s="977">
        <f t="shared" ref="H100:H101" si="53">ROUND(G100*$G$4,)</f>
        <v>0</v>
      </c>
      <c r="I100" s="1017"/>
      <c r="J100" s="1017"/>
      <c r="K100" s="977">
        <f t="shared" ref="K100:K101" si="54">H100-I100+J100</f>
        <v>0</v>
      </c>
      <c r="L100" s="1018" t="str">
        <f>B100</f>
        <v>****</v>
      </c>
      <c r="M100" s="593" t="s">
        <v>585</v>
      </c>
      <c r="N100" s="593" t="s">
        <v>1203</v>
      </c>
    </row>
    <row r="101" spans="1:14">
      <c r="A101" s="647"/>
      <c r="B101" s="612" t="s">
        <v>1049</v>
      </c>
      <c r="C101" s="593" t="s">
        <v>1204</v>
      </c>
      <c r="D101" s="613">
        <v>0</v>
      </c>
      <c r="E101" s="613"/>
      <c r="F101" s="613"/>
      <c r="G101" s="1028">
        <f t="shared" si="52"/>
        <v>0</v>
      </c>
      <c r="H101" s="977">
        <f t="shared" si="53"/>
        <v>0</v>
      </c>
      <c r="I101" s="1017"/>
      <c r="J101" s="1017"/>
      <c r="K101" s="977">
        <f t="shared" si="54"/>
        <v>0</v>
      </c>
      <c r="L101" s="1018" t="str">
        <f>B101</f>
        <v>****</v>
      </c>
      <c r="M101" s="593" t="s">
        <v>585</v>
      </c>
      <c r="N101" s="593" t="s">
        <v>1205</v>
      </c>
    </row>
    <row r="102" spans="1:14">
      <c r="A102" s="647"/>
      <c r="B102" s="609" t="s">
        <v>1047</v>
      </c>
      <c r="C102" s="610" t="s">
        <v>1206</v>
      </c>
      <c r="D102" s="611">
        <f t="shared" ref="D102" si="55">SUM(D103:D105)</f>
        <v>0</v>
      </c>
      <c r="E102" s="611"/>
      <c r="F102" s="611"/>
      <c r="G102" s="1026">
        <f>SUM(G103:G105)</f>
        <v>0</v>
      </c>
      <c r="H102" s="976">
        <f>SUM(H103:H105)</f>
        <v>0</v>
      </c>
      <c r="I102" s="1015"/>
      <c r="J102" s="1015"/>
      <c r="K102" s="976">
        <f>SUM(K103:K105)</f>
        <v>0</v>
      </c>
      <c r="L102" s="1016" t="str">
        <f>B102</f>
        <v>***</v>
      </c>
      <c r="M102" s="610"/>
      <c r="N102" s="610"/>
    </row>
    <row r="103" spans="1:14">
      <c r="A103" s="647"/>
      <c r="B103" s="612" t="s">
        <v>1049</v>
      </c>
      <c r="C103" s="593" t="s">
        <v>1207</v>
      </c>
      <c r="D103" s="613">
        <v>0</v>
      </c>
      <c r="E103" s="613"/>
      <c r="F103" s="613"/>
      <c r="G103" s="1028">
        <f t="shared" ref="G103:G105" si="56">D103-E103+F103</f>
        <v>0</v>
      </c>
      <c r="H103" s="977">
        <f t="shared" ref="H103:H107" si="57">ROUND(G103*$G$4,)</f>
        <v>0</v>
      </c>
      <c r="I103" s="1017"/>
      <c r="J103" s="1017"/>
      <c r="K103" s="977">
        <f t="shared" ref="K103:K105" si="58">H103-I103+J103</f>
        <v>0</v>
      </c>
      <c r="L103" s="1023" t="s">
        <v>1049</v>
      </c>
      <c r="M103" s="593" t="s">
        <v>698</v>
      </c>
      <c r="N103" s="593" t="s">
        <v>698</v>
      </c>
    </row>
    <row r="104" spans="1:14">
      <c r="A104" s="647"/>
      <c r="B104" s="612" t="s">
        <v>1049</v>
      </c>
      <c r="C104" s="593" t="s">
        <v>1208</v>
      </c>
      <c r="D104" s="613">
        <v>0</v>
      </c>
      <c r="E104" s="613"/>
      <c r="F104" s="613"/>
      <c r="G104" s="1028">
        <f t="shared" si="56"/>
        <v>0</v>
      </c>
      <c r="H104" s="977">
        <f t="shared" si="57"/>
        <v>0</v>
      </c>
      <c r="I104" s="1017"/>
      <c r="J104" s="1017"/>
      <c r="K104" s="977">
        <f t="shared" si="58"/>
        <v>0</v>
      </c>
      <c r="L104" s="1023" t="s">
        <v>1049</v>
      </c>
      <c r="M104" s="593" t="s">
        <v>698</v>
      </c>
      <c r="N104" s="593" t="s">
        <v>1209</v>
      </c>
    </row>
    <row r="105" spans="1:14">
      <c r="A105" s="647"/>
      <c r="B105" s="612" t="s">
        <v>1049</v>
      </c>
      <c r="C105" s="593" t="s">
        <v>1210</v>
      </c>
      <c r="D105" s="613">
        <v>0</v>
      </c>
      <c r="E105" s="613"/>
      <c r="F105" s="613"/>
      <c r="G105" s="1028">
        <f t="shared" si="56"/>
        <v>0</v>
      </c>
      <c r="H105" s="977">
        <f t="shared" si="57"/>
        <v>0</v>
      </c>
      <c r="I105" s="1017"/>
      <c r="J105" s="1017"/>
      <c r="K105" s="977">
        <f t="shared" si="58"/>
        <v>0</v>
      </c>
      <c r="L105" s="1023" t="s">
        <v>1049</v>
      </c>
      <c r="M105" s="593" t="s">
        <v>698</v>
      </c>
      <c r="N105" s="593" t="s">
        <v>1211</v>
      </c>
    </row>
    <row r="106" spans="1:14">
      <c r="A106" s="647"/>
      <c r="B106" s="1001" t="s">
        <v>1047</v>
      </c>
      <c r="C106" s="1002" t="s">
        <v>1212</v>
      </c>
      <c r="D106" s="1003">
        <v>0</v>
      </c>
      <c r="E106" s="1003"/>
      <c r="F106" s="1003"/>
      <c r="G106" s="1029">
        <f>D106-E106+F106</f>
        <v>0</v>
      </c>
      <c r="H106" s="1004">
        <f t="shared" si="57"/>
        <v>0</v>
      </c>
      <c r="I106" s="1019"/>
      <c r="J106" s="1019"/>
      <c r="K106" s="1004">
        <f>H106-I106+J106</f>
        <v>0</v>
      </c>
      <c r="L106" s="1020" t="s">
        <v>1047</v>
      </c>
      <c r="M106" s="1002"/>
      <c r="N106" s="1002"/>
    </row>
    <row r="107" spans="1:14">
      <c r="A107" s="647"/>
      <c r="B107" s="1001" t="s">
        <v>1047</v>
      </c>
      <c r="C107" s="1002" t="s">
        <v>1213</v>
      </c>
      <c r="D107" s="1003">
        <v>0</v>
      </c>
      <c r="E107" s="1003"/>
      <c r="F107" s="1003"/>
      <c r="G107" s="1029">
        <f>D107-E107+F107</f>
        <v>0</v>
      </c>
      <c r="H107" s="1004">
        <f t="shared" si="57"/>
        <v>0</v>
      </c>
      <c r="I107" s="1019"/>
      <c r="J107" s="1019"/>
      <c r="K107" s="1004">
        <f>H107-I107+J107</f>
        <v>0</v>
      </c>
      <c r="L107" s="1020" t="s">
        <v>1047</v>
      </c>
      <c r="M107" s="1002" t="s">
        <v>506</v>
      </c>
      <c r="N107" s="1002" t="s">
        <v>506</v>
      </c>
    </row>
    <row r="108" spans="1:14">
      <c r="A108" s="647"/>
      <c r="B108" s="609" t="s">
        <v>1047</v>
      </c>
      <c r="C108" s="610" t="s">
        <v>1214</v>
      </c>
      <c r="D108" s="611">
        <f t="shared" ref="D108" si="59">SUM(D109:D110)</f>
        <v>0</v>
      </c>
      <c r="E108" s="611"/>
      <c r="F108" s="611"/>
      <c r="G108" s="1026">
        <f>SUM(G109:G110)</f>
        <v>0</v>
      </c>
      <c r="H108" s="976">
        <f>SUM(H109:H110)</f>
        <v>0</v>
      </c>
      <c r="I108" s="1015"/>
      <c r="J108" s="1015"/>
      <c r="K108" s="976">
        <f>SUM(K109:K110)</f>
        <v>0</v>
      </c>
      <c r="L108" s="1016"/>
      <c r="M108" s="610"/>
      <c r="N108" s="610"/>
    </row>
    <row r="109" spans="1:14">
      <c r="A109" s="647"/>
      <c r="B109" s="612" t="s">
        <v>1049</v>
      </c>
      <c r="C109" s="593" t="s">
        <v>1215</v>
      </c>
      <c r="D109" s="613">
        <v>0</v>
      </c>
      <c r="E109" s="613"/>
      <c r="F109" s="613"/>
      <c r="G109" s="1028">
        <f t="shared" ref="G109:G110" si="60">D109-E109+F109</f>
        <v>0</v>
      </c>
      <c r="H109" s="977">
        <f t="shared" ref="H109:H110" si="61">ROUND(G109*$G$4,)</f>
        <v>0</v>
      </c>
      <c r="I109" s="1017"/>
      <c r="J109" s="1017"/>
      <c r="K109" s="977">
        <f t="shared" ref="K109:K110" si="62">H109-I109+J109</f>
        <v>0</v>
      </c>
      <c r="L109" s="1018" t="str">
        <f>B109</f>
        <v>****</v>
      </c>
      <c r="M109" s="593" t="s">
        <v>1216</v>
      </c>
      <c r="N109" s="593" t="s">
        <v>883</v>
      </c>
    </row>
    <row r="110" spans="1:14">
      <c r="A110" s="647"/>
      <c r="B110" s="612"/>
      <c r="C110" s="593" t="s">
        <v>1217</v>
      </c>
      <c r="D110" s="613">
        <v>0</v>
      </c>
      <c r="E110" s="613"/>
      <c r="F110" s="613"/>
      <c r="G110" s="1028">
        <f t="shared" si="60"/>
        <v>0</v>
      </c>
      <c r="H110" s="977">
        <f t="shared" si="61"/>
        <v>0</v>
      </c>
      <c r="I110" s="1017"/>
      <c r="J110" s="1017"/>
      <c r="K110" s="977">
        <f t="shared" si="62"/>
        <v>0</v>
      </c>
      <c r="L110" s="1018"/>
      <c r="M110" s="593" t="s">
        <v>884</v>
      </c>
      <c r="N110" s="593" t="s">
        <v>57</v>
      </c>
    </row>
    <row r="111" spans="1:14">
      <c r="A111" s="647"/>
      <c r="B111" s="606" t="s">
        <v>1043</v>
      </c>
      <c r="C111" s="607" t="s">
        <v>1218</v>
      </c>
      <c r="D111" s="608">
        <f t="shared" ref="D111" si="63">SUM(D112,D115,D118,D120,D123)</f>
        <v>-6568856.1099999994</v>
      </c>
      <c r="E111" s="608"/>
      <c r="F111" s="608"/>
      <c r="G111" s="608">
        <f t="shared" ref="G111" si="64">SUM(G112,G115,G118,G120,G123)</f>
        <v>-6568856.1099999994</v>
      </c>
      <c r="H111" s="975">
        <f>SUM(H112,H115,H118,H120,H123)</f>
        <v>-1291437111</v>
      </c>
      <c r="I111" s="1021"/>
      <c r="J111" s="1021"/>
      <c r="K111" s="975">
        <f>SUM(K112,K115,K118,K120,K123)</f>
        <v>-1291437111</v>
      </c>
      <c r="L111" s="1022" t="str">
        <f t="shared" ref="L111:L118" si="65">B111</f>
        <v>*</v>
      </c>
      <c r="M111" s="607"/>
      <c r="N111" s="607"/>
    </row>
    <row r="112" spans="1:14">
      <c r="A112" s="647"/>
      <c r="B112" s="997" t="s">
        <v>1045</v>
      </c>
      <c r="C112" s="998" t="s">
        <v>1219</v>
      </c>
      <c r="D112" s="999">
        <f t="shared" ref="D112" si="66">SUM(D113:D114)</f>
        <v>1000000</v>
      </c>
      <c r="E112" s="999"/>
      <c r="F112" s="999"/>
      <c r="G112" s="1025">
        <f>SUM(G113:G114)</f>
        <v>1000000</v>
      </c>
      <c r="H112" s="1000">
        <f>SUM(H113:H114)</f>
        <v>172100000</v>
      </c>
      <c r="I112" s="1013"/>
      <c r="J112" s="1013"/>
      <c r="K112" s="1000">
        <f>SUM(K113:K114)</f>
        <v>172100000</v>
      </c>
      <c r="L112" s="1014" t="str">
        <f t="shared" si="65"/>
        <v>**</v>
      </c>
      <c r="M112" s="998"/>
      <c r="N112" s="998"/>
    </row>
    <row r="113" spans="1:14">
      <c r="A113" s="647" t="s">
        <v>704</v>
      </c>
      <c r="B113" s="612" t="s">
        <v>1125</v>
      </c>
      <c r="C113" s="593" t="s">
        <v>1220</v>
      </c>
      <c r="D113" s="613">
        <v>1000000</v>
      </c>
      <c r="E113" s="613"/>
      <c r="F113" s="613"/>
      <c r="G113" s="1028">
        <f>D113-E113+F113</f>
        <v>1000000</v>
      </c>
      <c r="H113" s="992">
        <v>172100000</v>
      </c>
      <c r="I113" s="1017"/>
      <c r="J113" s="1017"/>
      <c r="K113" s="977">
        <f>H113-I113+J113</f>
        <v>172100000</v>
      </c>
      <c r="L113" s="1018" t="str">
        <f t="shared" si="65"/>
        <v>***</v>
      </c>
      <c r="M113" s="593" t="s">
        <v>887</v>
      </c>
      <c r="N113" s="593" t="s">
        <v>887</v>
      </c>
    </row>
    <row r="114" spans="1:14">
      <c r="A114" s="647"/>
      <c r="B114" s="612" t="s">
        <v>1125</v>
      </c>
      <c r="C114" s="593" t="s">
        <v>1221</v>
      </c>
      <c r="D114" s="613">
        <v>0</v>
      </c>
      <c r="E114" s="613"/>
      <c r="F114" s="613"/>
      <c r="G114" s="1028">
        <f>D114-E114+F114</f>
        <v>0</v>
      </c>
      <c r="H114" s="977">
        <v>0</v>
      </c>
      <c r="I114" s="1017"/>
      <c r="J114" s="1017"/>
      <c r="K114" s="977">
        <f>H114-I114+J114</f>
        <v>0</v>
      </c>
      <c r="L114" s="1018" t="str">
        <f t="shared" si="65"/>
        <v>***</v>
      </c>
      <c r="M114" s="593" t="s">
        <v>887</v>
      </c>
      <c r="N114" s="593" t="s">
        <v>1222</v>
      </c>
    </row>
    <row r="115" spans="1:14">
      <c r="A115" s="647"/>
      <c r="B115" s="997" t="s">
        <v>1045</v>
      </c>
      <c r="C115" s="998" t="s">
        <v>1223</v>
      </c>
      <c r="D115" s="999">
        <f t="shared" ref="D115" si="67">SUM(D116:D117)</f>
        <v>0</v>
      </c>
      <c r="E115" s="999"/>
      <c r="F115" s="999"/>
      <c r="G115" s="1025">
        <f>SUM(G116:G117)</f>
        <v>0</v>
      </c>
      <c r="H115" s="1000">
        <f>SUM(H116:H117)</f>
        <v>0</v>
      </c>
      <c r="I115" s="1013"/>
      <c r="J115" s="1013"/>
      <c r="K115" s="1000">
        <f>SUM(K116:K117)</f>
        <v>0</v>
      </c>
      <c r="L115" s="1014" t="str">
        <f t="shared" si="65"/>
        <v>**</v>
      </c>
      <c r="M115" s="998"/>
      <c r="N115" s="998"/>
    </row>
    <row r="116" spans="1:14">
      <c r="A116" s="647"/>
      <c r="B116" s="612" t="s">
        <v>1125</v>
      </c>
      <c r="C116" s="593" t="s">
        <v>1224</v>
      </c>
      <c r="D116" s="613">
        <v>0</v>
      </c>
      <c r="E116" s="613"/>
      <c r="F116" s="613"/>
      <c r="G116" s="1028">
        <f t="shared" ref="G116:G117" si="68">D116-E116+F116</f>
        <v>0</v>
      </c>
      <c r="H116" s="977">
        <v>0</v>
      </c>
      <c r="I116" s="1017"/>
      <c r="J116" s="1017"/>
      <c r="K116" s="977">
        <f t="shared" ref="K116:K117" si="69">H116-I116+J116</f>
        <v>0</v>
      </c>
      <c r="L116" s="1018" t="str">
        <f t="shared" si="65"/>
        <v>***</v>
      </c>
      <c r="M116" s="593" t="s">
        <v>1225</v>
      </c>
      <c r="N116" s="593" t="s">
        <v>1226</v>
      </c>
    </row>
    <row r="117" spans="1:14">
      <c r="A117" s="647"/>
      <c r="B117" s="612" t="s">
        <v>1125</v>
      </c>
      <c r="C117" s="593" t="s">
        <v>1227</v>
      </c>
      <c r="D117" s="613">
        <v>0</v>
      </c>
      <c r="E117" s="613"/>
      <c r="F117" s="613"/>
      <c r="G117" s="1028">
        <f t="shared" si="68"/>
        <v>0</v>
      </c>
      <c r="H117" s="977">
        <v>0</v>
      </c>
      <c r="I117" s="1017"/>
      <c r="J117" s="1017"/>
      <c r="K117" s="977">
        <f t="shared" si="69"/>
        <v>0</v>
      </c>
      <c r="L117" s="1018" t="str">
        <f t="shared" si="65"/>
        <v>***</v>
      </c>
      <c r="M117" s="593" t="s">
        <v>65</v>
      </c>
      <c r="N117" s="593" t="s">
        <v>1228</v>
      </c>
    </row>
    <row r="118" spans="1:14">
      <c r="A118" s="647"/>
      <c r="B118" s="997" t="s">
        <v>1045</v>
      </c>
      <c r="C118" s="998" t="s">
        <v>1229</v>
      </c>
      <c r="D118" s="999">
        <f t="shared" ref="D118" si="70">D119</f>
        <v>0</v>
      </c>
      <c r="E118" s="999"/>
      <c r="F118" s="999"/>
      <c r="G118" s="1025">
        <f>G119</f>
        <v>0</v>
      </c>
      <c r="H118" s="1000">
        <f>H119</f>
        <v>0</v>
      </c>
      <c r="I118" s="1013"/>
      <c r="J118" s="1013"/>
      <c r="K118" s="1000">
        <f>K119</f>
        <v>0</v>
      </c>
      <c r="L118" s="1014" t="str">
        <f t="shared" si="65"/>
        <v>**</v>
      </c>
      <c r="M118" s="998"/>
      <c r="N118" s="998"/>
    </row>
    <row r="119" spans="1:14">
      <c r="A119" s="647"/>
      <c r="B119" s="612"/>
      <c r="C119" s="593" t="s">
        <v>1230</v>
      </c>
      <c r="D119" s="613">
        <v>0</v>
      </c>
      <c r="E119" s="613"/>
      <c r="F119" s="613"/>
      <c r="G119" s="1028"/>
      <c r="H119" s="977">
        <v>0</v>
      </c>
      <c r="I119" s="1017"/>
      <c r="J119" s="1017"/>
      <c r="K119" s="977"/>
      <c r="L119" s="1018"/>
      <c r="M119" s="593"/>
      <c r="N119" s="593"/>
    </row>
    <row r="120" spans="1:14">
      <c r="A120" s="647"/>
      <c r="B120" s="997" t="s">
        <v>1045</v>
      </c>
      <c r="C120" s="998" t="s">
        <v>1231</v>
      </c>
      <c r="D120" s="998">
        <f t="shared" ref="D120" si="71">SUM(D121:D122)</f>
        <v>0</v>
      </c>
      <c r="E120" s="998"/>
      <c r="F120" s="998"/>
      <c r="G120" s="1025">
        <f>SUM(G121:G122)</f>
        <v>0</v>
      </c>
      <c r="H120" s="1000">
        <f>SUM(H121:H122)</f>
        <v>-122811246</v>
      </c>
      <c r="I120" s="1013"/>
      <c r="J120" s="1013"/>
      <c r="K120" s="1000">
        <f>SUM(K121:K122)</f>
        <v>-122811246</v>
      </c>
      <c r="L120" s="1014" t="str">
        <f t="shared" ref="L120:L128" si="72">B120</f>
        <v>**</v>
      </c>
      <c r="M120" s="998"/>
      <c r="N120" s="998"/>
    </row>
    <row r="121" spans="1:14">
      <c r="A121" s="647"/>
      <c r="B121" s="612" t="s">
        <v>1125</v>
      </c>
      <c r="C121" s="593" t="s">
        <v>1232</v>
      </c>
      <c r="D121" s="613">
        <v>0</v>
      </c>
      <c r="E121" s="613"/>
      <c r="F121" s="613"/>
      <c r="G121" s="1028">
        <f t="shared" ref="G121:G122" si="73">D121-E121+F121</f>
        <v>0</v>
      </c>
      <c r="H121" s="977">
        <v>0</v>
      </c>
      <c r="I121" s="1017"/>
      <c r="J121" s="1017"/>
      <c r="K121" s="977">
        <f t="shared" ref="K121:K122" si="74">H121-I121+J121</f>
        <v>0</v>
      </c>
      <c r="L121" s="1018" t="str">
        <f t="shared" si="72"/>
        <v>***</v>
      </c>
      <c r="M121" s="593" t="s">
        <v>1233</v>
      </c>
      <c r="N121" s="593" t="s">
        <v>69</v>
      </c>
    </row>
    <row r="122" spans="1:14">
      <c r="A122" s="647" t="s">
        <v>827</v>
      </c>
      <c r="B122" s="612" t="s">
        <v>1125</v>
      </c>
      <c r="C122" s="593" t="s">
        <v>1234</v>
      </c>
      <c r="D122" s="613">
        <v>0</v>
      </c>
      <c r="E122" s="613"/>
      <c r="F122" s="613"/>
      <c r="G122" s="1028">
        <f t="shared" si="73"/>
        <v>0</v>
      </c>
      <c r="H122" s="992">
        <f>DHK!F74</f>
        <v>-122811246</v>
      </c>
      <c r="I122" s="1017"/>
      <c r="J122" s="1017"/>
      <c r="K122" s="977">
        <f t="shared" si="74"/>
        <v>-122811246</v>
      </c>
      <c r="L122" s="1018" t="str">
        <f t="shared" si="72"/>
        <v>***</v>
      </c>
      <c r="M122" s="593" t="s">
        <v>1233</v>
      </c>
      <c r="N122" s="593" t="s">
        <v>1235</v>
      </c>
    </row>
    <row r="123" spans="1:14">
      <c r="A123" s="647"/>
      <c r="B123" s="997" t="s">
        <v>1045</v>
      </c>
      <c r="C123" s="998" t="s">
        <v>1236</v>
      </c>
      <c r="D123" s="999">
        <f t="shared" ref="D123" si="75">D124</f>
        <v>-7568856.1099999994</v>
      </c>
      <c r="E123" s="999"/>
      <c r="F123" s="999"/>
      <c r="G123" s="1025">
        <f>G124</f>
        <v>-7568856.1099999994</v>
      </c>
      <c r="H123" s="1000">
        <f>H124</f>
        <v>-1340725865</v>
      </c>
      <c r="I123" s="1013"/>
      <c r="J123" s="1013"/>
      <c r="K123" s="1000">
        <f>K124</f>
        <v>-1340725865</v>
      </c>
      <c r="L123" s="1014" t="str">
        <f t="shared" si="72"/>
        <v>**</v>
      </c>
      <c r="M123" s="998"/>
      <c r="N123" s="998"/>
    </row>
    <row r="124" spans="1:14">
      <c r="A124" s="647" t="s">
        <v>714</v>
      </c>
      <c r="B124" s="612" t="s">
        <v>1125</v>
      </c>
      <c r="C124" s="593" t="s">
        <v>1237</v>
      </c>
      <c r="D124" s="613">
        <f t="shared" ref="D124" si="76">SUM(D125:D128)</f>
        <v>-7568856.1099999994</v>
      </c>
      <c r="E124" s="613"/>
      <c r="F124" s="613"/>
      <c r="G124" s="1027">
        <f>SUM(G125:G128)</f>
        <v>-7568856.1099999994</v>
      </c>
      <c r="H124" s="718">
        <f>SUM(H125:H128)</f>
        <v>-1340725865</v>
      </c>
      <c r="I124" s="1017"/>
      <c r="J124" s="1017"/>
      <c r="K124" s="718">
        <f>SUM(K125:K128)</f>
        <v>-1340725865</v>
      </c>
      <c r="L124" s="1018" t="str">
        <f t="shared" si="72"/>
        <v>***</v>
      </c>
      <c r="M124" s="593"/>
      <c r="N124" s="593"/>
    </row>
    <row r="125" spans="1:14">
      <c r="A125" s="647"/>
      <c r="B125" s="612" t="s">
        <v>1238</v>
      </c>
      <c r="C125" s="593" t="s">
        <v>1239</v>
      </c>
      <c r="D125" s="613">
        <v>-7057463.0499999998</v>
      </c>
      <c r="E125" s="613">
        <v>0</v>
      </c>
      <c r="F125" s="613"/>
      <c r="G125" s="1028">
        <f t="shared" ref="G125:G128" si="77">D125-E125+F125</f>
        <v>-7057463.0499999998</v>
      </c>
      <c r="H125" s="992">
        <f>DHK!G71</f>
        <v>-1243799536</v>
      </c>
      <c r="I125" s="1017"/>
      <c r="J125" s="1017"/>
      <c r="K125" s="977">
        <f t="shared" ref="K125:K128" si="78">H125-I125+J125</f>
        <v>-1243799536</v>
      </c>
      <c r="L125" s="1018" t="str">
        <f t="shared" si="72"/>
        <v>****</v>
      </c>
      <c r="M125" s="593" t="s">
        <v>1240</v>
      </c>
      <c r="N125" s="593" t="s">
        <v>1241</v>
      </c>
    </row>
    <row r="126" spans="1:14">
      <c r="A126" s="647"/>
      <c r="B126" s="612" t="s">
        <v>1238</v>
      </c>
      <c r="C126" s="593" t="s">
        <v>1242</v>
      </c>
      <c r="D126" s="613">
        <v>0</v>
      </c>
      <c r="E126" s="613"/>
      <c r="F126" s="613"/>
      <c r="G126" s="1028">
        <f t="shared" si="77"/>
        <v>0</v>
      </c>
      <c r="H126" s="977">
        <v>0</v>
      </c>
      <c r="I126" s="1017"/>
      <c r="J126" s="1017"/>
      <c r="K126" s="977">
        <f t="shared" si="78"/>
        <v>0</v>
      </c>
      <c r="L126" s="1018" t="str">
        <f t="shared" si="72"/>
        <v>****</v>
      </c>
      <c r="M126" s="593" t="s">
        <v>73</v>
      </c>
      <c r="N126" s="593" t="s">
        <v>1243</v>
      </c>
    </row>
    <row r="127" spans="1:14">
      <c r="A127" s="647"/>
      <c r="B127" s="612" t="s">
        <v>1238</v>
      </c>
      <c r="C127" s="593" t="s">
        <v>1244</v>
      </c>
      <c r="D127" s="613">
        <v>0</v>
      </c>
      <c r="E127" s="613"/>
      <c r="F127" s="613"/>
      <c r="G127" s="1028">
        <f t="shared" si="77"/>
        <v>0</v>
      </c>
      <c r="H127" s="977">
        <v>0</v>
      </c>
      <c r="I127" s="1017"/>
      <c r="J127" s="1017"/>
      <c r="K127" s="977">
        <f t="shared" si="78"/>
        <v>0</v>
      </c>
      <c r="L127" s="1018" t="str">
        <f t="shared" si="72"/>
        <v>****</v>
      </c>
      <c r="M127" s="593" t="s">
        <v>70</v>
      </c>
      <c r="N127" s="593" t="s">
        <v>1245</v>
      </c>
    </row>
    <row r="128" spans="1:14" ht="14.25" thickBot="1">
      <c r="A128" s="648"/>
      <c r="B128" s="612" t="s">
        <v>1238</v>
      </c>
      <c r="C128" s="593" t="s">
        <v>1246</v>
      </c>
      <c r="D128" s="973">
        <v>-511393.06</v>
      </c>
      <c r="E128" s="1017">
        <f>DHK_PL!E90</f>
        <v>0</v>
      </c>
      <c r="F128" s="1017">
        <f>DHK_PL!F90</f>
        <v>0</v>
      </c>
      <c r="G128" s="1028">
        <f t="shared" si="77"/>
        <v>-511393.06</v>
      </c>
      <c r="H128" s="979">
        <f>DHK_PL!K84</f>
        <v>-96926329</v>
      </c>
      <c r="I128" s="1017">
        <f>DHK_PL!I90</f>
        <v>0</v>
      </c>
      <c r="J128" s="1017">
        <f>DHK_PL!J90</f>
        <v>0</v>
      </c>
      <c r="K128" s="977">
        <f t="shared" si="78"/>
        <v>-96926329</v>
      </c>
      <c r="L128" s="1018" t="str">
        <f t="shared" si="72"/>
        <v>****</v>
      </c>
      <c r="M128" s="593" t="s">
        <v>1240</v>
      </c>
      <c r="N128" s="593" t="s">
        <v>140</v>
      </c>
    </row>
    <row r="129" spans="2:11">
      <c r="D129" s="598" t="b">
        <f t="shared" ref="D129" si="79">D111+D75=D5</f>
        <v>1</v>
      </c>
      <c r="G129" s="598">
        <f>G111+G75-G5</f>
        <v>0</v>
      </c>
      <c r="H129" s="991">
        <f>H111+H75-H5</f>
        <v>0</v>
      </c>
      <c r="I129" s="991">
        <f>SUM(I5:I128)</f>
        <v>0</v>
      </c>
      <c r="J129" s="991">
        <f>SUM(J5:J128)</f>
        <v>0</v>
      </c>
      <c r="K129" s="991">
        <f>K111+K75-K5</f>
        <v>0</v>
      </c>
    </row>
    <row r="130" spans="2:11">
      <c r="H130" s="1036"/>
      <c r="I130" s="676"/>
      <c r="J130" s="676">
        <f>J129-I129</f>
        <v>0</v>
      </c>
      <c r="K130" s="676"/>
    </row>
    <row r="131" spans="2:11">
      <c r="C131" s="596" t="s">
        <v>2547</v>
      </c>
      <c r="D131" s="598">
        <v>-7057462.9499999993</v>
      </c>
      <c r="H131" s="980"/>
    </row>
    <row r="132" spans="2:11">
      <c r="C132" s="596" t="s">
        <v>2548</v>
      </c>
      <c r="D132" s="598">
        <f>D131-D125</f>
        <v>0.10000000055879354</v>
      </c>
      <c r="H132" s="980"/>
    </row>
    <row r="133" spans="2:11">
      <c r="H133" s="981"/>
      <c r="I133" s="596"/>
      <c r="J133" s="596"/>
      <c r="K133" s="596"/>
    </row>
    <row r="134" spans="2:11">
      <c r="H134" s="980"/>
    </row>
    <row r="135" spans="2:11">
      <c r="B135" s="616"/>
      <c r="H135" s="980">
        <v>189300000</v>
      </c>
    </row>
    <row r="136" spans="2:11">
      <c r="D136" s="982"/>
      <c r="E136" s="982"/>
      <c r="F136" s="982"/>
      <c r="G136" s="982"/>
      <c r="H136" s="980">
        <f>H135-H113</f>
        <v>17200000</v>
      </c>
    </row>
    <row r="137" spans="2:11">
      <c r="D137" s="617"/>
      <c r="E137" s="617"/>
      <c r="F137" s="617"/>
      <c r="G137" s="617"/>
    </row>
  </sheetData>
  <mergeCells count="3">
    <mergeCell ref="B3:C3"/>
    <mergeCell ref="E3:F3"/>
    <mergeCell ref="I3:J3"/>
  </mergeCells>
  <phoneticPr fontId="3" type="noConversion"/>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0">
    <tabColor theme="8" tint="0.79998168889431442"/>
  </sheetPr>
  <dimension ref="A1:X101"/>
  <sheetViews>
    <sheetView zoomScale="85" zoomScaleNormal="85" workbookViewId="0">
      <selection activeCell="E33" sqref="E33"/>
    </sheetView>
  </sheetViews>
  <sheetFormatPr defaultRowHeight="13.5"/>
  <cols>
    <col min="1" max="1" width="9.625" style="1037" customWidth="1"/>
    <col min="2" max="2" width="5" style="1037" customWidth="1"/>
    <col min="3" max="3" width="27.375" style="1037" customWidth="1"/>
    <col min="4" max="6" width="13.375" style="1037" customWidth="1"/>
    <col min="7" max="7" width="13.375" style="1038" customWidth="1"/>
    <col min="8" max="10" width="13.375" style="1037" customWidth="1"/>
    <col min="11" max="11" width="13.375" style="1038" customWidth="1"/>
    <col min="12" max="12" width="6.625" style="1037" customWidth="1"/>
    <col min="13" max="13" width="14" style="1037" customWidth="1"/>
    <col min="14" max="14" width="18.125" style="1037" customWidth="1"/>
    <col min="15" max="15" width="9" style="1037"/>
    <col min="16" max="16" width="32.125" style="1037" customWidth="1"/>
    <col min="17" max="17" width="11.625" style="1037" bestFit="1" customWidth="1"/>
    <col min="18" max="18" width="11.5" style="1037" bestFit="1" customWidth="1"/>
    <col min="19" max="20" width="9" style="1037"/>
    <col min="21" max="21" width="10.125" style="1037" bestFit="1" customWidth="1"/>
    <col min="22" max="22" width="9" style="1037"/>
    <col min="23" max="23" width="9.125" style="1037" bestFit="1" customWidth="1"/>
    <col min="24" max="248" width="9" style="1037"/>
    <col min="249" max="250" width="5" style="1037" customWidth="1"/>
    <col min="251" max="251" width="27.375" style="1037" customWidth="1"/>
    <col min="252" max="255" width="14" style="1037" customWidth="1"/>
    <col min="256" max="257" width="4.125" style="1037" customWidth="1"/>
    <col min="258" max="258" width="6.625" style="1037" customWidth="1"/>
    <col min="259" max="259" width="14" style="1037" customWidth="1"/>
    <col min="260" max="260" width="18.125" style="1037" customWidth="1"/>
    <col min="261" max="261" width="23" style="1037" customWidth="1"/>
    <col min="262" max="262" width="9.625" style="1037" customWidth="1"/>
    <col min="263" max="263" width="20.125" style="1037" customWidth="1"/>
    <col min="264" max="265" width="18.375" style="1037" customWidth="1"/>
    <col min="266" max="266" width="14.125" style="1037" bestFit="1" customWidth="1"/>
    <col min="267" max="267" width="11.125" style="1037" bestFit="1" customWidth="1"/>
    <col min="268" max="504" width="9" style="1037"/>
    <col min="505" max="506" width="5" style="1037" customWidth="1"/>
    <col min="507" max="507" width="27.375" style="1037" customWidth="1"/>
    <col min="508" max="511" width="14" style="1037" customWidth="1"/>
    <col min="512" max="513" width="4.125" style="1037" customWidth="1"/>
    <col min="514" max="514" width="6.625" style="1037" customWidth="1"/>
    <col min="515" max="515" width="14" style="1037" customWidth="1"/>
    <col min="516" max="516" width="18.125" style="1037" customWidth="1"/>
    <col min="517" max="517" width="23" style="1037" customWidth="1"/>
    <col min="518" max="518" width="9.625" style="1037" customWidth="1"/>
    <col min="519" max="519" width="20.125" style="1037" customWidth="1"/>
    <col min="520" max="521" width="18.375" style="1037" customWidth="1"/>
    <col min="522" max="522" width="14.125" style="1037" bestFit="1" customWidth="1"/>
    <col min="523" max="523" width="11.125" style="1037" bestFit="1" customWidth="1"/>
    <col min="524" max="760" width="9" style="1037"/>
    <col min="761" max="762" width="5" style="1037" customWidth="1"/>
    <col min="763" max="763" width="27.375" style="1037" customWidth="1"/>
    <col min="764" max="767" width="14" style="1037" customWidth="1"/>
    <col min="768" max="769" width="4.125" style="1037" customWidth="1"/>
    <col min="770" max="770" width="6.625" style="1037" customWidth="1"/>
    <col min="771" max="771" width="14" style="1037" customWidth="1"/>
    <col min="772" max="772" width="18.125" style="1037" customWidth="1"/>
    <col min="773" max="773" width="23" style="1037" customWidth="1"/>
    <col min="774" max="774" width="9.625" style="1037" customWidth="1"/>
    <col min="775" max="775" width="20.125" style="1037" customWidth="1"/>
    <col min="776" max="777" width="18.375" style="1037" customWidth="1"/>
    <col min="778" max="778" width="14.125" style="1037" bestFit="1" customWidth="1"/>
    <col min="779" max="779" width="11.125" style="1037" bestFit="1" customWidth="1"/>
    <col min="780" max="1016" width="9" style="1037"/>
    <col min="1017" max="1018" width="5" style="1037" customWidth="1"/>
    <col min="1019" max="1019" width="27.375" style="1037" customWidth="1"/>
    <col min="1020" max="1023" width="14" style="1037" customWidth="1"/>
    <col min="1024" max="1025" width="4.125" style="1037" customWidth="1"/>
    <col min="1026" max="1026" width="6.625" style="1037" customWidth="1"/>
    <col min="1027" max="1027" width="14" style="1037" customWidth="1"/>
    <col min="1028" max="1028" width="18.125" style="1037" customWidth="1"/>
    <col min="1029" max="1029" width="23" style="1037" customWidth="1"/>
    <col min="1030" max="1030" width="9.625" style="1037" customWidth="1"/>
    <col min="1031" max="1031" width="20.125" style="1037" customWidth="1"/>
    <col min="1032" max="1033" width="18.375" style="1037" customWidth="1"/>
    <col min="1034" max="1034" width="14.125" style="1037" bestFit="1" customWidth="1"/>
    <col min="1035" max="1035" width="11.125" style="1037" bestFit="1" customWidth="1"/>
    <col min="1036" max="1272" width="9" style="1037"/>
    <col min="1273" max="1274" width="5" style="1037" customWidth="1"/>
    <col min="1275" max="1275" width="27.375" style="1037" customWidth="1"/>
    <col min="1276" max="1279" width="14" style="1037" customWidth="1"/>
    <col min="1280" max="1281" width="4.125" style="1037" customWidth="1"/>
    <col min="1282" max="1282" width="6.625" style="1037" customWidth="1"/>
    <col min="1283" max="1283" width="14" style="1037" customWidth="1"/>
    <col min="1284" max="1284" width="18.125" style="1037" customWidth="1"/>
    <col min="1285" max="1285" width="23" style="1037" customWidth="1"/>
    <col min="1286" max="1286" width="9.625" style="1037" customWidth="1"/>
    <col min="1287" max="1287" width="20.125" style="1037" customWidth="1"/>
    <col min="1288" max="1289" width="18.375" style="1037" customWidth="1"/>
    <col min="1290" max="1290" width="14.125" style="1037" bestFit="1" customWidth="1"/>
    <col min="1291" max="1291" width="11.125" style="1037" bestFit="1" customWidth="1"/>
    <col min="1292" max="1528" width="9" style="1037"/>
    <col min="1529" max="1530" width="5" style="1037" customWidth="1"/>
    <col min="1531" max="1531" width="27.375" style="1037" customWidth="1"/>
    <col min="1532" max="1535" width="14" style="1037" customWidth="1"/>
    <col min="1536" max="1537" width="4.125" style="1037" customWidth="1"/>
    <col min="1538" max="1538" width="6.625" style="1037" customWidth="1"/>
    <col min="1539" max="1539" width="14" style="1037" customWidth="1"/>
    <col min="1540" max="1540" width="18.125" style="1037" customWidth="1"/>
    <col min="1541" max="1541" width="23" style="1037" customWidth="1"/>
    <col min="1542" max="1542" width="9.625" style="1037" customWidth="1"/>
    <col min="1543" max="1543" width="20.125" style="1037" customWidth="1"/>
    <col min="1544" max="1545" width="18.375" style="1037" customWidth="1"/>
    <col min="1546" max="1546" width="14.125" style="1037" bestFit="1" customWidth="1"/>
    <col min="1547" max="1547" width="11.125" style="1037" bestFit="1" customWidth="1"/>
    <col min="1548" max="1784" width="9" style="1037"/>
    <col min="1785" max="1786" width="5" style="1037" customWidth="1"/>
    <col min="1787" max="1787" width="27.375" style="1037" customWidth="1"/>
    <col min="1788" max="1791" width="14" style="1037" customWidth="1"/>
    <col min="1792" max="1793" width="4.125" style="1037" customWidth="1"/>
    <col min="1794" max="1794" width="6.625" style="1037" customWidth="1"/>
    <col min="1795" max="1795" width="14" style="1037" customWidth="1"/>
    <col min="1796" max="1796" width="18.125" style="1037" customWidth="1"/>
    <col min="1797" max="1797" width="23" style="1037" customWidth="1"/>
    <col min="1798" max="1798" width="9.625" style="1037" customWidth="1"/>
    <col min="1799" max="1799" width="20.125" style="1037" customWidth="1"/>
    <col min="1800" max="1801" width="18.375" style="1037" customWidth="1"/>
    <col min="1802" max="1802" width="14.125" style="1037" bestFit="1" customWidth="1"/>
    <col min="1803" max="1803" width="11.125" style="1037" bestFit="1" customWidth="1"/>
    <col min="1804" max="2040" width="9" style="1037"/>
    <col min="2041" max="2042" width="5" style="1037" customWidth="1"/>
    <col min="2043" max="2043" width="27.375" style="1037" customWidth="1"/>
    <col min="2044" max="2047" width="14" style="1037" customWidth="1"/>
    <col min="2048" max="2049" width="4.125" style="1037" customWidth="1"/>
    <col min="2050" max="2050" width="6.625" style="1037" customWidth="1"/>
    <col min="2051" max="2051" width="14" style="1037" customWidth="1"/>
    <col min="2052" max="2052" width="18.125" style="1037" customWidth="1"/>
    <col min="2053" max="2053" width="23" style="1037" customWidth="1"/>
    <col min="2054" max="2054" width="9.625" style="1037" customWidth="1"/>
    <col min="2055" max="2055" width="20.125" style="1037" customWidth="1"/>
    <col min="2056" max="2057" width="18.375" style="1037" customWidth="1"/>
    <col min="2058" max="2058" width="14.125" style="1037" bestFit="1" customWidth="1"/>
    <col min="2059" max="2059" width="11.125" style="1037" bestFit="1" customWidth="1"/>
    <col min="2060" max="2296" width="9" style="1037"/>
    <col min="2297" max="2298" width="5" style="1037" customWidth="1"/>
    <col min="2299" max="2299" width="27.375" style="1037" customWidth="1"/>
    <col min="2300" max="2303" width="14" style="1037" customWidth="1"/>
    <col min="2304" max="2305" width="4.125" style="1037" customWidth="1"/>
    <col min="2306" max="2306" width="6.625" style="1037" customWidth="1"/>
    <col min="2307" max="2307" width="14" style="1037" customWidth="1"/>
    <col min="2308" max="2308" width="18.125" style="1037" customWidth="1"/>
    <col min="2309" max="2309" width="23" style="1037" customWidth="1"/>
    <col min="2310" max="2310" width="9.625" style="1037" customWidth="1"/>
    <col min="2311" max="2311" width="20.125" style="1037" customWidth="1"/>
    <col min="2312" max="2313" width="18.375" style="1037" customWidth="1"/>
    <col min="2314" max="2314" width="14.125" style="1037" bestFit="1" customWidth="1"/>
    <col min="2315" max="2315" width="11.125" style="1037" bestFit="1" customWidth="1"/>
    <col min="2316" max="2552" width="9" style="1037"/>
    <col min="2553" max="2554" width="5" style="1037" customWidth="1"/>
    <col min="2555" max="2555" width="27.375" style="1037" customWidth="1"/>
    <col min="2556" max="2559" width="14" style="1037" customWidth="1"/>
    <col min="2560" max="2561" width="4.125" style="1037" customWidth="1"/>
    <col min="2562" max="2562" width="6.625" style="1037" customWidth="1"/>
    <col min="2563" max="2563" width="14" style="1037" customWidth="1"/>
    <col min="2564" max="2564" width="18.125" style="1037" customWidth="1"/>
    <col min="2565" max="2565" width="23" style="1037" customWidth="1"/>
    <col min="2566" max="2566" width="9.625" style="1037" customWidth="1"/>
    <col min="2567" max="2567" width="20.125" style="1037" customWidth="1"/>
    <col min="2568" max="2569" width="18.375" style="1037" customWidth="1"/>
    <col min="2570" max="2570" width="14.125" style="1037" bestFit="1" customWidth="1"/>
    <col min="2571" max="2571" width="11.125" style="1037" bestFit="1" customWidth="1"/>
    <col min="2572" max="2808" width="9" style="1037"/>
    <col min="2809" max="2810" width="5" style="1037" customWidth="1"/>
    <col min="2811" max="2811" width="27.375" style="1037" customWidth="1"/>
    <col min="2812" max="2815" width="14" style="1037" customWidth="1"/>
    <col min="2816" max="2817" width="4.125" style="1037" customWidth="1"/>
    <col min="2818" max="2818" width="6.625" style="1037" customWidth="1"/>
    <col min="2819" max="2819" width="14" style="1037" customWidth="1"/>
    <col min="2820" max="2820" width="18.125" style="1037" customWidth="1"/>
    <col min="2821" max="2821" width="23" style="1037" customWidth="1"/>
    <col min="2822" max="2822" width="9.625" style="1037" customWidth="1"/>
    <col min="2823" max="2823" width="20.125" style="1037" customWidth="1"/>
    <col min="2824" max="2825" width="18.375" style="1037" customWidth="1"/>
    <col min="2826" max="2826" width="14.125" style="1037" bestFit="1" customWidth="1"/>
    <col min="2827" max="2827" width="11.125" style="1037" bestFit="1" customWidth="1"/>
    <col min="2828" max="3064" width="9" style="1037"/>
    <col min="3065" max="3066" width="5" style="1037" customWidth="1"/>
    <col min="3067" max="3067" width="27.375" style="1037" customWidth="1"/>
    <col min="3068" max="3071" width="14" style="1037" customWidth="1"/>
    <col min="3072" max="3073" width="4.125" style="1037" customWidth="1"/>
    <col min="3074" max="3074" width="6.625" style="1037" customWidth="1"/>
    <col min="3075" max="3075" width="14" style="1037" customWidth="1"/>
    <col min="3076" max="3076" width="18.125" style="1037" customWidth="1"/>
    <col min="3077" max="3077" width="23" style="1037" customWidth="1"/>
    <col min="3078" max="3078" width="9.625" style="1037" customWidth="1"/>
    <col min="3079" max="3079" width="20.125" style="1037" customWidth="1"/>
    <col min="3080" max="3081" width="18.375" style="1037" customWidth="1"/>
    <col min="3082" max="3082" width="14.125" style="1037" bestFit="1" customWidth="1"/>
    <col min="3083" max="3083" width="11.125" style="1037" bestFit="1" customWidth="1"/>
    <col min="3084" max="3320" width="9" style="1037"/>
    <col min="3321" max="3322" width="5" style="1037" customWidth="1"/>
    <col min="3323" max="3323" width="27.375" style="1037" customWidth="1"/>
    <col min="3324" max="3327" width="14" style="1037" customWidth="1"/>
    <col min="3328" max="3329" width="4.125" style="1037" customWidth="1"/>
    <col min="3330" max="3330" width="6.625" style="1037" customWidth="1"/>
    <col min="3331" max="3331" width="14" style="1037" customWidth="1"/>
    <col min="3332" max="3332" width="18.125" style="1037" customWidth="1"/>
    <col min="3333" max="3333" width="23" style="1037" customWidth="1"/>
    <col min="3334" max="3334" width="9.625" style="1037" customWidth="1"/>
    <col min="3335" max="3335" width="20.125" style="1037" customWidth="1"/>
    <col min="3336" max="3337" width="18.375" style="1037" customWidth="1"/>
    <col min="3338" max="3338" width="14.125" style="1037" bestFit="1" customWidth="1"/>
    <col min="3339" max="3339" width="11.125" style="1037" bestFit="1" customWidth="1"/>
    <col min="3340" max="3576" width="9" style="1037"/>
    <col min="3577" max="3578" width="5" style="1037" customWidth="1"/>
    <col min="3579" max="3579" width="27.375" style="1037" customWidth="1"/>
    <col min="3580" max="3583" width="14" style="1037" customWidth="1"/>
    <col min="3584" max="3585" width="4.125" style="1037" customWidth="1"/>
    <col min="3586" max="3586" width="6.625" style="1037" customWidth="1"/>
    <col min="3587" max="3587" width="14" style="1037" customWidth="1"/>
    <col min="3588" max="3588" width="18.125" style="1037" customWidth="1"/>
    <col min="3589" max="3589" width="23" style="1037" customWidth="1"/>
    <col min="3590" max="3590" width="9.625" style="1037" customWidth="1"/>
    <col min="3591" max="3591" width="20.125" style="1037" customWidth="1"/>
    <col min="3592" max="3593" width="18.375" style="1037" customWidth="1"/>
    <col min="3594" max="3594" width="14.125" style="1037" bestFit="1" customWidth="1"/>
    <col min="3595" max="3595" width="11.125" style="1037" bestFit="1" customWidth="1"/>
    <col min="3596" max="3832" width="9" style="1037"/>
    <col min="3833" max="3834" width="5" style="1037" customWidth="1"/>
    <col min="3835" max="3835" width="27.375" style="1037" customWidth="1"/>
    <col min="3836" max="3839" width="14" style="1037" customWidth="1"/>
    <col min="3840" max="3841" width="4.125" style="1037" customWidth="1"/>
    <col min="3842" max="3842" width="6.625" style="1037" customWidth="1"/>
    <col min="3843" max="3843" width="14" style="1037" customWidth="1"/>
    <col min="3844" max="3844" width="18.125" style="1037" customWidth="1"/>
    <col min="3845" max="3845" width="23" style="1037" customWidth="1"/>
    <col min="3846" max="3846" width="9.625" style="1037" customWidth="1"/>
    <col min="3847" max="3847" width="20.125" style="1037" customWidth="1"/>
    <col min="3848" max="3849" width="18.375" style="1037" customWidth="1"/>
    <col min="3850" max="3850" width="14.125" style="1037" bestFit="1" customWidth="1"/>
    <col min="3851" max="3851" width="11.125" style="1037" bestFit="1" customWidth="1"/>
    <col min="3852" max="4088" width="9" style="1037"/>
    <col min="4089" max="4090" width="5" style="1037" customWidth="1"/>
    <col min="4091" max="4091" width="27.375" style="1037" customWidth="1"/>
    <col min="4092" max="4095" width="14" style="1037" customWidth="1"/>
    <col min="4096" max="4097" width="4.125" style="1037" customWidth="1"/>
    <col min="4098" max="4098" width="6.625" style="1037" customWidth="1"/>
    <col min="4099" max="4099" width="14" style="1037" customWidth="1"/>
    <col min="4100" max="4100" width="18.125" style="1037" customWidth="1"/>
    <col min="4101" max="4101" width="23" style="1037" customWidth="1"/>
    <col min="4102" max="4102" width="9.625" style="1037" customWidth="1"/>
    <col min="4103" max="4103" width="20.125" style="1037" customWidth="1"/>
    <col min="4104" max="4105" width="18.375" style="1037" customWidth="1"/>
    <col min="4106" max="4106" width="14.125" style="1037" bestFit="1" customWidth="1"/>
    <col min="4107" max="4107" width="11.125" style="1037" bestFit="1" customWidth="1"/>
    <col min="4108" max="4344" width="9" style="1037"/>
    <col min="4345" max="4346" width="5" style="1037" customWidth="1"/>
    <col min="4347" max="4347" width="27.375" style="1037" customWidth="1"/>
    <col min="4348" max="4351" width="14" style="1037" customWidth="1"/>
    <col min="4352" max="4353" width="4.125" style="1037" customWidth="1"/>
    <col min="4354" max="4354" width="6.625" style="1037" customWidth="1"/>
    <col min="4355" max="4355" width="14" style="1037" customWidth="1"/>
    <col min="4356" max="4356" width="18.125" style="1037" customWidth="1"/>
    <col min="4357" max="4357" width="23" style="1037" customWidth="1"/>
    <col min="4358" max="4358" width="9.625" style="1037" customWidth="1"/>
    <col min="4359" max="4359" width="20.125" style="1037" customWidth="1"/>
    <col min="4360" max="4361" width="18.375" style="1037" customWidth="1"/>
    <col min="4362" max="4362" width="14.125" style="1037" bestFit="1" customWidth="1"/>
    <col min="4363" max="4363" width="11.125" style="1037" bestFit="1" customWidth="1"/>
    <col min="4364" max="4600" width="9" style="1037"/>
    <col min="4601" max="4602" width="5" style="1037" customWidth="1"/>
    <col min="4603" max="4603" width="27.375" style="1037" customWidth="1"/>
    <col min="4604" max="4607" width="14" style="1037" customWidth="1"/>
    <col min="4608" max="4609" width="4.125" style="1037" customWidth="1"/>
    <col min="4610" max="4610" width="6.625" style="1037" customWidth="1"/>
    <col min="4611" max="4611" width="14" style="1037" customWidth="1"/>
    <col min="4612" max="4612" width="18.125" style="1037" customWidth="1"/>
    <col min="4613" max="4613" width="23" style="1037" customWidth="1"/>
    <col min="4614" max="4614" width="9.625" style="1037" customWidth="1"/>
    <col min="4615" max="4615" width="20.125" style="1037" customWidth="1"/>
    <col min="4616" max="4617" width="18.375" style="1037" customWidth="1"/>
    <col min="4618" max="4618" width="14.125" style="1037" bestFit="1" customWidth="1"/>
    <col min="4619" max="4619" width="11.125" style="1037" bestFit="1" customWidth="1"/>
    <col min="4620" max="4856" width="9" style="1037"/>
    <col min="4857" max="4858" width="5" style="1037" customWidth="1"/>
    <col min="4859" max="4859" width="27.375" style="1037" customWidth="1"/>
    <col min="4860" max="4863" width="14" style="1037" customWidth="1"/>
    <col min="4864" max="4865" width="4.125" style="1037" customWidth="1"/>
    <col min="4866" max="4866" width="6.625" style="1037" customWidth="1"/>
    <col min="4867" max="4867" width="14" style="1037" customWidth="1"/>
    <col min="4868" max="4868" width="18.125" style="1037" customWidth="1"/>
    <col min="4869" max="4869" width="23" style="1037" customWidth="1"/>
    <col min="4870" max="4870" width="9.625" style="1037" customWidth="1"/>
    <col min="4871" max="4871" width="20.125" style="1037" customWidth="1"/>
    <col min="4872" max="4873" width="18.375" style="1037" customWidth="1"/>
    <col min="4874" max="4874" width="14.125" style="1037" bestFit="1" customWidth="1"/>
    <col min="4875" max="4875" width="11.125" style="1037" bestFit="1" customWidth="1"/>
    <col min="4876" max="5112" width="9" style="1037"/>
    <col min="5113" max="5114" width="5" style="1037" customWidth="1"/>
    <col min="5115" max="5115" width="27.375" style="1037" customWidth="1"/>
    <col min="5116" max="5119" width="14" style="1037" customWidth="1"/>
    <col min="5120" max="5121" width="4.125" style="1037" customWidth="1"/>
    <col min="5122" max="5122" width="6.625" style="1037" customWidth="1"/>
    <col min="5123" max="5123" width="14" style="1037" customWidth="1"/>
    <col min="5124" max="5124" width="18.125" style="1037" customWidth="1"/>
    <col min="5125" max="5125" width="23" style="1037" customWidth="1"/>
    <col min="5126" max="5126" width="9.625" style="1037" customWidth="1"/>
    <col min="5127" max="5127" width="20.125" style="1037" customWidth="1"/>
    <col min="5128" max="5129" width="18.375" style="1037" customWidth="1"/>
    <col min="5130" max="5130" width="14.125" style="1037" bestFit="1" customWidth="1"/>
    <col min="5131" max="5131" width="11.125" style="1037" bestFit="1" customWidth="1"/>
    <col min="5132" max="5368" width="9" style="1037"/>
    <col min="5369" max="5370" width="5" style="1037" customWidth="1"/>
    <col min="5371" max="5371" width="27.375" style="1037" customWidth="1"/>
    <col min="5372" max="5375" width="14" style="1037" customWidth="1"/>
    <col min="5376" max="5377" width="4.125" style="1037" customWidth="1"/>
    <col min="5378" max="5378" width="6.625" style="1037" customWidth="1"/>
    <col min="5379" max="5379" width="14" style="1037" customWidth="1"/>
    <col min="5380" max="5380" width="18.125" style="1037" customWidth="1"/>
    <col min="5381" max="5381" width="23" style="1037" customWidth="1"/>
    <col min="5382" max="5382" width="9.625" style="1037" customWidth="1"/>
    <col min="5383" max="5383" width="20.125" style="1037" customWidth="1"/>
    <col min="5384" max="5385" width="18.375" style="1037" customWidth="1"/>
    <col min="5386" max="5386" width="14.125" style="1037" bestFit="1" customWidth="1"/>
    <col min="5387" max="5387" width="11.125" style="1037" bestFit="1" customWidth="1"/>
    <col min="5388" max="5624" width="9" style="1037"/>
    <col min="5625" max="5626" width="5" style="1037" customWidth="1"/>
    <col min="5627" max="5627" width="27.375" style="1037" customWidth="1"/>
    <col min="5628" max="5631" width="14" style="1037" customWidth="1"/>
    <col min="5632" max="5633" width="4.125" style="1037" customWidth="1"/>
    <col min="5634" max="5634" width="6.625" style="1037" customWidth="1"/>
    <col min="5635" max="5635" width="14" style="1037" customWidth="1"/>
    <col min="5636" max="5636" width="18.125" style="1037" customWidth="1"/>
    <col min="5637" max="5637" width="23" style="1037" customWidth="1"/>
    <col min="5638" max="5638" width="9.625" style="1037" customWidth="1"/>
    <col min="5639" max="5639" width="20.125" style="1037" customWidth="1"/>
    <col min="5640" max="5641" width="18.375" style="1037" customWidth="1"/>
    <col min="5642" max="5642" width="14.125" style="1037" bestFit="1" customWidth="1"/>
    <col min="5643" max="5643" width="11.125" style="1037" bestFit="1" customWidth="1"/>
    <col min="5644" max="5880" width="9" style="1037"/>
    <col min="5881" max="5882" width="5" style="1037" customWidth="1"/>
    <col min="5883" max="5883" width="27.375" style="1037" customWidth="1"/>
    <col min="5884" max="5887" width="14" style="1037" customWidth="1"/>
    <col min="5888" max="5889" width="4.125" style="1037" customWidth="1"/>
    <col min="5890" max="5890" width="6.625" style="1037" customWidth="1"/>
    <col min="5891" max="5891" width="14" style="1037" customWidth="1"/>
    <col min="5892" max="5892" width="18.125" style="1037" customWidth="1"/>
    <col min="5893" max="5893" width="23" style="1037" customWidth="1"/>
    <col min="5894" max="5894" width="9.625" style="1037" customWidth="1"/>
    <col min="5895" max="5895" width="20.125" style="1037" customWidth="1"/>
    <col min="5896" max="5897" width="18.375" style="1037" customWidth="1"/>
    <col min="5898" max="5898" width="14.125" style="1037" bestFit="1" customWidth="1"/>
    <col min="5899" max="5899" width="11.125" style="1037" bestFit="1" customWidth="1"/>
    <col min="5900" max="6136" width="9" style="1037"/>
    <col min="6137" max="6138" width="5" style="1037" customWidth="1"/>
    <col min="6139" max="6139" width="27.375" style="1037" customWidth="1"/>
    <col min="6140" max="6143" width="14" style="1037" customWidth="1"/>
    <col min="6144" max="6145" width="4.125" style="1037" customWidth="1"/>
    <col min="6146" max="6146" width="6.625" style="1037" customWidth="1"/>
    <col min="6147" max="6147" width="14" style="1037" customWidth="1"/>
    <col min="6148" max="6148" width="18.125" style="1037" customWidth="1"/>
    <col min="6149" max="6149" width="23" style="1037" customWidth="1"/>
    <col min="6150" max="6150" width="9.625" style="1037" customWidth="1"/>
    <col min="6151" max="6151" width="20.125" style="1037" customWidth="1"/>
    <col min="6152" max="6153" width="18.375" style="1037" customWidth="1"/>
    <col min="6154" max="6154" width="14.125" style="1037" bestFit="1" customWidth="1"/>
    <col min="6155" max="6155" width="11.125" style="1037" bestFit="1" customWidth="1"/>
    <col min="6156" max="6392" width="9" style="1037"/>
    <col min="6393" max="6394" width="5" style="1037" customWidth="1"/>
    <col min="6395" max="6395" width="27.375" style="1037" customWidth="1"/>
    <col min="6396" max="6399" width="14" style="1037" customWidth="1"/>
    <col min="6400" max="6401" width="4.125" style="1037" customWidth="1"/>
    <col min="6402" max="6402" width="6.625" style="1037" customWidth="1"/>
    <col min="6403" max="6403" width="14" style="1037" customWidth="1"/>
    <col min="6404" max="6404" width="18.125" style="1037" customWidth="1"/>
    <col min="6405" max="6405" width="23" style="1037" customWidth="1"/>
    <col min="6406" max="6406" width="9.625" style="1037" customWidth="1"/>
    <col min="6407" max="6407" width="20.125" style="1037" customWidth="1"/>
    <col min="6408" max="6409" width="18.375" style="1037" customWidth="1"/>
    <col min="6410" max="6410" width="14.125" style="1037" bestFit="1" customWidth="1"/>
    <col min="6411" max="6411" width="11.125" style="1037" bestFit="1" customWidth="1"/>
    <col min="6412" max="6648" width="9" style="1037"/>
    <col min="6649" max="6650" width="5" style="1037" customWidth="1"/>
    <col min="6651" max="6651" width="27.375" style="1037" customWidth="1"/>
    <col min="6652" max="6655" width="14" style="1037" customWidth="1"/>
    <col min="6656" max="6657" width="4.125" style="1037" customWidth="1"/>
    <col min="6658" max="6658" width="6.625" style="1037" customWidth="1"/>
    <col min="6659" max="6659" width="14" style="1037" customWidth="1"/>
    <col min="6660" max="6660" width="18.125" style="1037" customWidth="1"/>
    <col min="6661" max="6661" width="23" style="1037" customWidth="1"/>
    <col min="6662" max="6662" width="9.625" style="1037" customWidth="1"/>
    <col min="6663" max="6663" width="20.125" style="1037" customWidth="1"/>
    <col min="6664" max="6665" width="18.375" style="1037" customWidth="1"/>
    <col min="6666" max="6666" width="14.125" style="1037" bestFit="1" customWidth="1"/>
    <col min="6667" max="6667" width="11.125" style="1037" bestFit="1" customWidth="1"/>
    <col min="6668" max="6904" width="9" style="1037"/>
    <col min="6905" max="6906" width="5" style="1037" customWidth="1"/>
    <col min="6907" max="6907" width="27.375" style="1037" customWidth="1"/>
    <col min="6908" max="6911" width="14" style="1037" customWidth="1"/>
    <col min="6912" max="6913" width="4.125" style="1037" customWidth="1"/>
    <col min="6914" max="6914" width="6.625" style="1037" customWidth="1"/>
    <col min="6915" max="6915" width="14" style="1037" customWidth="1"/>
    <col min="6916" max="6916" width="18.125" style="1037" customWidth="1"/>
    <col min="6917" max="6917" width="23" style="1037" customWidth="1"/>
    <col min="6918" max="6918" width="9.625" style="1037" customWidth="1"/>
    <col min="6919" max="6919" width="20.125" style="1037" customWidth="1"/>
    <col min="6920" max="6921" width="18.375" style="1037" customWidth="1"/>
    <col min="6922" max="6922" width="14.125" style="1037" bestFit="1" customWidth="1"/>
    <col min="6923" max="6923" width="11.125" style="1037" bestFit="1" customWidth="1"/>
    <col min="6924" max="7160" width="9" style="1037"/>
    <col min="7161" max="7162" width="5" style="1037" customWidth="1"/>
    <col min="7163" max="7163" width="27.375" style="1037" customWidth="1"/>
    <col min="7164" max="7167" width="14" style="1037" customWidth="1"/>
    <col min="7168" max="7169" width="4.125" style="1037" customWidth="1"/>
    <col min="7170" max="7170" width="6.625" style="1037" customWidth="1"/>
    <col min="7171" max="7171" width="14" style="1037" customWidth="1"/>
    <col min="7172" max="7172" width="18.125" style="1037" customWidth="1"/>
    <col min="7173" max="7173" width="23" style="1037" customWidth="1"/>
    <col min="7174" max="7174" width="9.625" style="1037" customWidth="1"/>
    <col min="7175" max="7175" width="20.125" style="1037" customWidth="1"/>
    <col min="7176" max="7177" width="18.375" style="1037" customWidth="1"/>
    <col min="7178" max="7178" width="14.125" style="1037" bestFit="1" customWidth="1"/>
    <col min="7179" max="7179" width="11.125" style="1037" bestFit="1" customWidth="1"/>
    <col min="7180" max="7416" width="9" style="1037"/>
    <col min="7417" max="7418" width="5" style="1037" customWidth="1"/>
    <col min="7419" max="7419" width="27.375" style="1037" customWidth="1"/>
    <col min="7420" max="7423" width="14" style="1037" customWidth="1"/>
    <col min="7424" max="7425" width="4.125" style="1037" customWidth="1"/>
    <col min="7426" max="7426" width="6.625" style="1037" customWidth="1"/>
    <col min="7427" max="7427" width="14" style="1037" customWidth="1"/>
    <col min="7428" max="7428" width="18.125" style="1037" customWidth="1"/>
    <col min="7429" max="7429" width="23" style="1037" customWidth="1"/>
    <col min="7430" max="7430" width="9.625" style="1037" customWidth="1"/>
    <col min="7431" max="7431" width="20.125" style="1037" customWidth="1"/>
    <col min="7432" max="7433" width="18.375" style="1037" customWidth="1"/>
    <col min="7434" max="7434" width="14.125" style="1037" bestFit="1" customWidth="1"/>
    <col min="7435" max="7435" width="11.125" style="1037" bestFit="1" customWidth="1"/>
    <col min="7436" max="7672" width="9" style="1037"/>
    <col min="7673" max="7674" width="5" style="1037" customWidth="1"/>
    <col min="7675" max="7675" width="27.375" style="1037" customWidth="1"/>
    <col min="7676" max="7679" width="14" style="1037" customWidth="1"/>
    <col min="7680" max="7681" width="4.125" style="1037" customWidth="1"/>
    <col min="7682" max="7682" width="6.625" style="1037" customWidth="1"/>
    <col min="7683" max="7683" width="14" style="1037" customWidth="1"/>
    <col min="7684" max="7684" width="18.125" style="1037" customWidth="1"/>
    <col min="7685" max="7685" width="23" style="1037" customWidth="1"/>
    <col min="7686" max="7686" width="9.625" style="1037" customWidth="1"/>
    <col min="7687" max="7687" width="20.125" style="1037" customWidth="1"/>
    <col min="7688" max="7689" width="18.375" style="1037" customWidth="1"/>
    <col min="7690" max="7690" width="14.125" style="1037" bestFit="1" customWidth="1"/>
    <col min="7691" max="7691" width="11.125" style="1037" bestFit="1" customWidth="1"/>
    <col min="7692" max="7928" width="9" style="1037"/>
    <col min="7929" max="7930" width="5" style="1037" customWidth="1"/>
    <col min="7931" max="7931" width="27.375" style="1037" customWidth="1"/>
    <col min="7932" max="7935" width="14" style="1037" customWidth="1"/>
    <col min="7936" max="7937" width="4.125" style="1037" customWidth="1"/>
    <col min="7938" max="7938" width="6.625" style="1037" customWidth="1"/>
    <col min="7939" max="7939" width="14" style="1037" customWidth="1"/>
    <col min="7940" max="7940" width="18.125" style="1037" customWidth="1"/>
    <col min="7941" max="7941" width="23" style="1037" customWidth="1"/>
    <col min="7942" max="7942" width="9.625" style="1037" customWidth="1"/>
    <col min="7943" max="7943" width="20.125" style="1037" customWidth="1"/>
    <col min="7944" max="7945" width="18.375" style="1037" customWidth="1"/>
    <col min="7946" max="7946" width="14.125" style="1037" bestFit="1" customWidth="1"/>
    <col min="7947" max="7947" width="11.125" style="1037" bestFit="1" customWidth="1"/>
    <col min="7948" max="8184" width="9" style="1037"/>
    <col min="8185" max="8186" width="5" style="1037" customWidth="1"/>
    <col min="8187" max="8187" width="27.375" style="1037" customWidth="1"/>
    <col min="8188" max="8191" width="14" style="1037" customWidth="1"/>
    <col min="8192" max="8193" width="4.125" style="1037" customWidth="1"/>
    <col min="8194" max="8194" width="6.625" style="1037" customWidth="1"/>
    <col min="8195" max="8195" width="14" style="1037" customWidth="1"/>
    <col min="8196" max="8196" width="18.125" style="1037" customWidth="1"/>
    <col min="8197" max="8197" width="23" style="1037" customWidth="1"/>
    <col min="8198" max="8198" width="9.625" style="1037" customWidth="1"/>
    <col min="8199" max="8199" width="20.125" style="1037" customWidth="1"/>
    <col min="8200" max="8201" width="18.375" style="1037" customWidth="1"/>
    <col min="8202" max="8202" width="14.125" style="1037" bestFit="1" customWidth="1"/>
    <col min="8203" max="8203" width="11.125" style="1037" bestFit="1" customWidth="1"/>
    <col min="8204" max="8440" width="9" style="1037"/>
    <col min="8441" max="8442" width="5" style="1037" customWidth="1"/>
    <col min="8443" max="8443" width="27.375" style="1037" customWidth="1"/>
    <col min="8444" max="8447" width="14" style="1037" customWidth="1"/>
    <col min="8448" max="8449" width="4.125" style="1037" customWidth="1"/>
    <col min="8450" max="8450" width="6.625" style="1037" customWidth="1"/>
    <col min="8451" max="8451" width="14" style="1037" customWidth="1"/>
    <col min="8452" max="8452" width="18.125" style="1037" customWidth="1"/>
    <col min="8453" max="8453" width="23" style="1037" customWidth="1"/>
    <col min="8454" max="8454" width="9.625" style="1037" customWidth="1"/>
    <col min="8455" max="8455" width="20.125" style="1037" customWidth="1"/>
    <col min="8456" max="8457" width="18.375" style="1037" customWidth="1"/>
    <col min="8458" max="8458" width="14.125" style="1037" bestFit="1" customWidth="1"/>
    <col min="8459" max="8459" width="11.125" style="1037" bestFit="1" customWidth="1"/>
    <col min="8460" max="8696" width="9" style="1037"/>
    <col min="8697" max="8698" width="5" style="1037" customWidth="1"/>
    <col min="8699" max="8699" width="27.375" style="1037" customWidth="1"/>
    <col min="8700" max="8703" width="14" style="1037" customWidth="1"/>
    <col min="8704" max="8705" width="4.125" style="1037" customWidth="1"/>
    <col min="8706" max="8706" width="6.625" style="1037" customWidth="1"/>
    <col min="8707" max="8707" width="14" style="1037" customWidth="1"/>
    <col min="8708" max="8708" width="18.125" style="1037" customWidth="1"/>
    <col min="8709" max="8709" width="23" style="1037" customWidth="1"/>
    <col min="8710" max="8710" width="9.625" style="1037" customWidth="1"/>
    <col min="8711" max="8711" width="20.125" style="1037" customWidth="1"/>
    <col min="8712" max="8713" width="18.375" style="1037" customWidth="1"/>
    <col min="8714" max="8714" width="14.125" style="1037" bestFit="1" customWidth="1"/>
    <col min="8715" max="8715" width="11.125" style="1037" bestFit="1" customWidth="1"/>
    <col min="8716" max="8952" width="9" style="1037"/>
    <col min="8953" max="8954" width="5" style="1037" customWidth="1"/>
    <col min="8955" max="8955" width="27.375" style="1037" customWidth="1"/>
    <col min="8956" max="8959" width="14" style="1037" customWidth="1"/>
    <col min="8960" max="8961" width="4.125" style="1037" customWidth="1"/>
    <col min="8962" max="8962" width="6.625" style="1037" customWidth="1"/>
    <col min="8963" max="8963" width="14" style="1037" customWidth="1"/>
    <col min="8964" max="8964" width="18.125" style="1037" customWidth="1"/>
    <col min="8965" max="8965" width="23" style="1037" customWidth="1"/>
    <col min="8966" max="8966" width="9.625" style="1037" customWidth="1"/>
    <col min="8967" max="8967" width="20.125" style="1037" customWidth="1"/>
    <col min="8968" max="8969" width="18.375" style="1037" customWidth="1"/>
    <col min="8970" max="8970" width="14.125" style="1037" bestFit="1" customWidth="1"/>
    <col min="8971" max="8971" width="11.125" style="1037" bestFit="1" customWidth="1"/>
    <col min="8972" max="9208" width="9" style="1037"/>
    <col min="9209" max="9210" width="5" style="1037" customWidth="1"/>
    <col min="9211" max="9211" width="27.375" style="1037" customWidth="1"/>
    <col min="9212" max="9215" width="14" style="1037" customWidth="1"/>
    <col min="9216" max="9217" width="4.125" style="1037" customWidth="1"/>
    <col min="9218" max="9218" width="6.625" style="1037" customWidth="1"/>
    <col min="9219" max="9219" width="14" style="1037" customWidth="1"/>
    <col min="9220" max="9220" width="18.125" style="1037" customWidth="1"/>
    <col min="9221" max="9221" width="23" style="1037" customWidth="1"/>
    <col min="9222" max="9222" width="9.625" style="1037" customWidth="1"/>
    <col min="9223" max="9223" width="20.125" style="1037" customWidth="1"/>
    <col min="9224" max="9225" width="18.375" style="1037" customWidth="1"/>
    <col min="9226" max="9226" width="14.125" style="1037" bestFit="1" customWidth="1"/>
    <col min="9227" max="9227" width="11.125" style="1037" bestFit="1" customWidth="1"/>
    <col min="9228" max="9464" width="9" style="1037"/>
    <col min="9465" max="9466" width="5" style="1037" customWidth="1"/>
    <col min="9467" max="9467" width="27.375" style="1037" customWidth="1"/>
    <col min="9468" max="9471" width="14" style="1037" customWidth="1"/>
    <col min="9472" max="9473" width="4.125" style="1037" customWidth="1"/>
    <col min="9474" max="9474" width="6.625" style="1037" customWidth="1"/>
    <col min="9475" max="9475" width="14" style="1037" customWidth="1"/>
    <col min="9476" max="9476" width="18.125" style="1037" customWidth="1"/>
    <col min="9477" max="9477" width="23" style="1037" customWidth="1"/>
    <col min="9478" max="9478" width="9.625" style="1037" customWidth="1"/>
    <col min="9479" max="9479" width="20.125" style="1037" customWidth="1"/>
    <col min="9480" max="9481" width="18.375" style="1037" customWidth="1"/>
    <col min="9482" max="9482" width="14.125" style="1037" bestFit="1" customWidth="1"/>
    <col min="9483" max="9483" width="11.125" style="1037" bestFit="1" customWidth="1"/>
    <col min="9484" max="9720" width="9" style="1037"/>
    <col min="9721" max="9722" width="5" style="1037" customWidth="1"/>
    <col min="9723" max="9723" width="27.375" style="1037" customWidth="1"/>
    <col min="9724" max="9727" width="14" style="1037" customWidth="1"/>
    <col min="9728" max="9729" width="4.125" style="1037" customWidth="1"/>
    <col min="9730" max="9730" width="6.625" style="1037" customWidth="1"/>
    <col min="9731" max="9731" width="14" style="1037" customWidth="1"/>
    <col min="9732" max="9732" width="18.125" style="1037" customWidth="1"/>
    <col min="9733" max="9733" width="23" style="1037" customWidth="1"/>
    <col min="9734" max="9734" width="9.625" style="1037" customWidth="1"/>
    <col min="9735" max="9735" width="20.125" style="1037" customWidth="1"/>
    <col min="9736" max="9737" width="18.375" style="1037" customWidth="1"/>
    <col min="9738" max="9738" width="14.125" style="1037" bestFit="1" customWidth="1"/>
    <col min="9739" max="9739" width="11.125" style="1037" bestFit="1" customWidth="1"/>
    <col min="9740" max="9976" width="9" style="1037"/>
    <col min="9977" max="9978" width="5" style="1037" customWidth="1"/>
    <col min="9979" max="9979" width="27.375" style="1037" customWidth="1"/>
    <col min="9980" max="9983" width="14" style="1037" customWidth="1"/>
    <col min="9984" max="9985" width="4.125" style="1037" customWidth="1"/>
    <col min="9986" max="9986" width="6.625" style="1037" customWidth="1"/>
    <col min="9987" max="9987" width="14" style="1037" customWidth="1"/>
    <col min="9988" max="9988" width="18.125" style="1037" customWidth="1"/>
    <col min="9989" max="9989" width="23" style="1037" customWidth="1"/>
    <col min="9990" max="9990" width="9.625" style="1037" customWidth="1"/>
    <col min="9991" max="9991" width="20.125" style="1037" customWidth="1"/>
    <col min="9992" max="9993" width="18.375" style="1037" customWidth="1"/>
    <col min="9994" max="9994" width="14.125" style="1037" bestFit="1" customWidth="1"/>
    <col min="9995" max="9995" width="11.125" style="1037" bestFit="1" customWidth="1"/>
    <col min="9996" max="10232" width="9" style="1037"/>
    <col min="10233" max="10234" width="5" style="1037" customWidth="1"/>
    <col min="10235" max="10235" width="27.375" style="1037" customWidth="1"/>
    <col min="10236" max="10239" width="14" style="1037" customWidth="1"/>
    <col min="10240" max="10241" width="4.125" style="1037" customWidth="1"/>
    <col min="10242" max="10242" width="6.625" style="1037" customWidth="1"/>
    <col min="10243" max="10243" width="14" style="1037" customWidth="1"/>
    <col min="10244" max="10244" width="18.125" style="1037" customWidth="1"/>
    <col min="10245" max="10245" width="23" style="1037" customWidth="1"/>
    <col min="10246" max="10246" width="9.625" style="1037" customWidth="1"/>
    <col min="10247" max="10247" width="20.125" style="1037" customWidth="1"/>
    <col min="10248" max="10249" width="18.375" style="1037" customWidth="1"/>
    <col min="10250" max="10250" width="14.125" style="1037" bestFit="1" customWidth="1"/>
    <col min="10251" max="10251" width="11.125" style="1037" bestFit="1" customWidth="1"/>
    <col min="10252" max="10488" width="9" style="1037"/>
    <col min="10489" max="10490" width="5" style="1037" customWidth="1"/>
    <col min="10491" max="10491" width="27.375" style="1037" customWidth="1"/>
    <col min="10492" max="10495" width="14" style="1037" customWidth="1"/>
    <col min="10496" max="10497" width="4.125" style="1037" customWidth="1"/>
    <col min="10498" max="10498" width="6.625" style="1037" customWidth="1"/>
    <col min="10499" max="10499" width="14" style="1037" customWidth="1"/>
    <col min="10500" max="10500" width="18.125" style="1037" customWidth="1"/>
    <col min="10501" max="10501" width="23" style="1037" customWidth="1"/>
    <col min="10502" max="10502" width="9.625" style="1037" customWidth="1"/>
    <col min="10503" max="10503" width="20.125" style="1037" customWidth="1"/>
    <col min="10504" max="10505" width="18.375" style="1037" customWidth="1"/>
    <col min="10506" max="10506" width="14.125" style="1037" bestFit="1" customWidth="1"/>
    <col min="10507" max="10507" width="11.125" style="1037" bestFit="1" customWidth="1"/>
    <col min="10508" max="10744" width="9" style="1037"/>
    <col min="10745" max="10746" width="5" style="1037" customWidth="1"/>
    <col min="10747" max="10747" width="27.375" style="1037" customWidth="1"/>
    <col min="10748" max="10751" width="14" style="1037" customWidth="1"/>
    <col min="10752" max="10753" width="4.125" style="1037" customWidth="1"/>
    <col min="10754" max="10754" width="6.625" style="1037" customWidth="1"/>
    <col min="10755" max="10755" width="14" style="1037" customWidth="1"/>
    <col min="10756" max="10756" width="18.125" style="1037" customWidth="1"/>
    <col min="10757" max="10757" width="23" style="1037" customWidth="1"/>
    <col min="10758" max="10758" width="9.625" style="1037" customWidth="1"/>
    <col min="10759" max="10759" width="20.125" style="1037" customWidth="1"/>
    <col min="10760" max="10761" width="18.375" style="1037" customWidth="1"/>
    <col min="10762" max="10762" width="14.125" style="1037" bestFit="1" customWidth="1"/>
    <col min="10763" max="10763" width="11.125" style="1037" bestFit="1" customWidth="1"/>
    <col min="10764" max="11000" width="9" style="1037"/>
    <col min="11001" max="11002" width="5" style="1037" customWidth="1"/>
    <col min="11003" max="11003" width="27.375" style="1037" customWidth="1"/>
    <col min="11004" max="11007" width="14" style="1037" customWidth="1"/>
    <col min="11008" max="11009" width="4.125" style="1037" customWidth="1"/>
    <col min="11010" max="11010" width="6.625" style="1037" customWidth="1"/>
    <col min="11011" max="11011" width="14" style="1037" customWidth="1"/>
    <col min="11012" max="11012" width="18.125" style="1037" customWidth="1"/>
    <col min="11013" max="11013" width="23" style="1037" customWidth="1"/>
    <col min="11014" max="11014" width="9.625" style="1037" customWidth="1"/>
    <col min="11015" max="11015" width="20.125" style="1037" customWidth="1"/>
    <col min="11016" max="11017" width="18.375" style="1037" customWidth="1"/>
    <col min="11018" max="11018" width="14.125" style="1037" bestFit="1" customWidth="1"/>
    <col min="11019" max="11019" width="11.125" style="1037" bestFit="1" customWidth="1"/>
    <col min="11020" max="11256" width="9" style="1037"/>
    <col min="11257" max="11258" width="5" style="1037" customWidth="1"/>
    <col min="11259" max="11259" width="27.375" style="1037" customWidth="1"/>
    <col min="11260" max="11263" width="14" style="1037" customWidth="1"/>
    <col min="11264" max="11265" width="4.125" style="1037" customWidth="1"/>
    <col min="11266" max="11266" width="6.625" style="1037" customWidth="1"/>
    <col min="11267" max="11267" width="14" style="1037" customWidth="1"/>
    <col min="11268" max="11268" width="18.125" style="1037" customWidth="1"/>
    <col min="11269" max="11269" width="23" style="1037" customWidth="1"/>
    <col min="11270" max="11270" width="9.625" style="1037" customWidth="1"/>
    <col min="11271" max="11271" width="20.125" style="1037" customWidth="1"/>
    <col min="11272" max="11273" width="18.375" style="1037" customWidth="1"/>
    <col min="11274" max="11274" width="14.125" style="1037" bestFit="1" customWidth="1"/>
    <col min="11275" max="11275" width="11.125" style="1037" bestFit="1" customWidth="1"/>
    <col min="11276" max="11512" width="9" style="1037"/>
    <col min="11513" max="11514" width="5" style="1037" customWidth="1"/>
    <col min="11515" max="11515" width="27.375" style="1037" customWidth="1"/>
    <col min="11516" max="11519" width="14" style="1037" customWidth="1"/>
    <col min="11520" max="11521" width="4.125" style="1037" customWidth="1"/>
    <col min="11522" max="11522" width="6.625" style="1037" customWidth="1"/>
    <col min="11523" max="11523" width="14" style="1037" customWidth="1"/>
    <col min="11524" max="11524" width="18.125" style="1037" customWidth="1"/>
    <col min="11525" max="11525" width="23" style="1037" customWidth="1"/>
    <col min="11526" max="11526" width="9.625" style="1037" customWidth="1"/>
    <col min="11527" max="11527" width="20.125" style="1037" customWidth="1"/>
    <col min="11528" max="11529" width="18.375" style="1037" customWidth="1"/>
    <col min="11530" max="11530" width="14.125" style="1037" bestFit="1" customWidth="1"/>
    <col min="11531" max="11531" width="11.125" style="1037" bestFit="1" customWidth="1"/>
    <col min="11532" max="11768" width="9" style="1037"/>
    <col min="11769" max="11770" width="5" style="1037" customWidth="1"/>
    <col min="11771" max="11771" width="27.375" style="1037" customWidth="1"/>
    <col min="11772" max="11775" width="14" style="1037" customWidth="1"/>
    <col min="11776" max="11777" width="4.125" style="1037" customWidth="1"/>
    <col min="11778" max="11778" width="6.625" style="1037" customWidth="1"/>
    <col min="11779" max="11779" width="14" style="1037" customWidth="1"/>
    <col min="11780" max="11780" width="18.125" style="1037" customWidth="1"/>
    <col min="11781" max="11781" width="23" style="1037" customWidth="1"/>
    <col min="11782" max="11782" width="9.625" style="1037" customWidth="1"/>
    <col min="11783" max="11783" width="20.125" style="1037" customWidth="1"/>
    <col min="11784" max="11785" width="18.375" style="1037" customWidth="1"/>
    <col min="11786" max="11786" width="14.125" style="1037" bestFit="1" customWidth="1"/>
    <col min="11787" max="11787" width="11.125" style="1037" bestFit="1" customWidth="1"/>
    <col min="11788" max="12024" width="9" style="1037"/>
    <col min="12025" max="12026" width="5" style="1037" customWidth="1"/>
    <col min="12027" max="12027" width="27.375" style="1037" customWidth="1"/>
    <col min="12028" max="12031" width="14" style="1037" customWidth="1"/>
    <col min="12032" max="12033" width="4.125" style="1037" customWidth="1"/>
    <col min="12034" max="12034" width="6.625" style="1037" customWidth="1"/>
    <col min="12035" max="12035" width="14" style="1037" customWidth="1"/>
    <col min="12036" max="12036" width="18.125" style="1037" customWidth="1"/>
    <col min="12037" max="12037" width="23" style="1037" customWidth="1"/>
    <col min="12038" max="12038" width="9.625" style="1037" customWidth="1"/>
    <col min="12039" max="12039" width="20.125" style="1037" customWidth="1"/>
    <col min="12040" max="12041" width="18.375" style="1037" customWidth="1"/>
    <col min="12042" max="12042" width="14.125" style="1037" bestFit="1" customWidth="1"/>
    <col min="12043" max="12043" width="11.125" style="1037" bestFit="1" customWidth="1"/>
    <col min="12044" max="12280" width="9" style="1037"/>
    <col min="12281" max="12282" width="5" style="1037" customWidth="1"/>
    <col min="12283" max="12283" width="27.375" style="1037" customWidth="1"/>
    <col min="12284" max="12287" width="14" style="1037" customWidth="1"/>
    <col min="12288" max="12289" width="4.125" style="1037" customWidth="1"/>
    <col min="12290" max="12290" width="6.625" style="1037" customWidth="1"/>
    <col min="12291" max="12291" width="14" style="1037" customWidth="1"/>
    <col min="12292" max="12292" width="18.125" style="1037" customWidth="1"/>
    <col min="12293" max="12293" width="23" style="1037" customWidth="1"/>
    <col min="12294" max="12294" width="9.625" style="1037" customWidth="1"/>
    <col min="12295" max="12295" width="20.125" style="1037" customWidth="1"/>
    <col min="12296" max="12297" width="18.375" style="1037" customWidth="1"/>
    <col min="12298" max="12298" width="14.125" style="1037" bestFit="1" customWidth="1"/>
    <col min="12299" max="12299" width="11.125" style="1037" bestFit="1" customWidth="1"/>
    <col min="12300" max="12536" width="9" style="1037"/>
    <col min="12537" max="12538" width="5" style="1037" customWidth="1"/>
    <col min="12539" max="12539" width="27.375" style="1037" customWidth="1"/>
    <col min="12540" max="12543" width="14" style="1037" customWidth="1"/>
    <col min="12544" max="12545" width="4.125" style="1037" customWidth="1"/>
    <col min="12546" max="12546" width="6.625" style="1037" customWidth="1"/>
    <col min="12547" max="12547" width="14" style="1037" customWidth="1"/>
    <col min="12548" max="12548" width="18.125" style="1037" customWidth="1"/>
    <col min="12549" max="12549" width="23" style="1037" customWidth="1"/>
    <col min="12550" max="12550" width="9.625" style="1037" customWidth="1"/>
    <col min="12551" max="12551" width="20.125" style="1037" customWidth="1"/>
    <col min="12552" max="12553" width="18.375" style="1037" customWidth="1"/>
    <col min="12554" max="12554" width="14.125" style="1037" bestFit="1" customWidth="1"/>
    <col min="12555" max="12555" width="11.125" style="1037" bestFit="1" customWidth="1"/>
    <col min="12556" max="12792" width="9" style="1037"/>
    <col min="12793" max="12794" width="5" style="1037" customWidth="1"/>
    <col min="12795" max="12795" width="27.375" style="1037" customWidth="1"/>
    <col min="12796" max="12799" width="14" style="1037" customWidth="1"/>
    <col min="12800" max="12801" width="4.125" style="1037" customWidth="1"/>
    <col min="12802" max="12802" width="6.625" style="1037" customWidth="1"/>
    <col min="12803" max="12803" width="14" style="1037" customWidth="1"/>
    <col min="12804" max="12804" width="18.125" style="1037" customWidth="1"/>
    <col min="12805" max="12805" width="23" style="1037" customWidth="1"/>
    <col min="12806" max="12806" width="9.625" style="1037" customWidth="1"/>
    <col min="12807" max="12807" width="20.125" style="1037" customWidth="1"/>
    <col min="12808" max="12809" width="18.375" style="1037" customWidth="1"/>
    <col min="12810" max="12810" width="14.125" style="1037" bestFit="1" customWidth="1"/>
    <col min="12811" max="12811" width="11.125" style="1037" bestFit="1" customWidth="1"/>
    <col min="12812" max="13048" width="9" style="1037"/>
    <col min="13049" max="13050" width="5" style="1037" customWidth="1"/>
    <col min="13051" max="13051" width="27.375" style="1037" customWidth="1"/>
    <col min="13052" max="13055" width="14" style="1037" customWidth="1"/>
    <col min="13056" max="13057" width="4.125" style="1037" customWidth="1"/>
    <col min="13058" max="13058" width="6.625" style="1037" customWidth="1"/>
    <col min="13059" max="13059" width="14" style="1037" customWidth="1"/>
    <col min="13060" max="13060" width="18.125" style="1037" customWidth="1"/>
    <col min="13061" max="13061" width="23" style="1037" customWidth="1"/>
    <col min="13062" max="13062" width="9.625" style="1037" customWidth="1"/>
    <col min="13063" max="13063" width="20.125" style="1037" customWidth="1"/>
    <col min="13064" max="13065" width="18.375" style="1037" customWidth="1"/>
    <col min="13066" max="13066" width="14.125" style="1037" bestFit="1" customWidth="1"/>
    <col min="13067" max="13067" width="11.125" style="1037" bestFit="1" customWidth="1"/>
    <col min="13068" max="13304" width="9" style="1037"/>
    <col min="13305" max="13306" width="5" style="1037" customWidth="1"/>
    <col min="13307" max="13307" width="27.375" style="1037" customWidth="1"/>
    <col min="13308" max="13311" width="14" style="1037" customWidth="1"/>
    <col min="13312" max="13313" width="4.125" style="1037" customWidth="1"/>
    <col min="13314" max="13314" width="6.625" style="1037" customWidth="1"/>
    <col min="13315" max="13315" width="14" style="1037" customWidth="1"/>
    <col min="13316" max="13316" width="18.125" style="1037" customWidth="1"/>
    <col min="13317" max="13317" width="23" style="1037" customWidth="1"/>
    <col min="13318" max="13318" width="9.625" style="1037" customWidth="1"/>
    <col min="13319" max="13319" width="20.125" style="1037" customWidth="1"/>
    <col min="13320" max="13321" width="18.375" style="1037" customWidth="1"/>
    <col min="13322" max="13322" width="14.125" style="1037" bestFit="1" customWidth="1"/>
    <col min="13323" max="13323" width="11.125" style="1037" bestFit="1" customWidth="1"/>
    <col min="13324" max="13560" width="9" style="1037"/>
    <col min="13561" max="13562" width="5" style="1037" customWidth="1"/>
    <col min="13563" max="13563" width="27.375" style="1037" customWidth="1"/>
    <col min="13564" max="13567" width="14" style="1037" customWidth="1"/>
    <col min="13568" max="13569" width="4.125" style="1037" customWidth="1"/>
    <col min="13570" max="13570" width="6.625" style="1037" customWidth="1"/>
    <col min="13571" max="13571" width="14" style="1037" customWidth="1"/>
    <col min="13572" max="13572" width="18.125" style="1037" customWidth="1"/>
    <col min="13573" max="13573" width="23" style="1037" customWidth="1"/>
    <col min="13574" max="13574" width="9.625" style="1037" customWidth="1"/>
    <col min="13575" max="13575" width="20.125" style="1037" customWidth="1"/>
    <col min="13576" max="13577" width="18.375" style="1037" customWidth="1"/>
    <col min="13578" max="13578" width="14.125" style="1037" bestFit="1" customWidth="1"/>
    <col min="13579" max="13579" width="11.125" style="1037" bestFit="1" customWidth="1"/>
    <col min="13580" max="13816" width="9" style="1037"/>
    <col min="13817" max="13818" width="5" style="1037" customWidth="1"/>
    <col min="13819" max="13819" width="27.375" style="1037" customWidth="1"/>
    <col min="13820" max="13823" width="14" style="1037" customWidth="1"/>
    <col min="13824" max="13825" width="4.125" style="1037" customWidth="1"/>
    <col min="13826" max="13826" width="6.625" style="1037" customWidth="1"/>
    <col min="13827" max="13827" width="14" style="1037" customWidth="1"/>
    <col min="13828" max="13828" width="18.125" style="1037" customWidth="1"/>
    <col min="13829" max="13829" width="23" style="1037" customWidth="1"/>
    <col min="13830" max="13830" width="9.625" style="1037" customWidth="1"/>
    <col min="13831" max="13831" width="20.125" style="1037" customWidth="1"/>
    <col min="13832" max="13833" width="18.375" style="1037" customWidth="1"/>
    <col min="13834" max="13834" width="14.125" style="1037" bestFit="1" customWidth="1"/>
    <col min="13835" max="13835" width="11.125" style="1037" bestFit="1" customWidth="1"/>
    <col min="13836" max="14072" width="9" style="1037"/>
    <col min="14073" max="14074" width="5" style="1037" customWidth="1"/>
    <col min="14075" max="14075" width="27.375" style="1037" customWidth="1"/>
    <col min="14076" max="14079" width="14" style="1037" customWidth="1"/>
    <col min="14080" max="14081" width="4.125" style="1037" customWidth="1"/>
    <col min="14082" max="14082" width="6.625" style="1037" customWidth="1"/>
    <col min="14083" max="14083" width="14" style="1037" customWidth="1"/>
    <col min="14084" max="14084" width="18.125" style="1037" customWidth="1"/>
    <col min="14085" max="14085" width="23" style="1037" customWidth="1"/>
    <col min="14086" max="14086" width="9.625" style="1037" customWidth="1"/>
    <col min="14087" max="14087" width="20.125" style="1037" customWidth="1"/>
    <col min="14088" max="14089" width="18.375" style="1037" customWidth="1"/>
    <col min="14090" max="14090" width="14.125" style="1037" bestFit="1" customWidth="1"/>
    <col min="14091" max="14091" width="11.125" style="1037" bestFit="1" customWidth="1"/>
    <col min="14092" max="14328" width="9" style="1037"/>
    <col min="14329" max="14330" width="5" style="1037" customWidth="1"/>
    <col min="14331" max="14331" width="27.375" style="1037" customWidth="1"/>
    <col min="14332" max="14335" width="14" style="1037" customWidth="1"/>
    <col min="14336" max="14337" width="4.125" style="1037" customWidth="1"/>
    <col min="14338" max="14338" width="6.625" style="1037" customWidth="1"/>
    <col min="14339" max="14339" width="14" style="1037" customWidth="1"/>
    <col min="14340" max="14340" width="18.125" style="1037" customWidth="1"/>
    <col min="14341" max="14341" width="23" style="1037" customWidth="1"/>
    <col min="14342" max="14342" width="9.625" style="1037" customWidth="1"/>
    <col min="14343" max="14343" width="20.125" style="1037" customWidth="1"/>
    <col min="14344" max="14345" width="18.375" style="1037" customWidth="1"/>
    <col min="14346" max="14346" width="14.125" style="1037" bestFit="1" customWidth="1"/>
    <col min="14347" max="14347" width="11.125" style="1037" bestFit="1" customWidth="1"/>
    <col min="14348" max="14584" width="9" style="1037"/>
    <col min="14585" max="14586" width="5" style="1037" customWidth="1"/>
    <col min="14587" max="14587" width="27.375" style="1037" customWidth="1"/>
    <col min="14588" max="14591" width="14" style="1037" customWidth="1"/>
    <col min="14592" max="14593" width="4.125" style="1037" customWidth="1"/>
    <col min="14594" max="14594" width="6.625" style="1037" customWidth="1"/>
    <col min="14595" max="14595" width="14" style="1037" customWidth="1"/>
    <col min="14596" max="14596" width="18.125" style="1037" customWidth="1"/>
    <col min="14597" max="14597" width="23" style="1037" customWidth="1"/>
    <col min="14598" max="14598" width="9.625" style="1037" customWidth="1"/>
    <col min="14599" max="14599" width="20.125" style="1037" customWidth="1"/>
    <col min="14600" max="14601" width="18.375" style="1037" customWidth="1"/>
    <col min="14602" max="14602" width="14.125" style="1037" bestFit="1" customWidth="1"/>
    <col min="14603" max="14603" width="11.125" style="1037" bestFit="1" customWidth="1"/>
    <col min="14604" max="14840" width="9" style="1037"/>
    <col min="14841" max="14842" width="5" style="1037" customWidth="1"/>
    <col min="14843" max="14843" width="27.375" style="1037" customWidth="1"/>
    <col min="14844" max="14847" width="14" style="1037" customWidth="1"/>
    <col min="14848" max="14849" width="4.125" style="1037" customWidth="1"/>
    <col min="14850" max="14850" width="6.625" style="1037" customWidth="1"/>
    <col min="14851" max="14851" width="14" style="1037" customWidth="1"/>
    <col min="14852" max="14852" width="18.125" style="1037" customWidth="1"/>
    <col min="14853" max="14853" width="23" style="1037" customWidth="1"/>
    <col min="14854" max="14854" width="9.625" style="1037" customWidth="1"/>
    <col min="14855" max="14855" width="20.125" style="1037" customWidth="1"/>
    <col min="14856" max="14857" width="18.375" style="1037" customWidth="1"/>
    <col min="14858" max="14858" width="14.125" style="1037" bestFit="1" customWidth="1"/>
    <col min="14859" max="14859" width="11.125" style="1037" bestFit="1" customWidth="1"/>
    <col min="14860" max="15096" width="9" style="1037"/>
    <col min="15097" max="15098" width="5" style="1037" customWidth="1"/>
    <col min="15099" max="15099" width="27.375" style="1037" customWidth="1"/>
    <col min="15100" max="15103" width="14" style="1037" customWidth="1"/>
    <col min="15104" max="15105" width="4.125" style="1037" customWidth="1"/>
    <col min="15106" max="15106" width="6.625" style="1037" customWidth="1"/>
    <col min="15107" max="15107" width="14" style="1037" customWidth="1"/>
    <col min="15108" max="15108" width="18.125" style="1037" customWidth="1"/>
    <col min="15109" max="15109" width="23" style="1037" customWidth="1"/>
    <col min="15110" max="15110" width="9.625" style="1037" customWidth="1"/>
    <col min="15111" max="15111" width="20.125" style="1037" customWidth="1"/>
    <col min="15112" max="15113" width="18.375" style="1037" customWidth="1"/>
    <col min="15114" max="15114" width="14.125" style="1037" bestFit="1" customWidth="1"/>
    <col min="15115" max="15115" width="11.125" style="1037" bestFit="1" customWidth="1"/>
    <col min="15116" max="15352" width="9" style="1037"/>
    <col min="15353" max="15354" width="5" style="1037" customWidth="1"/>
    <col min="15355" max="15355" width="27.375" style="1037" customWidth="1"/>
    <col min="15356" max="15359" width="14" style="1037" customWidth="1"/>
    <col min="15360" max="15361" width="4.125" style="1037" customWidth="1"/>
    <col min="15362" max="15362" width="6.625" style="1037" customWidth="1"/>
    <col min="15363" max="15363" width="14" style="1037" customWidth="1"/>
    <col min="15364" max="15364" width="18.125" style="1037" customWidth="1"/>
    <col min="15365" max="15365" width="23" style="1037" customWidth="1"/>
    <col min="15366" max="15366" width="9.625" style="1037" customWidth="1"/>
    <col min="15367" max="15367" width="20.125" style="1037" customWidth="1"/>
    <col min="15368" max="15369" width="18.375" style="1037" customWidth="1"/>
    <col min="15370" max="15370" width="14.125" style="1037" bestFit="1" customWidth="1"/>
    <col min="15371" max="15371" width="11.125" style="1037" bestFit="1" customWidth="1"/>
    <col min="15372" max="15608" width="9" style="1037"/>
    <col min="15609" max="15610" width="5" style="1037" customWidth="1"/>
    <col min="15611" max="15611" width="27.375" style="1037" customWidth="1"/>
    <col min="15612" max="15615" width="14" style="1037" customWidth="1"/>
    <col min="15616" max="15617" width="4.125" style="1037" customWidth="1"/>
    <col min="15618" max="15618" width="6.625" style="1037" customWidth="1"/>
    <col min="15619" max="15619" width="14" style="1037" customWidth="1"/>
    <col min="15620" max="15620" width="18.125" style="1037" customWidth="1"/>
    <col min="15621" max="15621" width="23" style="1037" customWidth="1"/>
    <col min="15622" max="15622" width="9.625" style="1037" customWidth="1"/>
    <col min="15623" max="15623" width="20.125" style="1037" customWidth="1"/>
    <col min="15624" max="15625" width="18.375" style="1037" customWidth="1"/>
    <col min="15626" max="15626" width="14.125" style="1037" bestFit="1" customWidth="1"/>
    <col min="15627" max="15627" width="11.125" style="1037" bestFit="1" customWidth="1"/>
    <col min="15628" max="15864" width="9" style="1037"/>
    <col min="15865" max="15866" width="5" style="1037" customWidth="1"/>
    <col min="15867" max="15867" width="27.375" style="1037" customWidth="1"/>
    <col min="15868" max="15871" width="14" style="1037" customWidth="1"/>
    <col min="15872" max="15873" width="4.125" style="1037" customWidth="1"/>
    <col min="15874" max="15874" width="6.625" style="1037" customWidth="1"/>
    <col min="15875" max="15875" width="14" style="1037" customWidth="1"/>
    <col min="15876" max="15876" width="18.125" style="1037" customWidth="1"/>
    <col min="15877" max="15877" width="23" style="1037" customWidth="1"/>
    <col min="15878" max="15878" width="9.625" style="1037" customWidth="1"/>
    <col min="15879" max="15879" width="20.125" style="1037" customWidth="1"/>
    <col min="15880" max="15881" width="18.375" style="1037" customWidth="1"/>
    <col min="15882" max="15882" width="14.125" style="1037" bestFit="1" customWidth="1"/>
    <col min="15883" max="15883" width="11.125" style="1037" bestFit="1" customWidth="1"/>
    <col min="15884" max="16120" width="9" style="1037"/>
    <col min="16121" max="16122" width="5" style="1037" customWidth="1"/>
    <col min="16123" max="16123" width="27.375" style="1037" customWidth="1"/>
    <col min="16124" max="16127" width="14" style="1037" customWidth="1"/>
    <col min="16128" max="16129" width="4.125" style="1037" customWidth="1"/>
    <col min="16130" max="16130" width="6.625" style="1037" customWidth="1"/>
    <col min="16131" max="16131" width="14" style="1037" customWidth="1"/>
    <col min="16132" max="16132" width="18.125" style="1037" customWidth="1"/>
    <col min="16133" max="16133" width="23" style="1037" customWidth="1"/>
    <col min="16134" max="16134" width="9.625" style="1037" customWidth="1"/>
    <col min="16135" max="16135" width="20.125" style="1037" customWidth="1"/>
    <col min="16136" max="16137" width="18.375" style="1037" customWidth="1"/>
    <col min="16138" max="16138" width="14.125" style="1037" bestFit="1" customWidth="1"/>
    <col min="16139" max="16139" width="11.125" style="1037" bestFit="1" customWidth="1"/>
    <col min="16140" max="16384" width="9" style="1037"/>
  </cols>
  <sheetData>
    <row r="1" spans="1:24">
      <c r="A1" s="1037" t="s">
        <v>2626</v>
      </c>
    </row>
    <row r="2" spans="1:24">
      <c r="D2" s="1039"/>
      <c r="E2" s="1039"/>
      <c r="F2" s="1039"/>
      <c r="H2" s="1039"/>
    </row>
    <row r="3" spans="1:24" s="1040" customFormat="1" ht="14.25" thickBot="1">
      <c r="B3" s="1987" t="s">
        <v>1035</v>
      </c>
      <c r="C3" s="1987"/>
      <c r="D3" s="1041" t="s">
        <v>1036</v>
      </c>
      <c r="E3" s="1988" t="s">
        <v>1037</v>
      </c>
      <c r="F3" s="1989"/>
      <c r="G3" s="1042" t="str">
        <f>D3</f>
        <v>HK $</v>
      </c>
      <c r="H3" s="1136">
        <f>DHK_BS!H3</f>
        <v>46203</v>
      </c>
      <c r="I3" s="1990" t="s">
        <v>1037</v>
      </c>
      <c r="J3" s="1991"/>
      <c r="K3" s="1137">
        <f>H3</f>
        <v>46203</v>
      </c>
      <c r="L3" s="1987" t="s">
        <v>1038</v>
      </c>
      <c r="M3" s="1987"/>
      <c r="N3" s="1041"/>
    </row>
    <row r="4" spans="1:24" s="1050" customFormat="1" ht="30.6" customHeight="1">
      <c r="A4" s="1043" t="s">
        <v>486</v>
      </c>
      <c r="B4" s="1044" t="s">
        <v>1039</v>
      </c>
      <c r="C4" s="1044" t="s">
        <v>1040</v>
      </c>
      <c r="D4" s="1045"/>
      <c r="E4" s="1046" t="s">
        <v>230</v>
      </c>
      <c r="F4" s="1046" t="s">
        <v>232</v>
      </c>
      <c r="G4" s="1047">
        <f>환율!C6</f>
        <v>189.66</v>
      </c>
      <c r="H4" s="1041" t="s">
        <v>573</v>
      </c>
      <c r="I4" s="1046" t="s">
        <v>230</v>
      </c>
      <c r="J4" s="1046" t="s">
        <v>232</v>
      </c>
      <c r="K4" s="1048" t="s">
        <v>234</v>
      </c>
      <c r="L4" s="1044" t="s">
        <v>1039</v>
      </c>
      <c r="M4" s="1049" t="s">
        <v>1042</v>
      </c>
      <c r="N4" s="1049" t="s">
        <v>1040</v>
      </c>
      <c r="P4" s="1051"/>
    </row>
    <row r="5" spans="1:24">
      <c r="A5" s="1052"/>
      <c r="B5" s="1053" t="s">
        <v>1319</v>
      </c>
      <c r="C5" s="1053" t="s">
        <v>1248</v>
      </c>
      <c r="D5" s="1054">
        <f t="shared" ref="D5" si="0">D6+D9</f>
        <v>582737.16</v>
      </c>
      <c r="E5" s="1054"/>
      <c r="F5" s="1054"/>
      <c r="G5" s="1055">
        <f>SUM(G6,G9)</f>
        <v>582737.16</v>
      </c>
      <c r="H5" s="1056">
        <f>H6+H9</f>
        <v>110521930</v>
      </c>
      <c r="I5" s="1056"/>
      <c r="J5" s="1056"/>
      <c r="K5" s="1057">
        <f>SUM(K6,K9)</f>
        <v>110521930</v>
      </c>
      <c r="L5" s="1058" t="str">
        <f t="shared" ref="L5:L14" si="1">B5</f>
        <v>*</v>
      </c>
      <c r="M5" s="1059"/>
      <c r="N5" s="1059"/>
    </row>
    <row r="6" spans="1:24">
      <c r="A6" s="1052"/>
      <c r="B6" s="1060" t="s">
        <v>1257</v>
      </c>
      <c r="C6" s="1060" t="s">
        <v>1320</v>
      </c>
      <c r="D6" s="1061">
        <f t="shared" ref="D6" si="2">SUM(D7:D8)</f>
        <v>0</v>
      </c>
      <c r="E6" s="1061"/>
      <c r="F6" s="1061"/>
      <c r="G6" s="1062">
        <f>SUM(G7:G8)</f>
        <v>0</v>
      </c>
      <c r="H6" s="1063">
        <f>SUM(H7:H8)</f>
        <v>0</v>
      </c>
      <c r="I6" s="1063"/>
      <c r="J6" s="1063"/>
      <c r="K6" s="1064">
        <f>SUM(K7:K8)</f>
        <v>0</v>
      </c>
      <c r="L6" s="1065" t="str">
        <f t="shared" si="1"/>
        <v>**</v>
      </c>
      <c r="M6" s="1066"/>
      <c r="N6" s="1066"/>
      <c r="Q6" s="1067"/>
      <c r="R6" s="1067"/>
      <c r="U6" s="1067"/>
      <c r="W6" s="1067"/>
    </row>
    <row r="7" spans="1:24">
      <c r="A7" s="1052" t="s">
        <v>717</v>
      </c>
      <c r="B7" s="1060" t="s">
        <v>1125</v>
      </c>
      <c r="C7" s="1060" t="s">
        <v>1321</v>
      </c>
      <c r="D7" s="1068"/>
      <c r="E7" s="1068"/>
      <c r="F7" s="1068"/>
      <c r="G7" s="1069">
        <f t="shared" ref="G7:G8" si="3">D7-E7+F7</f>
        <v>0</v>
      </c>
      <c r="H7" s="1070">
        <f t="shared" ref="H7:H8" si="4">ROUND(G7*$G$4,)</f>
        <v>0</v>
      </c>
      <c r="I7" s="1070"/>
      <c r="J7" s="1070"/>
      <c r="K7" s="1071">
        <f t="shared" ref="K7:K8" si="5">H7-I7+J7</f>
        <v>0</v>
      </c>
      <c r="L7" s="1060" t="str">
        <f t="shared" si="1"/>
        <v>***</v>
      </c>
      <c r="M7" s="1072" t="s">
        <v>1322</v>
      </c>
      <c r="N7" s="1072" t="s">
        <v>1323</v>
      </c>
      <c r="Q7" s="1067"/>
      <c r="R7" s="1067"/>
      <c r="W7" s="1067"/>
    </row>
    <row r="8" spans="1:24">
      <c r="A8" s="1052" t="s">
        <v>717</v>
      </c>
      <c r="B8" s="1060" t="s">
        <v>1125</v>
      </c>
      <c r="C8" s="1060" t="s">
        <v>1250</v>
      </c>
      <c r="D8" s="1068"/>
      <c r="E8" s="1068"/>
      <c r="F8" s="1068"/>
      <c r="G8" s="1069">
        <f t="shared" si="3"/>
        <v>0</v>
      </c>
      <c r="H8" s="1070">
        <f t="shared" si="4"/>
        <v>0</v>
      </c>
      <c r="I8" s="1070"/>
      <c r="J8" s="1070"/>
      <c r="K8" s="1071">
        <f t="shared" si="5"/>
        <v>0</v>
      </c>
      <c r="L8" s="1060" t="str">
        <f t="shared" si="1"/>
        <v>***</v>
      </c>
      <c r="M8" s="1072" t="s">
        <v>1322</v>
      </c>
      <c r="N8" s="1072" t="s">
        <v>1324</v>
      </c>
      <c r="Q8" s="1067"/>
      <c r="R8" s="1067"/>
      <c r="S8" s="1067"/>
      <c r="U8" s="1067"/>
      <c r="W8" s="1067"/>
      <c r="X8" s="1067"/>
    </row>
    <row r="9" spans="1:24">
      <c r="A9" s="1052"/>
      <c r="B9" s="1060" t="s">
        <v>1257</v>
      </c>
      <c r="C9" s="1060" t="s">
        <v>1325</v>
      </c>
      <c r="D9" s="1061">
        <f t="shared" ref="D9" si="6">D10</f>
        <v>582737.16</v>
      </c>
      <c r="E9" s="1061"/>
      <c r="F9" s="1061"/>
      <c r="G9" s="1062">
        <f>G10</f>
        <v>582737.16</v>
      </c>
      <c r="H9" s="1063">
        <f>H10</f>
        <v>110521930</v>
      </c>
      <c r="I9" s="1063"/>
      <c r="J9" s="1063"/>
      <c r="K9" s="1064">
        <f>K10</f>
        <v>110521930</v>
      </c>
      <c r="L9" s="1065" t="str">
        <f t="shared" si="1"/>
        <v>**</v>
      </c>
      <c r="M9" s="1066"/>
      <c r="N9" s="1066"/>
      <c r="Q9" s="1067"/>
      <c r="R9" s="1067"/>
      <c r="U9" s="1067"/>
    </row>
    <row r="10" spans="1:24">
      <c r="A10" s="1052" t="s">
        <v>716</v>
      </c>
      <c r="B10" s="1060" t="s">
        <v>1125</v>
      </c>
      <c r="C10" s="1060" t="s">
        <v>1249</v>
      </c>
      <c r="D10" s="1068">
        <v>582737.16</v>
      </c>
      <c r="E10" s="1068"/>
      <c r="F10" s="1068"/>
      <c r="G10" s="1069">
        <f>D10-E10+F10</f>
        <v>582737.16</v>
      </c>
      <c r="H10" s="1070">
        <f>ROUND(G10*$G$4,)</f>
        <v>110521930</v>
      </c>
      <c r="I10" s="1070"/>
      <c r="J10" s="1070"/>
      <c r="K10" s="1071">
        <f>H10-I10+J10</f>
        <v>110521930</v>
      </c>
      <c r="L10" s="1060" t="str">
        <f t="shared" si="1"/>
        <v>***</v>
      </c>
      <c r="M10" s="1072" t="s">
        <v>1322</v>
      </c>
      <c r="N10" s="1072" t="s">
        <v>1326</v>
      </c>
      <c r="Q10" s="1067"/>
      <c r="R10" s="1067"/>
      <c r="U10" s="1067"/>
    </row>
    <row r="11" spans="1:24">
      <c r="A11" s="1052"/>
      <c r="B11" s="1053" t="s">
        <v>1319</v>
      </c>
      <c r="C11" s="1053" t="s">
        <v>1251</v>
      </c>
      <c r="D11" s="1054">
        <f t="shared" ref="D11" si="7">D12+D18</f>
        <v>129881.50000000001</v>
      </c>
      <c r="E11" s="1054"/>
      <c r="F11" s="1054"/>
      <c r="G11" s="1054">
        <f>G12+G18</f>
        <v>129881.50000000001</v>
      </c>
      <c r="H11" s="1056">
        <f>H12+H18</f>
        <v>24568846</v>
      </c>
      <c r="I11" s="1056"/>
      <c r="J11" s="1056"/>
      <c r="K11" s="1056">
        <f>K12+K18</f>
        <v>24568846</v>
      </c>
      <c r="L11" s="1058" t="str">
        <f t="shared" si="1"/>
        <v>*</v>
      </c>
      <c r="M11" s="1059"/>
      <c r="N11" s="1059"/>
      <c r="Q11" s="1067"/>
      <c r="R11" s="1067"/>
    </row>
    <row r="12" spans="1:24">
      <c r="A12" s="1052"/>
      <c r="B12" s="1060" t="s">
        <v>1257</v>
      </c>
      <c r="C12" s="1060" t="s">
        <v>1327</v>
      </c>
      <c r="D12" s="1061">
        <v>0</v>
      </c>
      <c r="E12" s="1061"/>
      <c r="F12" s="1061"/>
      <c r="G12" s="1061">
        <f>G13+G14+G15-G16-G17</f>
        <v>0</v>
      </c>
      <c r="H12" s="1063">
        <f>H13+H14+H15-H16-H17</f>
        <v>0</v>
      </c>
      <c r="I12" s="1063"/>
      <c r="J12" s="1063"/>
      <c r="K12" s="1063">
        <f>K13+K14+K15-K16-K17</f>
        <v>0</v>
      </c>
      <c r="L12" s="1065" t="str">
        <f t="shared" si="1"/>
        <v>**</v>
      </c>
      <c r="M12" s="1066" t="s">
        <v>82</v>
      </c>
      <c r="N12" s="1066"/>
      <c r="Q12" s="1067"/>
      <c r="R12" s="1067"/>
      <c r="U12" s="1067"/>
      <c r="W12" s="1067"/>
    </row>
    <row r="13" spans="1:24">
      <c r="A13" s="1052" t="s">
        <v>718</v>
      </c>
      <c r="B13" s="1060" t="s">
        <v>1125</v>
      </c>
      <c r="C13" s="1060" t="s">
        <v>1328</v>
      </c>
      <c r="D13" s="1068">
        <v>0</v>
      </c>
      <c r="E13" s="1068"/>
      <c r="F13" s="1068"/>
      <c r="G13" s="1069">
        <f>D13-E13+F13</f>
        <v>0</v>
      </c>
      <c r="H13" s="1070">
        <f t="shared" ref="H13:H21" si="8">ROUND(G13*$G$4,)</f>
        <v>0</v>
      </c>
      <c r="I13" s="1070"/>
      <c r="J13" s="1070"/>
      <c r="K13" s="1071">
        <f>H13-I13+J13</f>
        <v>0</v>
      </c>
      <c r="L13" s="1060" t="str">
        <f t="shared" si="1"/>
        <v>***</v>
      </c>
      <c r="M13" s="1072"/>
      <c r="N13" s="1072" t="s">
        <v>1329</v>
      </c>
      <c r="Q13" s="1067"/>
      <c r="R13" s="1067"/>
      <c r="W13" s="1067"/>
    </row>
    <row r="14" spans="1:24">
      <c r="A14" s="1052" t="s">
        <v>1741</v>
      </c>
      <c r="B14" s="1060" t="s">
        <v>1125</v>
      </c>
      <c r="C14" s="1060" t="s">
        <v>1330</v>
      </c>
      <c r="D14" s="1068"/>
      <c r="E14" s="1068"/>
      <c r="F14" s="1068"/>
      <c r="G14" s="1069">
        <f>D14-E14+F14</f>
        <v>0</v>
      </c>
      <c r="H14" s="1070">
        <f t="shared" si="8"/>
        <v>0</v>
      </c>
      <c r="I14" s="1070"/>
      <c r="J14" s="1070"/>
      <c r="K14" s="1071">
        <f>H14-I14+J14</f>
        <v>0</v>
      </c>
      <c r="L14" s="1060" t="str">
        <f t="shared" si="1"/>
        <v>***</v>
      </c>
      <c r="M14" s="1072"/>
      <c r="N14" s="1072" t="s">
        <v>83</v>
      </c>
      <c r="Q14" s="1067"/>
      <c r="R14" s="1067"/>
    </row>
    <row r="15" spans="1:24">
      <c r="A15" s="1052"/>
      <c r="B15" s="1060"/>
      <c r="C15" s="1060" t="s">
        <v>1331</v>
      </c>
      <c r="D15" s="1068"/>
      <c r="E15" s="1068"/>
      <c r="F15" s="1068"/>
      <c r="G15" s="1069"/>
      <c r="H15" s="1070">
        <f t="shared" si="8"/>
        <v>0</v>
      </c>
      <c r="I15" s="1070"/>
      <c r="J15" s="1070"/>
      <c r="K15" s="1071"/>
      <c r="L15" s="1060"/>
      <c r="M15" s="1072"/>
      <c r="N15" s="1072"/>
    </row>
    <row r="16" spans="1:24">
      <c r="A16" s="1052"/>
      <c r="B16" s="1060"/>
      <c r="C16" s="1060" t="s">
        <v>1332</v>
      </c>
      <c r="D16" s="1068"/>
      <c r="E16" s="1068"/>
      <c r="F16" s="1068"/>
      <c r="G16" s="1069"/>
      <c r="H16" s="1070">
        <f t="shared" si="8"/>
        <v>0</v>
      </c>
      <c r="I16" s="1070"/>
      <c r="J16" s="1070"/>
      <c r="K16" s="1071"/>
      <c r="L16" s="1060"/>
      <c r="M16" s="1072"/>
      <c r="N16" s="1072"/>
    </row>
    <row r="17" spans="1:23">
      <c r="A17" s="1052" t="s">
        <v>1745</v>
      </c>
      <c r="B17" s="1060" t="s">
        <v>1125</v>
      </c>
      <c r="C17" s="1060" t="s">
        <v>1333</v>
      </c>
      <c r="D17" s="1068"/>
      <c r="E17" s="1068"/>
      <c r="F17" s="1068"/>
      <c r="G17" s="1069">
        <f>D17-E17+F17</f>
        <v>0</v>
      </c>
      <c r="H17" s="1070">
        <f t="shared" si="8"/>
        <v>0</v>
      </c>
      <c r="I17" s="1070"/>
      <c r="J17" s="1070"/>
      <c r="K17" s="1071">
        <f>H17-I17+J17</f>
        <v>0</v>
      </c>
      <c r="L17" s="1060"/>
      <c r="M17" s="1072"/>
      <c r="N17" s="1072"/>
    </row>
    <row r="18" spans="1:23" ht="15" customHeight="1">
      <c r="A18" s="1052"/>
      <c r="B18" s="1060" t="s">
        <v>1257</v>
      </c>
      <c r="C18" s="1060" t="s">
        <v>1334</v>
      </c>
      <c r="D18" s="1073">
        <f t="shared" ref="D18" si="9">D19+D20-D22-D21</f>
        <v>129881.50000000001</v>
      </c>
      <c r="E18" s="1073"/>
      <c r="F18" s="1073"/>
      <c r="G18" s="1062">
        <f>G19+G20-G22-G21</f>
        <v>129881.50000000001</v>
      </c>
      <c r="H18" s="1064">
        <f>H19+H20-H22-H21</f>
        <v>24568846</v>
      </c>
      <c r="I18" s="1064"/>
      <c r="J18" s="1064"/>
      <c r="K18" s="1064">
        <f>K19+K20-K22-K21</f>
        <v>24568846</v>
      </c>
      <c r="L18" s="1065" t="str">
        <f>B18</f>
        <v>**</v>
      </c>
      <c r="M18" s="1066" t="s">
        <v>82</v>
      </c>
      <c r="N18" s="1066" t="s">
        <v>1335</v>
      </c>
    </row>
    <row r="19" spans="1:23" ht="15" customHeight="1">
      <c r="A19" s="1052" t="s">
        <v>1747</v>
      </c>
      <c r="B19" s="1060" t="s">
        <v>1125</v>
      </c>
      <c r="C19" s="1060" t="s">
        <v>1252</v>
      </c>
      <c r="D19" s="1074">
        <v>12281.77</v>
      </c>
      <c r="E19" s="1068"/>
      <c r="F19" s="1068"/>
      <c r="G19" s="1069">
        <f t="shared" ref="G19:G22" si="10">D19+E19-F19</f>
        <v>12281.77</v>
      </c>
      <c r="H19" s="1075">
        <v>2264881</v>
      </c>
      <c r="I19" s="1070"/>
      <c r="J19" s="1070"/>
      <c r="K19" s="1071">
        <f t="shared" ref="K19:K22" si="11">H19+I19-J19</f>
        <v>2264881</v>
      </c>
      <c r="L19" s="1060" t="str">
        <f>B19</f>
        <v>***</v>
      </c>
      <c r="M19" s="1072"/>
      <c r="N19" s="1072"/>
      <c r="Q19" s="1076"/>
      <c r="R19" s="1076"/>
    </row>
    <row r="20" spans="1:23">
      <c r="A20" s="1052" t="s">
        <v>1749</v>
      </c>
      <c r="B20" s="1060" t="s">
        <v>1125</v>
      </c>
      <c r="C20" s="1060" t="s">
        <v>1253</v>
      </c>
      <c r="D20" s="1068">
        <v>117599.73000000001</v>
      </c>
      <c r="E20" s="1068"/>
      <c r="F20" s="1068"/>
      <c r="G20" s="1069">
        <f t="shared" si="10"/>
        <v>117599.73000000001</v>
      </c>
      <c r="H20" s="1070">
        <f t="shared" si="8"/>
        <v>22303965</v>
      </c>
      <c r="I20" s="1070"/>
      <c r="J20" s="1070"/>
      <c r="K20" s="1071">
        <f t="shared" si="11"/>
        <v>22303965</v>
      </c>
      <c r="L20" s="1060" t="str">
        <f>B20</f>
        <v>***</v>
      </c>
      <c r="M20" s="1072"/>
      <c r="N20" s="1072"/>
    </row>
    <row r="21" spans="1:23">
      <c r="A21" s="1077" t="s">
        <v>2543</v>
      </c>
      <c r="B21" s="1078"/>
      <c r="C21" s="1078" t="s">
        <v>2542</v>
      </c>
      <c r="D21" s="1079">
        <v>0</v>
      </c>
      <c r="E21" s="1068"/>
      <c r="F21" s="1068"/>
      <c r="G21" s="1069">
        <f t="shared" si="10"/>
        <v>0</v>
      </c>
      <c r="H21" s="1070">
        <f t="shared" si="8"/>
        <v>0</v>
      </c>
      <c r="I21" s="1080"/>
      <c r="J21" s="1080"/>
      <c r="K21" s="1071">
        <f t="shared" si="11"/>
        <v>0</v>
      </c>
      <c r="L21" s="1078"/>
      <c r="M21" s="1081"/>
      <c r="N21" s="1081"/>
    </row>
    <row r="22" spans="1:23">
      <c r="A22" s="1052" t="s">
        <v>1752</v>
      </c>
      <c r="B22" s="1060" t="s">
        <v>1125</v>
      </c>
      <c r="C22" s="1060" t="s">
        <v>1254</v>
      </c>
      <c r="D22" s="1074">
        <f>DHK_BS!D34</f>
        <v>0</v>
      </c>
      <c r="E22" s="1068"/>
      <c r="F22" s="1068"/>
      <c r="G22" s="1069">
        <f t="shared" si="10"/>
        <v>0</v>
      </c>
      <c r="H22" s="1075">
        <f>ROUND(G22*DHK_BS!$G$4,)</f>
        <v>0</v>
      </c>
      <c r="I22" s="1070"/>
      <c r="J22" s="1070"/>
      <c r="K22" s="1071">
        <f t="shared" si="11"/>
        <v>0</v>
      </c>
      <c r="L22" s="1060" t="str">
        <f t="shared" ref="L22:L42" si="12">B22</f>
        <v>***</v>
      </c>
      <c r="M22" s="1072"/>
      <c r="N22" s="1072"/>
      <c r="Q22" s="1082"/>
      <c r="R22" s="1076"/>
    </row>
    <row r="23" spans="1:23">
      <c r="A23" s="1052"/>
      <c r="B23" s="1053" t="s">
        <v>1319</v>
      </c>
      <c r="C23" s="1053" t="s">
        <v>1255</v>
      </c>
      <c r="D23" s="1054">
        <f t="shared" ref="D23" si="13">D5-D11</f>
        <v>452855.66000000003</v>
      </c>
      <c r="E23" s="1054"/>
      <c r="F23" s="1054"/>
      <c r="G23" s="1054">
        <f>G5-G11</f>
        <v>452855.66000000003</v>
      </c>
      <c r="H23" s="1056">
        <f>H5-H11</f>
        <v>85953084</v>
      </c>
      <c r="I23" s="1056"/>
      <c r="J23" s="1056"/>
      <c r="K23" s="1056">
        <f>K5-K11</f>
        <v>85953084</v>
      </c>
      <c r="L23" s="1058" t="str">
        <f t="shared" si="12"/>
        <v>*</v>
      </c>
      <c r="M23" s="1059"/>
      <c r="N23" s="1059"/>
      <c r="W23" s="1067"/>
    </row>
    <row r="24" spans="1:23">
      <c r="A24" s="1052"/>
      <c r="B24" s="1053" t="s">
        <v>1319</v>
      </c>
      <c r="C24" s="1053" t="s">
        <v>1256</v>
      </c>
      <c r="D24" s="1054">
        <f t="shared" ref="D24" si="14">SUM(D25:D57)</f>
        <v>964187.48</v>
      </c>
      <c r="E24" s="1054"/>
      <c r="F24" s="1054"/>
      <c r="G24" s="1054">
        <f>SUM(G25:G57)</f>
        <v>964187.48</v>
      </c>
      <c r="H24" s="1056">
        <f>SUM(H25:H57)</f>
        <v>182867798</v>
      </c>
      <c r="I24" s="1056"/>
      <c r="J24" s="1056"/>
      <c r="K24" s="1056">
        <f>SUM(K25:K57)</f>
        <v>182867798</v>
      </c>
      <c r="L24" s="1058" t="str">
        <f t="shared" si="12"/>
        <v>*</v>
      </c>
      <c r="M24" s="1059"/>
      <c r="N24" s="1059"/>
    </row>
    <row r="25" spans="1:23">
      <c r="A25" s="1052" t="s">
        <v>751</v>
      </c>
      <c r="B25" s="1060" t="s">
        <v>1257</v>
      </c>
      <c r="C25" s="1060" t="s">
        <v>1258</v>
      </c>
      <c r="D25" s="613">
        <v>210000</v>
      </c>
      <c r="E25" s="1068"/>
      <c r="F25" s="1068"/>
      <c r="G25" s="1069">
        <f t="shared" ref="G25:G56" si="15">D25+E25-F25</f>
        <v>210000</v>
      </c>
      <c r="H25" s="1070">
        <f t="shared" ref="H25:H57" si="16">ROUND(G25*$G$4,)</f>
        <v>39828600</v>
      </c>
      <c r="I25" s="1070"/>
      <c r="J25" s="1070"/>
      <c r="K25" s="1071">
        <f t="shared" ref="K25:K56" si="17">H25+I25-J25</f>
        <v>39828600</v>
      </c>
      <c r="L25" s="1060" t="str">
        <f t="shared" si="12"/>
        <v>**</v>
      </c>
      <c r="M25" s="1072" t="s">
        <v>1259</v>
      </c>
      <c r="N25" s="1072" t="s">
        <v>752</v>
      </c>
    </row>
    <row r="26" spans="1:23">
      <c r="A26" s="1052" t="s">
        <v>753</v>
      </c>
      <c r="B26" s="1060" t="s">
        <v>1257</v>
      </c>
      <c r="C26" s="1060" t="s">
        <v>1260</v>
      </c>
      <c r="D26" s="613"/>
      <c r="E26" s="1068"/>
      <c r="F26" s="1068"/>
      <c r="G26" s="1069">
        <f t="shared" si="15"/>
        <v>0</v>
      </c>
      <c r="H26" s="1070">
        <f t="shared" si="16"/>
        <v>0</v>
      </c>
      <c r="I26" s="1070"/>
      <c r="J26" s="1070"/>
      <c r="K26" s="1071">
        <f t="shared" si="17"/>
        <v>0</v>
      </c>
      <c r="L26" s="1060" t="str">
        <f t="shared" si="12"/>
        <v>**</v>
      </c>
      <c r="M26" s="1072" t="s">
        <v>1259</v>
      </c>
      <c r="N26" s="1072" t="s">
        <v>725</v>
      </c>
    </row>
    <row r="27" spans="1:23">
      <c r="A27" s="1052" t="s">
        <v>755</v>
      </c>
      <c r="B27" s="1060" t="s">
        <v>1257</v>
      </c>
      <c r="C27" s="1060" t="s">
        <v>1261</v>
      </c>
      <c r="D27" s="613"/>
      <c r="E27" s="1068"/>
      <c r="F27" s="1068"/>
      <c r="G27" s="1069">
        <f t="shared" si="15"/>
        <v>0</v>
      </c>
      <c r="H27" s="1070">
        <f t="shared" si="16"/>
        <v>0</v>
      </c>
      <c r="I27" s="1070"/>
      <c r="J27" s="1070"/>
      <c r="K27" s="1071">
        <f t="shared" si="17"/>
        <v>0</v>
      </c>
      <c r="L27" s="1060" t="str">
        <f t="shared" si="12"/>
        <v>**</v>
      </c>
      <c r="M27" s="1072" t="s">
        <v>1259</v>
      </c>
      <c r="N27" s="1072" t="s">
        <v>756</v>
      </c>
    </row>
    <row r="28" spans="1:23">
      <c r="A28" s="1052" t="s">
        <v>754</v>
      </c>
      <c r="B28" s="1060" t="s">
        <v>1257</v>
      </c>
      <c r="C28" s="1060" t="s">
        <v>1262</v>
      </c>
      <c r="D28" s="613"/>
      <c r="E28" s="1068"/>
      <c r="F28" s="1068"/>
      <c r="G28" s="1069">
        <f t="shared" si="15"/>
        <v>0</v>
      </c>
      <c r="H28" s="1070">
        <f t="shared" si="16"/>
        <v>0</v>
      </c>
      <c r="I28" s="1070"/>
      <c r="J28" s="1070"/>
      <c r="K28" s="1071">
        <f t="shared" si="17"/>
        <v>0</v>
      </c>
      <c r="L28" s="1060" t="str">
        <f t="shared" si="12"/>
        <v>**</v>
      </c>
      <c r="M28" s="1072" t="s">
        <v>1259</v>
      </c>
      <c r="N28" s="1072" t="s">
        <v>1263</v>
      </c>
    </row>
    <row r="29" spans="1:23">
      <c r="A29" s="1052" t="s">
        <v>754</v>
      </c>
      <c r="B29" s="1060" t="s">
        <v>1257</v>
      </c>
      <c r="C29" s="1060" t="s">
        <v>1264</v>
      </c>
      <c r="D29" s="613"/>
      <c r="E29" s="1068"/>
      <c r="F29" s="1068"/>
      <c r="G29" s="1069">
        <f t="shared" si="15"/>
        <v>0</v>
      </c>
      <c r="H29" s="1070">
        <f t="shared" si="16"/>
        <v>0</v>
      </c>
      <c r="I29" s="1070"/>
      <c r="J29" s="1070"/>
      <c r="K29" s="1071">
        <f t="shared" si="17"/>
        <v>0</v>
      </c>
      <c r="L29" s="1060" t="str">
        <f t="shared" si="12"/>
        <v>**</v>
      </c>
      <c r="M29" s="1072" t="s">
        <v>1259</v>
      </c>
      <c r="N29" s="1072" t="s">
        <v>178</v>
      </c>
    </row>
    <row r="30" spans="1:23">
      <c r="A30" s="1052" t="s">
        <v>757</v>
      </c>
      <c r="B30" s="1060" t="s">
        <v>1257</v>
      </c>
      <c r="C30" s="1060" t="s">
        <v>1265</v>
      </c>
      <c r="D30" s="613">
        <v>9000</v>
      </c>
      <c r="E30" s="1068"/>
      <c r="F30" s="1068"/>
      <c r="G30" s="1069">
        <f t="shared" si="15"/>
        <v>9000</v>
      </c>
      <c r="H30" s="1070">
        <f t="shared" si="16"/>
        <v>1706940</v>
      </c>
      <c r="I30" s="1070"/>
      <c r="J30" s="1070"/>
      <c r="K30" s="1071">
        <f t="shared" si="17"/>
        <v>1706940</v>
      </c>
      <c r="L30" s="1060" t="str">
        <f t="shared" si="12"/>
        <v>**</v>
      </c>
      <c r="M30" s="1072" t="s">
        <v>1259</v>
      </c>
      <c r="N30" s="1072" t="s">
        <v>393</v>
      </c>
    </row>
    <row r="31" spans="1:23">
      <c r="A31" s="1052" t="s">
        <v>758</v>
      </c>
      <c r="B31" s="1060" t="s">
        <v>1257</v>
      </c>
      <c r="C31" s="1060" t="s">
        <v>1266</v>
      </c>
      <c r="D31" s="613"/>
      <c r="E31" s="1068"/>
      <c r="F31" s="1068"/>
      <c r="G31" s="1069">
        <f t="shared" si="15"/>
        <v>0</v>
      </c>
      <c r="H31" s="1070">
        <f t="shared" si="16"/>
        <v>0</v>
      </c>
      <c r="I31" s="1070"/>
      <c r="J31" s="1070"/>
      <c r="K31" s="1071">
        <f t="shared" si="17"/>
        <v>0</v>
      </c>
      <c r="L31" s="1060" t="str">
        <f t="shared" si="12"/>
        <v>**</v>
      </c>
      <c r="M31" s="1072" t="s">
        <v>1259</v>
      </c>
      <c r="N31" s="1072" t="s">
        <v>508</v>
      </c>
    </row>
    <row r="32" spans="1:23">
      <c r="A32" s="1052" t="s">
        <v>759</v>
      </c>
      <c r="B32" s="1060" t="s">
        <v>1257</v>
      </c>
      <c r="C32" s="1060" t="s">
        <v>1267</v>
      </c>
      <c r="D32" s="613">
        <v>1755.8</v>
      </c>
      <c r="E32" s="1068"/>
      <c r="F32" s="1068"/>
      <c r="G32" s="1069">
        <f t="shared" si="15"/>
        <v>1755.8</v>
      </c>
      <c r="H32" s="1070">
        <f t="shared" si="16"/>
        <v>333005</v>
      </c>
      <c r="I32" s="1070"/>
      <c r="J32" s="1070"/>
      <c r="K32" s="1071">
        <f t="shared" si="17"/>
        <v>333005</v>
      </c>
      <c r="L32" s="1060" t="str">
        <f t="shared" si="12"/>
        <v>**</v>
      </c>
      <c r="M32" s="1072" t="s">
        <v>1259</v>
      </c>
      <c r="N32" s="1072" t="s">
        <v>511</v>
      </c>
    </row>
    <row r="33" spans="1:17">
      <c r="A33" s="1052" t="s">
        <v>760</v>
      </c>
      <c r="B33" s="1060" t="s">
        <v>1257</v>
      </c>
      <c r="C33" s="1060" t="s">
        <v>1268</v>
      </c>
      <c r="D33" s="613">
        <v>2183.4700000000003</v>
      </c>
      <c r="E33" s="1068"/>
      <c r="F33" s="1068"/>
      <c r="G33" s="1069">
        <f t="shared" si="15"/>
        <v>2183.4700000000003</v>
      </c>
      <c r="H33" s="1070">
        <f t="shared" si="16"/>
        <v>414117</v>
      </c>
      <c r="I33" s="1070"/>
      <c r="J33" s="1070"/>
      <c r="K33" s="1071">
        <f t="shared" si="17"/>
        <v>414117</v>
      </c>
      <c r="L33" s="1060" t="str">
        <f t="shared" si="12"/>
        <v>**</v>
      </c>
      <c r="M33" s="1072" t="s">
        <v>1259</v>
      </c>
      <c r="N33" s="1072" t="s">
        <v>509</v>
      </c>
    </row>
    <row r="34" spans="1:17">
      <c r="A34" s="1052" t="s">
        <v>761</v>
      </c>
      <c r="B34" s="1060" t="s">
        <v>1257</v>
      </c>
      <c r="C34" s="1060" t="s">
        <v>1269</v>
      </c>
      <c r="D34" s="613">
        <v>9375.24</v>
      </c>
      <c r="E34" s="1068"/>
      <c r="F34" s="1068"/>
      <c r="G34" s="1069">
        <f t="shared" si="15"/>
        <v>9375.24</v>
      </c>
      <c r="H34" s="1070">
        <f t="shared" si="16"/>
        <v>1778108</v>
      </c>
      <c r="I34" s="1070"/>
      <c r="J34" s="1070"/>
      <c r="K34" s="1071">
        <f t="shared" si="17"/>
        <v>1778108</v>
      </c>
      <c r="L34" s="1060" t="str">
        <f t="shared" si="12"/>
        <v>**</v>
      </c>
      <c r="M34" s="1072" t="s">
        <v>1259</v>
      </c>
      <c r="N34" s="1072" t="s">
        <v>515</v>
      </c>
    </row>
    <row r="35" spans="1:17">
      <c r="A35" s="1052" t="s">
        <v>762</v>
      </c>
      <c r="B35" s="1060" t="s">
        <v>1257</v>
      </c>
      <c r="C35" s="1060" t="s">
        <v>1270</v>
      </c>
      <c r="D35" s="613"/>
      <c r="E35" s="1068"/>
      <c r="F35" s="1068"/>
      <c r="G35" s="1069">
        <f t="shared" si="15"/>
        <v>0</v>
      </c>
      <c r="H35" s="1070">
        <f t="shared" si="16"/>
        <v>0</v>
      </c>
      <c r="I35" s="1070"/>
      <c r="J35" s="1070"/>
      <c r="K35" s="1071">
        <f t="shared" si="17"/>
        <v>0</v>
      </c>
      <c r="L35" s="1060" t="str">
        <f t="shared" si="12"/>
        <v>**</v>
      </c>
      <c r="M35" s="1072" t="s">
        <v>1259</v>
      </c>
      <c r="N35" s="1072" t="s">
        <v>395</v>
      </c>
    </row>
    <row r="36" spans="1:17">
      <c r="A36" s="1052" t="s">
        <v>763</v>
      </c>
      <c r="B36" s="1060" t="s">
        <v>1257</v>
      </c>
      <c r="C36" s="1060" t="s">
        <v>1271</v>
      </c>
      <c r="D36" s="613">
        <v>296727.29000000004</v>
      </c>
      <c r="E36" s="1068">
        <v>0</v>
      </c>
      <c r="F36" s="1068"/>
      <c r="G36" s="1069">
        <f t="shared" si="15"/>
        <v>296727.29000000004</v>
      </c>
      <c r="H36" s="1070">
        <f>ROUND(G36*$G$4,)</f>
        <v>56277298</v>
      </c>
      <c r="I36" s="1070"/>
      <c r="J36" s="1070"/>
      <c r="K36" s="1071">
        <f>H36+I36-J36</f>
        <v>56277298</v>
      </c>
      <c r="L36" s="1060" t="str">
        <f t="shared" si="12"/>
        <v>**</v>
      </c>
      <c r="M36" s="1072" t="s">
        <v>85</v>
      </c>
      <c r="N36" s="1072" t="s">
        <v>1272</v>
      </c>
      <c r="P36" s="1076"/>
    </row>
    <row r="37" spans="1:17">
      <c r="A37" s="1052" t="s">
        <v>764</v>
      </c>
      <c r="B37" s="1060" t="s">
        <v>1257</v>
      </c>
      <c r="C37" s="1060" t="s">
        <v>1273</v>
      </c>
      <c r="D37" s="613">
        <v>315817</v>
      </c>
      <c r="E37" s="1068"/>
      <c r="F37" s="1068">
        <v>0</v>
      </c>
      <c r="G37" s="1069">
        <f t="shared" si="15"/>
        <v>315817</v>
      </c>
      <c r="H37" s="1070">
        <f t="shared" si="16"/>
        <v>59897852</v>
      </c>
      <c r="I37" s="1070"/>
      <c r="J37" s="1070"/>
      <c r="K37" s="1071">
        <f t="shared" si="17"/>
        <v>59897852</v>
      </c>
      <c r="L37" s="1060" t="str">
        <f t="shared" si="12"/>
        <v>**</v>
      </c>
      <c r="M37" s="1072" t="s">
        <v>1259</v>
      </c>
      <c r="N37" s="1072" t="s">
        <v>1274</v>
      </c>
      <c r="P37" s="1076"/>
      <c r="Q37" s="1368"/>
    </row>
    <row r="38" spans="1:17">
      <c r="A38" s="1052" t="s">
        <v>765</v>
      </c>
      <c r="B38" s="1060" t="s">
        <v>1257</v>
      </c>
      <c r="C38" s="1060" t="s">
        <v>1275</v>
      </c>
      <c r="D38" s="613">
        <v>4860</v>
      </c>
      <c r="E38" s="1068"/>
      <c r="F38" s="1068"/>
      <c r="G38" s="1069">
        <f t="shared" si="15"/>
        <v>4860</v>
      </c>
      <c r="H38" s="1070">
        <f t="shared" si="16"/>
        <v>921748</v>
      </c>
      <c r="I38" s="1070"/>
      <c r="J38" s="1070"/>
      <c r="K38" s="1071">
        <f t="shared" si="17"/>
        <v>921748</v>
      </c>
      <c r="L38" s="1060" t="str">
        <f t="shared" si="12"/>
        <v>**</v>
      </c>
      <c r="M38" s="1072" t="s">
        <v>1259</v>
      </c>
      <c r="N38" s="1072" t="s">
        <v>390</v>
      </c>
      <c r="Q38" s="1368"/>
    </row>
    <row r="39" spans="1:17">
      <c r="A39" s="1052" t="s">
        <v>766</v>
      </c>
      <c r="B39" s="1060" t="s">
        <v>1257</v>
      </c>
      <c r="C39" s="1060" t="s">
        <v>1276</v>
      </c>
      <c r="D39" s="613">
        <v>341.83999999999969</v>
      </c>
      <c r="E39" s="1068"/>
      <c r="F39" s="1068"/>
      <c r="G39" s="1069">
        <f t="shared" si="15"/>
        <v>341.83999999999969</v>
      </c>
      <c r="H39" s="1070">
        <f t="shared" si="16"/>
        <v>64833</v>
      </c>
      <c r="I39" s="1070"/>
      <c r="J39" s="1070"/>
      <c r="K39" s="1071">
        <f t="shared" si="17"/>
        <v>64833</v>
      </c>
      <c r="L39" s="1060" t="str">
        <f t="shared" si="12"/>
        <v>**</v>
      </c>
      <c r="M39" s="1072" t="s">
        <v>1259</v>
      </c>
      <c r="N39" s="1072" t="s">
        <v>510</v>
      </c>
    </row>
    <row r="40" spans="1:17">
      <c r="A40" s="1052" t="s">
        <v>767</v>
      </c>
      <c r="B40" s="1060" t="s">
        <v>1257</v>
      </c>
      <c r="C40" s="1060" t="s">
        <v>1277</v>
      </c>
      <c r="D40" s="613"/>
      <c r="E40" s="1068"/>
      <c r="F40" s="1068"/>
      <c r="G40" s="1069">
        <f t="shared" si="15"/>
        <v>0</v>
      </c>
      <c r="H40" s="1070">
        <f t="shared" si="16"/>
        <v>0</v>
      </c>
      <c r="I40" s="1070"/>
      <c r="J40" s="1070"/>
      <c r="K40" s="1071">
        <f t="shared" si="17"/>
        <v>0</v>
      </c>
      <c r="L40" s="1060" t="str">
        <f t="shared" si="12"/>
        <v>**</v>
      </c>
      <c r="M40" s="1072" t="s">
        <v>1259</v>
      </c>
      <c r="N40" s="1072" t="s">
        <v>512</v>
      </c>
    </row>
    <row r="41" spans="1:17">
      <c r="A41" s="1052" t="s">
        <v>768</v>
      </c>
      <c r="B41" s="1060" t="s">
        <v>1257</v>
      </c>
      <c r="C41" s="1060" t="s">
        <v>1278</v>
      </c>
      <c r="D41" s="613"/>
      <c r="E41" s="1068"/>
      <c r="F41" s="1068"/>
      <c r="G41" s="1069">
        <f t="shared" si="15"/>
        <v>0</v>
      </c>
      <c r="H41" s="1070">
        <f t="shared" si="16"/>
        <v>0</v>
      </c>
      <c r="I41" s="1070"/>
      <c r="J41" s="1070"/>
      <c r="K41" s="1071">
        <f t="shared" si="17"/>
        <v>0</v>
      </c>
      <c r="L41" s="1060" t="str">
        <f t="shared" si="12"/>
        <v>**</v>
      </c>
      <c r="M41" s="1072" t="s">
        <v>1259</v>
      </c>
      <c r="N41" s="1072" t="s">
        <v>1279</v>
      </c>
    </row>
    <row r="42" spans="1:17">
      <c r="A42" s="1052" t="s">
        <v>769</v>
      </c>
      <c r="B42" s="1060" t="s">
        <v>1257</v>
      </c>
      <c r="C42" s="1060" t="s">
        <v>1280</v>
      </c>
      <c r="D42" s="613"/>
      <c r="E42" s="1068"/>
      <c r="F42" s="1068"/>
      <c r="G42" s="1069">
        <f t="shared" si="15"/>
        <v>0</v>
      </c>
      <c r="H42" s="1070">
        <f t="shared" si="16"/>
        <v>0</v>
      </c>
      <c r="I42" s="1070"/>
      <c r="J42" s="1070"/>
      <c r="K42" s="1071">
        <f t="shared" si="17"/>
        <v>0</v>
      </c>
      <c r="L42" s="1060" t="str">
        <f t="shared" si="12"/>
        <v>**</v>
      </c>
      <c r="M42" s="1072" t="s">
        <v>1259</v>
      </c>
      <c r="N42" s="1072" t="s">
        <v>388</v>
      </c>
    </row>
    <row r="43" spans="1:17">
      <c r="A43" s="1052" t="s">
        <v>1391</v>
      </c>
      <c r="B43" s="1060" t="s">
        <v>1045</v>
      </c>
      <c r="C43" s="1060" t="s">
        <v>1281</v>
      </c>
      <c r="D43" s="613"/>
      <c r="E43" s="1068"/>
      <c r="F43" s="1068"/>
      <c r="G43" s="1069">
        <f t="shared" si="15"/>
        <v>0</v>
      </c>
      <c r="H43" s="1070">
        <f t="shared" si="16"/>
        <v>0</v>
      </c>
      <c r="I43" s="1070"/>
      <c r="J43" s="1070"/>
      <c r="K43" s="1071">
        <f t="shared" si="17"/>
        <v>0</v>
      </c>
      <c r="L43" s="1060" t="s">
        <v>1045</v>
      </c>
      <c r="M43" s="1072" t="s">
        <v>85</v>
      </c>
      <c r="N43" s="1072" t="s">
        <v>1282</v>
      </c>
    </row>
    <row r="44" spans="1:17">
      <c r="A44" s="1052" t="s">
        <v>770</v>
      </c>
      <c r="B44" s="1060" t="s">
        <v>1257</v>
      </c>
      <c r="C44" s="1060" t="s">
        <v>1283</v>
      </c>
      <c r="D44" s="613"/>
      <c r="E44" s="1068"/>
      <c r="F44" s="1068"/>
      <c r="G44" s="1069">
        <f t="shared" si="15"/>
        <v>0</v>
      </c>
      <c r="H44" s="1070">
        <f t="shared" si="16"/>
        <v>0</v>
      </c>
      <c r="I44" s="1070"/>
      <c r="J44" s="1070"/>
      <c r="K44" s="1071">
        <f t="shared" si="17"/>
        <v>0</v>
      </c>
      <c r="L44" s="1060" t="str">
        <f t="shared" ref="L44:L66" si="18">B44</f>
        <v>**</v>
      </c>
      <c r="M44" s="1072" t="s">
        <v>1259</v>
      </c>
      <c r="N44" s="1072" t="s">
        <v>514</v>
      </c>
    </row>
    <row r="45" spans="1:17">
      <c r="A45" s="1052" t="s">
        <v>771</v>
      </c>
      <c r="B45" s="1060" t="s">
        <v>1257</v>
      </c>
      <c r="C45" s="1060" t="s">
        <v>1284</v>
      </c>
      <c r="D45" s="613"/>
      <c r="E45" s="1068"/>
      <c r="F45" s="1068"/>
      <c r="G45" s="1069">
        <f t="shared" si="15"/>
        <v>0</v>
      </c>
      <c r="H45" s="1070">
        <f t="shared" si="16"/>
        <v>0</v>
      </c>
      <c r="I45" s="1070"/>
      <c r="J45" s="1070"/>
      <c r="K45" s="1071">
        <f t="shared" si="17"/>
        <v>0</v>
      </c>
      <c r="L45" s="1060" t="str">
        <f t="shared" si="18"/>
        <v>**</v>
      </c>
      <c r="M45" s="1072" t="s">
        <v>1259</v>
      </c>
      <c r="N45" s="1072" t="s">
        <v>513</v>
      </c>
    </row>
    <row r="46" spans="1:17">
      <c r="A46" s="1052" t="s">
        <v>772</v>
      </c>
      <c r="B46" s="1060" t="s">
        <v>1257</v>
      </c>
      <c r="C46" s="1060" t="s">
        <v>1285</v>
      </c>
      <c r="D46" s="613"/>
      <c r="E46" s="1068"/>
      <c r="F46" s="1068"/>
      <c r="G46" s="1069">
        <f t="shared" si="15"/>
        <v>0</v>
      </c>
      <c r="H46" s="1070">
        <f t="shared" si="16"/>
        <v>0</v>
      </c>
      <c r="I46" s="1070"/>
      <c r="J46" s="1070"/>
      <c r="K46" s="1071">
        <f t="shared" si="17"/>
        <v>0</v>
      </c>
      <c r="L46" s="1060" t="str">
        <f t="shared" si="18"/>
        <v>**</v>
      </c>
      <c r="M46" s="1072" t="s">
        <v>1259</v>
      </c>
      <c r="N46" s="1072" t="s">
        <v>773</v>
      </c>
    </row>
    <row r="47" spans="1:17">
      <c r="A47" s="1052" t="s">
        <v>774</v>
      </c>
      <c r="B47" s="1060" t="s">
        <v>1257</v>
      </c>
      <c r="C47" s="1060" t="s">
        <v>1286</v>
      </c>
      <c r="D47" s="613"/>
      <c r="E47" s="1068"/>
      <c r="F47" s="1068"/>
      <c r="G47" s="1069">
        <f t="shared" si="15"/>
        <v>0</v>
      </c>
      <c r="H47" s="1070">
        <f t="shared" si="16"/>
        <v>0</v>
      </c>
      <c r="I47" s="1070"/>
      <c r="J47" s="1070"/>
      <c r="K47" s="1071">
        <f t="shared" si="17"/>
        <v>0</v>
      </c>
      <c r="L47" s="1060" t="str">
        <f t="shared" si="18"/>
        <v>**</v>
      </c>
      <c r="M47" s="1072" t="s">
        <v>1259</v>
      </c>
      <c r="N47" s="1072" t="s">
        <v>742</v>
      </c>
    </row>
    <row r="48" spans="1:17">
      <c r="A48" s="1052" t="s">
        <v>775</v>
      </c>
      <c r="B48" s="1060" t="s">
        <v>1257</v>
      </c>
      <c r="C48" s="1060" t="s">
        <v>1287</v>
      </c>
      <c r="D48" s="613">
        <v>745</v>
      </c>
      <c r="E48" s="1068"/>
      <c r="F48" s="1068"/>
      <c r="G48" s="1069">
        <f t="shared" si="15"/>
        <v>745</v>
      </c>
      <c r="H48" s="1070">
        <f t="shared" si="16"/>
        <v>141297</v>
      </c>
      <c r="I48" s="1070"/>
      <c r="J48" s="1070"/>
      <c r="K48" s="1071">
        <f t="shared" si="17"/>
        <v>141297</v>
      </c>
      <c r="L48" s="1060" t="str">
        <f t="shared" si="18"/>
        <v>**</v>
      </c>
      <c r="M48" s="1072" t="s">
        <v>1259</v>
      </c>
      <c r="N48" s="1072" t="s">
        <v>387</v>
      </c>
    </row>
    <row r="49" spans="1:14">
      <c r="A49" s="1052" t="s">
        <v>776</v>
      </c>
      <c r="B49" s="1060" t="s">
        <v>1257</v>
      </c>
      <c r="C49" s="1060" t="s">
        <v>1288</v>
      </c>
      <c r="D49" s="613">
        <f>SUM(D94:D101)</f>
        <v>61362.84</v>
      </c>
      <c r="E49" s="1068"/>
      <c r="F49" s="1068"/>
      <c r="G49" s="1069">
        <f t="shared" si="15"/>
        <v>61362.84</v>
      </c>
      <c r="H49" s="1070">
        <f t="shared" si="16"/>
        <v>11638076</v>
      </c>
      <c r="I49" s="1070"/>
      <c r="J49" s="1070"/>
      <c r="K49" s="1071">
        <f t="shared" si="17"/>
        <v>11638076</v>
      </c>
      <c r="L49" s="1060" t="str">
        <f t="shared" si="18"/>
        <v>**</v>
      </c>
      <c r="M49" s="1072" t="s">
        <v>1259</v>
      </c>
      <c r="N49" s="1072" t="s">
        <v>385</v>
      </c>
    </row>
    <row r="50" spans="1:14">
      <c r="A50" s="1052" t="s">
        <v>1393</v>
      </c>
      <c r="B50" s="1060" t="s">
        <v>1257</v>
      </c>
      <c r="C50" s="1060" t="s">
        <v>1289</v>
      </c>
      <c r="D50" s="613"/>
      <c r="E50" s="1068"/>
      <c r="F50" s="1068"/>
      <c r="G50" s="1069">
        <f t="shared" si="15"/>
        <v>0</v>
      </c>
      <c r="H50" s="1070">
        <f t="shared" si="16"/>
        <v>0</v>
      </c>
      <c r="I50" s="1070"/>
      <c r="J50" s="1070"/>
      <c r="K50" s="1071">
        <f t="shared" si="17"/>
        <v>0</v>
      </c>
      <c r="L50" s="1060" t="str">
        <f t="shared" si="18"/>
        <v>**</v>
      </c>
      <c r="M50" s="1072" t="s">
        <v>1259</v>
      </c>
      <c r="N50" s="1072" t="s">
        <v>1290</v>
      </c>
    </row>
    <row r="51" spans="1:14">
      <c r="A51" s="1052" t="s">
        <v>777</v>
      </c>
      <c r="B51" s="1060" t="s">
        <v>1257</v>
      </c>
      <c r="C51" s="1060" t="s">
        <v>1291</v>
      </c>
      <c r="D51" s="613"/>
      <c r="E51" s="1068"/>
      <c r="F51" s="1068"/>
      <c r="G51" s="1069">
        <f t="shared" si="15"/>
        <v>0</v>
      </c>
      <c r="H51" s="1070">
        <f t="shared" si="16"/>
        <v>0</v>
      </c>
      <c r="I51" s="1070"/>
      <c r="J51" s="1070"/>
      <c r="K51" s="1071">
        <f t="shared" si="17"/>
        <v>0</v>
      </c>
      <c r="L51" s="1060" t="str">
        <f t="shared" si="18"/>
        <v>**</v>
      </c>
      <c r="M51" s="1072" t="s">
        <v>1259</v>
      </c>
      <c r="N51" s="1072" t="s">
        <v>386</v>
      </c>
    </row>
    <row r="52" spans="1:14">
      <c r="A52" s="1052" t="s">
        <v>778</v>
      </c>
      <c r="B52" s="1060" t="s">
        <v>1257</v>
      </c>
      <c r="C52" s="1060" t="s">
        <v>1292</v>
      </c>
      <c r="D52" s="613"/>
      <c r="E52" s="1068"/>
      <c r="F52" s="1068"/>
      <c r="G52" s="1069">
        <f t="shared" si="15"/>
        <v>0</v>
      </c>
      <c r="H52" s="1070">
        <f t="shared" si="16"/>
        <v>0</v>
      </c>
      <c r="I52" s="1070"/>
      <c r="J52" s="1070"/>
      <c r="K52" s="1071">
        <f t="shared" si="17"/>
        <v>0</v>
      </c>
      <c r="L52" s="1060" t="str">
        <f t="shared" si="18"/>
        <v>**</v>
      </c>
      <c r="M52" s="1072" t="s">
        <v>1259</v>
      </c>
      <c r="N52" s="1072" t="s">
        <v>174</v>
      </c>
    </row>
    <row r="53" spans="1:14">
      <c r="A53" s="1052" t="s">
        <v>779</v>
      </c>
      <c r="B53" s="1060" t="s">
        <v>1257</v>
      </c>
      <c r="C53" s="1060" t="s">
        <v>1293</v>
      </c>
      <c r="D53" s="613">
        <f>49464+2555</f>
        <v>52019</v>
      </c>
      <c r="E53" s="1068"/>
      <c r="F53" s="1068"/>
      <c r="G53" s="1069">
        <f t="shared" si="15"/>
        <v>52019</v>
      </c>
      <c r="H53" s="1070">
        <f t="shared" si="16"/>
        <v>9865924</v>
      </c>
      <c r="I53" s="1070"/>
      <c r="J53" s="1070"/>
      <c r="K53" s="1071">
        <f t="shared" si="17"/>
        <v>9865924</v>
      </c>
      <c r="L53" s="1060" t="str">
        <f t="shared" si="18"/>
        <v>**</v>
      </c>
      <c r="M53" s="1072" t="s">
        <v>1259</v>
      </c>
      <c r="N53" s="1072" t="s">
        <v>1294</v>
      </c>
    </row>
    <row r="54" spans="1:14">
      <c r="A54" s="1052" t="s">
        <v>780</v>
      </c>
      <c r="B54" s="1060" t="s">
        <v>1257</v>
      </c>
      <c r="C54" s="1060" t="s">
        <v>1295</v>
      </c>
      <c r="D54" s="613"/>
      <c r="E54" s="1068"/>
      <c r="F54" s="1068"/>
      <c r="G54" s="1069">
        <f t="shared" si="15"/>
        <v>0</v>
      </c>
      <c r="H54" s="1070">
        <f t="shared" si="16"/>
        <v>0</v>
      </c>
      <c r="I54" s="1070"/>
      <c r="J54" s="1070"/>
      <c r="K54" s="1071">
        <f t="shared" si="17"/>
        <v>0</v>
      </c>
      <c r="L54" s="1060" t="str">
        <f t="shared" si="18"/>
        <v>**</v>
      </c>
      <c r="M54" s="1072" t="s">
        <v>1259</v>
      </c>
      <c r="N54" s="1072" t="s">
        <v>1296</v>
      </c>
    </row>
    <row r="55" spans="1:14">
      <c r="A55" s="1052" t="s">
        <v>782</v>
      </c>
      <c r="B55" s="1060" t="s">
        <v>1257</v>
      </c>
      <c r="C55" s="1060" t="s">
        <v>1297</v>
      </c>
      <c r="D55" s="613"/>
      <c r="E55" s="1068"/>
      <c r="F55" s="1068"/>
      <c r="G55" s="1069">
        <f t="shared" si="15"/>
        <v>0</v>
      </c>
      <c r="H55" s="1070">
        <f t="shared" si="16"/>
        <v>0</v>
      </c>
      <c r="I55" s="1070"/>
      <c r="J55" s="1070"/>
      <c r="K55" s="1071">
        <f t="shared" si="17"/>
        <v>0</v>
      </c>
      <c r="L55" s="1060" t="str">
        <f t="shared" si="18"/>
        <v>**</v>
      </c>
      <c r="M55" s="1072" t="s">
        <v>1259</v>
      </c>
      <c r="N55" s="1072" t="s">
        <v>1298</v>
      </c>
    </row>
    <row r="56" spans="1:14">
      <c r="A56" s="1052" t="s">
        <v>783</v>
      </c>
      <c r="B56" s="1060" t="s">
        <v>1257</v>
      </c>
      <c r="C56" s="1060" t="s">
        <v>1299</v>
      </c>
      <c r="D56" s="613"/>
      <c r="E56" s="1068"/>
      <c r="F56" s="1068"/>
      <c r="G56" s="1069">
        <f t="shared" si="15"/>
        <v>0</v>
      </c>
      <c r="H56" s="1070">
        <f t="shared" si="16"/>
        <v>0</v>
      </c>
      <c r="I56" s="1070"/>
      <c r="J56" s="1070"/>
      <c r="K56" s="1071">
        <f t="shared" si="17"/>
        <v>0</v>
      </c>
      <c r="L56" s="1060" t="str">
        <f t="shared" si="18"/>
        <v>**</v>
      </c>
      <c r="M56" s="1072" t="s">
        <v>1259</v>
      </c>
      <c r="N56" s="1072" t="s">
        <v>749</v>
      </c>
    </row>
    <row r="57" spans="1:14">
      <c r="A57" s="1052" t="s">
        <v>784</v>
      </c>
      <c r="B57" s="1060" t="s">
        <v>1257</v>
      </c>
      <c r="C57" s="1060" t="s">
        <v>1300</v>
      </c>
      <c r="D57" s="613"/>
      <c r="E57" s="1068"/>
      <c r="F57" s="1068"/>
      <c r="G57" s="1069">
        <f>D57+E57-F57</f>
        <v>0</v>
      </c>
      <c r="H57" s="1070">
        <f t="shared" si="16"/>
        <v>0</v>
      </c>
      <c r="I57" s="1070"/>
      <c r="J57" s="1070"/>
      <c r="K57" s="1071">
        <f>H57+I57-J57</f>
        <v>0</v>
      </c>
      <c r="L57" s="1060" t="str">
        <f t="shared" si="18"/>
        <v>**</v>
      </c>
      <c r="M57" s="1072" t="s">
        <v>1259</v>
      </c>
      <c r="N57" s="1072" t="s">
        <v>1301</v>
      </c>
    </row>
    <row r="58" spans="1:14">
      <c r="A58" s="1052"/>
      <c r="B58" s="1053" t="s">
        <v>1319</v>
      </c>
      <c r="C58" s="1053" t="s">
        <v>1302</v>
      </c>
      <c r="D58" s="1054">
        <f t="shared" ref="D58" si="19">D23-D24</f>
        <v>-511331.81999999995</v>
      </c>
      <c r="E58" s="1054"/>
      <c r="F58" s="1054"/>
      <c r="G58" s="1054">
        <f>G23-G24</f>
        <v>-511331.81999999995</v>
      </c>
      <c r="H58" s="1056">
        <f>H23-H24</f>
        <v>-96914714</v>
      </c>
      <c r="I58" s="1056"/>
      <c r="J58" s="1056"/>
      <c r="K58" s="1056">
        <f>K23-K24</f>
        <v>-96914714</v>
      </c>
      <c r="L58" s="1058" t="str">
        <f t="shared" si="18"/>
        <v>*</v>
      </c>
      <c r="M58" s="1059"/>
      <c r="N58" s="1059"/>
    </row>
    <row r="59" spans="1:14">
      <c r="A59" s="1052"/>
      <c r="B59" s="1053" t="s">
        <v>1319</v>
      </c>
      <c r="C59" s="1053" t="s">
        <v>1303</v>
      </c>
      <c r="D59" s="1054">
        <f t="shared" ref="D59" si="20">SUM(D60:D69)</f>
        <v>6.5200000000000005</v>
      </c>
      <c r="E59" s="1054"/>
      <c r="F59" s="1054"/>
      <c r="G59" s="1054">
        <f>SUM(G60:G69)</f>
        <v>6.5200000000000005</v>
      </c>
      <c r="H59" s="1056">
        <f>SUM(H60:H69)</f>
        <v>1236</v>
      </c>
      <c r="I59" s="1056"/>
      <c r="J59" s="1056"/>
      <c r="K59" s="1056">
        <f>SUM(K60:K69)</f>
        <v>1236</v>
      </c>
      <c r="L59" s="1058" t="str">
        <f t="shared" si="18"/>
        <v>*</v>
      </c>
      <c r="M59" s="1059"/>
      <c r="N59" s="1059"/>
    </row>
    <row r="60" spans="1:14">
      <c r="A60" s="1052" t="s">
        <v>793</v>
      </c>
      <c r="B60" s="1060" t="s">
        <v>1257</v>
      </c>
      <c r="C60" s="1060" t="s">
        <v>1304</v>
      </c>
      <c r="D60" s="1068">
        <v>0.28000000000000003</v>
      </c>
      <c r="E60" s="1068"/>
      <c r="F60" s="1068"/>
      <c r="G60" s="1069">
        <f t="shared" ref="G60:G69" si="21">D60-E60+F60</f>
        <v>0.28000000000000003</v>
      </c>
      <c r="H60" s="1070">
        <f t="shared" ref="H60:H69" si="22">ROUND(G60*$G$4,)</f>
        <v>53</v>
      </c>
      <c r="I60" s="1070"/>
      <c r="J60" s="1070"/>
      <c r="K60" s="1071">
        <f t="shared" ref="K60:K69" si="23">H60-I60+J60</f>
        <v>53</v>
      </c>
      <c r="L60" s="1060" t="str">
        <f t="shared" si="18"/>
        <v>**</v>
      </c>
      <c r="M60" s="1072" t="s">
        <v>1336</v>
      </c>
      <c r="N60" s="1072" t="s">
        <v>133</v>
      </c>
    </row>
    <row r="61" spans="1:14">
      <c r="A61" s="1052"/>
      <c r="B61" s="1060" t="s">
        <v>1257</v>
      </c>
      <c r="C61" s="1060" t="s">
        <v>1337</v>
      </c>
      <c r="D61" s="1068"/>
      <c r="E61" s="1068"/>
      <c r="F61" s="1068"/>
      <c r="G61" s="1069">
        <f t="shared" si="21"/>
        <v>0</v>
      </c>
      <c r="H61" s="1070">
        <f t="shared" si="22"/>
        <v>0</v>
      </c>
      <c r="I61" s="1070"/>
      <c r="J61" s="1070"/>
      <c r="K61" s="1071">
        <f t="shared" si="23"/>
        <v>0</v>
      </c>
      <c r="L61" s="1060" t="str">
        <f t="shared" si="18"/>
        <v>**</v>
      </c>
      <c r="M61" s="1072" t="s">
        <v>1338</v>
      </c>
      <c r="N61" s="1072" t="s">
        <v>1339</v>
      </c>
    </row>
    <row r="62" spans="1:14">
      <c r="A62" s="1052" t="s">
        <v>794</v>
      </c>
      <c r="B62" s="1060" t="s">
        <v>1257</v>
      </c>
      <c r="C62" s="1060" t="s">
        <v>1340</v>
      </c>
      <c r="D62" s="1068"/>
      <c r="E62" s="1068"/>
      <c r="F62" s="1068"/>
      <c r="G62" s="1069">
        <f t="shared" si="21"/>
        <v>0</v>
      </c>
      <c r="H62" s="1070">
        <f t="shared" si="22"/>
        <v>0</v>
      </c>
      <c r="I62" s="1070"/>
      <c r="J62" s="1070"/>
      <c r="K62" s="1071">
        <f t="shared" si="23"/>
        <v>0</v>
      </c>
      <c r="L62" s="1060" t="str">
        <f t="shared" si="18"/>
        <v>**</v>
      </c>
      <c r="M62" s="1072" t="s">
        <v>90</v>
      </c>
      <c r="N62" s="1072" t="s">
        <v>120</v>
      </c>
    </row>
    <row r="63" spans="1:14">
      <c r="A63" s="1052" t="s">
        <v>795</v>
      </c>
      <c r="B63" s="1060" t="s">
        <v>1257</v>
      </c>
      <c r="C63" s="1060" t="s">
        <v>1341</v>
      </c>
      <c r="D63" s="1068"/>
      <c r="E63" s="1068"/>
      <c r="F63" s="1068"/>
      <c r="G63" s="1069">
        <f t="shared" si="21"/>
        <v>0</v>
      </c>
      <c r="H63" s="1070">
        <f t="shared" si="22"/>
        <v>0</v>
      </c>
      <c r="I63" s="1070"/>
      <c r="J63" s="1070"/>
      <c r="K63" s="1071">
        <f t="shared" si="23"/>
        <v>0</v>
      </c>
      <c r="L63" s="1060" t="str">
        <f t="shared" si="18"/>
        <v>**</v>
      </c>
      <c r="M63" s="1072" t="s">
        <v>90</v>
      </c>
      <c r="N63" s="1072" t="s">
        <v>121</v>
      </c>
    </row>
    <row r="64" spans="1:14">
      <c r="A64" s="1052"/>
      <c r="B64" s="1060" t="s">
        <v>1257</v>
      </c>
      <c r="C64" s="1060" t="s">
        <v>1342</v>
      </c>
      <c r="D64" s="1068"/>
      <c r="E64" s="1068"/>
      <c r="F64" s="1068"/>
      <c r="G64" s="1069">
        <f t="shared" si="21"/>
        <v>0</v>
      </c>
      <c r="H64" s="1070">
        <f t="shared" si="22"/>
        <v>0</v>
      </c>
      <c r="I64" s="1070"/>
      <c r="J64" s="1070"/>
      <c r="K64" s="1071">
        <f t="shared" si="23"/>
        <v>0</v>
      </c>
      <c r="L64" s="1060" t="str">
        <f t="shared" si="18"/>
        <v>**</v>
      </c>
      <c r="M64" s="1072" t="s">
        <v>87</v>
      </c>
      <c r="N64" s="1072" t="s">
        <v>122</v>
      </c>
    </row>
    <row r="65" spans="1:14">
      <c r="A65" s="1052" t="s">
        <v>798</v>
      </c>
      <c r="B65" s="1060" t="s">
        <v>1257</v>
      </c>
      <c r="C65" s="1060" t="s">
        <v>1343</v>
      </c>
      <c r="D65" s="1068">
        <v>6.24</v>
      </c>
      <c r="E65" s="1068"/>
      <c r="F65" s="1068"/>
      <c r="G65" s="1069">
        <f t="shared" si="21"/>
        <v>6.24</v>
      </c>
      <c r="H65" s="1070">
        <f t="shared" si="22"/>
        <v>1183</v>
      </c>
      <c r="I65" s="1070"/>
      <c r="J65" s="1070"/>
      <c r="K65" s="1071">
        <f t="shared" si="23"/>
        <v>1183</v>
      </c>
      <c r="L65" s="1060" t="str">
        <f t="shared" si="18"/>
        <v>**</v>
      </c>
      <c r="M65" s="1072" t="s">
        <v>1338</v>
      </c>
      <c r="N65" s="1072" t="s">
        <v>123</v>
      </c>
    </row>
    <row r="66" spans="1:14">
      <c r="A66" s="1052"/>
      <c r="B66" s="1060" t="s">
        <v>1257</v>
      </c>
      <c r="C66" s="1060" t="s">
        <v>1344</v>
      </c>
      <c r="D66" s="1068"/>
      <c r="E66" s="1068"/>
      <c r="F66" s="1068"/>
      <c r="G66" s="1069">
        <f t="shared" si="21"/>
        <v>0</v>
      </c>
      <c r="H66" s="1070">
        <f t="shared" si="22"/>
        <v>0</v>
      </c>
      <c r="I66" s="1070"/>
      <c r="J66" s="1070"/>
      <c r="K66" s="1071">
        <f t="shared" si="23"/>
        <v>0</v>
      </c>
      <c r="L66" s="1060" t="str">
        <f t="shared" si="18"/>
        <v>**</v>
      </c>
      <c r="M66" s="1072" t="s">
        <v>1338</v>
      </c>
      <c r="N66" s="1072" t="s">
        <v>1345</v>
      </c>
    </row>
    <row r="67" spans="1:14">
      <c r="A67" s="1052"/>
      <c r="B67" s="1060" t="s">
        <v>1045</v>
      </c>
      <c r="C67" s="1060" t="s">
        <v>1346</v>
      </c>
      <c r="D67" s="1068"/>
      <c r="E67" s="1068"/>
      <c r="F67" s="1068"/>
      <c r="G67" s="1069">
        <f t="shared" si="21"/>
        <v>0</v>
      </c>
      <c r="H67" s="1070">
        <f t="shared" si="22"/>
        <v>0</v>
      </c>
      <c r="I67" s="1070"/>
      <c r="J67" s="1070"/>
      <c r="K67" s="1071">
        <f t="shared" si="23"/>
        <v>0</v>
      </c>
      <c r="L67" s="1060" t="s">
        <v>1045</v>
      </c>
      <c r="M67" s="1072" t="s">
        <v>90</v>
      </c>
      <c r="N67" s="1068" t="s">
        <v>1305</v>
      </c>
    </row>
    <row r="68" spans="1:14">
      <c r="A68" s="1052"/>
      <c r="B68" s="1060" t="s">
        <v>1045</v>
      </c>
      <c r="C68" s="1060" t="s">
        <v>1347</v>
      </c>
      <c r="D68" s="1068"/>
      <c r="E68" s="1068"/>
      <c r="F68" s="1068"/>
      <c r="G68" s="1069">
        <f>D68-E68+F68</f>
        <v>0</v>
      </c>
      <c r="H68" s="1070">
        <f t="shared" si="22"/>
        <v>0</v>
      </c>
      <c r="I68" s="1070"/>
      <c r="J68" s="1070"/>
      <c r="K68" s="1071">
        <f>H68-I68+J68</f>
        <v>0</v>
      </c>
      <c r="L68" s="1060" t="s">
        <v>1045</v>
      </c>
      <c r="M68" s="1072" t="s">
        <v>1338</v>
      </c>
      <c r="N68" s="1068" t="s">
        <v>1348</v>
      </c>
    </row>
    <row r="69" spans="1:14">
      <c r="A69" s="1052"/>
      <c r="B69" s="1060" t="s">
        <v>1257</v>
      </c>
      <c r="C69" s="1060" t="s">
        <v>1349</v>
      </c>
      <c r="D69" s="1068"/>
      <c r="E69" s="1068"/>
      <c r="F69" s="1068"/>
      <c r="G69" s="1069">
        <f t="shared" si="21"/>
        <v>0</v>
      </c>
      <c r="H69" s="1070">
        <f t="shared" si="22"/>
        <v>0</v>
      </c>
      <c r="I69" s="1070"/>
      <c r="J69" s="1070"/>
      <c r="K69" s="1071">
        <f t="shared" si="23"/>
        <v>0</v>
      </c>
      <c r="L69" s="1060" t="str">
        <f t="shared" ref="L69:L74" si="24">B69</f>
        <v>**</v>
      </c>
      <c r="M69" s="1072" t="s">
        <v>90</v>
      </c>
      <c r="N69" s="1068" t="s">
        <v>1306</v>
      </c>
    </row>
    <row r="70" spans="1:14">
      <c r="A70" s="1052"/>
      <c r="B70" s="1060" t="s">
        <v>1319</v>
      </c>
      <c r="C70" s="1060" t="s">
        <v>1307</v>
      </c>
      <c r="D70" s="1054">
        <f t="shared" ref="D70" si="25">SUM(D71:D80)</f>
        <v>67.760000000000005</v>
      </c>
      <c r="E70" s="1054"/>
      <c r="F70" s="1054"/>
      <c r="G70" s="1054">
        <f>SUM(G71:G80)</f>
        <v>67.760000000000005</v>
      </c>
      <c r="H70" s="1056">
        <f>SUM(H71:H80)</f>
        <v>12851</v>
      </c>
      <c r="I70" s="1056"/>
      <c r="J70" s="1056"/>
      <c r="K70" s="1056">
        <f>SUM(K71:K80)</f>
        <v>12851</v>
      </c>
      <c r="L70" s="1058" t="str">
        <f t="shared" si="24"/>
        <v>*</v>
      </c>
      <c r="M70" s="1059"/>
      <c r="N70" s="1054"/>
    </row>
    <row r="71" spans="1:14">
      <c r="A71" s="1052" t="s">
        <v>802</v>
      </c>
      <c r="B71" s="1060" t="s">
        <v>1257</v>
      </c>
      <c r="C71" s="1060" t="s">
        <v>1308</v>
      </c>
      <c r="D71" s="1068"/>
      <c r="E71" s="1068">
        <v>0</v>
      </c>
      <c r="F71" s="1068"/>
      <c r="G71" s="1069">
        <f>D71+E71-F71</f>
        <v>0</v>
      </c>
      <c r="H71" s="1070">
        <f t="shared" ref="H71:H80" si="26">ROUND(G71*$G$4,)</f>
        <v>0</v>
      </c>
      <c r="I71" s="1070"/>
      <c r="J71" s="1070"/>
      <c r="K71" s="1071">
        <f>H71+I71-J71</f>
        <v>0</v>
      </c>
      <c r="L71" s="1060" t="str">
        <f t="shared" si="24"/>
        <v>**</v>
      </c>
      <c r="M71" s="1072" t="s">
        <v>1350</v>
      </c>
      <c r="N71" s="1068" t="s">
        <v>179</v>
      </c>
    </row>
    <row r="72" spans="1:14">
      <c r="A72" s="1052" t="s">
        <v>803</v>
      </c>
      <c r="B72" s="1060" t="s">
        <v>1257</v>
      </c>
      <c r="C72" s="1060" t="s">
        <v>1351</v>
      </c>
      <c r="D72" s="1068">
        <v>0.76</v>
      </c>
      <c r="E72" s="1068"/>
      <c r="F72" s="1068"/>
      <c r="G72" s="1069">
        <f t="shared" ref="G72:G80" si="27">D72+E72-F72</f>
        <v>0.76</v>
      </c>
      <c r="H72" s="1070">
        <f t="shared" si="26"/>
        <v>144</v>
      </c>
      <c r="I72" s="1070"/>
      <c r="J72" s="1070"/>
      <c r="K72" s="1071">
        <f t="shared" ref="K72:K80" si="28">H72+I72-J72</f>
        <v>144</v>
      </c>
      <c r="L72" s="1060" t="str">
        <f t="shared" si="24"/>
        <v>**</v>
      </c>
      <c r="M72" s="1072" t="s">
        <v>91</v>
      </c>
      <c r="N72" s="1068" t="s">
        <v>125</v>
      </c>
    </row>
    <row r="73" spans="1:14">
      <c r="A73" s="1052"/>
      <c r="B73" s="1060" t="s">
        <v>1257</v>
      </c>
      <c r="C73" s="1060" t="s">
        <v>1352</v>
      </c>
      <c r="D73" s="1068"/>
      <c r="E73" s="1068"/>
      <c r="F73" s="1068"/>
      <c r="G73" s="1069">
        <f t="shared" si="27"/>
        <v>0</v>
      </c>
      <c r="H73" s="1070">
        <f t="shared" si="26"/>
        <v>0</v>
      </c>
      <c r="I73" s="1070"/>
      <c r="J73" s="1070"/>
      <c r="K73" s="1071">
        <f t="shared" si="28"/>
        <v>0</v>
      </c>
      <c r="L73" s="1060" t="str">
        <f t="shared" si="24"/>
        <v>**</v>
      </c>
      <c r="M73" s="1072" t="s">
        <v>91</v>
      </c>
      <c r="N73" s="1068" t="s">
        <v>1353</v>
      </c>
    </row>
    <row r="74" spans="1:14">
      <c r="A74" s="1052"/>
      <c r="B74" s="1060" t="s">
        <v>1257</v>
      </c>
      <c r="C74" s="1060" t="s">
        <v>1354</v>
      </c>
      <c r="D74" s="1068"/>
      <c r="E74" s="1068"/>
      <c r="F74" s="1068"/>
      <c r="G74" s="1069">
        <f t="shared" si="27"/>
        <v>0</v>
      </c>
      <c r="H74" s="1070">
        <f t="shared" si="26"/>
        <v>0</v>
      </c>
      <c r="I74" s="1070"/>
      <c r="J74" s="1070"/>
      <c r="K74" s="1071">
        <f t="shared" si="28"/>
        <v>0</v>
      </c>
      <c r="L74" s="1060" t="str">
        <f t="shared" si="24"/>
        <v>**</v>
      </c>
      <c r="M74" s="1072" t="s">
        <v>88</v>
      </c>
      <c r="N74" s="1068" t="s">
        <v>89</v>
      </c>
    </row>
    <row r="75" spans="1:14">
      <c r="A75" s="1052" t="s">
        <v>804</v>
      </c>
      <c r="B75" s="1060" t="s">
        <v>1045</v>
      </c>
      <c r="C75" s="1060" t="s">
        <v>2874</v>
      </c>
      <c r="D75" s="1068">
        <v>0</v>
      </c>
      <c r="E75" s="1068"/>
      <c r="F75" s="1068"/>
      <c r="G75" s="1069">
        <f t="shared" si="27"/>
        <v>0</v>
      </c>
      <c r="H75" s="1070">
        <f t="shared" si="26"/>
        <v>0</v>
      </c>
      <c r="I75" s="1070"/>
      <c r="J75" s="1070"/>
      <c r="K75" s="1071">
        <f t="shared" si="28"/>
        <v>0</v>
      </c>
      <c r="L75" s="1060" t="s">
        <v>1045</v>
      </c>
      <c r="M75" s="1072" t="s">
        <v>91</v>
      </c>
      <c r="N75" s="1068" t="s">
        <v>1310</v>
      </c>
    </row>
    <row r="76" spans="1:14">
      <c r="A76" s="1052" t="s">
        <v>810</v>
      </c>
      <c r="B76" s="1060" t="s">
        <v>1257</v>
      </c>
      <c r="C76" s="1060" t="s">
        <v>1355</v>
      </c>
      <c r="D76" s="1068">
        <v>67</v>
      </c>
      <c r="E76" s="1068"/>
      <c r="F76" s="1068"/>
      <c r="G76" s="1069">
        <f t="shared" si="27"/>
        <v>67</v>
      </c>
      <c r="H76" s="1070">
        <f t="shared" si="26"/>
        <v>12707</v>
      </c>
      <c r="I76" s="1070"/>
      <c r="J76" s="1070"/>
      <c r="K76" s="1071">
        <f t="shared" si="28"/>
        <v>12707</v>
      </c>
      <c r="L76" s="1060" t="str">
        <f>B76</f>
        <v>**</v>
      </c>
      <c r="M76" s="1072" t="s">
        <v>88</v>
      </c>
      <c r="N76" s="1068" t="s">
        <v>130</v>
      </c>
    </row>
    <row r="77" spans="1:14">
      <c r="A77" s="1052" t="s">
        <v>800</v>
      </c>
      <c r="B77" s="1060"/>
      <c r="C77" s="1083" t="s">
        <v>1356</v>
      </c>
      <c r="D77" s="1068"/>
      <c r="E77" s="1068"/>
      <c r="F77" s="1068"/>
      <c r="G77" s="1069">
        <f t="shared" si="27"/>
        <v>0</v>
      </c>
      <c r="H77" s="1070">
        <f t="shared" si="26"/>
        <v>0</v>
      </c>
      <c r="I77" s="1070"/>
      <c r="J77" s="1070"/>
      <c r="K77" s="1071">
        <f t="shared" si="28"/>
        <v>0</v>
      </c>
      <c r="L77" s="1060"/>
      <c r="M77" s="1072" t="s">
        <v>1350</v>
      </c>
      <c r="N77" s="1068" t="s">
        <v>1311</v>
      </c>
    </row>
    <row r="78" spans="1:14">
      <c r="A78" s="1052"/>
      <c r="B78" s="1060" t="s">
        <v>1257</v>
      </c>
      <c r="C78" s="1060" t="s">
        <v>1357</v>
      </c>
      <c r="D78" s="1068"/>
      <c r="E78" s="1068"/>
      <c r="F78" s="1068"/>
      <c r="G78" s="1069">
        <f t="shared" si="27"/>
        <v>0</v>
      </c>
      <c r="H78" s="1070">
        <f t="shared" si="26"/>
        <v>0</v>
      </c>
      <c r="I78" s="1070"/>
      <c r="J78" s="1070"/>
      <c r="K78" s="1071">
        <f t="shared" si="28"/>
        <v>0</v>
      </c>
      <c r="L78" s="1060" t="str">
        <f>B78</f>
        <v>**</v>
      </c>
      <c r="M78" s="1072" t="s">
        <v>1350</v>
      </c>
      <c r="N78" s="1068" t="s">
        <v>1358</v>
      </c>
    </row>
    <row r="79" spans="1:14">
      <c r="A79" s="1052" t="s">
        <v>808</v>
      </c>
      <c r="B79" s="1060"/>
      <c r="C79" s="1060" t="s">
        <v>1359</v>
      </c>
      <c r="D79" s="1068"/>
      <c r="E79" s="1068"/>
      <c r="F79" s="1068"/>
      <c r="G79" s="1069">
        <f t="shared" si="27"/>
        <v>0</v>
      </c>
      <c r="H79" s="1070">
        <f t="shared" si="26"/>
        <v>0</v>
      </c>
      <c r="I79" s="1070"/>
      <c r="J79" s="1070"/>
      <c r="K79" s="1071">
        <f t="shared" si="28"/>
        <v>0</v>
      </c>
      <c r="L79" s="1060"/>
      <c r="M79" s="1072"/>
      <c r="N79" s="1068"/>
    </row>
    <row r="80" spans="1:14">
      <c r="A80" s="1052"/>
      <c r="B80" s="1060"/>
      <c r="C80" s="1060" t="s">
        <v>1360</v>
      </c>
      <c r="D80" s="1068"/>
      <c r="E80" s="1068"/>
      <c r="F80" s="1068"/>
      <c r="G80" s="1069">
        <f t="shared" si="27"/>
        <v>0</v>
      </c>
      <c r="H80" s="1070">
        <f t="shared" si="26"/>
        <v>0</v>
      </c>
      <c r="I80" s="1070"/>
      <c r="J80" s="1070"/>
      <c r="K80" s="1071">
        <f t="shared" si="28"/>
        <v>0</v>
      </c>
      <c r="L80" s="1060"/>
      <c r="M80" s="1072"/>
      <c r="N80" s="1068"/>
    </row>
    <row r="81" spans="1:14">
      <c r="A81" s="1052"/>
      <c r="B81" s="1060" t="s">
        <v>1319</v>
      </c>
      <c r="C81" s="1060" t="s">
        <v>1312</v>
      </c>
      <c r="D81" s="1054">
        <f t="shared" ref="D81" si="29">D58+D59-D70</f>
        <v>-511393.05999999994</v>
      </c>
      <c r="E81" s="1054"/>
      <c r="F81" s="1054"/>
      <c r="G81" s="1055">
        <f>G58+G59-G70</f>
        <v>-511393.05999999994</v>
      </c>
      <c r="H81" s="1056">
        <f>H58+H59-H70</f>
        <v>-96926329</v>
      </c>
      <c r="I81" s="1056"/>
      <c r="J81" s="1056"/>
      <c r="K81" s="1057">
        <f>K58+K59-K70</f>
        <v>-96926329</v>
      </c>
      <c r="L81" s="1058" t="str">
        <f>B81</f>
        <v>*</v>
      </c>
      <c r="M81" s="1059"/>
      <c r="N81" s="1054"/>
    </row>
    <row r="82" spans="1:14">
      <c r="A82" s="1052"/>
      <c r="B82" s="1060" t="s">
        <v>1319</v>
      </c>
      <c r="C82" s="1060" t="s">
        <v>1313</v>
      </c>
      <c r="D82" s="1054">
        <f t="shared" ref="D82" si="30">D83</f>
        <v>0</v>
      </c>
      <c r="E82" s="1054"/>
      <c r="F82" s="1054"/>
      <c r="G82" s="1055">
        <f>G83</f>
        <v>0</v>
      </c>
      <c r="H82" s="1056">
        <f>H83</f>
        <v>0</v>
      </c>
      <c r="I82" s="1056"/>
      <c r="J82" s="1056"/>
      <c r="K82" s="1057">
        <f>K83</f>
        <v>0</v>
      </c>
      <c r="L82" s="1058" t="s">
        <v>1047</v>
      </c>
      <c r="M82" s="1059"/>
      <c r="N82" s="1059"/>
    </row>
    <row r="83" spans="1:14">
      <c r="A83" s="1052" t="s">
        <v>811</v>
      </c>
      <c r="B83" s="1060" t="s">
        <v>1257</v>
      </c>
      <c r="C83" s="1060" t="s">
        <v>1314</v>
      </c>
      <c r="D83" s="1068"/>
      <c r="E83" s="1068"/>
      <c r="F83" s="1068"/>
      <c r="G83" s="1069">
        <f>D83+E83-F83</f>
        <v>0</v>
      </c>
      <c r="H83" s="1070">
        <f t="shared" ref="H83" si="31">ROUND(G83*$G$4,)</f>
        <v>0</v>
      </c>
      <c r="I83" s="1070"/>
      <c r="J83" s="1070"/>
      <c r="K83" s="1071">
        <f>H83+I83-J83</f>
        <v>0</v>
      </c>
      <c r="L83" s="1060" t="str">
        <f>B83</f>
        <v>**</v>
      </c>
      <c r="M83" s="1072" t="s">
        <v>1361</v>
      </c>
      <c r="N83" s="1072" t="s">
        <v>238</v>
      </c>
    </row>
    <row r="84" spans="1:14">
      <c r="A84" s="1052"/>
      <c r="B84" s="1060" t="s">
        <v>1319</v>
      </c>
      <c r="C84" s="1060" t="s">
        <v>1315</v>
      </c>
      <c r="D84" s="1054">
        <f t="shared" ref="D84" si="32">D81-D82</f>
        <v>-511393.05999999994</v>
      </c>
      <c r="E84" s="1054"/>
      <c r="F84" s="1054"/>
      <c r="G84" s="1055">
        <f>G81-G82</f>
        <v>-511393.05999999994</v>
      </c>
      <c r="H84" s="1056">
        <f>H81-H82</f>
        <v>-96926329</v>
      </c>
      <c r="I84" s="1056"/>
      <c r="J84" s="1056"/>
      <c r="K84" s="978">
        <f>K81-K82</f>
        <v>-96926329</v>
      </c>
      <c r="L84" s="1058" t="str">
        <f>B84</f>
        <v>*</v>
      </c>
      <c r="M84" s="1059"/>
      <c r="N84" s="1059"/>
    </row>
    <row r="85" spans="1:14">
      <c r="A85" s="1052"/>
      <c r="B85" s="1060" t="s">
        <v>1319</v>
      </c>
      <c r="C85" s="1060" t="s">
        <v>1362</v>
      </c>
      <c r="D85" s="1054">
        <f t="shared" ref="D85" si="33">SUM(D86:D87)</f>
        <v>0</v>
      </c>
      <c r="E85" s="1054"/>
      <c r="F85" s="1054"/>
      <c r="G85" s="1055">
        <f>SUM(G86:G86)</f>
        <v>0</v>
      </c>
      <c r="H85" s="1056">
        <f>SUM(H86:H87)</f>
        <v>-77454021</v>
      </c>
      <c r="I85" s="1056"/>
      <c r="J85" s="1056"/>
      <c r="K85" s="975">
        <f>SUM(K86:K87)</f>
        <v>-77454021</v>
      </c>
      <c r="L85" s="1058" t="s">
        <v>1047</v>
      </c>
      <c r="M85" s="1059"/>
      <c r="N85" s="1059"/>
    </row>
    <row r="86" spans="1:14">
      <c r="A86" s="1052" t="s">
        <v>1790</v>
      </c>
      <c r="B86" s="1060" t="s">
        <v>1257</v>
      </c>
      <c r="C86" s="1060" t="s">
        <v>78</v>
      </c>
      <c r="D86" s="1068"/>
      <c r="E86" s="1068"/>
      <c r="F86" s="1068"/>
      <c r="G86" s="1069">
        <f>D86+E86-F86</f>
        <v>0</v>
      </c>
      <c r="H86" s="1070">
        <v>0</v>
      </c>
      <c r="I86" s="1070"/>
      <c r="J86" s="1070"/>
      <c r="K86" s="977">
        <f>H86+I86-J86</f>
        <v>0</v>
      </c>
      <c r="L86" s="1060" t="s">
        <v>1043</v>
      </c>
      <c r="M86" s="1072" t="s">
        <v>1363</v>
      </c>
      <c r="N86" s="1072" t="s">
        <v>78</v>
      </c>
    </row>
    <row r="87" spans="1:14">
      <c r="A87" s="1052" t="s">
        <v>1794</v>
      </c>
      <c r="B87" s="1060"/>
      <c r="C87" s="1060" t="s">
        <v>1668</v>
      </c>
      <c r="D87" s="1068"/>
      <c r="E87" s="1068"/>
      <c r="F87" s="1068"/>
      <c r="G87" s="1069">
        <f>D87+E87-F87</f>
        <v>0</v>
      </c>
      <c r="H87" s="1075">
        <f>DHK!F73</f>
        <v>-77454021</v>
      </c>
      <c r="I87" s="1070"/>
      <c r="J87" s="1085"/>
      <c r="K87" s="977">
        <f>H87+I87-J87</f>
        <v>-77454021</v>
      </c>
      <c r="L87" s="1060"/>
      <c r="M87" s="1072"/>
      <c r="N87" s="1072"/>
    </row>
    <row r="88" spans="1:14" ht="14.25" thickBot="1">
      <c r="A88" s="1086"/>
      <c r="B88" s="1060" t="s">
        <v>1319</v>
      </c>
      <c r="C88" s="1060" t="s">
        <v>1364</v>
      </c>
      <c r="D88" s="1054">
        <f t="shared" ref="D88" si="34">D84+D85</f>
        <v>-511393.05999999994</v>
      </c>
      <c r="E88" s="1054"/>
      <c r="F88" s="1054"/>
      <c r="G88" s="1054">
        <f>G84+G85</f>
        <v>-511393.05999999994</v>
      </c>
      <c r="H88" s="1056">
        <f>H84+H85</f>
        <v>-174380350</v>
      </c>
      <c r="I88" s="1056"/>
      <c r="J88" s="1056"/>
      <c r="K88" s="975">
        <f>K84+K85</f>
        <v>-174380350</v>
      </c>
      <c r="L88" s="1058" t="s">
        <v>1047</v>
      </c>
      <c r="M88" s="1059"/>
      <c r="N88" s="1059"/>
    </row>
    <row r="89" spans="1:14">
      <c r="A89" s="1039"/>
      <c r="D89" s="1082"/>
      <c r="E89" s="1082"/>
      <c r="F89" s="1082"/>
      <c r="H89" s="1087"/>
      <c r="I89" s="1087"/>
      <c r="J89" s="1087"/>
    </row>
    <row r="90" spans="1:14">
      <c r="A90" s="1039"/>
      <c r="D90" s="1088"/>
      <c r="E90" s="1087">
        <f>SUM(E5:E84)</f>
        <v>0</v>
      </c>
      <c r="F90" s="1087">
        <f>SUM(F5:F84)</f>
        <v>0</v>
      </c>
      <c r="H90" s="1087"/>
      <c r="I90" s="1087">
        <f>SUM(I5:I84)</f>
        <v>0</v>
      </c>
      <c r="J90" s="1087">
        <f>SUM(J5:J84)</f>
        <v>0</v>
      </c>
    </row>
    <row r="91" spans="1:14">
      <c r="C91" s="1089"/>
      <c r="D91" s="1090"/>
      <c r="E91" s="1090"/>
      <c r="F91" s="627">
        <f>F90-E90</f>
        <v>0</v>
      </c>
      <c r="H91" s="1091"/>
    </row>
    <row r="93" spans="1:14">
      <c r="C93" s="1037" t="s">
        <v>385</v>
      </c>
    </row>
    <row r="94" spans="1:14">
      <c r="C94" s="1294" t="s">
        <v>2876</v>
      </c>
      <c r="D94" s="1735">
        <v>11000</v>
      </c>
    </row>
    <row r="95" spans="1:14">
      <c r="C95" s="1294" t="s">
        <v>2882</v>
      </c>
      <c r="D95" s="1735">
        <v>1248</v>
      </c>
    </row>
    <row r="96" spans="1:14">
      <c r="C96" s="1294" t="s">
        <v>2881</v>
      </c>
      <c r="D96" s="1735">
        <v>20000</v>
      </c>
      <c r="H96" s="1067"/>
    </row>
    <row r="97" spans="3:8">
      <c r="C97" s="1581" t="s">
        <v>2993</v>
      </c>
      <c r="D97" s="1736"/>
      <c r="H97" s="1067"/>
    </row>
    <row r="98" spans="3:8">
      <c r="C98" s="1294" t="s">
        <v>2877</v>
      </c>
      <c r="D98" s="1735">
        <v>5314.84</v>
      </c>
    </row>
    <row r="99" spans="3:8">
      <c r="C99" s="1294" t="s">
        <v>2880</v>
      </c>
      <c r="D99" s="1735"/>
    </row>
    <row r="100" spans="3:8">
      <c r="C100" s="1581" t="s">
        <v>2878</v>
      </c>
      <c r="D100" s="1736">
        <v>800</v>
      </c>
    </row>
    <row r="101" spans="3:8">
      <c r="C101" s="1581" t="s">
        <v>2935</v>
      </c>
      <c r="D101" s="1736">
        <v>23000</v>
      </c>
    </row>
  </sheetData>
  <mergeCells count="4">
    <mergeCell ref="B3:C3"/>
    <mergeCell ref="E3:F3"/>
    <mergeCell ref="I3:J3"/>
    <mergeCell ref="L3:M3"/>
  </mergeCells>
  <phoneticPr fontId="3" type="noConversion"/>
  <pageMargins left="0.7" right="0.7" top="0.75" bottom="0.75" header="0.3" footer="0.3"/>
  <legacy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1">
    <tabColor theme="8" tint="0.79998168889431442"/>
  </sheetPr>
  <dimension ref="A1:N137"/>
  <sheetViews>
    <sheetView zoomScale="85" zoomScaleNormal="85" workbookViewId="0">
      <pane ySplit="4" topLeftCell="A5" activePane="bottomLeft" state="frozen"/>
      <selection activeCell="K8" sqref="K8"/>
      <selection pane="bottomLeft" activeCell="H28" sqref="H28"/>
    </sheetView>
  </sheetViews>
  <sheetFormatPr defaultColWidth="8" defaultRowHeight="13.5"/>
  <cols>
    <col min="1" max="1" width="8.875" style="1008" customWidth="1"/>
    <col min="2" max="2" width="5.625" style="602" customWidth="1"/>
    <col min="3" max="3" width="27.625" style="596" customWidth="1"/>
    <col min="4" max="7" width="13.625" style="598" customWidth="1"/>
    <col min="8" max="8" width="13.625" style="603" customWidth="1"/>
    <col min="9" max="11" width="13.625" style="1008" customWidth="1"/>
    <col min="12" max="12" width="5.625" style="1008" customWidth="1"/>
    <col min="13" max="13" width="18" style="596" customWidth="1"/>
    <col min="14" max="14" width="34" style="596" customWidth="1"/>
    <col min="15" max="15" width="8" style="596"/>
    <col min="16" max="16" width="10.125" style="596" bestFit="1" customWidth="1"/>
    <col min="17" max="16384" width="8" style="596"/>
  </cols>
  <sheetData>
    <row r="1" spans="1:14">
      <c r="A1" s="1008" t="s">
        <v>2627</v>
      </c>
    </row>
    <row r="3" spans="1:14" s="604" customFormat="1" ht="14.25" thickBot="1">
      <c r="B3" s="1983" t="s">
        <v>1035</v>
      </c>
      <c r="C3" s="1983"/>
      <c r="D3" s="590" t="s">
        <v>2549</v>
      </c>
      <c r="E3" s="1984" t="s">
        <v>1037</v>
      </c>
      <c r="F3" s="1985"/>
      <c r="G3" s="590" t="s">
        <v>2549</v>
      </c>
      <c r="H3" s="1134">
        <f>DHK_PL!H3</f>
        <v>46203</v>
      </c>
      <c r="I3" s="1992" t="s">
        <v>1037</v>
      </c>
      <c r="J3" s="1993"/>
      <c r="K3" s="1134">
        <f>H3</f>
        <v>46203</v>
      </c>
      <c r="L3" s="1009" t="s">
        <v>1038</v>
      </c>
      <c r="M3" s="1009"/>
      <c r="N3" s="590"/>
    </row>
    <row r="4" spans="1:14" ht="27" customHeight="1">
      <c r="A4" s="646" t="s">
        <v>486</v>
      </c>
      <c r="B4" s="594" t="s">
        <v>1039</v>
      </c>
      <c r="C4" s="594" t="s">
        <v>1040</v>
      </c>
      <c r="D4" s="591"/>
      <c r="E4" s="1010" t="s">
        <v>230</v>
      </c>
      <c r="F4" s="1010" t="s">
        <v>232</v>
      </c>
      <c r="G4" s="591">
        <f>환율!C18</f>
        <v>226.97</v>
      </c>
      <c r="H4" s="605" t="s">
        <v>1041</v>
      </c>
      <c r="I4" s="1010" t="s">
        <v>230</v>
      </c>
      <c r="J4" s="1010" t="s">
        <v>232</v>
      </c>
      <c r="K4" s="605" t="s">
        <v>2536</v>
      </c>
      <c r="L4" s="1010" t="s">
        <v>1039</v>
      </c>
      <c r="M4" s="594" t="s">
        <v>1042</v>
      </c>
      <c r="N4" s="594" t="s">
        <v>1040</v>
      </c>
    </row>
    <row r="5" spans="1:14">
      <c r="A5" s="647"/>
      <c r="B5" s="993" t="s">
        <v>1043</v>
      </c>
      <c r="C5" s="994" t="s">
        <v>1044</v>
      </c>
      <c r="D5" s="995">
        <f t="shared" ref="D5" si="0">SUM(D6,D41)</f>
        <v>0</v>
      </c>
      <c r="E5" s="995"/>
      <c r="F5" s="995"/>
      <c r="G5" s="1024">
        <f>SUM(G6,G41)</f>
        <v>10076.709999999999</v>
      </c>
      <c r="H5" s="996">
        <f>SUM(H6,H41)</f>
        <v>2287111</v>
      </c>
      <c r="I5" s="1011"/>
      <c r="J5" s="1011"/>
      <c r="K5" s="996">
        <f>SUM(K6,K41)</f>
        <v>2287111</v>
      </c>
      <c r="L5" s="1012" t="str">
        <f t="shared" ref="L5:L10" si="1">B5</f>
        <v>*</v>
      </c>
      <c r="M5" s="994"/>
      <c r="N5" s="994"/>
    </row>
    <row r="6" spans="1:14">
      <c r="A6" s="647"/>
      <c r="B6" s="997" t="s">
        <v>1045</v>
      </c>
      <c r="C6" s="998" t="s">
        <v>1046</v>
      </c>
      <c r="D6" s="999">
        <f t="shared" ref="D6" si="2">SUM(D7,D33)</f>
        <v>0</v>
      </c>
      <c r="E6" s="999"/>
      <c r="F6" s="999"/>
      <c r="G6" s="1025">
        <f>SUM(G7,G33)</f>
        <v>10076.709999999999</v>
      </c>
      <c r="H6" s="1000">
        <f>SUM(H7,H33)</f>
        <v>2287111</v>
      </c>
      <c r="I6" s="1013"/>
      <c r="J6" s="1013"/>
      <c r="K6" s="1000">
        <f>SUM(K7,K33)</f>
        <v>2287111</v>
      </c>
      <c r="L6" s="1014" t="str">
        <f t="shared" si="1"/>
        <v>**</v>
      </c>
      <c r="M6" s="998"/>
      <c r="N6" s="998"/>
    </row>
    <row r="7" spans="1:14">
      <c r="A7" s="647"/>
      <c r="B7" s="609" t="s">
        <v>1047</v>
      </c>
      <c r="C7" s="610" t="s">
        <v>1048</v>
      </c>
      <c r="D7" s="611">
        <f t="shared" ref="D7" si="3">SUM(D8,D13,D19,D22,D23)</f>
        <v>0</v>
      </c>
      <c r="E7" s="611"/>
      <c r="F7" s="611"/>
      <c r="G7" s="1026">
        <f>SUM(G8,G13,G19,G22,G23)</f>
        <v>10076.709999999999</v>
      </c>
      <c r="H7" s="976">
        <f>SUM(H8,H13,H19,H22,H23)</f>
        <v>2287111</v>
      </c>
      <c r="I7" s="1015"/>
      <c r="J7" s="1015"/>
      <c r="K7" s="976">
        <f>SUM(K8,K13,K19,K22,K23)</f>
        <v>2287111</v>
      </c>
      <c r="L7" s="1016" t="str">
        <f t="shared" si="1"/>
        <v>***</v>
      </c>
      <c r="M7" s="610"/>
      <c r="N7" s="610"/>
    </row>
    <row r="8" spans="1:14">
      <c r="A8" s="647"/>
      <c r="B8" s="612" t="s">
        <v>1049</v>
      </c>
      <c r="C8" s="593" t="s">
        <v>1050</v>
      </c>
      <c r="D8" s="613">
        <f t="shared" ref="D8" si="4">SUM(D9:D10,D12)</f>
        <v>0</v>
      </c>
      <c r="E8" s="613"/>
      <c r="F8" s="613"/>
      <c r="G8" s="1027">
        <f>SUM(G9:G10,G12)</f>
        <v>0</v>
      </c>
      <c r="H8" s="718">
        <f>SUM(H9:H10,H12)</f>
        <v>0</v>
      </c>
      <c r="I8" s="1017"/>
      <c r="J8" s="1017"/>
      <c r="K8" s="718">
        <f>SUM(K9:K10,K12)</f>
        <v>0</v>
      </c>
      <c r="L8" s="1018" t="str">
        <f t="shared" si="1"/>
        <v>****</v>
      </c>
      <c r="M8" s="593"/>
      <c r="N8" s="593"/>
    </row>
    <row r="9" spans="1:14">
      <c r="A9" s="647" t="s">
        <v>623</v>
      </c>
      <c r="B9" s="612" t="s">
        <v>1051</v>
      </c>
      <c r="C9" s="593" t="s">
        <v>1052</v>
      </c>
      <c r="D9" s="613">
        <v>0</v>
      </c>
      <c r="E9" s="613"/>
      <c r="F9" s="613"/>
      <c r="G9" s="1028">
        <f>D9+E9-F9</f>
        <v>0</v>
      </c>
      <c r="H9" s="977">
        <f>ROUND(G9*$G$4,)</f>
        <v>0</v>
      </c>
      <c r="I9" s="1017"/>
      <c r="J9" s="1017"/>
      <c r="K9" s="977">
        <f>H9+I9-J9</f>
        <v>0</v>
      </c>
      <c r="L9" s="1018" t="str">
        <f t="shared" si="1"/>
        <v>*****</v>
      </c>
      <c r="M9" s="593" t="s">
        <v>359</v>
      </c>
      <c r="N9" s="593" t="s">
        <v>1053</v>
      </c>
    </row>
    <row r="10" spans="1:14">
      <c r="A10" s="647" t="s">
        <v>624</v>
      </c>
      <c r="B10" s="612" t="s">
        <v>1051</v>
      </c>
      <c r="C10" s="593" t="s">
        <v>1055</v>
      </c>
      <c r="D10" s="614">
        <v>0</v>
      </c>
      <c r="E10" s="614"/>
      <c r="F10" s="614"/>
      <c r="G10" s="1028">
        <f>D10+E10-F10</f>
        <v>0</v>
      </c>
      <c r="H10" s="977">
        <f>ROUND(G10*$G$4,)</f>
        <v>0</v>
      </c>
      <c r="I10" s="1017"/>
      <c r="J10" s="1017"/>
      <c r="K10" s="977">
        <f>H10+I10-J10</f>
        <v>0</v>
      </c>
      <c r="L10" s="1018" t="str">
        <f t="shared" si="1"/>
        <v>*****</v>
      </c>
      <c r="M10" s="593" t="s">
        <v>359</v>
      </c>
      <c r="N10" s="593" t="s">
        <v>1056</v>
      </c>
    </row>
    <row r="11" spans="1:14">
      <c r="A11" s="647"/>
      <c r="B11" s="612"/>
      <c r="C11" s="593" t="s">
        <v>1057</v>
      </c>
      <c r="D11" s="613"/>
      <c r="E11" s="613"/>
      <c r="F11" s="613"/>
      <c r="G11" s="1028">
        <f>D11+E11-F11</f>
        <v>0</v>
      </c>
      <c r="H11" s="977">
        <f>ROUND(G11*$G$4,)</f>
        <v>0</v>
      </c>
      <c r="I11" s="1017"/>
      <c r="J11" s="1017"/>
      <c r="K11" s="977">
        <f>H11+I11-J11</f>
        <v>0</v>
      </c>
      <c r="L11" s="1018"/>
      <c r="M11" s="593"/>
      <c r="N11" s="593"/>
    </row>
    <row r="12" spans="1:14">
      <c r="A12" s="647" t="s">
        <v>625</v>
      </c>
      <c r="B12" s="612" t="s">
        <v>1051</v>
      </c>
      <c r="C12" s="593" t="s">
        <v>1058</v>
      </c>
      <c r="D12" s="613">
        <v>0</v>
      </c>
      <c r="E12" s="613"/>
      <c r="F12" s="613"/>
      <c r="G12" s="1028">
        <f>D12+E12-F12</f>
        <v>0</v>
      </c>
      <c r="H12" s="977">
        <f>ROUND(G12*$G$4,)</f>
        <v>0</v>
      </c>
      <c r="I12" s="1017"/>
      <c r="J12" s="1017"/>
      <c r="K12" s="977">
        <f>H12+I12-J12</f>
        <v>0</v>
      </c>
      <c r="L12" s="1018" t="str">
        <f t="shared" ref="L12:L38" si="5">B12</f>
        <v>*****</v>
      </c>
      <c r="M12" s="593" t="s">
        <v>359</v>
      </c>
      <c r="N12" s="593" t="s">
        <v>1059</v>
      </c>
    </row>
    <row r="13" spans="1:14">
      <c r="A13" s="647"/>
      <c r="B13" s="612" t="s">
        <v>1049</v>
      </c>
      <c r="C13" s="593" t="s">
        <v>1060</v>
      </c>
      <c r="D13" s="613">
        <f t="shared" ref="D13" si="6">SUM(D14:D15,D18)</f>
        <v>0</v>
      </c>
      <c r="E13" s="613"/>
      <c r="F13" s="613"/>
      <c r="G13" s="1027">
        <f>SUM(G14:G15,G18)</f>
        <v>0</v>
      </c>
      <c r="H13" s="718">
        <f>SUM(H14:H15,H18)</f>
        <v>0</v>
      </c>
      <c r="I13" s="1017"/>
      <c r="J13" s="1017"/>
      <c r="K13" s="718">
        <f>SUM(K14:K15,K18)</f>
        <v>0</v>
      </c>
      <c r="L13" s="1018" t="str">
        <f t="shared" si="5"/>
        <v>****</v>
      </c>
      <c r="M13" s="593"/>
      <c r="N13" s="593"/>
    </row>
    <row r="14" spans="1:14">
      <c r="A14" s="647"/>
      <c r="B14" s="612" t="s">
        <v>1051</v>
      </c>
      <c r="C14" s="593" t="s">
        <v>1062</v>
      </c>
      <c r="D14" s="613"/>
      <c r="E14" s="613"/>
      <c r="F14" s="613"/>
      <c r="G14" s="1028">
        <f>D14+E14-F14</f>
        <v>0</v>
      </c>
      <c r="H14" s="977">
        <f t="shared" ref="H14:H18" si="7">ROUND(G14*$G$4,)</f>
        <v>0</v>
      </c>
      <c r="I14" s="1017"/>
      <c r="J14" s="1017"/>
      <c r="K14" s="977">
        <f>H14+I14-J14</f>
        <v>0</v>
      </c>
      <c r="L14" s="1018" t="str">
        <f t="shared" si="5"/>
        <v>*****</v>
      </c>
      <c r="M14" s="593" t="s">
        <v>1063</v>
      </c>
      <c r="N14" s="593" t="s">
        <v>1064</v>
      </c>
    </row>
    <row r="15" spans="1:14">
      <c r="A15" s="647"/>
      <c r="B15" s="612" t="s">
        <v>1051</v>
      </c>
      <c r="C15" s="593" t="s">
        <v>1065</v>
      </c>
      <c r="D15" s="613"/>
      <c r="E15" s="613"/>
      <c r="F15" s="613"/>
      <c r="G15" s="1028">
        <f>D15+E15-F15</f>
        <v>0</v>
      </c>
      <c r="H15" s="977">
        <f t="shared" si="7"/>
        <v>0</v>
      </c>
      <c r="I15" s="1017"/>
      <c r="J15" s="1017"/>
      <c r="K15" s="977">
        <f>H15+I15-J15</f>
        <v>0</v>
      </c>
      <c r="L15" s="1018" t="str">
        <f t="shared" si="5"/>
        <v>*****</v>
      </c>
      <c r="M15" s="593"/>
      <c r="N15" s="593"/>
    </row>
    <row r="16" spans="1:14">
      <c r="A16" s="647"/>
      <c r="B16" s="612" t="s">
        <v>1066</v>
      </c>
      <c r="C16" s="593" t="s">
        <v>1067</v>
      </c>
      <c r="D16" s="613"/>
      <c r="E16" s="613"/>
      <c r="F16" s="613"/>
      <c r="G16" s="1028">
        <f>D16+E16-F16</f>
        <v>0</v>
      </c>
      <c r="H16" s="977">
        <f t="shared" si="7"/>
        <v>0</v>
      </c>
      <c r="I16" s="1017"/>
      <c r="J16" s="1017"/>
      <c r="K16" s="977">
        <f>H16+I16-J16</f>
        <v>0</v>
      </c>
      <c r="L16" s="1018" t="str">
        <f t="shared" si="5"/>
        <v>******</v>
      </c>
      <c r="M16" s="593" t="s">
        <v>1054</v>
      </c>
      <c r="N16" s="593" t="s">
        <v>1068</v>
      </c>
    </row>
    <row r="17" spans="1:14">
      <c r="A17" s="647"/>
      <c r="B17" s="612" t="s">
        <v>1066</v>
      </c>
      <c r="C17" s="593" t="s">
        <v>1069</v>
      </c>
      <c r="D17" s="613"/>
      <c r="E17" s="613"/>
      <c r="F17" s="613"/>
      <c r="G17" s="1028">
        <f>D17+E17-F17</f>
        <v>0</v>
      </c>
      <c r="H17" s="977">
        <f t="shared" si="7"/>
        <v>0</v>
      </c>
      <c r="I17" s="1017"/>
      <c r="J17" s="1017"/>
      <c r="K17" s="977">
        <f>H17+I17-J17</f>
        <v>0</v>
      </c>
      <c r="L17" s="1018" t="str">
        <f t="shared" si="5"/>
        <v>******</v>
      </c>
      <c r="M17" s="593" t="s">
        <v>1054</v>
      </c>
      <c r="N17" s="593" t="s">
        <v>1070</v>
      </c>
    </row>
    <row r="18" spans="1:14">
      <c r="A18" s="647"/>
      <c r="B18" s="612" t="s">
        <v>1051</v>
      </c>
      <c r="C18" s="593" t="s">
        <v>1071</v>
      </c>
      <c r="D18" s="613"/>
      <c r="E18" s="613"/>
      <c r="F18" s="613"/>
      <c r="G18" s="1028">
        <f>D18+E18-F18</f>
        <v>0</v>
      </c>
      <c r="H18" s="977">
        <f t="shared" si="7"/>
        <v>0</v>
      </c>
      <c r="I18" s="1017"/>
      <c r="J18" s="1017"/>
      <c r="K18" s="977">
        <f>H18+I18-J18</f>
        <v>0</v>
      </c>
      <c r="L18" s="1018" t="str">
        <f t="shared" si="5"/>
        <v>*****</v>
      </c>
      <c r="M18" s="593" t="s">
        <v>1063</v>
      </c>
      <c r="N18" s="593" t="s">
        <v>1072</v>
      </c>
    </row>
    <row r="19" spans="1:14">
      <c r="A19" s="647"/>
      <c r="B19" s="612" t="s">
        <v>1049</v>
      </c>
      <c r="C19" s="593" t="s">
        <v>1073</v>
      </c>
      <c r="D19" s="613">
        <f t="shared" ref="D19" si="8">SUM(D20:D21)</f>
        <v>0</v>
      </c>
      <c r="E19" s="613"/>
      <c r="F19" s="613"/>
      <c r="G19" s="1027">
        <f>SUM(G20:G21)</f>
        <v>0</v>
      </c>
      <c r="H19" s="718">
        <f>SUM(H20:H21)</f>
        <v>0</v>
      </c>
      <c r="I19" s="1017"/>
      <c r="J19" s="1017"/>
      <c r="K19" s="718">
        <f>SUM(K20:K21)</f>
        <v>0</v>
      </c>
      <c r="L19" s="1018" t="str">
        <f t="shared" si="5"/>
        <v>****</v>
      </c>
      <c r="M19" s="593"/>
      <c r="N19" s="593"/>
    </row>
    <row r="20" spans="1:14">
      <c r="A20" s="647" t="s">
        <v>628</v>
      </c>
      <c r="B20" s="612" t="s">
        <v>1051</v>
      </c>
      <c r="C20" s="593" t="s">
        <v>1074</v>
      </c>
      <c r="D20" s="613"/>
      <c r="E20" s="613"/>
      <c r="F20" s="613"/>
      <c r="G20" s="1028">
        <f>D20+E20-F20</f>
        <v>0</v>
      </c>
      <c r="H20" s="977">
        <f t="shared" ref="H20:H21" si="9">ROUND(G20*$G$4,)</f>
        <v>0</v>
      </c>
      <c r="I20" s="1017"/>
      <c r="J20" s="1017"/>
      <c r="K20" s="977">
        <f>H20+I20-J20</f>
        <v>0</v>
      </c>
      <c r="L20" s="1018" t="str">
        <f t="shared" si="5"/>
        <v>*****</v>
      </c>
      <c r="M20" s="593" t="s">
        <v>1054</v>
      </c>
      <c r="N20" s="593" t="s">
        <v>1075</v>
      </c>
    </row>
    <row r="21" spans="1:14">
      <c r="A21" s="647" t="s">
        <v>629</v>
      </c>
      <c r="B21" s="612" t="s">
        <v>1051</v>
      </c>
      <c r="C21" s="593" t="s">
        <v>1076</v>
      </c>
      <c r="D21" s="613"/>
      <c r="E21" s="613"/>
      <c r="F21" s="613"/>
      <c r="G21" s="1028">
        <f>D21+E21-F21</f>
        <v>0</v>
      </c>
      <c r="H21" s="977">
        <f t="shared" si="9"/>
        <v>0</v>
      </c>
      <c r="I21" s="1017"/>
      <c r="J21" s="1017"/>
      <c r="K21" s="977">
        <f>H21+I21-J21</f>
        <v>0</v>
      </c>
      <c r="L21" s="1018" t="str">
        <f t="shared" si="5"/>
        <v>*****</v>
      </c>
      <c r="M21" s="593" t="s">
        <v>1054</v>
      </c>
      <c r="N21" s="593" t="s">
        <v>1077</v>
      </c>
    </row>
    <row r="22" spans="1:14">
      <c r="A22" s="647"/>
      <c r="B22" s="612" t="s">
        <v>1049</v>
      </c>
      <c r="C22" s="593" t="s">
        <v>1078</v>
      </c>
      <c r="D22" s="613"/>
      <c r="E22" s="613"/>
      <c r="F22" s="613"/>
      <c r="G22" s="1028">
        <f>D22+E22-F22</f>
        <v>0</v>
      </c>
      <c r="H22" s="977">
        <f>ROUND(G22*$G$4,)</f>
        <v>0</v>
      </c>
      <c r="I22" s="1017"/>
      <c r="J22" s="1017"/>
      <c r="K22" s="977">
        <f>H22+I22-J22</f>
        <v>0</v>
      </c>
      <c r="L22" s="1018" t="str">
        <f t="shared" si="5"/>
        <v>****</v>
      </c>
      <c r="M22" s="593" t="s">
        <v>105</v>
      </c>
      <c r="N22" s="593" t="s">
        <v>1079</v>
      </c>
    </row>
    <row r="23" spans="1:14">
      <c r="A23" s="647"/>
      <c r="B23" s="612" t="s">
        <v>1049</v>
      </c>
      <c r="C23" s="593" t="s">
        <v>1080</v>
      </c>
      <c r="D23" s="613">
        <f t="shared" ref="D23" si="10">SUM(D24,D26,D25,D27,D28,D31,D32)</f>
        <v>0</v>
      </c>
      <c r="E23" s="613"/>
      <c r="F23" s="613"/>
      <c r="G23" s="1027">
        <f>SUM(G24,G26,G25,G27,G28,G31,G32)</f>
        <v>10076.709999999999</v>
      </c>
      <c r="H23" s="718">
        <f>SUM(H24,H26,H25,H27,H28,H31,H32)</f>
        <v>2287111</v>
      </c>
      <c r="I23" s="1017"/>
      <c r="J23" s="1017"/>
      <c r="K23" s="718">
        <f>SUM(K24,K26,K25,K27,K28,K31,K32)</f>
        <v>2287111</v>
      </c>
      <c r="L23" s="1018" t="str">
        <f t="shared" si="5"/>
        <v>****</v>
      </c>
      <c r="M23" s="593"/>
      <c r="N23" s="593"/>
    </row>
    <row r="24" spans="1:14">
      <c r="A24" s="647"/>
      <c r="B24" s="612" t="s">
        <v>1051</v>
      </c>
      <c r="C24" s="593" t="s">
        <v>1081</v>
      </c>
      <c r="D24" s="613"/>
      <c r="E24" s="613"/>
      <c r="F24" s="613"/>
      <c r="G24" s="1028">
        <f>D24+E24-F24</f>
        <v>0</v>
      </c>
      <c r="H24" s="977">
        <f t="shared" ref="H24:H32" si="11">ROUND(G24*$G$4,)</f>
        <v>0</v>
      </c>
      <c r="I24" s="1017"/>
      <c r="J24" s="1017"/>
      <c r="K24" s="977">
        <f>H24+I24-J24</f>
        <v>0</v>
      </c>
      <c r="L24" s="1018" t="str">
        <f t="shared" si="5"/>
        <v>*****</v>
      </c>
      <c r="M24" s="593" t="s">
        <v>1054</v>
      </c>
      <c r="N24" s="593" t="s">
        <v>1082</v>
      </c>
    </row>
    <row r="25" spans="1:14">
      <c r="A25" s="647"/>
      <c r="B25" s="612" t="s">
        <v>1051</v>
      </c>
      <c r="C25" s="593" t="s">
        <v>1083</v>
      </c>
      <c r="D25" s="613"/>
      <c r="E25" s="613"/>
      <c r="F25" s="613"/>
      <c r="G25" s="1028">
        <f>D25+E25-F25</f>
        <v>0</v>
      </c>
      <c r="H25" s="977">
        <f t="shared" si="11"/>
        <v>0</v>
      </c>
      <c r="I25" s="1017"/>
      <c r="J25" s="1017"/>
      <c r="K25" s="977">
        <f>H25+I25-J25</f>
        <v>0</v>
      </c>
      <c r="L25" s="1018" t="str">
        <f t="shared" si="5"/>
        <v>*****</v>
      </c>
      <c r="M25" s="593" t="s">
        <v>1054</v>
      </c>
      <c r="N25" s="593" t="s">
        <v>1084</v>
      </c>
    </row>
    <row r="26" spans="1:14">
      <c r="A26" s="647"/>
      <c r="B26" s="612" t="s">
        <v>1051</v>
      </c>
      <c r="C26" s="593" t="s">
        <v>1085</v>
      </c>
      <c r="D26" s="613"/>
      <c r="E26" s="613"/>
      <c r="F26" s="613"/>
      <c r="G26" s="1028">
        <f>D26+E26-F26</f>
        <v>0</v>
      </c>
      <c r="H26" s="977">
        <f t="shared" si="11"/>
        <v>0</v>
      </c>
      <c r="I26" s="1017"/>
      <c r="J26" s="1017"/>
      <c r="K26" s="977">
        <f>H26+I26-J26</f>
        <v>0</v>
      </c>
      <c r="L26" s="1018" t="str">
        <f t="shared" si="5"/>
        <v>*****</v>
      </c>
      <c r="M26" s="593" t="s">
        <v>1054</v>
      </c>
      <c r="N26" s="593" t="s">
        <v>1086</v>
      </c>
    </row>
    <row r="27" spans="1:14">
      <c r="A27" s="647"/>
      <c r="B27" s="612" t="s">
        <v>1051</v>
      </c>
      <c r="C27" s="593" t="s">
        <v>1088</v>
      </c>
      <c r="D27" s="613"/>
      <c r="E27" s="613"/>
      <c r="F27" s="613"/>
      <c r="G27" s="1028">
        <f>D27+E27-F27</f>
        <v>0</v>
      </c>
      <c r="H27" s="977">
        <f t="shared" si="11"/>
        <v>0</v>
      </c>
      <c r="I27" s="1017"/>
      <c r="J27" s="1017"/>
      <c r="K27" s="977">
        <f>H27+I27-J27</f>
        <v>0</v>
      </c>
      <c r="L27" s="1018" t="str">
        <f t="shared" si="5"/>
        <v>*****</v>
      </c>
      <c r="M27" s="593" t="s">
        <v>1054</v>
      </c>
      <c r="N27" s="593" t="s">
        <v>1089</v>
      </c>
    </row>
    <row r="28" spans="1:14">
      <c r="A28" s="647"/>
      <c r="B28" s="612" t="s">
        <v>1051</v>
      </c>
      <c r="C28" s="593" t="s">
        <v>1090</v>
      </c>
      <c r="D28" s="613">
        <f t="shared" ref="D28" si="12">SUM(D29,D30)</f>
        <v>0</v>
      </c>
      <c r="E28" s="613"/>
      <c r="F28" s="613"/>
      <c r="G28" s="1027">
        <f>SUM(G29,G30)</f>
        <v>0</v>
      </c>
      <c r="H28" s="977">
        <f>H29+H30</f>
        <v>0</v>
      </c>
      <c r="I28" s="1017"/>
      <c r="J28" s="1017"/>
      <c r="K28" s="718">
        <f>SUM(K29,K30)</f>
        <v>0</v>
      </c>
      <c r="L28" s="1018" t="str">
        <f t="shared" si="5"/>
        <v>*****</v>
      </c>
      <c r="M28" s="593"/>
      <c r="N28" s="593"/>
    </row>
    <row r="29" spans="1:14">
      <c r="A29" s="647" t="s">
        <v>634</v>
      </c>
      <c r="B29" s="612" t="s">
        <v>1066</v>
      </c>
      <c r="C29" s="593" t="s">
        <v>1092</v>
      </c>
      <c r="D29" s="613">
        <v>0</v>
      </c>
      <c r="E29" s="613"/>
      <c r="F29" s="613"/>
      <c r="G29" s="1028">
        <f t="shared" ref="G29:G32" si="13">D29+E29-F29</f>
        <v>0</v>
      </c>
      <c r="H29" s="1500">
        <f>ROUND(G29*$G$4,)</f>
        <v>0</v>
      </c>
      <c r="I29" s="1017"/>
      <c r="J29" s="1017"/>
      <c r="K29" s="977">
        <f t="shared" ref="K29:K32" si="14">H29+I29-J29</f>
        <v>0</v>
      </c>
      <c r="L29" s="1018" t="str">
        <f t="shared" si="5"/>
        <v>******</v>
      </c>
      <c r="M29" s="593" t="s">
        <v>105</v>
      </c>
      <c r="N29" s="593" t="s">
        <v>1093</v>
      </c>
    </row>
    <row r="30" spans="1:14">
      <c r="A30" s="647"/>
      <c r="B30" s="612" t="s">
        <v>1066</v>
      </c>
      <c r="C30" s="593" t="s">
        <v>1094</v>
      </c>
      <c r="D30" s="613"/>
      <c r="E30" s="613"/>
      <c r="F30" s="613"/>
      <c r="G30" s="1028">
        <f t="shared" si="13"/>
        <v>0</v>
      </c>
      <c r="H30" s="977">
        <f t="shared" si="11"/>
        <v>0</v>
      </c>
      <c r="I30" s="1017"/>
      <c r="J30" s="1017"/>
      <c r="K30" s="977">
        <f t="shared" si="14"/>
        <v>0</v>
      </c>
      <c r="L30" s="1018" t="str">
        <f t="shared" si="5"/>
        <v>******</v>
      </c>
      <c r="M30" s="593" t="s">
        <v>105</v>
      </c>
      <c r="N30" s="593" t="s">
        <v>1095</v>
      </c>
    </row>
    <row r="31" spans="1:14">
      <c r="A31" s="647" t="s">
        <v>2509</v>
      </c>
      <c r="B31" s="612" t="s">
        <v>1051</v>
      </c>
      <c r="C31" s="593" t="s">
        <v>2538</v>
      </c>
      <c r="D31" s="613"/>
      <c r="E31" s="613"/>
      <c r="F31" s="613"/>
      <c r="G31" s="1028">
        <f t="shared" si="13"/>
        <v>0</v>
      </c>
      <c r="H31" s="977">
        <f t="shared" si="11"/>
        <v>0</v>
      </c>
      <c r="I31" s="1017"/>
      <c r="J31" s="1017"/>
      <c r="K31" s="977">
        <f t="shared" si="14"/>
        <v>0</v>
      </c>
      <c r="L31" s="1018" t="str">
        <f t="shared" si="5"/>
        <v>*****</v>
      </c>
      <c r="M31" s="593" t="s">
        <v>1096</v>
      </c>
      <c r="N31" s="593" t="s">
        <v>1061</v>
      </c>
    </row>
    <row r="32" spans="1:14">
      <c r="A32" s="647" t="s">
        <v>641</v>
      </c>
      <c r="B32" s="612" t="s">
        <v>1051</v>
      </c>
      <c r="C32" s="593" t="s">
        <v>2550</v>
      </c>
      <c r="D32" s="613"/>
      <c r="E32" s="613">
        <v>10076.709999999999</v>
      </c>
      <c r="F32" s="613"/>
      <c r="G32" s="1028">
        <f t="shared" si="13"/>
        <v>10076.709999999999</v>
      </c>
      <c r="H32" s="977">
        <f t="shared" si="11"/>
        <v>2287111</v>
      </c>
      <c r="I32" s="1017"/>
      <c r="J32" s="1017"/>
      <c r="K32" s="977">
        <f t="shared" si="14"/>
        <v>2287111</v>
      </c>
      <c r="L32" s="1018" t="str">
        <f t="shared" si="5"/>
        <v>*****</v>
      </c>
      <c r="M32" s="593" t="s">
        <v>105</v>
      </c>
      <c r="N32" s="593" t="s">
        <v>18</v>
      </c>
    </row>
    <row r="33" spans="1:14">
      <c r="A33" s="647"/>
      <c r="B33" s="609" t="s">
        <v>1047</v>
      </c>
      <c r="C33" s="610" t="s">
        <v>1097</v>
      </c>
      <c r="D33" s="611">
        <f t="shared" ref="D33" si="15">SUM(D34,D35,D36,D37,D38,D39,D40)</f>
        <v>0</v>
      </c>
      <c r="E33" s="611"/>
      <c r="F33" s="611"/>
      <c r="G33" s="1026">
        <f>SUM(G34,G35,G36,G37,G38,G39,G40)</f>
        <v>0</v>
      </c>
      <c r="H33" s="976">
        <f>SUM(H34,H35,H36,H37,H38,H39,H40)</f>
        <v>0</v>
      </c>
      <c r="I33" s="1015"/>
      <c r="J33" s="1015"/>
      <c r="K33" s="976">
        <f>SUM(K34,K35,K36,K37,K38,K39,K40)</f>
        <v>0</v>
      </c>
      <c r="L33" s="1016" t="str">
        <f t="shared" si="5"/>
        <v>***</v>
      </c>
      <c r="M33" s="610"/>
      <c r="N33" s="610"/>
    </row>
    <row r="34" spans="1:14">
      <c r="A34" s="647" t="s">
        <v>645</v>
      </c>
      <c r="B34" s="612" t="s">
        <v>1049</v>
      </c>
      <c r="C34" s="593" t="s">
        <v>1316</v>
      </c>
      <c r="D34" s="613"/>
      <c r="E34" s="613"/>
      <c r="F34" s="613"/>
      <c r="G34" s="1028">
        <f t="shared" ref="G34:G40" si="16">D34+E34-F34</f>
        <v>0</v>
      </c>
      <c r="H34" s="977">
        <f>ROUND(G34*$G$4,)</f>
        <v>0</v>
      </c>
      <c r="I34" s="1017"/>
      <c r="J34" s="1017"/>
      <c r="K34" s="977">
        <f t="shared" ref="K34:K40" si="17">H34+I34-J34</f>
        <v>0</v>
      </c>
      <c r="L34" s="1018" t="str">
        <f t="shared" si="5"/>
        <v>****</v>
      </c>
      <c r="M34" s="593" t="s">
        <v>20</v>
      </c>
      <c r="N34" s="593" t="s">
        <v>1098</v>
      </c>
    </row>
    <row r="35" spans="1:14">
      <c r="A35" s="647" t="s">
        <v>643</v>
      </c>
      <c r="B35" s="612" t="s">
        <v>1049</v>
      </c>
      <c r="C35" s="593" t="s">
        <v>1099</v>
      </c>
      <c r="D35" s="613"/>
      <c r="E35" s="613"/>
      <c r="F35" s="613"/>
      <c r="G35" s="1028">
        <f t="shared" si="16"/>
        <v>0</v>
      </c>
      <c r="H35" s="977">
        <f t="shared" ref="H35:H40" si="18">ROUND(G35*$G$4,)</f>
        <v>0</v>
      </c>
      <c r="I35" s="1017"/>
      <c r="J35" s="1017"/>
      <c r="K35" s="977">
        <f t="shared" si="17"/>
        <v>0</v>
      </c>
      <c r="L35" s="1018" t="str">
        <f t="shared" si="5"/>
        <v>****</v>
      </c>
      <c r="M35" s="593" t="s">
        <v>20</v>
      </c>
      <c r="N35" s="593" t="s">
        <v>1100</v>
      </c>
    </row>
    <row r="36" spans="1:14">
      <c r="A36" s="647" t="s">
        <v>646</v>
      </c>
      <c r="B36" s="612" t="s">
        <v>1049</v>
      </c>
      <c r="C36" s="593" t="s">
        <v>1317</v>
      </c>
      <c r="D36" s="613"/>
      <c r="E36" s="613"/>
      <c r="F36" s="613"/>
      <c r="G36" s="1028">
        <f t="shared" si="16"/>
        <v>0</v>
      </c>
      <c r="H36" s="977">
        <f t="shared" si="18"/>
        <v>0</v>
      </c>
      <c r="I36" s="1017"/>
      <c r="J36" s="1017"/>
      <c r="K36" s="977">
        <f t="shared" si="17"/>
        <v>0</v>
      </c>
      <c r="L36" s="1018" t="str">
        <f t="shared" si="5"/>
        <v>****</v>
      </c>
      <c r="M36" s="593" t="s">
        <v>20</v>
      </c>
      <c r="N36" s="593" t="s">
        <v>1101</v>
      </c>
    </row>
    <row r="37" spans="1:14">
      <c r="A37" s="647" t="s">
        <v>647</v>
      </c>
      <c r="B37" s="612" t="s">
        <v>1049</v>
      </c>
      <c r="C37" s="593" t="s">
        <v>1318</v>
      </c>
      <c r="D37" s="613"/>
      <c r="E37" s="613"/>
      <c r="F37" s="613"/>
      <c r="G37" s="1028">
        <f t="shared" si="16"/>
        <v>0</v>
      </c>
      <c r="H37" s="977">
        <f t="shared" si="18"/>
        <v>0</v>
      </c>
      <c r="I37" s="1017"/>
      <c r="J37" s="1017"/>
      <c r="K37" s="977">
        <f t="shared" si="17"/>
        <v>0</v>
      </c>
      <c r="L37" s="1018" t="str">
        <f t="shared" si="5"/>
        <v>****</v>
      </c>
      <c r="M37" s="593" t="s">
        <v>20</v>
      </c>
      <c r="N37" s="593" t="s">
        <v>1102</v>
      </c>
    </row>
    <row r="38" spans="1:14">
      <c r="A38" s="647" t="s">
        <v>649</v>
      </c>
      <c r="B38" s="612" t="s">
        <v>1049</v>
      </c>
      <c r="C38" s="593" t="s">
        <v>1103</v>
      </c>
      <c r="D38" s="613"/>
      <c r="E38" s="613"/>
      <c r="F38" s="613"/>
      <c r="G38" s="1028">
        <f t="shared" si="16"/>
        <v>0</v>
      </c>
      <c r="H38" s="977">
        <f t="shared" si="18"/>
        <v>0</v>
      </c>
      <c r="I38" s="1017"/>
      <c r="J38" s="1017"/>
      <c r="K38" s="977">
        <f t="shared" si="17"/>
        <v>0</v>
      </c>
      <c r="L38" s="1018" t="str">
        <f t="shared" si="5"/>
        <v>****</v>
      </c>
      <c r="M38" s="593" t="s">
        <v>20</v>
      </c>
      <c r="N38" s="593" t="s">
        <v>1104</v>
      </c>
    </row>
    <row r="39" spans="1:14">
      <c r="A39" s="647" t="s">
        <v>650</v>
      </c>
      <c r="B39" s="612"/>
      <c r="C39" s="593" t="s">
        <v>1105</v>
      </c>
      <c r="D39" s="613"/>
      <c r="E39" s="613"/>
      <c r="F39" s="613"/>
      <c r="G39" s="1028">
        <f t="shared" si="16"/>
        <v>0</v>
      </c>
      <c r="H39" s="977">
        <f t="shared" si="18"/>
        <v>0</v>
      </c>
      <c r="I39" s="1017"/>
      <c r="J39" s="1017"/>
      <c r="K39" s="977">
        <f t="shared" si="17"/>
        <v>0</v>
      </c>
      <c r="L39" s="1018"/>
      <c r="M39" s="593"/>
      <c r="N39" s="593"/>
    </row>
    <row r="40" spans="1:14">
      <c r="A40" s="647"/>
      <c r="B40" s="612"/>
      <c r="C40" s="593" t="s">
        <v>1106</v>
      </c>
      <c r="D40" s="613"/>
      <c r="E40" s="613"/>
      <c r="F40" s="613"/>
      <c r="G40" s="1028">
        <f t="shared" si="16"/>
        <v>0</v>
      </c>
      <c r="H40" s="977">
        <f t="shared" si="18"/>
        <v>0</v>
      </c>
      <c r="I40" s="1017"/>
      <c r="J40" s="1017"/>
      <c r="K40" s="977">
        <f t="shared" si="17"/>
        <v>0</v>
      </c>
      <c r="L40" s="1018"/>
      <c r="M40" s="593"/>
      <c r="N40" s="593"/>
    </row>
    <row r="41" spans="1:14">
      <c r="A41" s="647"/>
      <c r="B41" s="997" t="s">
        <v>1045</v>
      </c>
      <c r="C41" s="998" t="s">
        <v>1107</v>
      </c>
      <c r="D41" s="999">
        <f t="shared" ref="D41" si="19">SUM(D42,D44,D49,D51,D65,D74)</f>
        <v>0</v>
      </c>
      <c r="E41" s="999"/>
      <c r="F41" s="999"/>
      <c r="G41" s="1025">
        <f>SUM(G42,G44,G49,G51,G65,G74)</f>
        <v>0</v>
      </c>
      <c r="H41" s="1000">
        <f>SUM(H42,H44,H49,H51,H65,H74)</f>
        <v>0</v>
      </c>
      <c r="I41" s="1013"/>
      <c r="J41" s="1013"/>
      <c r="K41" s="1000">
        <f>SUM(K42,K44,K49,K51,K65,K74)</f>
        <v>0</v>
      </c>
      <c r="L41" s="1014" t="str">
        <f>B41</f>
        <v>**</v>
      </c>
      <c r="M41" s="998"/>
      <c r="N41" s="998"/>
    </row>
    <row r="42" spans="1:14">
      <c r="A42" s="647"/>
      <c r="B42" s="609" t="s">
        <v>1047</v>
      </c>
      <c r="C42" s="610" t="s">
        <v>1108</v>
      </c>
      <c r="D42" s="611">
        <f t="shared" ref="D42" si="20">D43</f>
        <v>0</v>
      </c>
      <c r="E42" s="611"/>
      <c r="F42" s="611"/>
      <c r="G42" s="1026">
        <f>G43</f>
        <v>0</v>
      </c>
      <c r="H42" s="976">
        <f>H43</f>
        <v>0</v>
      </c>
      <c r="I42" s="1015"/>
      <c r="J42" s="1015"/>
      <c r="K42" s="976">
        <f>K43</f>
        <v>0</v>
      </c>
      <c r="L42" s="1016" t="str">
        <f>B42</f>
        <v>***</v>
      </c>
      <c r="M42" s="610"/>
      <c r="N42" s="610"/>
    </row>
    <row r="43" spans="1:14">
      <c r="A43" s="647" t="s">
        <v>906</v>
      </c>
      <c r="B43" s="612" t="s">
        <v>1049</v>
      </c>
      <c r="C43" s="593" t="s">
        <v>1109</v>
      </c>
      <c r="D43" s="613"/>
      <c r="E43" s="613"/>
      <c r="F43" s="613"/>
      <c r="G43" s="1028">
        <f>D43+E43-F43</f>
        <v>0</v>
      </c>
      <c r="H43" s="977">
        <f>ROUND(G43*$G$4,)</f>
        <v>0</v>
      </c>
      <c r="I43" s="1017"/>
      <c r="J43" s="1017"/>
      <c r="K43" s="977">
        <f>H43+I43-J43</f>
        <v>0</v>
      </c>
      <c r="L43" s="1018" t="str">
        <f>B43</f>
        <v>****</v>
      </c>
      <c r="M43" s="593" t="s">
        <v>1110</v>
      </c>
      <c r="N43" s="593" t="s">
        <v>1111</v>
      </c>
    </row>
    <row r="44" spans="1:14">
      <c r="A44" s="647"/>
      <c r="B44" s="609" t="s">
        <v>1047</v>
      </c>
      <c r="C44" s="610" t="s">
        <v>1112</v>
      </c>
      <c r="D44" s="611">
        <f t="shared" ref="D44" si="21">SUM(D45,D48)</f>
        <v>0</v>
      </c>
      <c r="E44" s="611"/>
      <c r="F44" s="611"/>
      <c r="G44" s="1026">
        <f>SUM(G45,G48)</f>
        <v>0</v>
      </c>
      <c r="H44" s="976">
        <f>SUM(H45,H48)</f>
        <v>0</v>
      </c>
      <c r="I44" s="1015"/>
      <c r="J44" s="1015"/>
      <c r="K44" s="976">
        <f>SUM(K45,K48)</f>
        <v>0</v>
      </c>
      <c r="L44" s="1016"/>
      <c r="M44" s="610"/>
      <c r="N44" s="610"/>
    </row>
    <row r="45" spans="1:14">
      <c r="A45" s="647"/>
      <c r="B45" s="612" t="s">
        <v>1049</v>
      </c>
      <c r="C45" s="593" t="s">
        <v>1113</v>
      </c>
      <c r="D45" s="613">
        <f t="shared" ref="D45" si="22">SUM(D46:D47)</f>
        <v>0</v>
      </c>
      <c r="E45" s="613"/>
      <c r="F45" s="613"/>
      <c r="G45" s="1027">
        <f>SUM(G46:G47)</f>
        <v>0</v>
      </c>
      <c r="H45" s="718">
        <f>SUM(H46:H47)</f>
        <v>0</v>
      </c>
      <c r="I45" s="1017"/>
      <c r="J45" s="1017"/>
      <c r="K45" s="718">
        <f>SUM(K46:K47)</f>
        <v>0</v>
      </c>
      <c r="L45" s="1018" t="str">
        <f t="shared" ref="L45:L67" si="23">B45</f>
        <v>****</v>
      </c>
      <c r="M45" s="593"/>
      <c r="N45" s="593"/>
    </row>
    <row r="46" spans="1:14">
      <c r="A46" s="647" t="s">
        <v>679</v>
      </c>
      <c r="B46" s="612" t="s">
        <v>1051</v>
      </c>
      <c r="C46" s="593" t="s">
        <v>1114</v>
      </c>
      <c r="D46" s="613">
        <v>0</v>
      </c>
      <c r="E46" s="613"/>
      <c r="F46" s="613"/>
      <c r="G46" s="1028">
        <f>D46+E46-F46</f>
        <v>0</v>
      </c>
      <c r="H46" s="977">
        <f t="shared" ref="H46:H73" si="24">ROUND(G46*$G$4,)</f>
        <v>0</v>
      </c>
      <c r="I46" s="1017"/>
      <c r="J46" s="1017"/>
      <c r="K46" s="977">
        <f>H46+I46-J46</f>
        <v>0</v>
      </c>
      <c r="L46" s="1018" t="str">
        <f t="shared" si="23"/>
        <v>*****</v>
      </c>
      <c r="M46" s="593" t="s">
        <v>1115</v>
      </c>
      <c r="N46" s="593" t="s">
        <v>1116</v>
      </c>
    </row>
    <row r="47" spans="1:14">
      <c r="A47" s="647" t="s">
        <v>680</v>
      </c>
      <c r="B47" s="612" t="s">
        <v>1051</v>
      </c>
      <c r="C47" s="593" t="s">
        <v>1117</v>
      </c>
      <c r="D47" s="613">
        <v>0</v>
      </c>
      <c r="E47" s="613"/>
      <c r="F47" s="613"/>
      <c r="G47" s="1028">
        <f>D47+E47-F47</f>
        <v>0</v>
      </c>
      <c r="H47" s="977">
        <f t="shared" si="24"/>
        <v>0</v>
      </c>
      <c r="I47" s="1017"/>
      <c r="J47" s="1017"/>
      <c r="K47" s="977">
        <f>H47+I47-J47</f>
        <v>0</v>
      </c>
      <c r="L47" s="1018" t="str">
        <f t="shared" si="23"/>
        <v>*****</v>
      </c>
      <c r="M47" s="593" t="s">
        <v>1115</v>
      </c>
      <c r="N47" s="593" t="s">
        <v>1118</v>
      </c>
    </row>
    <row r="48" spans="1:14">
      <c r="A48" s="647"/>
      <c r="B48" s="612" t="s">
        <v>1049</v>
      </c>
      <c r="C48" s="593" t="s">
        <v>1119</v>
      </c>
      <c r="D48" s="613">
        <v>0</v>
      </c>
      <c r="E48" s="613"/>
      <c r="F48" s="613"/>
      <c r="G48" s="1028">
        <f>D48+E48-F48</f>
        <v>0</v>
      </c>
      <c r="H48" s="977">
        <f t="shared" si="24"/>
        <v>0</v>
      </c>
      <c r="I48" s="1017"/>
      <c r="J48" s="1017"/>
      <c r="K48" s="977">
        <f>H48+I48-J48</f>
        <v>0</v>
      </c>
      <c r="L48" s="1018" t="str">
        <f t="shared" si="23"/>
        <v>****</v>
      </c>
      <c r="M48" s="593" t="s">
        <v>1115</v>
      </c>
      <c r="N48" s="593" t="s">
        <v>1120</v>
      </c>
    </row>
    <row r="49" spans="1:14">
      <c r="A49" s="647"/>
      <c r="B49" s="609" t="s">
        <v>1047</v>
      </c>
      <c r="C49" s="610" t="s">
        <v>1121</v>
      </c>
      <c r="D49" s="611">
        <f t="shared" ref="D49" si="25">D50</f>
        <v>0</v>
      </c>
      <c r="E49" s="611"/>
      <c r="F49" s="611"/>
      <c r="G49" s="1026">
        <f>G50</f>
        <v>0</v>
      </c>
      <c r="H49" s="976">
        <f>H50</f>
        <v>0</v>
      </c>
      <c r="I49" s="1015"/>
      <c r="J49" s="1015"/>
      <c r="K49" s="976">
        <f>K50</f>
        <v>0</v>
      </c>
      <c r="L49" s="1016" t="str">
        <f t="shared" si="23"/>
        <v>***</v>
      </c>
      <c r="M49" s="610"/>
      <c r="N49" s="610"/>
    </row>
    <row r="50" spans="1:14">
      <c r="A50" s="647"/>
      <c r="B50" s="612" t="s">
        <v>1049</v>
      </c>
      <c r="C50" s="593" t="s">
        <v>1122</v>
      </c>
      <c r="D50" s="613"/>
      <c r="E50" s="613"/>
      <c r="F50" s="613"/>
      <c r="G50" s="1028">
        <f>D50+E50-F50</f>
        <v>0</v>
      </c>
      <c r="H50" s="977">
        <f t="shared" si="24"/>
        <v>0</v>
      </c>
      <c r="I50" s="1017"/>
      <c r="J50" s="1017"/>
      <c r="K50" s="977">
        <f>H50+I50-J50</f>
        <v>0</v>
      </c>
      <c r="L50" s="1018" t="str">
        <f t="shared" si="23"/>
        <v>****</v>
      </c>
      <c r="M50" s="593" t="s">
        <v>1123</v>
      </c>
      <c r="N50" s="593" t="s">
        <v>1124</v>
      </c>
    </row>
    <row r="51" spans="1:14">
      <c r="A51" s="647"/>
      <c r="B51" s="609" t="s">
        <v>1125</v>
      </c>
      <c r="C51" s="610" t="s">
        <v>1126</v>
      </c>
      <c r="D51" s="611">
        <f t="shared" ref="D51" si="26">SUM(D52:D64)</f>
        <v>0</v>
      </c>
      <c r="E51" s="611"/>
      <c r="F51" s="611"/>
      <c r="G51" s="1026">
        <f>SUM(G52:G64)</f>
        <v>0</v>
      </c>
      <c r="H51" s="976">
        <f>SUM(H52:H64)</f>
        <v>0</v>
      </c>
      <c r="I51" s="1015"/>
      <c r="J51" s="1015"/>
      <c r="K51" s="976">
        <f>SUM(K52:K64)</f>
        <v>0</v>
      </c>
      <c r="L51" s="1016" t="str">
        <f t="shared" si="23"/>
        <v>***</v>
      </c>
      <c r="M51" s="610"/>
      <c r="N51" s="610"/>
    </row>
    <row r="52" spans="1:14">
      <c r="A52" s="647"/>
      <c r="B52" s="612" t="s">
        <v>1049</v>
      </c>
      <c r="C52" s="593" t="s">
        <v>1127</v>
      </c>
      <c r="D52" s="613"/>
      <c r="E52" s="613"/>
      <c r="F52" s="613"/>
      <c r="G52" s="1028">
        <f t="shared" ref="G52:G64" si="27">D52+E52-F52</f>
        <v>0</v>
      </c>
      <c r="H52" s="977">
        <f t="shared" si="24"/>
        <v>0</v>
      </c>
      <c r="I52" s="1017"/>
      <c r="J52" s="1017"/>
      <c r="K52" s="977">
        <f t="shared" ref="K52:K64" si="28">H52+I52-J52</f>
        <v>0</v>
      </c>
      <c r="L52" s="1018" t="str">
        <f t="shared" si="23"/>
        <v>****</v>
      </c>
      <c r="M52" s="593" t="s">
        <v>27</v>
      </c>
      <c r="N52" s="593" t="s">
        <v>1128</v>
      </c>
    </row>
    <row r="53" spans="1:14">
      <c r="A53" s="647"/>
      <c r="B53" s="612" t="s">
        <v>1049</v>
      </c>
      <c r="C53" s="593" t="s">
        <v>1129</v>
      </c>
      <c r="D53" s="613"/>
      <c r="E53" s="613"/>
      <c r="F53" s="613"/>
      <c r="G53" s="1028">
        <f t="shared" si="27"/>
        <v>0</v>
      </c>
      <c r="H53" s="977">
        <f t="shared" si="24"/>
        <v>0</v>
      </c>
      <c r="I53" s="1017"/>
      <c r="J53" s="1017"/>
      <c r="K53" s="977">
        <f t="shared" si="28"/>
        <v>0</v>
      </c>
      <c r="L53" s="1018" t="str">
        <f t="shared" si="23"/>
        <v>****</v>
      </c>
      <c r="M53" s="593" t="s">
        <v>27</v>
      </c>
      <c r="N53" s="593" t="s">
        <v>1130</v>
      </c>
    </row>
    <row r="54" spans="1:14">
      <c r="A54" s="647"/>
      <c r="B54" s="612" t="s">
        <v>1049</v>
      </c>
      <c r="C54" s="593" t="s">
        <v>1132</v>
      </c>
      <c r="D54" s="613"/>
      <c r="E54" s="613"/>
      <c r="F54" s="613"/>
      <c r="G54" s="1028">
        <f t="shared" si="27"/>
        <v>0</v>
      </c>
      <c r="H54" s="977">
        <f t="shared" si="24"/>
        <v>0</v>
      </c>
      <c r="I54" s="1017"/>
      <c r="J54" s="1017"/>
      <c r="K54" s="977">
        <f t="shared" si="28"/>
        <v>0</v>
      </c>
      <c r="L54" s="1018" t="str">
        <f t="shared" si="23"/>
        <v>****</v>
      </c>
      <c r="M54" s="593" t="s">
        <v>27</v>
      </c>
      <c r="N54" s="593" t="s">
        <v>1133</v>
      </c>
    </row>
    <row r="55" spans="1:14">
      <c r="A55" s="647"/>
      <c r="B55" s="612" t="s">
        <v>1049</v>
      </c>
      <c r="C55" s="593" t="s">
        <v>1134</v>
      </c>
      <c r="D55" s="613"/>
      <c r="E55" s="613"/>
      <c r="F55" s="613"/>
      <c r="G55" s="1028">
        <f t="shared" si="27"/>
        <v>0</v>
      </c>
      <c r="H55" s="977">
        <f t="shared" si="24"/>
        <v>0</v>
      </c>
      <c r="I55" s="1017"/>
      <c r="J55" s="1017"/>
      <c r="K55" s="977">
        <f t="shared" si="28"/>
        <v>0</v>
      </c>
      <c r="L55" s="1018" t="str">
        <f t="shared" si="23"/>
        <v>****</v>
      </c>
      <c r="M55" s="593" t="s">
        <v>27</v>
      </c>
      <c r="N55" s="593" t="s">
        <v>1135</v>
      </c>
    </row>
    <row r="56" spans="1:14">
      <c r="A56" s="647"/>
      <c r="B56" s="612" t="s">
        <v>1049</v>
      </c>
      <c r="C56" s="593" t="s">
        <v>1136</v>
      </c>
      <c r="D56" s="613"/>
      <c r="E56" s="613"/>
      <c r="F56" s="613"/>
      <c r="G56" s="1028">
        <f t="shared" si="27"/>
        <v>0</v>
      </c>
      <c r="H56" s="977">
        <f t="shared" si="24"/>
        <v>0</v>
      </c>
      <c r="I56" s="1017"/>
      <c r="J56" s="1017"/>
      <c r="K56" s="977">
        <f t="shared" si="28"/>
        <v>0</v>
      </c>
      <c r="L56" s="1018" t="str">
        <f t="shared" si="23"/>
        <v>****</v>
      </c>
      <c r="M56" s="593" t="s">
        <v>27</v>
      </c>
      <c r="N56" s="593" t="s">
        <v>1137</v>
      </c>
    </row>
    <row r="57" spans="1:14">
      <c r="A57" s="647"/>
      <c r="B57" s="612" t="s">
        <v>1049</v>
      </c>
      <c r="C57" s="593" t="s">
        <v>1138</v>
      </c>
      <c r="D57" s="613"/>
      <c r="E57" s="613"/>
      <c r="F57" s="613"/>
      <c r="G57" s="1028">
        <f t="shared" si="27"/>
        <v>0</v>
      </c>
      <c r="H57" s="977">
        <f t="shared" si="24"/>
        <v>0</v>
      </c>
      <c r="I57" s="1017"/>
      <c r="J57" s="1017"/>
      <c r="K57" s="977">
        <f t="shared" si="28"/>
        <v>0</v>
      </c>
      <c r="L57" s="1018" t="str">
        <f t="shared" si="23"/>
        <v>****</v>
      </c>
      <c r="M57" s="593" t="s">
        <v>27</v>
      </c>
      <c r="N57" s="593" t="s">
        <v>1139</v>
      </c>
    </row>
    <row r="58" spans="1:14">
      <c r="A58" s="647" t="s">
        <v>665</v>
      </c>
      <c r="B58" s="612" t="s">
        <v>1049</v>
      </c>
      <c r="C58" s="593" t="s">
        <v>1140</v>
      </c>
      <c r="D58" s="613"/>
      <c r="E58" s="613"/>
      <c r="F58" s="613"/>
      <c r="G58" s="1028">
        <f t="shared" si="27"/>
        <v>0</v>
      </c>
      <c r="H58" s="977">
        <f t="shared" si="24"/>
        <v>0</v>
      </c>
      <c r="I58" s="1017"/>
      <c r="J58" s="1017"/>
      <c r="K58" s="977">
        <f t="shared" si="28"/>
        <v>0</v>
      </c>
      <c r="L58" s="1018" t="str">
        <f t="shared" si="23"/>
        <v>****</v>
      </c>
      <c r="M58" s="593" t="s">
        <v>27</v>
      </c>
      <c r="N58" s="593" t="s">
        <v>1141</v>
      </c>
    </row>
    <row r="59" spans="1:14">
      <c r="A59" s="647" t="s">
        <v>666</v>
      </c>
      <c r="B59" s="612" t="s">
        <v>1049</v>
      </c>
      <c r="C59" s="593" t="s">
        <v>1142</v>
      </c>
      <c r="D59" s="613"/>
      <c r="E59" s="613"/>
      <c r="F59" s="613"/>
      <c r="G59" s="1028">
        <f t="shared" si="27"/>
        <v>0</v>
      </c>
      <c r="H59" s="977">
        <f t="shared" si="24"/>
        <v>0</v>
      </c>
      <c r="I59" s="1017"/>
      <c r="J59" s="1017"/>
      <c r="K59" s="977">
        <f t="shared" si="28"/>
        <v>0</v>
      </c>
      <c r="L59" s="1018" t="str">
        <f t="shared" si="23"/>
        <v>****</v>
      </c>
      <c r="M59" s="593" t="s">
        <v>27</v>
      </c>
      <c r="N59" s="593" t="s">
        <v>1143</v>
      </c>
    </row>
    <row r="60" spans="1:14">
      <c r="A60" s="647"/>
      <c r="B60" s="612" t="s">
        <v>1049</v>
      </c>
      <c r="C60" s="593" t="s">
        <v>1144</v>
      </c>
      <c r="D60" s="613"/>
      <c r="E60" s="613"/>
      <c r="F60" s="613"/>
      <c r="G60" s="1028">
        <f t="shared" si="27"/>
        <v>0</v>
      </c>
      <c r="H60" s="977">
        <f t="shared" si="24"/>
        <v>0</v>
      </c>
      <c r="I60" s="1017"/>
      <c r="J60" s="1017"/>
      <c r="K60" s="977">
        <f t="shared" si="28"/>
        <v>0</v>
      </c>
      <c r="L60" s="1018" t="str">
        <f t="shared" si="23"/>
        <v>****</v>
      </c>
      <c r="M60" s="593" t="s">
        <v>27</v>
      </c>
      <c r="N60" s="593" t="s">
        <v>1145</v>
      </c>
    </row>
    <row r="61" spans="1:14">
      <c r="A61" s="647" t="s">
        <v>668</v>
      </c>
      <c r="B61" s="612" t="s">
        <v>1049</v>
      </c>
      <c r="C61" s="593" t="s">
        <v>1146</v>
      </c>
      <c r="D61" s="613"/>
      <c r="E61" s="613"/>
      <c r="F61" s="613"/>
      <c r="G61" s="1028">
        <f t="shared" si="27"/>
        <v>0</v>
      </c>
      <c r="H61" s="977">
        <f t="shared" si="24"/>
        <v>0</v>
      </c>
      <c r="I61" s="1017"/>
      <c r="J61" s="1017"/>
      <c r="K61" s="977">
        <f t="shared" si="28"/>
        <v>0</v>
      </c>
      <c r="L61" s="1018" t="str">
        <f t="shared" si="23"/>
        <v>****</v>
      </c>
      <c r="M61" s="593" t="s">
        <v>27</v>
      </c>
      <c r="N61" s="593" t="s">
        <v>1026</v>
      </c>
    </row>
    <row r="62" spans="1:14">
      <c r="A62" s="647" t="s">
        <v>670</v>
      </c>
      <c r="B62" s="612" t="s">
        <v>1049</v>
      </c>
      <c r="C62" s="593" t="s">
        <v>1147</v>
      </c>
      <c r="D62" s="613"/>
      <c r="E62" s="613"/>
      <c r="F62" s="613"/>
      <c r="G62" s="1028">
        <f t="shared" si="27"/>
        <v>0</v>
      </c>
      <c r="H62" s="977">
        <f t="shared" si="24"/>
        <v>0</v>
      </c>
      <c r="I62" s="1017"/>
      <c r="J62" s="1017"/>
      <c r="K62" s="977">
        <f t="shared" si="28"/>
        <v>0</v>
      </c>
      <c r="L62" s="1018" t="str">
        <f t="shared" si="23"/>
        <v>****</v>
      </c>
      <c r="M62" s="593" t="s">
        <v>27</v>
      </c>
      <c r="N62" s="593" t="s">
        <v>1148</v>
      </c>
    </row>
    <row r="63" spans="1:14">
      <c r="A63" s="647" t="s">
        <v>672</v>
      </c>
      <c r="B63" s="612" t="s">
        <v>1049</v>
      </c>
      <c r="C63" s="593" t="s">
        <v>2544</v>
      </c>
      <c r="D63" s="613"/>
      <c r="E63" s="613"/>
      <c r="F63" s="613"/>
      <c r="G63" s="1028">
        <f t="shared" si="27"/>
        <v>0</v>
      </c>
      <c r="H63" s="977">
        <f t="shared" si="24"/>
        <v>0</v>
      </c>
      <c r="I63" s="1017"/>
      <c r="J63" s="1017"/>
      <c r="K63" s="977">
        <f t="shared" si="28"/>
        <v>0</v>
      </c>
      <c r="L63" s="1018" t="str">
        <f t="shared" si="23"/>
        <v>****</v>
      </c>
      <c r="M63" s="593" t="s">
        <v>27</v>
      </c>
      <c r="N63" s="593" t="s">
        <v>1149</v>
      </c>
    </row>
    <row r="64" spans="1:14">
      <c r="A64" s="647" t="s">
        <v>673</v>
      </c>
      <c r="B64" s="612" t="s">
        <v>1049</v>
      </c>
      <c r="C64" s="593" t="s">
        <v>2545</v>
      </c>
      <c r="D64" s="613"/>
      <c r="E64" s="613"/>
      <c r="F64" s="613"/>
      <c r="G64" s="1028">
        <f t="shared" si="27"/>
        <v>0</v>
      </c>
      <c r="H64" s="977">
        <f t="shared" si="24"/>
        <v>0</v>
      </c>
      <c r="I64" s="1017"/>
      <c r="J64" s="1017"/>
      <c r="K64" s="977">
        <f t="shared" si="28"/>
        <v>0</v>
      </c>
      <c r="L64" s="1018" t="str">
        <f t="shared" si="23"/>
        <v>****</v>
      </c>
      <c r="M64" s="593" t="s">
        <v>27</v>
      </c>
      <c r="N64" s="593" t="s">
        <v>1150</v>
      </c>
    </row>
    <row r="65" spans="1:14">
      <c r="A65" s="647"/>
      <c r="B65" s="609" t="s">
        <v>1047</v>
      </c>
      <c r="C65" s="610" t="s">
        <v>1151</v>
      </c>
      <c r="D65" s="611">
        <f t="shared" ref="D65" si="29">SUM(D66:D69,D72,D73)</f>
        <v>0</v>
      </c>
      <c r="E65" s="611"/>
      <c r="F65" s="611"/>
      <c r="G65" s="1026">
        <f>SUM(G66:G69,G72,G73)</f>
        <v>0</v>
      </c>
      <c r="H65" s="976">
        <f>SUM(H66:H69,H72,H73)</f>
        <v>0</v>
      </c>
      <c r="I65" s="1015"/>
      <c r="J65" s="1015"/>
      <c r="K65" s="976">
        <f>SUM(K66:K69,K72,K73)</f>
        <v>0</v>
      </c>
      <c r="L65" s="1016" t="str">
        <f t="shared" si="23"/>
        <v>***</v>
      </c>
      <c r="M65" s="610"/>
      <c r="N65" s="610"/>
    </row>
    <row r="66" spans="1:14">
      <c r="A66" s="647"/>
      <c r="B66" s="612" t="s">
        <v>1049</v>
      </c>
      <c r="C66" s="593" t="s">
        <v>1152</v>
      </c>
      <c r="D66" s="613"/>
      <c r="E66" s="613"/>
      <c r="F66" s="613"/>
      <c r="G66" s="1028">
        <f t="shared" ref="G66:G68" si="30">D66+E66-F66</f>
        <v>0</v>
      </c>
      <c r="H66" s="977">
        <f t="shared" si="24"/>
        <v>0</v>
      </c>
      <c r="I66" s="1017"/>
      <c r="J66" s="1017"/>
      <c r="K66" s="977">
        <f t="shared" ref="K66:K68" si="31">H66+I66-J66</f>
        <v>0</v>
      </c>
      <c r="L66" s="1018" t="str">
        <f t="shared" si="23"/>
        <v>****</v>
      </c>
      <c r="M66" s="593" t="s">
        <v>875</v>
      </c>
      <c r="N66" s="593" t="s">
        <v>1153</v>
      </c>
    </row>
    <row r="67" spans="1:14">
      <c r="A67" s="647"/>
      <c r="B67" s="612" t="s">
        <v>1049</v>
      </c>
      <c r="C67" s="593" t="s">
        <v>1154</v>
      </c>
      <c r="D67" s="613"/>
      <c r="E67" s="613"/>
      <c r="F67" s="613"/>
      <c r="G67" s="1028">
        <f t="shared" si="30"/>
        <v>0</v>
      </c>
      <c r="H67" s="977">
        <f t="shared" si="24"/>
        <v>0</v>
      </c>
      <c r="I67" s="1017"/>
      <c r="J67" s="1017"/>
      <c r="K67" s="977">
        <f t="shared" si="31"/>
        <v>0</v>
      </c>
      <c r="L67" s="1018" t="str">
        <f t="shared" si="23"/>
        <v>****</v>
      </c>
      <c r="M67" s="593" t="s">
        <v>875</v>
      </c>
      <c r="N67" s="593" t="s">
        <v>1155</v>
      </c>
    </row>
    <row r="68" spans="1:14">
      <c r="A68" s="647"/>
      <c r="B68" s="612" t="s">
        <v>1049</v>
      </c>
      <c r="C68" s="593" t="s">
        <v>1156</v>
      </c>
      <c r="D68" s="613"/>
      <c r="E68" s="613"/>
      <c r="F68" s="613"/>
      <c r="G68" s="1028">
        <f t="shared" si="30"/>
        <v>0</v>
      </c>
      <c r="H68" s="977">
        <f t="shared" si="24"/>
        <v>0</v>
      </c>
      <c r="I68" s="1017"/>
      <c r="J68" s="1017"/>
      <c r="K68" s="977">
        <f t="shared" si="31"/>
        <v>0</v>
      </c>
      <c r="L68" s="1018"/>
      <c r="M68" s="593" t="s">
        <v>875</v>
      </c>
      <c r="N68" s="593" t="s">
        <v>1157</v>
      </c>
    </row>
    <row r="69" spans="1:14">
      <c r="A69" s="647"/>
      <c r="B69" s="612" t="s">
        <v>1049</v>
      </c>
      <c r="C69" s="593" t="s">
        <v>1158</v>
      </c>
      <c r="D69" s="613">
        <f t="shared" ref="D69" si="32">SUM(D70:D71)</f>
        <v>0</v>
      </c>
      <c r="E69" s="613"/>
      <c r="F69" s="613"/>
      <c r="G69" s="1027">
        <f>SUM(G70:G71)</f>
        <v>0</v>
      </c>
      <c r="H69" s="718">
        <f>SUM(H70:H71)</f>
        <v>0</v>
      </c>
      <c r="I69" s="1017"/>
      <c r="J69" s="1017"/>
      <c r="K69" s="718">
        <f>SUM(K70:K71)</f>
        <v>0</v>
      </c>
      <c r="L69" s="1018" t="str">
        <f>B69</f>
        <v>****</v>
      </c>
      <c r="M69" s="593"/>
      <c r="N69" s="593"/>
    </row>
    <row r="70" spans="1:14">
      <c r="A70" s="647"/>
      <c r="B70" s="612" t="s">
        <v>1051</v>
      </c>
      <c r="C70" s="593" t="s">
        <v>1159</v>
      </c>
      <c r="D70" s="613"/>
      <c r="E70" s="613"/>
      <c r="F70" s="613"/>
      <c r="G70" s="1028">
        <f t="shared" ref="G70:G72" si="33">D70+E70-F70</f>
        <v>0</v>
      </c>
      <c r="H70" s="977">
        <f t="shared" si="24"/>
        <v>0</v>
      </c>
      <c r="I70" s="1017"/>
      <c r="J70" s="1017"/>
      <c r="K70" s="977">
        <f t="shared" ref="K70:K72" si="34">H70+I70-J70</f>
        <v>0</v>
      </c>
      <c r="L70" s="1018" t="str">
        <f>B70</f>
        <v>*****</v>
      </c>
      <c r="M70" s="593" t="s">
        <v>35</v>
      </c>
      <c r="N70" s="593" t="s">
        <v>1160</v>
      </c>
    </row>
    <row r="71" spans="1:14">
      <c r="A71" s="647"/>
      <c r="B71" s="612" t="s">
        <v>1051</v>
      </c>
      <c r="C71" s="593" t="s">
        <v>1161</v>
      </c>
      <c r="D71" s="613"/>
      <c r="E71" s="613"/>
      <c r="F71" s="613"/>
      <c r="G71" s="1028">
        <f t="shared" si="33"/>
        <v>0</v>
      </c>
      <c r="H71" s="977">
        <f t="shared" si="24"/>
        <v>0</v>
      </c>
      <c r="I71" s="1017"/>
      <c r="J71" s="1017"/>
      <c r="K71" s="977">
        <f t="shared" si="34"/>
        <v>0</v>
      </c>
      <c r="L71" s="1018" t="str">
        <f>B71</f>
        <v>*****</v>
      </c>
      <c r="M71" s="593" t="s">
        <v>35</v>
      </c>
      <c r="N71" s="593" t="s">
        <v>1162</v>
      </c>
    </row>
    <row r="72" spans="1:14">
      <c r="A72" s="647"/>
      <c r="B72" s="612" t="s">
        <v>1051</v>
      </c>
      <c r="C72" s="593" t="s">
        <v>1163</v>
      </c>
      <c r="D72" s="613"/>
      <c r="E72" s="613"/>
      <c r="F72" s="613"/>
      <c r="G72" s="1028">
        <f t="shared" si="33"/>
        <v>0</v>
      </c>
      <c r="H72" s="977">
        <f t="shared" si="24"/>
        <v>0</v>
      </c>
      <c r="I72" s="1017"/>
      <c r="J72" s="1017"/>
      <c r="K72" s="977">
        <f t="shared" si="34"/>
        <v>0</v>
      </c>
      <c r="L72" s="1018" t="s">
        <v>1049</v>
      </c>
      <c r="M72" s="593" t="s">
        <v>875</v>
      </c>
      <c r="N72" s="593" t="s">
        <v>1164</v>
      </c>
    </row>
    <row r="73" spans="1:14">
      <c r="A73" s="647"/>
      <c r="B73" s="612"/>
      <c r="C73" s="593" t="s">
        <v>1165</v>
      </c>
      <c r="D73" s="613"/>
      <c r="E73" s="613"/>
      <c r="F73" s="613"/>
      <c r="G73" s="1028"/>
      <c r="H73" s="977">
        <f t="shared" si="24"/>
        <v>0</v>
      </c>
      <c r="I73" s="1017"/>
      <c r="J73" s="1017"/>
      <c r="K73" s="977"/>
      <c r="L73" s="1018"/>
      <c r="M73" s="593"/>
      <c r="N73" s="593"/>
    </row>
    <row r="74" spans="1:14">
      <c r="A74" s="647"/>
      <c r="B74" s="609" t="s">
        <v>1047</v>
      </c>
      <c r="C74" s="610" t="s">
        <v>1166</v>
      </c>
      <c r="D74" s="611"/>
      <c r="E74" s="611"/>
      <c r="F74" s="611"/>
      <c r="G74" s="1029">
        <v>0</v>
      </c>
      <c r="H74" s="1004">
        <v>0</v>
      </c>
      <c r="I74" s="1019"/>
      <c r="J74" s="1019"/>
      <c r="K74" s="1004">
        <v>0</v>
      </c>
      <c r="L74" s="1020" t="str">
        <f>B74</f>
        <v>***</v>
      </c>
      <c r="M74" s="1002" t="s">
        <v>1167</v>
      </c>
      <c r="N74" s="1002" t="s">
        <v>1167</v>
      </c>
    </row>
    <row r="75" spans="1:14">
      <c r="A75" s="647"/>
      <c r="B75" s="606" t="s">
        <v>1043</v>
      </c>
      <c r="C75" s="607" t="s">
        <v>1168</v>
      </c>
      <c r="D75" s="608">
        <f t="shared" ref="D75" si="35">SUM(D76,D98)</f>
        <v>-10076.709999999999</v>
      </c>
      <c r="E75" s="608"/>
      <c r="F75" s="608"/>
      <c r="G75" s="1030">
        <f>SUM(G76,G98)</f>
        <v>0</v>
      </c>
      <c r="H75" s="975">
        <f>SUM(H76,H98)</f>
        <v>0</v>
      </c>
      <c r="I75" s="1021"/>
      <c r="J75" s="1021"/>
      <c r="K75" s="975">
        <f>SUM(K76,K98)</f>
        <v>0</v>
      </c>
      <c r="L75" s="1022" t="str">
        <f>B75</f>
        <v>*</v>
      </c>
      <c r="M75" s="607"/>
      <c r="N75" s="607"/>
    </row>
    <row r="76" spans="1:14">
      <c r="A76" s="647"/>
      <c r="B76" s="997" t="s">
        <v>1045</v>
      </c>
      <c r="C76" s="998" t="s">
        <v>1169</v>
      </c>
      <c r="D76" s="998">
        <f t="shared" ref="D76" si="36">SUM(D77,D78,D79,D80,D82,D85,D86,D87)</f>
        <v>-10076.709999999999</v>
      </c>
      <c r="E76" s="998"/>
      <c r="F76" s="998"/>
      <c r="G76" s="1025">
        <f>SUM(G77,G78,G79,G80,G82,G85,G86,G87)</f>
        <v>0</v>
      </c>
      <c r="H76" s="1000">
        <f>SUM(H77,H78,H79,H80,H82,H85,H86,H87)</f>
        <v>0</v>
      </c>
      <c r="I76" s="1013"/>
      <c r="J76" s="1013"/>
      <c r="K76" s="1000">
        <f>SUM(K77,K78,K79,K80,K82,K85,K86,K87)</f>
        <v>0</v>
      </c>
      <c r="L76" s="1014" t="str">
        <f>B76</f>
        <v>**</v>
      </c>
      <c r="M76" s="998"/>
      <c r="N76" s="998"/>
    </row>
    <row r="77" spans="1:14">
      <c r="A77" s="647"/>
      <c r="B77" s="609" t="s">
        <v>1047</v>
      </c>
      <c r="C77" s="610" t="s">
        <v>1170</v>
      </c>
      <c r="D77" s="611">
        <v>0</v>
      </c>
      <c r="E77" s="611"/>
      <c r="F77" s="611"/>
      <c r="G77" s="1029">
        <f>D77-E77+F77</f>
        <v>0</v>
      </c>
      <c r="H77" s="1004">
        <f t="shared" ref="H77:H79" si="37">ROUND(G77*$G$4,)</f>
        <v>0</v>
      </c>
      <c r="I77" s="1019"/>
      <c r="J77" s="1019"/>
      <c r="K77" s="1004">
        <f>H77-I77+J77</f>
        <v>0</v>
      </c>
      <c r="L77" s="1020" t="str">
        <f>B77</f>
        <v>***</v>
      </c>
      <c r="M77" s="610" t="s">
        <v>880</v>
      </c>
      <c r="N77" s="610" t="s">
        <v>880</v>
      </c>
    </row>
    <row r="78" spans="1:14">
      <c r="A78" s="647"/>
      <c r="B78" s="609" t="s">
        <v>1047</v>
      </c>
      <c r="C78" s="610" t="s">
        <v>1171</v>
      </c>
      <c r="D78" s="611">
        <v>0</v>
      </c>
      <c r="E78" s="611"/>
      <c r="F78" s="611"/>
      <c r="G78" s="1029">
        <f t="shared" ref="G78:G79" si="38">D78-E78+F78</f>
        <v>0</v>
      </c>
      <c r="H78" s="1004">
        <f t="shared" si="37"/>
        <v>0</v>
      </c>
      <c r="I78" s="1019"/>
      <c r="J78" s="1019"/>
      <c r="K78" s="1004">
        <f t="shared" ref="K78:K79" si="39">H78-I78+J78</f>
        <v>0</v>
      </c>
      <c r="L78" s="1020" t="str">
        <f>B78</f>
        <v>***</v>
      </c>
      <c r="M78" s="610" t="s">
        <v>1091</v>
      </c>
      <c r="N78" s="610" t="s">
        <v>1172</v>
      </c>
    </row>
    <row r="79" spans="1:14">
      <c r="A79" s="647"/>
      <c r="B79" s="609"/>
      <c r="C79" s="610" t="s">
        <v>1173</v>
      </c>
      <c r="D79" s="611">
        <v>0</v>
      </c>
      <c r="E79" s="611"/>
      <c r="F79" s="611"/>
      <c r="G79" s="1029">
        <f t="shared" si="38"/>
        <v>0</v>
      </c>
      <c r="H79" s="1004">
        <f t="shared" si="37"/>
        <v>0</v>
      </c>
      <c r="I79" s="1019"/>
      <c r="J79" s="1019"/>
      <c r="K79" s="1004">
        <f t="shared" si="39"/>
        <v>0</v>
      </c>
      <c r="L79" s="1020"/>
      <c r="M79" s="607" t="s">
        <v>1174</v>
      </c>
      <c r="N79" s="610" t="s">
        <v>1175</v>
      </c>
    </row>
    <row r="80" spans="1:14">
      <c r="A80" s="647"/>
      <c r="B80" s="609" t="s">
        <v>1047</v>
      </c>
      <c r="C80" s="610" t="s">
        <v>1176</v>
      </c>
      <c r="D80" s="611">
        <f t="shared" ref="D80" si="40">D81</f>
        <v>0</v>
      </c>
      <c r="E80" s="611"/>
      <c r="F80" s="611"/>
      <c r="G80" s="1026">
        <f>G81</f>
        <v>0</v>
      </c>
      <c r="H80" s="976">
        <f>H81</f>
        <v>0</v>
      </c>
      <c r="I80" s="1015"/>
      <c r="J80" s="1015"/>
      <c r="K80" s="976">
        <f>K81</f>
        <v>0</v>
      </c>
      <c r="L80" s="1016" t="str">
        <f t="shared" ref="L80:L93" si="41">B80</f>
        <v>***</v>
      </c>
      <c r="M80" s="610"/>
      <c r="N80" s="610"/>
    </row>
    <row r="81" spans="1:14">
      <c r="A81" s="647" t="s">
        <v>681</v>
      </c>
      <c r="B81" s="612" t="s">
        <v>1049</v>
      </c>
      <c r="C81" s="593" t="s">
        <v>1177</v>
      </c>
      <c r="D81" s="613">
        <v>0</v>
      </c>
      <c r="E81" s="613"/>
      <c r="F81" s="613"/>
      <c r="G81" s="1028">
        <f>D81-E81+F81</f>
        <v>0</v>
      </c>
      <c r="H81" s="977">
        <f t="shared" ref="H81" si="42">ROUND(G81*$G$4,)</f>
        <v>0</v>
      </c>
      <c r="I81" s="1017"/>
      <c r="J81" s="1017"/>
      <c r="K81" s="977">
        <f>H81-I81+J81</f>
        <v>0</v>
      </c>
      <c r="L81" s="1018" t="str">
        <f t="shared" si="41"/>
        <v>****</v>
      </c>
      <c r="M81" s="593" t="s">
        <v>1087</v>
      </c>
      <c r="N81" s="593" t="s">
        <v>49</v>
      </c>
    </row>
    <row r="82" spans="1:14">
      <c r="A82" s="647"/>
      <c r="B82" s="609" t="s">
        <v>1047</v>
      </c>
      <c r="C82" s="610" t="s">
        <v>1178</v>
      </c>
      <c r="D82" s="611">
        <f t="shared" ref="D82" si="43">SUM(D83:D84)</f>
        <v>0</v>
      </c>
      <c r="E82" s="611"/>
      <c r="F82" s="611"/>
      <c r="G82" s="1026">
        <f>SUM(G83:G84)</f>
        <v>0</v>
      </c>
      <c r="H82" s="976">
        <f>SUM(H83:H84)</f>
        <v>0</v>
      </c>
      <c r="I82" s="1015"/>
      <c r="J82" s="1015"/>
      <c r="K82" s="976">
        <f>SUM(K83:K84)</f>
        <v>0</v>
      </c>
      <c r="L82" s="1016" t="str">
        <f t="shared" si="41"/>
        <v>***</v>
      </c>
      <c r="M82" s="610"/>
      <c r="N82" s="610"/>
    </row>
    <row r="83" spans="1:14">
      <c r="A83" s="647" t="s">
        <v>682</v>
      </c>
      <c r="B83" s="612" t="s">
        <v>1049</v>
      </c>
      <c r="C83" s="593" t="s">
        <v>1179</v>
      </c>
      <c r="D83" s="613">
        <v>0</v>
      </c>
      <c r="E83" s="613"/>
      <c r="F83" s="613"/>
      <c r="G83" s="1028">
        <f t="shared" ref="G83:G84" si="44">D83-E83+F83</f>
        <v>0</v>
      </c>
      <c r="H83" s="977">
        <f t="shared" ref="H83:H86" si="45">ROUND(G83*$G$4,)</f>
        <v>0</v>
      </c>
      <c r="I83" s="1017"/>
      <c r="J83" s="1017"/>
      <c r="K83" s="977">
        <f t="shared" ref="K83:K84" si="46">H83-I83+J83</f>
        <v>0</v>
      </c>
      <c r="L83" s="1018" t="str">
        <f t="shared" si="41"/>
        <v>****</v>
      </c>
      <c r="M83" s="593" t="s">
        <v>1087</v>
      </c>
      <c r="N83" s="593" t="s">
        <v>1180</v>
      </c>
    </row>
    <row r="84" spans="1:14">
      <c r="A84" s="647" t="s">
        <v>687</v>
      </c>
      <c r="B84" s="612" t="s">
        <v>1049</v>
      </c>
      <c r="C84" s="593" t="s">
        <v>1181</v>
      </c>
      <c r="D84" s="613">
        <v>0</v>
      </c>
      <c r="E84" s="613"/>
      <c r="F84" s="613"/>
      <c r="G84" s="1028">
        <f t="shared" si="44"/>
        <v>0</v>
      </c>
      <c r="H84" s="977">
        <f t="shared" si="45"/>
        <v>0</v>
      </c>
      <c r="I84" s="1017"/>
      <c r="J84" s="1017"/>
      <c r="K84" s="977">
        <f t="shared" si="46"/>
        <v>0</v>
      </c>
      <c r="L84" s="1018" t="str">
        <f t="shared" si="41"/>
        <v>****</v>
      </c>
      <c r="M84" s="593" t="s">
        <v>1087</v>
      </c>
      <c r="N84" s="593" t="s">
        <v>1182</v>
      </c>
    </row>
    <row r="85" spans="1:14">
      <c r="A85" s="647"/>
      <c r="B85" s="609" t="s">
        <v>1047</v>
      </c>
      <c r="C85" s="610" t="s">
        <v>1183</v>
      </c>
      <c r="D85" s="611">
        <v>0</v>
      </c>
      <c r="E85" s="611"/>
      <c r="F85" s="611"/>
      <c r="G85" s="1029">
        <f>D85-E85+F85</f>
        <v>0</v>
      </c>
      <c r="H85" s="1004">
        <v>0</v>
      </c>
      <c r="I85" s="1019"/>
      <c r="J85" s="1019"/>
      <c r="K85" s="1004">
        <f>H85-I85+J85</f>
        <v>0</v>
      </c>
      <c r="L85" s="1016" t="str">
        <f t="shared" si="41"/>
        <v>***</v>
      </c>
      <c r="M85" s="610" t="s">
        <v>1184</v>
      </c>
      <c r="N85" s="610" t="s">
        <v>1184</v>
      </c>
    </row>
    <row r="86" spans="1:14">
      <c r="A86" s="647"/>
      <c r="B86" s="609" t="s">
        <v>1047</v>
      </c>
      <c r="C86" s="610" t="s">
        <v>1185</v>
      </c>
      <c r="D86" s="611">
        <v>-10076.709999999999</v>
      </c>
      <c r="E86" s="611"/>
      <c r="F86" s="611">
        <v>10076.709999999999</v>
      </c>
      <c r="G86" s="1029">
        <f>D86-E86+F86</f>
        <v>0</v>
      </c>
      <c r="H86" s="1004">
        <f t="shared" si="45"/>
        <v>0</v>
      </c>
      <c r="I86" s="1019"/>
      <c r="J86" s="1019"/>
      <c r="K86" s="1004">
        <f>H86-I86+J86</f>
        <v>0</v>
      </c>
      <c r="L86" s="1016" t="str">
        <f t="shared" si="41"/>
        <v>***</v>
      </c>
      <c r="M86" s="610" t="s">
        <v>689</v>
      </c>
      <c r="N86" s="610" t="s">
        <v>1186</v>
      </c>
    </row>
    <row r="87" spans="1:14">
      <c r="A87" s="647"/>
      <c r="B87" s="609" t="s">
        <v>1047</v>
      </c>
      <c r="C87" s="610" t="s">
        <v>1187</v>
      </c>
      <c r="D87" s="611">
        <f t="shared" ref="D87" si="47">SUM(D88:D93)</f>
        <v>0</v>
      </c>
      <c r="E87" s="611"/>
      <c r="F87" s="611"/>
      <c r="G87" s="1026">
        <f>SUM(G88:G93)</f>
        <v>0</v>
      </c>
      <c r="H87" s="976">
        <f>SUM(H88:H93)</f>
        <v>0</v>
      </c>
      <c r="I87" s="1015"/>
      <c r="J87" s="1015"/>
      <c r="K87" s="976">
        <f>SUM(K88:K93)</f>
        <v>0</v>
      </c>
      <c r="L87" s="1016" t="str">
        <f t="shared" si="41"/>
        <v>***</v>
      </c>
      <c r="M87" s="610"/>
      <c r="N87" s="610"/>
    </row>
    <row r="88" spans="1:14">
      <c r="A88" s="647" t="s">
        <v>685</v>
      </c>
      <c r="B88" s="612" t="s">
        <v>1049</v>
      </c>
      <c r="C88" s="593" t="s">
        <v>1188</v>
      </c>
      <c r="D88" s="613"/>
      <c r="E88" s="613"/>
      <c r="F88" s="613"/>
      <c r="G88" s="1028">
        <f t="shared" ref="G88:G93" si="48">D88-E88+F88</f>
        <v>0</v>
      </c>
      <c r="H88" s="977">
        <f t="shared" ref="H88:H93" si="49">ROUND(G88*$G$4,)</f>
        <v>0</v>
      </c>
      <c r="I88" s="1017"/>
      <c r="J88" s="1017"/>
      <c r="K88" s="977">
        <f t="shared" ref="K88:K93" si="50">H88-I88+J88</f>
        <v>0</v>
      </c>
      <c r="L88" s="1018" t="str">
        <f t="shared" si="41"/>
        <v>****</v>
      </c>
      <c r="M88" s="593" t="s">
        <v>107</v>
      </c>
      <c r="N88" s="593" t="s">
        <v>1189</v>
      </c>
    </row>
    <row r="89" spans="1:14">
      <c r="A89" s="647" t="s">
        <v>683</v>
      </c>
      <c r="B89" s="612" t="s">
        <v>1049</v>
      </c>
      <c r="C89" s="593" t="s">
        <v>1190</v>
      </c>
      <c r="D89" s="613"/>
      <c r="E89" s="613"/>
      <c r="F89" s="613"/>
      <c r="G89" s="1028">
        <f t="shared" si="48"/>
        <v>0</v>
      </c>
      <c r="H89" s="977">
        <f t="shared" si="49"/>
        <v>0</v>
      </c>
      <c r="I89" s="1017"/>
      <c r="J89" s="1017"/>
      <c r="K89" s="977">
        <f t="shared" si="50"/>
        <v>0</v>
      </c>
      <c r="L89" s="1018" t="str">
        <f t="shared" si="41"/>
        <v>****</v>
      </c>
      <c r="M89" s="593" t="s">
        <v>107</v>
      </c>
      <c r="N89" s="593" t="s">
        <v>879</v>
      </c>
    </row>
    <row r="90" spans="1:14">
      <c r="A90" s="647" t="s">
        <v>693</v>
      </c>
      <c r="B90" s="612" t="s">
        <v>1049</v>
      </c>
      <c r="C90" s="593" t="s">
        <v>2546</v>
      </c>
      <c r="D90" s="613"/>
      <c r="E90" s="613"/>
      <c r="F90" s="613"/>
      <c r="G90" s="1028">
        <f t="shared" si="48"/>
        <v>0</v>
      </c>
      <c r="H90" s="977">
        <f t="shared" si="49"/>
        <v>0</v>
      </c>
      <c r="I90" s="1017"/>
      <c r="J90" s="1017"/>
      <c r="K90" s="977">
        <f t="shared" si="50"/>
        <v>0</v>
      </c>
      <c r="L90" s="1018" t="str">
        <f t="shared" si="41"/>
        <v>****</v>
      </c>
      <c r="M90" s="593" t="s">
        <v>107</v>
      </c>
      <c r="N90" s="593" t="s">
        <v>1192</v>
      </c>
    </row>
    <row r="91" spans="1:14">
      <c r="A91" s="647"/>
      <c r="B91" s="612" t="s">
        <v>1049</v>
      </c>
      <c r="C91" s="593" t="s">
        <v>1193</v>
      </c>
      <c r="D91" s="613"/>
      <c r="E91" s="613"/>
      <c r="F91" s="613"/>
      <c r="G91" s="1028">
        <f t="shared" si="48"/>
        <v>0</v>
      </c>
      <c r="H91" s="977">
        <f t="shared" si="49"/>
        <v>0</v>
      </c>
      <c r="I91" s="1017"/>
      <c r="J91" s="1017"/>
      <c r="K91" s="977">
        <f t="shared" si="50"/>
        <v>0</v>
      </c>
      <c r="L91" s="1018" t="str">
        <f t="shared" si="41"/>
        <v>****</v>
      </c>
      <c r="M91" s="593" t="s">
        <v>107</v>
      </c>
      <c r="N91" s="593" t="s">
        <v>1194</v>
      </c>
    </row>
    <row r="92" spans="1:14">
      <c r="A92" s="647"/>
      <c r="B92" s="612" t="s">
        <v>1049</v>
      </c>
      <c r="C92" s="593" t="s">
        <v>1195</v>
      </c>
      <c r="D92" s="613"/>
      <c r="E92" s="613"/>
      <c r="F92" s="613"/>
      <c r="G92" s="1028">
        <f t="shared" si="48"/>
        <v>0</v>
      </c>
      <c r="H92" s="977">
        <f t="shared" si="49"/>
        <v>0</v>
      </c>
      <c r="I92" s="1017"/>
      <c r="J92" s="1017"/>
      <c r="K92" s="977">
        <f t="shared" si="50"/>
        <v>0</v>
      </c>
      <c r="L92" s="1018" t="str">
        <f t="shared" si="41"/>
        <v>****</v>
      </c>
      <c r="M92" s="593" t="s">
        <v>107</v>
      </c>
      <c r="N92" s="593" t="s">
        <v>1196</v>
      </c>
    </row>
    <row r="93" spans="1:14">
      <c r="A93" s="647"/>
      <c r="B93" s="612" t="s">
        <v>1049</v>
      </c>
      <c r="C93" s="593" t="s">
        <v>1197</v>
      </c>
      <c r="D93" s="613"/>
      <c r="E93" s="613"/>
      <c r="F93" s="613"/>
      <c r="G93" s="1028">
        <f t="shared" si="48"/>
        <v>0</v>
      </c>
      <c r="H93" s="977">
        <f t="shared" si="49"/>
        <v>0</v>
      </c>
      <c r="I93" s="1017"/>
      <c r="J93" s="1017"/>
      <c r="K93" s="977">
        <f t="shared" si="50"/>
        <v>0</v>
      </c>
      <c r="L93" s="1018" t="str">
        <f t="shared" si="41"/>
        <v>****</v>
      </c>
      <c r="M93" s="593" t="s">
        <v>107</v>
      </c>
      <c r="N93" s="593" t="s">
        <v>1198</v>
      </c>
    </row>
    <row r="94" spans="1:14">
      <c r="A94" s="647"/>
      <c r="B94" s="612"/>
      <c r="C94" s="593"/>
      <c r="D94" s="613"/>
      <c r="E94" s="613"/>
      <c r="F94" s="613"/>
      <c r="G94" s="1028"/>
      <c r="H94" s="977"/>
      <c r="I94" s="1017"/>
      <c r="J94" s="1017"/>
      <c r="K94" s="977"/>
      <c r="L94" s="1018"/>
      <c r="M94" s="593"/>
      <c r="N94" s="593"/>
    </row>
    <row r="95" spans="1:14">
      <c r="A95" s="647"/>
      <c r="B95" s="612"/>
      <c r="C95" s="593"/>
      <c r="D95" s="613"/>
      <c r="E95" s="613"/>
      <c r="F95" s="613"/>
      <c r="G95" s="1028"/>
      <c r="H95" s="977"/>
      <c r="I95" s="1017"/>
      <c r="J95" s="1017"/>
      <c r="K95" s="977"/>
      <c r="L95" s="1018"/>
      <c r="M95" s="593"/>
      <c r="N95" s="593"/>
    </row>
    <row r="96" spans="1:14">
      <c r="A96" s="647"/>
      <c r="B96" s="612"/>
      <c r="C96" s="593"/>
      <c r="D96" s="613"/>
      <c r="E96" s="613"/>
      <c r="F96" s="613"/>
      <c r="G96" s="1028"/>
      <c r="H96" s="977"/>
      <c r="I96" s="1017"/>
      <c r="J96" s="1017"/>
      <c r="K96" s="977"/>
      <c r="L96" s="1018"/>
      <c r="M96" s="593"/>
      <c r="N96" s="593"/>
    </row>
    <row r="97" spans="1:14">
      <c r="A97" s="647"/>
      <c r="B97" s="609" t="s">
        <v>1047</v>
      </c>
      <c r="C97" s="610" t="s">
        <v>1199</v>
      </c>
      <c r="D97" s="611">
        <v>0</v>
      </c>
      <c r="E97" s="611"/>
      <c r="F97" s="611"/>
      <c r="G97" s="1029">
        <f>D97-E97+F97</f>
        <v>0</v>
      </c>
      <c r="H97" s="1004">
        <v>0</v>
      </c>
      <c r="I97" s="1015"/>
      <c r="J97" s="1015"/>
      <c r="K97" s="1004">
        <f>H97-I97+J97</f>
        <v>0</v>
      </c>
      <c r="L97" s="1016" t="s">
        <v>1047</v>
      </c>
      <c r="M97" s="1002" t="s">
        <v>107</v>
      </c>
      <c r="N97" s="610" t="s">
        <v>691</v>
      </c>
    </row>
    <row r="98" spans="1:14">
      <c r="A98" s="647"/>
      <c r="B98" s="997" t="s">
        <v>1045</v>
      </c>
      <c r="C98" s="998" t="s">
        <v>1200</v>
      </c>
      <c r="D98" s="999">
        <f t="shared" ref="D98" si="51">SUM(D99,D102,D106,D107,D108,)</f>
        <v>0</v>
      </c>
      <c r="E98" s="999"/>
      <c r="F98" s="999"/>
      <c r="G98" s="1025">
        <f>SUM(G99,G102,G106,G107,G108,)</f>
        <v>0</v>
      </c>
      <c r="H98" s="1000">
        <f>SUM(H99,H102,H106,H107,H108,)</f>
        <v>0</v>
      </c>
      <c r="I98" s="1013"/>
      <c r="J98" s="1013"/>
      <c r="K98" s="1000">
        <f>SUM(K99,K102,K106,K107,K108,)</f>
        <v>0</v>
      </c>
      <c r="L98" s="1014" t="str">
        <f>B98</f>
        <v>**</v>
      </c>
      <c r="M98" s="998"/>
      <c r="N98" s="998"/>
    </row>
    <row r="99" spans="1:14">
      <c r="A99" s="647"/>
      <c r="B99" s="609" t="s">
        <v>1047</v>
      </c>
      <c r="C99" s="610" t="s">
        <v>1201</v>
      </c>
      <c r="D99" s="611">
        <f t="shared" ref="D99" si="52">SUM(D100:D101)</f>
        <v>0</v>
      </c>
      <c r="E99" s="611"/>
      <c r="F99" s="611"/>
      <c r="G99" s="1026">
        <f>SUM(G100:G101)</f>
        <v>0</v>
      </c>
      <c r="H99" s="976">
        <f>SUM(H100:H101)</f>
        <v>0</v>
      </c>
      <c r="I99" s="1015"/>
      <c r="J99" s="1015"/>
      <c r="K99" s="976">
        <f>SUM(K100:K101)</f>
        <v>0</v>
      </c>
      <c r="L99" s="1016" t="str">
        <f>B99</f>
        <v>***</v>
      </c>
      <c r="M99" s="610"/>
      <c r="N99" s="610"/>
    </row>
    <row r="100" spans="1:14">
      <c r="A100" s="647"/>
      <c r="B100" s="612" t="s">
        <v>1049</v>
      </c>
      <c r="C100" s="593" t="s">
        <v>1202</v>
      </c>
      <c r="D100" s="613">
        <v>0</v>
      </c>
      <c r="E100" s="613"/>
      <c r="F100" s="613"/>
      <c r="G100" s="1028">
        <f t="shared" ref="G100:G101" si="53">D100-E100+F100</f>
        <v>0</v>
      </c>
      <c r="H100" s="977">
        <f t="shared" ref="H100:H101" si="54">ROUND(G100*$G$4,)</f>
        <v>0</v>
      </c>
      <c r="I100" s="1017"/>
      <c r="J100" s="1017"/>
      <c r="K100" s="977">
        <f t="shared" ref="K100:K101" si="55">H100-I100+J100</f>
        <v>0</v>
      </c>
      <c r="L100" s="1018" t="str">
        <f>B100</f>
        <v>****</v>
      </c>
      <c r="M100" s="593" t="s">
        <v>585</v>
      </c>
      <c r="N100" s="593" t="s">
        <v>1203</v>
      </c>
    </row>
    <row r="101" spans="1:14">
      <c r="A101" s="647"/>
      <c r="B101" s="612" t="s">
        <v>1049</v>
      </c>
      <c r="C101" s="593" t="s">
        <v>1204</v>
      </c>
      <c r="D101" s="613">
        <v>0</v>
      </c>
      <c r="E101" s="613"/>
      <c r="F101" s="613"/>
      <c r="G101" s="1028">
        <f t="shared" si="53"/>
        <v>0</v>
      </c>
      <c r="H101" s="977">
        <f t="shared" si="54"/>
        <v>0</v>
      </c>
      <c r="I101" s="1017"/>
      <c r="J101" s="1017"/>
      <c r="K101" s="977">
        <f t="shared" si="55"/>
        <v>0</v>
      </c>
      <c r="L101" s="1018" t="str">
        <f>B101</f>
        <v>****</v>
      </c>
      <c r="M101" s="593" t="s">
        <v>585</v>
      </c>
      <c r="N101" s="593" t="s">
        <v>1205</v>
      </c>
    </row>
    <row r="102" spans="1:14">
      <c r="A102" s="647"/>
      <c r="B102" s="609" t="s">
        <v>1047</v>
      </c>
      <c r="C102" s="610" t="s">
        <v>1206</v>
      </c>
      <c r="D102" s="611">
        <f t="shared" ref="D102" si="56">SUM(D103:D105)</f>
        <v>0</v>
      </c>
      <c r="E102" s="611"/>
      <c r="F102" s="611"/>
      <c r="G102" s="1026">
        <f>SUM(G103:G105)</f>
        <v>0</v>
      </c>
      <c r="H102" s="976">
        <f>SUM(H103:H105)</f>
        <v>0</v>
      </c>
      <c r="I102" s="1015"/>
      <c r="J102" s="1015"/>
      <c r="K102" s="976">
        <f>SUM(K103:K105)</f>
        <v>0</v>
      </c>
      <c r="L102" s="1016" t="str">
        <f>B102</f>
        <v>***</v>
      </c>
      <c r="M102" s="610"/>
      <c r="N102" s="610"/>
    </row>
    <row r="103" spans="1:14">
      <c r="A103" s="647"/>
      <c r="B103" s="612" t="s">
        <v>1049</v>
      </c>
      <c r="C103" s="593" t="s">
        <v>1207</v>
      </c>
      <c r="D103" s="613">
        <v>0</v>
      </c>
      <c r="E103" s="613"/>
      <c r="F103" s="613"/>
      <c r="G103" s="1028">
        <f t="shared" ref="G103:G105" si="57">D103-E103+F103</f>
        <v>0</v>
      </c>
      <c r="H103" s="977">
        <f t="shared" ref="H103:H107" si="58">ROUND(G103*$G$4,)</f>
        <v>0</v>
      </c>
      <c r="I103" s="1017"/>
      <c r="J103" s="1017"/>
      <c r="K103" s="977">
        <f t="shared" ref="K103:K105" si="59">H103-I103+J103</f>
        <v>0</v>
      </c>
      <c r="L103" s="1023" t="s">
        <v>1049</v>
      </c>
      <c r="M103" s="593" t="s">
        <v>698</v>
      </c>
      <c r="N103" s="593" t="s">
        <v>698</v>
      </c>
    </row>
    <row r="104" spans="1:14">
      <c r="A104" s="647"/>
      <c r="B104" s="612" t="s">
        <v>1049</v>
      </c>
      <c r="C104" s="593" t="s">
        <v>1208</v>
      </c>
      <c r="D104" s="613">
        <v>0</v>
      </c>
      <c r="E104" s="613"/>
      <c r="F104" s="613"/>
      <c r="G104" s="1028">
        <f t="shared" si="57"/>
        <v>0</v>
      </c>
      <c r="H104" s="977">
        <f t="shared" si="58"/>
        <v>0</v>
      </c>
      <c r="I104" s="1017"/>
      <c r="J104" s="1017"/>
      <c r="K104" s="977">
        <f t="shared" si="59"/>
        <v>0</v>
      </c>
      <c r="L104" s="1023" t="s">
        <v>1049</v>
      </c>
      <c r="M104" s="593" t="s">
        <v>698</v>
      </c>
      <c r="N104" s="593" t="s">
        <v>1209</v>
      </c>
    </row>
    <row r="105" spans="1:14">
      <c r="A105" s="647"/>
      <c r="B105" s="612" t="s">
        <v>1049</v>
      </c>
      <c r="C105" s="593" t="s">
        <v>1210</v>
      </c>
      <c r="D105" s="613">
        <v>0</v>
      </c>
      <c r="E105" s="613"/>
      <c r="F105" s="613"/>
      <c r="G105" s="1028">
        <f t="shared" si="57"/>
        <v>0</v>
      </c>
      <c r="H105" s="977">
        <f t="shared" si="58"/>
        <v>0</v>
      </c>
      <c r="I105" s="1017"/>
      <c r="J105" s="1017"/>
      <c r="K105" s="977">
        <f t="shared" si="59"/>
        <v>0</v>
      </c>
      <c r="L105" s="1023" t="s">
        <v>1049</v>
      </c>
      <c r="M105" s="593" t="s">
        <v>698</v>
      </c>
      <c r="N105" s="593" t="s">
        <v>1211</v>
      </c>
    </row>
    <row r="106" spans="1:14">
      <c r="A106" s="647"/>
      <c r="B106" s="1001" t="s">
        <v>1047</v>
      </c>
      <c r="C106" s="1002" t="s">
        <v>1212</v>
      </c>
      <c r="D106" s="1003">
        <v>0</v>
      </c>
      <c r="E106" s="1003"/>
      <c r="F106" s="1003"/>
      <c r="G106" s="1029">
        <f>D106-E106+F106</f>
        <v>0</v>
      </c>
      <c r="H106" s="1004">
        <f t="shared" si="58"/>
        <v>0</v>
      </c>
      <c r="I106" s="1019"/>
      <c r="J106" s="1019"/>
      <c r="K106" s="1004">
        <f>H106-I106+J106</f>
        <v>0</v>
      </c>
      <c r="L106" s="1020" t="s">
        <v>1047</v>
      </c>
      <c r="M106" s="1002"/>
      <c r="N106" s="1002"/>
    </row>
    <row r="107" spans="1:14">
      <c r="A107" s="647"/>
      <c r="B107" s="1001" t="s">
        <v>1047</v>
      </c>
      <c r="C107" s="1002" t="s">
        <v>1213</v>
      </c>
      <c r="D107" s="1003">
        <v>0</v>
      </c>
      <c r="E107" s="1003"/>
      <c r="F107" s="1003"/>
      <c r="G107" s="1029">
        <f>D107-E107+F107</f>
        <v>0</v>
      </c>
      <c r="H107" s="1004">
        <f t="shared" si="58"/>
        <v>0</v>
      </c>
      <c r="I107" s="1019"/>
      <c r="J107" s="1019"/>
      <c r="K107" s="1004">
        <f>H107-I107+J107</f>
        <v>0</v>
      </c>
      <c r="L107" s="1020" t="s">
        <v>1047</v>
      </c>
      <c r="M107" s="1002" t="s">
        <v>506</v>
      </c>
      <c r="N107" s="1002" t="s">
        <v>506</v>
      </c>
    </row>
    <row r="108" spans="1:14">
      <c r="A108" s="647"/>
      <c r="B108" s="609" t="s">
        <v>1047</v>
      </c>
      <c r="C108" s="610" t="s">
        <v>1214</v>
      </c>
      <c r="D108" s="611">
        <f t="shared" ref="D108" si="60">SUM(D109:D110)</f>
        <v>0</v>
      </c>
      <c r="E108" s="611"/>
      <c r="F108" s="611"/>
      <c r="G108" s="1026">
        <f>SUM(G109:G110)</f>
        <v>0</v>
      </c>
      <c r="H108" s="976">
        <f>SUM(H109:H110)</f>
        <v>0</v>
      </c>
      <c r="I108" s="1015"/>
      <c r="J108" s="1015"/>
      <c r="K108" s="976">
        <f>SUM(K109:K110)</f>
        <v>0</v>
      </c>
      <c r="L108" s="1016"/>
      <c r="M108" s="610"/>
      <c r="N108" s="610"/>
    </row>
    <row r="109" spans="1:14">
      <c r="A109" s="647"/>
      <c r="B109" s="612" t="s">
        <v>1049</v>
      </c>
      <c r="C109" s="593" t="s">
        <v>1215</v>
      </c>
      <c r="D109" s="613">
        <v>0</v>
      </c>
      <c r="E109" s="613"/>
      <c r="F109" s="613"/>
      <c r="G109" s="1028">
        <f t="shared" ref="G109:G110" si="61">D109-E109+F109</f>
        <v>0</v>
      </c>
      <c r="H109" s="977">
        <f t="shared" ref="H109:H110" si="62">ROUND(G109*$G$4,)</f>
        <v>0</v>
      </c>
      <c r="I109" s="1017"/>
      <c r="J109" s="1017"/>
      <c r="K109" s="977">
        <f t="shared" ref="K109:K110" si="63">H109-I109+J109</f>
        <v>0</v>
      </c>
      <c r="L109" s="1018" t="str">
        <f>B109</f>
        <v>****</v>
      </c>
      <c r="M109" s="593" t="s">
        <v>1216</v>
      </c>
      <c r="N109" s="593" t="s">
        <v>883</v>
      </c>
    </row>
    <row r="110" spans="1:14">
      <c r="A110" s="647"/>
      <c r="B110" s="612"/>
      <c r="C110" s="593" t="s">
        <v>1217</v>
      </c>
      <c r="D110" s="613">
        <v>0</v>
      </c>
      <c r="E110" s="613"/>
      <c r="F110" s="613"/>
      <c r="G110" s="1028">
        <f t="shared" si="61"/>
        <v>0</v>
      </c>
      <c r="H110" s="977">
        <f t="shared" si="62"/>
        <v>0</v>
      </c>
      <c r="I110" s="1017"/>
      <c r="J110" s="1017"/>
      <c r="K110" s="977">
        <f t="shared" si="63"/>
        <v>0</v>
      </c>
      <c r="L110" s="1018"/>
      <c r="M110" s="593" t="s">
        <v>884</v>
      </c>
      <c r="N110" s="593" t="s">
        <v>57</v>
      </c>
    </row>
    <row r="111" spans="1:14">
      <c r="A111" s="647"/>
      <c r="B111" s="606" t="s">
        <v>1043</v>
      </c>
      <c r="C111" s="607" t="s">
        <v>1218</v>
      </c>
      <c r="D111" s="608">
        <f t="shared" ref="D111" si="64">SUM(D112,D115,D118,D120,D123)</f>
        <v>10076.709999999963</v>
      </c>
      <c r="E111" s="608"/>
      <c r="F111" s="608"/>
      <c r="G111" s="608">
        <f t="shared" ref="G111" si="65">SUM(G112,G115,G118,G120,G123)</f>
        <v>10076.709999999963</v>
      </c>
      <c r="H111" s="975">
        <f>SUM(H112,H115,H118,H120,H123)</f>
        <v>2287111</v>
      </c>
      <c r="I111" s="1021"/>
      <c r="J111" s="1021"/>
      <c r="K111" s="975">
        <f>SUM(K112,K115,K118,K120,K123)</f>
        <v>2287111</v>
      </c>
      <c r="L111" s="1022" t="str">
        <f t="shared" ref="L111:L118" si="66">B111</f>
        <v>*</v>
      </c>
      <c r="M111" s="607"/>
      <c r="N111" s="607"/>
    </row>
    <row r="112" spans="1:14">
      <c r="A112" s="647"/>
      <c r="B112" s="997" t="s">
        <v>1045</v>
      </c>
      <c r="C112" s="998" t="s">
        <v>1219</v>
      </c>
      <c r="D112" s="999">
        <f t="shared" ref="D112" si="67">SUM(D113:D114)</f>
        <v>1348477</v>
      </c>
      <c r="E112" s="999"/>
      <c r="F112" s="999"/>
      <c r="G112" s="1025">
        <f>SUM(G113:G114)</f>
        <v>1348477</v>
      </c>
      <c r="H112" s="1000">
        <f>SUM(H113:H114)</f>
        <v>241041998</v>
      </c>
      <c r="I112" s="1013"/>
      <c r="J112" s="1013"/>
      <c r="K112" s="1000">
        <f>SUM(K113:K114)</f>
        <v>241041998</v>
      </c>
      <c r="L112" s="1014" t="str">
        <f t="shared" si="66"/>
        <v>**</v>
      </c>
      <c r="M112" s="998"/>
      <c r="N112" s="998"/>
    </row>
    <row r="113" spans="1:14">
      <c r="A113" s="647" t="s">
        <v>704</v>
      </c>
      <c r="B113" s="612" t="s">
        <v>1125</v>
      </c>
      <c r="C113" s="593" t="s">
        <v>1220</v>
      </c>
      <c r="D113" s="613">
        <v>1348477</v>
      </c>
      <c r="E113" s="613"/>
      <c r="F113" s="613"/>
      <c r="G113" s="1028">
        <f>D113-E113+F113</f>
        <v>1348477</v>
      </c>
      <c r="H113" s="992">
        <f>198841998+13800000+28400000</f>
        <v>241041998</v>
      </c>
      <c r="I113" s="1017"/>
      <c r="J113" s="1017"/>
      <c r="K113" s="977">
        <f>H113-I113+J113</f>
        <v>241041998</v>
      </c>
      <c r="L113" s="1018" t="str">
        <f t="shared" si="66"/>
        <v>***</v>
      </c>
      <c r="M113" s="593" t="s">
        <v>887</v>
      </c>
      <c r="N113" s="593" t="s">
        <v>887</v>
      </c>
    </row>
    <row r="114" spans="1:14">
      <c r="A114" s="647"/>
      <c r="B114" s="612" t="s">
        <v>1125</v>
      </c>
      <c r="C114" s="593" t="s">
        <v>1221</v>
      </c>
      <c r="D114" s="613">
        <v>0</v>
      </c>
      <c r="E114" s="613"/>
      <c r="F114" s="613"/>
      <c r="G114" s="1028">
        <f>D114-E114+F114</f>
        <v>0</v>
      </c>
      <c r="H114" s="977">
        <v>0</v>
      </c>
      <c r="I114" s="1017"/>
      <c r="J114" s="1017"/>
      <c r="K114" s="977">
        <f>H114-I114+J114</f>
        <v>0</v>
      </c>
      <c r="L114" s="1018" t="str">
        <f t="shared" si="66"/>
        <v>***</v>
      </c>
      <c r="M114" s="593" t="s">
        <v>887</v>
      </c>
      <c r="N114" s="593" t="s">
        <v>1222</v>
      </c>
    </row>
    <row r="115" spans="1:14">
      <c r="A115" s="647"/>
      <c r="B115" s="997" t="s">
        <v>1045</v>
      </c>
      <c r="C115" s="998" t="s">
        <v>1223</v>
      </c>
      <c r="D115" s="999">
        <f t="shared" ref="D115" si="68">SUM(D116:D117)</f>
        <v>0</v>
      </c>
      <c r="E115" s="999"/>
      <c r="F115" s="999"/>
      <c r="G115" s="1025">
        <f>SUM(G116:G117)</f>
        <v>0</v>
      </c>
      <c r="H115" s="1000">
        <f>SUM(H116:H117)</f>
        <v>0</v>
      </c>
      <c r="I115" s="1013"/>
      <c r="J115" s="1013"/>
      <c r="K115" s="1000">
        <f>SUM(K116:K117)</f>
        <v>0</v>
      </c>
      <c r="L115" s="1014" t="str">
        <f t="shared" si="66"/>
        <v>**</v>
      </c>
      <c r="M115" s="998"/>
      <c r="N115" s="998"/>
    </row>
    <row r="116" spans="1:14">
      <c r="A116" s="647"/>
      <c r="B116" s="612" t="s">
        <v>1125</v>
      </c>
      <c r="C116" s="593" t="s">
        <v>1224</v>
      </c>
      <c r="D116" s="613">
        <v>0</v>
      </c>
      <c r="E116" s="613"/>
      <c r="F116" s="613"/>
      <c r="G116" s="1028">
        <f t="shared" ref="G116:G117" si="69">D116-E116+F116</f>
        <v>0</v>
      </c>
      <c r="H116" s="977">
        <v>0</v>
      </c>
      <c r="I116" s="1017"/>
      <c r="J116" s="1017"/>
      <c r="K116" s="977">
        <f t="shared" ref="K116:K117" si="70">H116-I116+J116</f>
        <v>0</v>
      </c>
      <c r="L116" s="1018" t="str">
        <f t="shared" si="66"/>
        <v>***</v>
      </c>
      <c r="M116" s="593" t="s">
        <v>1225</v>
      </c>
      <c r="N116" s="593" t="s">
        <v>1226</v>
      </c>
    </row>
    <row r="117" spans="1:14">
      <c r="A117" s="647"/>
      <c r="B117" s="612" t="s">
        <v>1125</v>
      </c>
      <c r="C117" s="593" t="s">
        <v>1227</v>
      </c>
      <c r="D117" s="613">
        <v>0</v>
      </c>
      <c r="E117" s="613"/>
      <c r="F117" s="613"/>
      <c r="G117" s="1028">
        <f t="shared" si="69"/>
        <v>0</v>
      </c>
      <c r="H117" s="977">
        <v>0</v>
      </c>
      <c r="I117" s="1017"/>
      <c r="J117" s="1017"/>
      <c r="K117" s="977">
        <f t="shared" si="70"/>
        <v>0</v>
      </c>
      <c r="L117" s="1018" t="str">
        <f t="shared" si="66"/>
        <v>***</v>
      </c>
      <c r="M117" s="593" t="s">
        <v>65</v>
      </c>
      <c r="N117" s="593" t="s">
        <v>1228</v>
      </c>
    </row>
    <row r="118" spans="1:14">
      <c r="A118" s="647"/>
      <c r="B118" s="997" t="s">
        <v>1045</v>
      </c>
      <c r="C118" s="998" t="s">
        <v>1229</v>
      </c>
      <c r="D118" s="999">
        <f t="shared" ref="D118" si="71">D119</f>
        <v>0</v>
      </c>
      <c r="E118" s="999"/>
      <c r="F118" s="999"/>
      <c r="G118" s="1025">
        <f>G119</f>
        <v>0</v>
      </c>
      <c r="H118" s="1000">
        <f>H119</f>
        <v>0</v>
      </c>
      <c r="I118" s="1013"/>
      <c r="J118" s="1013"/>
      <c r="K118" s="1000">
        <f>K119</f>
        <v>0</v>
      </c>
      <c r="L118" s="1014" t="str">
        <f t="shared" si="66"/>
        <v>**</v>
      </c>
      <c r="M118" s="998"/>
      <c r="N118" s="998"/>
    </row>
    <row r="119" spans="1:14">
      <c r="A119" s="647"/>
      <c r="B119" s="612"/>
      <c r="C119" s="593" t="s">
        <v>1230</v>
      </c>
      <c r="D119" s="613">
        <v>0</v>
      </c>
      <c r="E119" s="613"/>
      <c r="F119" s="613"/>
      <c r="G119" s="1028"/>
      <c r="H119" s="977">
        <v>0</v>
      </c>
      <c r="I119" s="1017"/>
      <c r="J119" s="1017"/>
      <c r="K119" s="977"/>
      <c r="L119" s="1018"/>
      <c r="M119" s="593"/>
      <c r="N119" s="593"/>
    </row>
    <row r="120" spans="1:14">
      <c r="A120" s="647"/>
      <c r="B120" s="997" t="s">
        <v>1045</v>
      </c>
      <c r="C120" s="998" t="s">
        <v>1231</v>
      </c>
      <c r="D120" s="998">
        <f t="shared" ref="D120" si="72">SUM(D121:D122)</f>
        <v>0</v>
      </c>
      <c r="E120" s="998"/>
      <c r="F120" s="998"/>
      <c r="G120" s="1025">
        <f>SUM(G121:G122)</f>
        <v>0</v>
      </c>
      <c r="H120" s="1000">
        <f>SUM(H121:H122)</f>
        <v>-6065572</v>
      </c>
      <c r="I120" s="1013"/>
      <c r="J120" s="1013"/>
      <c r="K120" s="1000">
        <f>SUM(K121:K122)</f>
        <v>-6065572</v>
      </c>
      <c r="L120" s="1014" t="str">
        <f t="shared" ref="L120:L128" si="73">B120</f>
        <v>**</v>
      </c>
      <c r="M120" s="998"/>
      <c r="N120" s="998"/>
    </row>
    <row r="121" spans="1:14">
      <c r="A121" s="647"/>
      <c r="B121" s="612" t="s">
        <v>1125</v>
      </c>
      <c r="C121" s="593" t="s">
        <v>1232</v>
      </c>
      <c r="D121" s="613">
        <v>0</v>
      </c>
      <c r="E121" s="613"/>
      <c r="F121" s="613"/>
      <c r="G121" s="1028">
        <f t="shared" ref="G121:G122" si="74">D121-E121+F121</f>
        <v>0</v>
      </c>
      <c r="H121" s="977">
        <v>0</v>
      </c>
      <c r="I121" s="1017"/>
      <c r="J121" s="1017"/>
      <c r="K121" s="977">
        <f t="shared" ref="K121:K122" si="75">H121-I121+J121</f>
        <v>0</v>
      </c>
      <c r="L121" s="1018" t="str">
        <f t="shared" si="73"/>
        <v>***</v>
      </c>
      <c r="M121" s="593" t="s">
        <v>1233</v>
      </c>
      <c r="N121" s="593" t="s">
        <v>69</v>
      </c>
    </row>
    <row r="122" spans="1:14">
      <c r="A122" s="647" t="s">
        <v>827</v>
      </c>
      <c r="B122" s="612" t="s">
        <v>1125</v>
      </c>
      <c r="C122" s="593" t="s">
        <v>1234</v>
      </c>
      <c r="D122" s="613">
        <v>0</v>
      </c>
      <c r="E122" s="613"/>
      <c r="F122" s="613"/>
      <c r="G122" s="1028">
        <f t="shared" si="74"/>
        <v>0</v>
      </c>
      <c r="H122" s="992">
        <f>상해!F113</f>
        <v>-6065572</v>
      </c>
      <c r="I122" s="1017"/>
      <c r="J122" s="1017"/>
      <c r="K122" s="977">
        <f t="shared" si="75"/>
        <v>-6065572</v>
      </c>
      <c r="L122" s="1018" t="str">
        <f t="shared" si="73"/>
        <v>***</v>
      </c>
      <c r="M122" s="593" t="s">
        <v>1233</v>
      </c>
      <c r="N122" s="593" t="s">
        <v>1235</v>
      </c>
    </row>
    <row r="123" spans="1:14">
      <c r="A123" s="647"/>
      <c r="B123" s="997" t="s">
        <v>1045</v>
      </c>
      <c r="C123" s="998" t="s">
        <v>1236</v>
      </c>
      <c r="D123" s="999">
        <f t="shared" ref="D123" si="76">D124</f>
        <v>-1338400.29</v>
      </c>
      <c r="E123" s="999"/>
      <c r="F123" s="999"/>
      <c r="G123" s="1025">
        <f>G124</f>
        <v>-1338400.29</v>
      </c>
      <c r="H123" s="1000">
        <f>H124</f>
        <v>-232689315</v>
      </c>
      <c r="I123" s="1013"/>
      <c r="J123" s="1013"/>
      <c r="K123" s="1000">
        <f>K124</f>
        <v>-232689315</v>
      </c>
      <c r="L123" s="1014" t="str">
        <f t="shared" si="73"/>
        <v>**</v>
      </c>
      <c r="M123" s="998"/>
      <c r="N123" s="998"/>
    </row>
    <row r="124" spans="1:14">
      <c r="A124" s="647" t="s">
        <v>714</v>
      </c>
      <c r="B124" s="612" t="s">
        <v>1125</v>
      </c>
      <c r="C124" s="593" t="s">
        <v>1237</v>
      </c>
      <c r="D124" s="613">
        <f t="shared" ref="D124" si="77">SUM(D125:D128)</f>
        <v>-1338400.29</v>
      </c>
      <c r="E124" s="613"/>
      <c r="F124" s="613"/>
      <c r="G124" s="1027">
        <f>SUM(G125:G128)</f>
        <v>-1338400.29</v>
      </c>
      <c r="H124" s="718">
        <f>SUM(H125:H128)</f>
        <v>-232689315</v>
      </c>
      <c r="I124" s="1017"/>
      <c r="J124" s="1017"/>
      <c r="K124" s="718">
        <f>SUM(K125:K128)</f>
        <v>-232689315</v>
      </c>
      <c r="L124" s="1018" t="str">
        <f t="shared" si="73"/>
        <v>***</v>
      </c>
      <c r="M124" s="593"/>
      <c r="N124" s="593"/>
    </row>
    <row r="125" spans="1:14">
      <c r="A125" s="647"/>
      <c r="B125" s="612" t="s">
        <v>1238</v>
      </c>
      <c r="C125" s="593" t="s">
        <v>1239</v>
      </c>
      <c r="D125" s="613">
        <v>-1418367.54</v>
      </c>
      <c r="E125" s="613"/>
      <c r="F125" s="613"/>
      <c r="G125" s="1028">
        <f t="shared" ref="G125:G128" si="78">D125-E125+F125</f>
        <v>-1418367.54</v>
      </c>
      <c r="H125" s="992">
        <f>상해!G109</f>
        <v>-249980633</v>
      </c>
      <c r="I125" s="1017"/>
      <c r="J125" s="1017"/>
      <c r="K125" s="977">
        <f t="shared" ref="K125:K128" si="79">H125-I125+J125</f>
        <v>-249980633</v>
      </c>
      <c r="L125" s="1018" t="str">
        <f t="shared" si="73"/>
        <v>****</v>
      </c>
      <c r="M125" s="593" t="s">
        <v>1240</v>
      </c>
      <c r="N125" s="593" t="s">
        <v>1241</v>
      </c>
    </row>
    <row r="126" spans="1:14">
      <c r="A126" s="647"/>
      <c r="B126" s="612" t="s">
        <v>1238</v>
      </c>
      <c r="C126" s="593" t="s">
        <v>1242</v>
      </c>
      <c r="D126" s="613">
        <v>0</v>
      </c>
      <c r="E126" s="613"/>
      <c r="F126" s="613"/>
      <c r="G126" s="1028">
        <f t="shared" si="78"/>
        <v>0</v>
      </c>
      <c r="H126" s="977">
        <v>0</v>
      </c>
      <c r="I126" s="1017"/>
      <c r="J126" s="1017"/>
      <c r="K126" s="977">
        <f t="shared" si="79"/>
        <v>0</v>
      </c>
      <c r="L126" s="1018" t="str">
        <f t="shared" si="73"/>
        <v>****</v>
      </c>
      <c r="M126" s="593" t="s">
        <v>73</v>
      </c>
      <c r="N126" s="593" t="s">
        <v>1243</v>
      </c>
    </row>
    <row r="127" spans="1:14">
      <c r="A127" s="647"/>
      <c r="B127" s="612" t="s">
        <v>1238</v>
      </c>
      <c r="C127" s="593" t="s">
        <v>1244</v>
      </c>
      <c r="D127" s="613">
        <v>0</v>
      </c>
      <c r="E127" s="613"/>
      <c r="F127" s="613"/>
      <c r="G127" s="1028">
        <f t="shared" si="78"/>
        <v>0</v>
      </c>
      <c r="H127" s="977">
        <v>0</v>
      </c>
      <c r="I127" s="1017"/>
      <c r="J127" s="1017"/>
      <c r="K127" s="977">
        <f t="shared" si="79"/>
        <v>0</v>
      </c>
      <c r="L127" s="1018" t="str">
        <f t="shared" si="73"/>
        <v>****</v>
      </c>
      <c r="M127" s="593" t="s">
        <v>70</v>
      </c>
      <c r="N127" s="593" t="s">
        <v>1245</v>
      </c>
    </row>
    <row r="128" spans="1:14" ht="14.25" thickBot="1">
      <c r="A128" s="648"/>
      <c r="B128" s="612" t="s">
        <v>1238</v>
      </c>
      <c r="C128" s="593" t="s">
        <v>1246</v>
      </c>
      <c r="D128" s="973">
        <v>79967.25</v>
      </c>
      <c r="E128" s="1017">
        <f>상해_PL!E90</f>
        <v>0</v>
      </c>
      <c r="F128" s="1017">
        <f>상해_PL!F90</f>
        <v>0</v>
      </c>
      <c r="G128" s="1028">
        <f t="shared" si="78"/>
        <v>79967.25</v>
      </c>
      <c r="H128" s="979">
        <f>상해_PL!K84</f>
        <v>17291318</v>
      </c>
      <c r="I128" s="1017">
        <f>상해_PL!I90</f>
        <v>0</v>
      </c>
      <c r="J128" s="1017">
        <f>상해_PL!J90</f>
        <v>0</v>
      </c>
      <c r="K128" s="977">
        <f t="shared" si="79"/>
        <v>17291318</v>
      </c>
      <c r="L128" s="1018" t="str">
        <f t="shared" si="73"/>
        <v>****</v>
      </c>
      <c r="M128" s="593" t="s">
        <v>1240</v>
      </c>
      <c r="N128" s="593" t="s">
        <v>140</v>
      </c>
    </row>
    <row r="129" spans="2:11">
      <c r="D129" s="598">
        <f>D111+D75-D5</f>
        <v>-3.637978807091713E-11</v>
      </c>
      <c r="E129" s="1093"/>
      <c r="G129" s="598">
        <f>G111+G75-G5</f>
        <v>-3.637978807091713E-11</v>
      </c>
      <c r="H129" s="991">
        <f>H111+H75-H5</f>
        <v>0</v>
      </c>
      <c r="I129" s="991">
        <f>SUM(I5:I128)</f>
        <v>0</v>
      </c>
      <c r="J129" s="991">
        <f>SUM(J5:J128)</f>
        <v>0</v>
      </c>
      <c r="K129" s="991">
        <f>K111+K75-K5</f>
        <v>0</v>
      </c>
    </row>
    <row r="130" spans="2:11">
      <c r="H130" s="1036"/>
      <c r="I130" s="676"/>
      <c r="J130" s="676">
        <f>J129-I129</f>
        <v>0</v>
      </c>
      <c r="K130" s="676"/>
    </row>
    <row r="131" spans="2:11">
      <c r="C131" s="596" t="s">
        <v>2547</v>
      </c>
      <c r="D131" s="598">
        <v>-1418367.54</v>
      </c>
      <c r="H131" s="980"/>
    </row>
    <row r="132" spans="2:11">
      <c r="C132" s="596" t="s">
        <v>2548</v>
      </c>
      <c r="D132" s="598">
        <f t="shared" ref="D132" si="80">D131-D125</f>
        <v>0</v>
      </c>
      <c r="H132" s="980"/>
    </row>
    <row r="133" spans="2:11">
      <c r="H133" s="981"/>
      <c r="I133" s="596"/>
      <c r="J133" s="596"/>
      <c r="K133" s="596"/>
    </row>
    <row r="134" spans="2:11">
      <c r="H134" s="980"/>
    </row>
    <row r="135" spans="2:11">
      <c r="B135" s="616"/>
      <c r="H135" s="980"/>
    </row>
    <row r="136" spans="2:11">
      <c r="D136" s="982"/>
      <c r="E136" s="982"/>
      <c r="F136" s="982"/>
      <c r="G136" s="982"/>
      <c r="H136" s="980"/>
    </row>
    <row r="137" spans="2:11">
      <c r="D137" s="617"/>
      <c r="E137" s="617"/>
      <c r="F137" s="617"/>
      <c r="G137" s="617"/>
    </row>
  </sheetData>
  <mergeCells count="3">
    <mergeCell ref="B3:C3"/>
    <mergeCell ref="E3:F3"/>
    <mergeCell ref="I3:J3"/>
  </mergeCells>
  <phoneticPr fontId="3" type="noConversion"/>
  <pageMargins left="0.7" right="0.7" top="0.75" bottom="0.75" header="0.3" footer="0.3"/>
  <legacy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2">
    <tabColor theme="8" tint="0.79998168889431442"/>
  </sheetPr>
  <dimension ref="A1:X96"/>
  <sheetViews>
    <sheetView topLeftCell="A53" zoomScaleNormal="100" workbookViewId="0">
      <selection activeCell="H76" sqref="H76"/>
    </sheetView>
  </sheetViews>
  <sheetFormatPr defaultRowHeight="13.5"/>
  <cols>
    <col min="1" max="1" width="9.625" style="1037" customWidth="1"/>
    <col min="2" max="2" width="5" style="1037" customWidth="1"/>
    <col min="3" max="3" width="27.375" style="1037" customWidth="1"/>
    <col min="4" max="6" width="13.375" style="1037" customWidth="1"/>
    <col min="7" max="7" width="13.375" style="1038" customWidth="1"/>
    <col min="8" max="10" width="13.375" style="1037" customWidth="1"/>
    <col min="11" max="11" width="13.375" style="1038" customWidth="1"/>
    <col min="12" max="12" width="6.625" style="1037" customWidth="1"/>
    <col min="13" max="13" width="14" style="1037" customWidth="1"/>
    <col min="14" max="14" width="18.125" style="1037" customWidth="1"/>
    <col min="15" max="15" width="9" style="1037"/>
    <col min="16" max="16" width="32.125" style="1037" customWidth="1"/>
    <col min="17" max="17" width="11.625" style="1037" bestFit="1" customWidth="1"/>
    <col min="18" max="18" width="11.5" style="1037" bestFit="1" customWidth="1"/>
    <col min="19" max="20" width="9" style="1037"/>
    <col min="21" max="21" width="10.125" style="1037" bestFit="1" customWidth="1"/>
    <col min="22" max="22" width="9" style="1037"/>
    <col min="23" max="23" width="9.125" style="1037" bestFit="1" customWidth="1"/>
    <col min="24" max="248" width="9" style="1037"/>
    <col min="249" max="250" width="5" style="1037" customWidth="1"/>
    <col min="251" max="251" width="27.375" style="1037" customWidth="1"/>
    <col min="252" max="255" width="14" style="1037" customWidth="1"/>
    <col min="256" max="257" width="4.125" style="1037" customWidth="1"/>
    <col min="258" max="258" width="6.625" style="1037" customWidth="1"/>
    <col min="259" max="259" width="14" style="1037" customWidth="1"/>
    <col min="260" max="260" width="18.125" style="1037" customWidth="1"/>
    <col min="261" max="261" width="23" style="1037" customWidth="1"/>
    <col min="262" max="262" width="9.625" style="1037" customWidth="1"/>
    <col min="263" max="263" width="20.125" style="1037" customWidth="1"/>
    <col min="264" max="265" width="18.375" style="1037" customWidth="1"/>
    <col min="266" max="266" width="14.125" style="1037" bestFit="1" customWidth="1"/>
    <col min="267" max="267" width="11.125" style="1037" bestFit="1" customWidth="1"/>
    <col min="268" max="504" width="9" style="1037"/>
    <col min="505" max="506" width="5" style="1037" customWidth="1"/>
    <col min="507" max="507" width="27.375" style="1037" customWidth="1"/>
    <col min="508" max="511" width="14" style="1037" customWidth="1"/>
    <col min="512" max="513" width="4.125" style="1037" customWidth="1"/>
    <col min="514" max="514" width="6.625" style="1037" customWidth="1"/>
    <col min="515" max="515" width="14" style="1037" customWidth="1"/>
    <col min="516" max="516" width="18.125" style="1037" customWidth="1"/>
    <col min="517" max="517" width="23" style="1037" customWidth="1"/>
    <col min="518" max="518" width="9.625" style="1037" customWidth="1"/>
    <col min="519" max="519" width="20.125" style="1037" customWidth="1"/>
    <col min="520" max="521" width="18.375" style="1037" customWidth="1"/>
    <col min="522" max="522" width="14.125" style="1037" bestFit="1" customWidth="1"/>
    <col min="523" max="523" width="11.125" style="1037" bestFit="1" customWidth="1"/>
    <col min="524" max="760" width="9" style="1037"/>
    <col min="761" max="762" width="5" style="1037" customWidth="1"/>
    <col min="763" max="763" width="27.375" style="1037" customWidth="1"/>
    <col min="764" max="767" width="14" style="1037" customWidth="1"/>
    <col min="768" max="769" width="4.125" style="1037" customWidth="1"/>
    <col min="770" max="770" width="6.625" style="1037" customWidth="1"/>
    <col min="771" max="771" width="14" style="1037" customWidth="1"/>
    <col min="772" max="772" width="18.125" style="1037" customWidth="1"/>
    <col min="773" max="773" width="23" style="1037" customWidth="1"/>
    <col min="774" max="774" width="9.625" style="1037" customWidth="1"/>
    <col min="775" max="775" width="20.125" style="1037" customWidth="1"/>
    <col min="776" max="777" width="18.375" style="1037" customWidth="1"/>
    <col min="778" max="778" width="14.125" style="1037" bestFit="1" customWidth="1"/>
    <col min="779" max="779" width="11.125" style="1037" bestFit="1" customWidth="1"/>
    <col min="780" max="1016" width="9" style="1037"/>
    <col min="1017" max="1018" width="5" style="1037" customWidth="1"/>
    <col min="1019" max="1019" width="27.375" style="1037" customWidth="1"/>
    <col min="1020" max="1023" width="14" style="1037" customWidth="1"/>
    <col min="1024" max="1025" width="4.125" style="1037" customWidth="1"/>
    <col min="1026" max="1026" width="6.625" style="1037" customWidth="1"/>
    <col min="1027" max="1027" width="14" style="1037" customWidth="1"/>
    <col min="1028" max="1028" width="18.125" style="1037" customWidth="1"/>
    <col min="1029" max="1029" width="23" style="1037" customWidth="1"/>
    <col min="1030" max="1030" width="9.625" style="1037" customWidth="1"/>
    <col min="1031" max="1031" width="20.125" style="1037" customWidth="1"/>
    <col min="1032" max="1033" width="18.375" style="1037" customWidth="1"/>
    <col min="1034" max="1034" width="14.125" style="1037" bestFit="1" customWidth="1"/>
    <col min="1035" max="1035" width="11.125" style="1037" bestFit="1" customWidth="1"/>
    <col min="1036" max="1272" width="9" style="1037"/>
    <col min="1273" max="1274" width="5" style="1037" customWidth="1"/>
    <col min="1275" max="1275" width="27.375" style="1037" customWidth="1"/>
    <col min="1276" max="1279" width="14" style="1037" customWidth="1"/>
    <col min="1280" max="1281" width="4.125" style="1037" customWidth="1"/>
    <col min="1282" max="1282" width="6.625" style="1037" customWidth="1"/>
    <col min="1283" max="1283" width="14" style="1037" customWidth="1"/>
    <col min="1284" max="1284" width="18.125" style="1037" customWidth="1"/>
    <col min="1285" max="1285" width="23" style="1037" customWidth="1"/>
    <col min="1286" max="1286" width="9.625" style="1037" customWidth="1"/>
    <col min="1287" max="1287" width="20.125" style="1037" customWidth="1"/>
    <col min="1288" max="1289" width="18.375" style="1037" customWidth="1"/>
    <col min="1290" max="1290" width="14.125" style="1037" bestFit="1" customWidth="1"/>
    <col min="1291" max="1291" width="11.125" style="1037" bestFit="1" customWidth="1"/>
    <col min="1292" max="1528" width="9" style="1037"/>
    <col min="1529" max="1530" width="5" style="1037" customWidth="1"/>
    <col min="1531" max="1531" width="27.375" style="1037" customWidth="1"/>
    <col min="1532" max="1535" width="14" style="1037" customWidth="1"/>
    <col min="1536" max="1537" width="4.125" style="1037" customWidth="1"/>
    <col min="1538" max="1538" width="6.625" style="1037" customWidth="1"/>
    <col min="1539" max="1539" width="14" style="1037" customWidth="1"/>
    <col min="1540" max="1540" width="18.125" style="1037" customWidth="1"/>
    <col min="1541" max="1541" width="23" style="1037" customWidth="1"/>
    <col min="1542" max="1542" width="9.625" style="1037" customWidth="1"/>
    <col min="1543" max="1543" width="20.125" style="1037" customWidth="1"/>
    <col min="1544" max="1545" width="18.375" style="1037" customWidth="1"/>
    <col min="1546" max="1546" width="14.125" style="1037" bestFit="1" customWidth="1"/>
    <col min="1547" max="1547" width="11.125" style="1037" bestFit="1" customWidth="1"/>
    <col min="1548" max="1784" width="9" style="1037"/>
    <col min="1785" max="1786" width="5" style="1037" customWidth="1"/>
    <col min="1787" max="1787" width="27.375" style="1037" customWidth="1"/>
    <col min="1788" max="1791" width="14" style="1037" customWidth="1"/>
    <col min="1792" max="1793" width="4.125" style="1037" customWidth="1"/>
    <col min="1794" max="1794" width="6.625" style="1037" customWidth="1"/>
    <col min="1795" max="1795" width="14" style="1037" customWidth="1"/>
    <col min="1796" max="1796" width="18.125" style="1037" customWidth="1"/>
    <col min="1797" max="1797" width="23" style="1037" customWidth="1"/>
    <col min="1798" max="1798" width="9.625" style="1037" customWidth="1"/>
    <col min="1799" max="1799" width="20.125" style="1037" customWidth="1"/>
    <col min="1800" max="1801" width="18.375" style="1037" customWidth="1"/>
    <col min="1802" max="1802" width="14.125" style="1037" bestFit="1" customWidth="1"/>
    <col min="1803" max="1803" width="11.125" style="1037" bestFit="1" customWidth="1"/>
    <col min="1804" max="2040" width="9" style="1037"/>
    <col min="2041" max="2042" width="5" style="1037" customWidth="1"/>
    <col min="2043" max="2043" width="27.375" style="1037" customWidth="1"/>
    <col min="2044" max="2047" width="14" style="1037" customWidth="1"/>
    <col min="2048" max="2049" width="4.125" style="1037" customWidth="1"/>
    <col min="2050" max="2050" width="6.625" style="1037" customWidth="1"/>
    <col min="2051" max="2051" width="14" style="1037" customWidth="1"/>
    <col min="2052" max="2052" width="18.125" style="1037" customWidth="1"/>
    <col min="2053" max="2053" width="23" style="1037" customWidth="1"/>
    <col min="2054" max="2054" width="9.625" style="1037" customWidth="1"/>
    <col min="2055" max="2055" width="20.125" style="1037" customWidth="1"/>
    <col min="2056" max="2057" width="18.375" style="1037" customWidth="1"/>
    <col min="2058" max="2058" width="14.125" style="1037" bestFit="1" customWidth="1"/>
    <col min="2059" max="2059" width="11.125" style="1037" bestFit="1" customWidth="1"/>
    <col min="2060" max="2296" width="9" style="1037"/>
    <col min="2297" max="2298" width="5" style="1037" customWidth="1"/>
    <col min="2299" max="2299" width="27.375" style="1037" customWidth="1"/>
    <col min="2300" max="2303" width="14" style="1037" customWidth="1"/>
    <col min="2304" max="2305" width="4.125" style="1037" customWidth="1"/>
    <col min="2306" max="2306" width="6.625" style="1037" customWidth="1"/>
    <col min="2307" max="2307" width="14" style="1037" customWidth="1"/>
    <col min="2308" max="2308" width="18.125" style="1037" customWidth="1"/>
    <col min="2309" max="2309" width="23" style="1037" customWidth="1"/>
    <col min="2310" max="2310" width="9.625" style="1037" customWidth="1"/>
    <col min="2311" max="2311" width="20.125" style="1037" customWidth="1"/>
    <col min="2312" max="2313" width="18.375" style="1037" customWidth="1"/>
    <col min="2314" max="2314" width="14.125" style="1037" bestFit="1" customWidth="1"/>
    <col min="2315" max="2315" width="11.125" style="1037" bestFit="1" customWidth="1"/>
    <col min="2316" max="2552" width="9" style="1037"/>
    <col min="2553" max="2554" width="5" style="1037" customWidth="1"/>
    <col min="2555" max="2555" width="27.375" style="1037" customWidth="1"/>
    <col min="2556" max="2559" width="14" style="1037" customWidth="1"/>
    <col min="2560" max="2561" width="4.125" style="1037" customWidth="1"/>
    <col min="2562" max="2562" width="6.625" style="1037" customWidth="1"/>
    <col min="2563" max="2563" width="14" style="1037" customWidth="1"/>
    <col min="2564" max="2564" width="18.125" style="1037" customWidth="1"/>
    <col min="2565" max="2565" width="23" style="1037" customWidth="1"/>
    <col min="2566" max="2566" width="9.625" style="1037" customWidth="1"/>
    <col min="2567" max="2567" width="20.125" style="1037" customWidth="1"/>
    <col min="2568" max="2569" width="18.375" style="1037" customWidth="1"/>
    <col min="2570" max="2570" width="14.125" style="1037" bestFit="1" customWidth="1"/>
    <col min="2571" max="2571" width="11.125" style="1037" bestFit="1" customWidth="1"/>
    <col min="2572" max="2808" width="9" style="1037"/>
    <col min="2809" max="2810" width="5" style="1037" customWidth="1"/>
    <col min="2811" max="2811" width="27.375" style="1037" customWidth="1"/>
    <col min="2812" max="2815" width="14" style="1037" customWidth="1"/>
    <col min="2816" max="2817" width="4.125" style="1037" customWidth="1"/>
    <col min="2818" max="2818" width="6.625" style="1037" customWidth="1"/>
    <col min="2819" max="2819" width="14" style="1037" customWidth="1"/>
    <col min="2820" max="2820" width="18.125" style="1037" customWidth="1"/>
    <col min="2821" max="2821" width="23" style="1037" customWidth="1"/>
    <col min="2822" max="2822" width="9.625" style="1037" customWidth="1"/>
    <col min="2823" max="2823" width="20.125" style="1037" customWidth="1"/>
    <col min="2824" max="2825" width="18.375" style="1037" customWidth="1"/>
    <col min="2826" max="2826" width="14.125" style="1037" bestFit="1" customWidth="1"/>
    <col min="2827" max="2827" width="11.125" style="1037" bestFit="1" customWidth="1"/>
    <col min="2828" max="3064" width="9" style="1037"/>
    <col min="3065" max="3066" width="5" style="1037" customWidth="1"/>
    <col min="3067" max="3067" width="27.375" style="1037" customWidth="1"/>
    <col min="3068" max="3071" width="14" style="1037" customWidth="1"/>
    <col min="3072" max="3073" width="4.125" style="1037" customWidth="1"/>
    <col min="3074" max="3074" width="6.625" style="1037" customWidth="1"/>
    <col min="3075" max="3075" width="14" style="1037" customWidth="1"/>
    <col min="3076" max="3076" width="18.125" style="1037" customWidth="1"/>
    <col min="3077" max="3077" width="23" style="1037" customWidth="1"/>
    <col min="3078" max="3078" width="9.625" style="1037" customWidth="1"/>
    <col min="3079" max="3079" width="20.125" style="1037" customWidth="1"/>
    <col min="3080" max="3081" width="18.375" style="1037" customWidth="1"/>
    <col min="3082" max="3082" width="14.125" style="1037" bestFit="1" customWidth="1"/>
    <col min="3083" max="3083" width="11.125" style="1037" bestFit="1" customWidth="1"/>
    <col min="3084" max="3320" width="9" style="1037"/>
    <col min="3321" max="3322" width="5" style="1037" customWidth="1"/>
    <col min="3323" max="3323" width="27.375" style="1037" customWidth="1"/>
    <col min="3324" max="3327" width="14" style="1037" customWidth="1"/>
    <col min="3328" max="3329" width="4.125" style="1037" customWidth="1"/>
    <col min="3330" max="3330" width="6.625" style="1037" customWidth="1"/>
    <col min="3331" max="3331" width="14" style="1037" customWidth="1"/>
    <col min="3332" max="3332" width="18.125" style="1037" customWidth="1"/>
    <col min="3333" max="3333" width="23" style="1037" customWidth="1"/>
    <col min="3334" max="3334" width="9.625" style="1037" customWidth="1"/>
    <col min="3335" max="3335" width="20.125" style="1037" customWidth="1"/>
    <col min="3336" max="3337" width="18.375" style="1037" customWidth="1"/>
    <col min="3338" max="3338" width="14.125" style="1037" bestFit="1" customWidth="1"/>
    <col min="3339" max="3339" width="11.125" style="1037" bestFit="1" customWidth="1"/>
    <col min="3340" max="3576" width="9" style="1037"/>
    <col min="3577" max="3578" width="5" style="1037" customWidth="1"/>
    <col min="3579" max="3579" width="27.375" style="1037" customWidth="1"/>
    <col min="3580" max="3583" width="14" style="1037" customWidth="1"/>
    <col min="3584" max="3585" width="4.125" style="1037" customWidth="1"/>
    <col min="3586" max="3586" width="6.625" style="1037" customWidth="1"/>
    <col min="3587" max="3587" width="14" style="1037" customWidth="1"/>
    <col min="3588" max="3588" width="18.125" style="1037" customWidth="1"/>
    <col min="3589" max="3589" width="23" style="1037" customWidth="1"/>
    <col min="3590" max="3590" width="9.625" style="1037" customWidth="1"/>
    <col min="3591" max="3591" width="20.125" style="1037" customWidth="1"/>
    <col min="3592" max="3593" width="18.375" style="1037" customWidth="1"/>
    <col min="3594" max="3594" width="14.125" style="1037" bestFit="1" customWidth="1"/>
    <col min="3595" max="3595" width="11.125" style="1037" bestFit="1" customWidth="1"/>
    <col min="3596" max="3832" width="9" style="1037"/>
    <col min="3833" max="3834" width="5" style="1037" customWidth="1"/>
    <col min="3835" max="3835" width="27.375" style="1037" customWidth="1"/>
    <col min="3836" max="3839" width="14" style="1037" customWidth="1"/>
    <col min="3840" max="3841" width="4.125" style="1037" customWidth="1"/>
    <col min="3842" max="3842" width="6.625" style="1037" customWidth="1"/>
    <col min="3843" max="3843" width="14" style="1037" customWidth="1"/>
    <col min="3844" max="3844" width="18.125" style="1037" customWidth="1"/>
    <col min="3845" max="3845" width="23" style="1037" customWidth="1"/>
    <col min="3846" max="3846" width="9.625" style="1037" customWidth="1"/>
    <col min="3847" max="3847" width="20.125" style="1037" customWidth="1"/>
    <col min="3848" max="3849" width="18.375" style="1037" customWidth="1"/>
    <col min="3850" max="3850" width="14.125" style="1037" bestFit="1" customWidth="1"/>
    <col min="3851" max="3851" width="11.125" style="1037" bestFit="1" customWidth="1"/>
    <col min="3852" max="4088" width="9" style="1037"/>
    <col min="4089" max="4090" width="5" style="1037" customWidth="1"/>
    <col min="4091" max="4091" width="27.375" style="1037" customWidth="1"/>
    <col min="4092" max="4095" width="14" style="1037" customWidth="1"/>
    <col min="4096" max="4097" width="4.125" style="1037" customWidth="1"/>
    <col min="4098" max="4098" width="6.625" style="1037" customWidth="1"/>
    <col min="4099" max="4099" width="14" style="1037" customWidth="1"/>
    <col min="4100" max="4100" width="18.125" style="1037" customWidth="1"/>
    <col min="4101" max="4101" width="23" style="1037" customWidth="1"/>
    <col min="4102" max="4102" width="9.625" style="1037" customWidth="1"/>
    <col min="4103" max="4103" width="20.125" style="1037" customWidth="1"/>
    <col min="4104" max="4105" width="18.375" style="1037" customWidth="1"/>
    <col min="4106" max="4106" width="14.125" style="1037" bestFit="1" customWidth="1"/>
    <col min="4107" max="4107" width="11.125" style="1037" bestFit="1" customWidth="1"/>
    <col min="4108" max="4344" width="9" style="1037"/>
    <col min="4345" max="4346" width="5" style="1037" customWidth="1"/>
    <col min="4347" max="4347" width="27.375" style="1037" customWidth="1"/>
    <col min="4348" max="4351" width="14" style="1037" customWidth="1"/>
    <col min="4352" max="4353" width="4.125" style="1037" customWidth="1"/>
    <col min="4354" max="4354" width="6.625" style="1037" customWidth="1"/>
    <col min="4355" max="4355" width="14" style="1037" customWidth="1"/>
    <col min="4356" max="4356" width="18.125" style="1037" customWidth="1"/>
    <col min="4357" max="4357" width="23" style="1037" customWidth="1"/>
    <col min="4358" max="4358" width="9.625" style="1037" customWidth="1"/>
    <col min="4359" max="4359" width="20.125" style="1037" customWidth="1"/>
    <col min="4360" max="4361" width="18.375" style="1037" customWidth="1"/>
    <col min="4362" max="4362" width="14.125" style="1037" bestFit="1" customWidth="1"/>
    <col min="4363" max="4363" width="11.125" style="1037" bestFit="1" customWidth="1"/>
    <col min="4364" max="4600" width="9" style="1037"/>
    <col min="4601" max="4602" width="5" style="1037" customWidth="1"/>
    <col min="4603" max="4603" width="27.375" style="1037" customWidth="1"/>
    <col min="4604" max="4607" width="14" style="1037" customWidth="1"/>
    <col min="4608" max="4609" width="4.125" style="1037" customWidth="1"/>
    <col min="4610" max="4610" width="6.625" style="1037" customWidth="1"/>
    <col min="4611" max="4611" width="14" style="1037" customWidth="1"/>
    <col min="4612" max="4612" width="18.125" style="1037" customWidth="1"/>
    <col min="4613" max="4613" width="23" style="1037" customWidth="1"/>
    <col min="4614" max="4614" width="9.625" style="1037" customWidth="1"/>
    <col min="4615" max="4615" width="20.125" style="1037" customWidth="1"/>
    <col min="4616" max="4617" width="18.375" style="1037" customWidth="1"/>
    <col min="4618" max="4618" width="14.125" style="1037" bestFit="1" customWidth="1"/>
    <col min="4619" max="4619" width="11.125" style="1037" bestFit="1" customWidth="1"/>
    <col min="4620" max="4856" width="9" style="1037"/>
    <col min="4857" max="4858" width="5" style="1037" customWidth="1"/>
    <col min="4859" max="4859" width="27.375" style="1037" customWidth="1"/>
    <col min="4860" max="4863" width="14" style="1037" customWidth="1"/>
    <col min="4864" max="4865" width="4.125" style="1037" customWidth="1"/>
    <col min="4866" max="4866" width="6.625" style="1037" customWidth="1"/>
    <col min="4867" max="4867" width="14" style="1037" customWidth="1"/>
    <col min="4868" max="4868" width="18.125" style="1037" customWidth="1"/>
    <col min="4869" max="4869" width="23" style="1037" customWidth="1"/>
    <col min="4870" max="4870" width="9.625" style="1037" customWidth="1"/>
    <col min="4871" max="4871" width="20.125" style="1037" customWidth="1"/>
    <col min="4872" max="4873" width="18.375" style="1037" customWidth="1"/>
    <col min="4874" max="4874" width="14.125" style="1037" bestFit="1" customWidth="1"/>
    <col min="4875" max="4875" width="11.125" style="1037" bestFit="1" customWidth="1"/>
    <col min="4876" max="5112" width="9" style="1037"/>
    <col min="5113" max="5114" width="5" style="1037" customWidth="1"/>
    <col min="5115" max="5115" width="27.375" style="1037" customWidth="1"/>
    <col min="5116" max="5119" width="14" style="1037" customWidth="1"/>
    <col min="5120" max="5121" width="4.125" style="1037" customWidth="1"/>
    <col min="5122" max="5122" width="6.625" style="1037" customWidth="1"/>
    <col min="5123" max="5123" width="14" style="1037" customWidth="1"/>
    <col min="5124" max="5124" width="18.125" style="1037" customWidth="1"/>
    <col min="5125" max="5125" width="23" style="1037" customWidth="1"/>
    <col min="5126" max="5126" width="9.625" style="1037" customWidth="1"/>
    <col min="5127" max="5127" width="20.125" style="1037" customWidth="1"/>
    <col min="5128" max="5129" width="18.375" style="1037" customWidth="1"/>
    <col min="5130" max="5130" width="14.125" style="1037" bestFit="1" customWidth="1"/>
    <col min="5131" max="5131" width="11.125" style="1037" bestFit="1" customWidth="1"/>
    <col min="5132" max="5368" width="9" style="1037"/>
    <col min="5369" max="5370" width="5" style="1037" customWidth="1"/>
    <col min="5371" max="5371" width="27.375" style="1037" customWidth="1"/>
    <col min="5372" max="5375" width="14" style="1037" customWidth="1"/>
    <col min="5376" max="5377" width="4.125" style="1037" customWidth="1"/>
    <col min="5378" max="5378" width="6.625" style="1037" customWidth="1"/>
    <col min="5379" max="5379" width="14" style="1037" customWidth="1"/>
    <col min="5380" max="5380" width="18.125" style="1037" customWidth="1"/>
    <col min="5381" max="5381" width="23" style="1037" customWidth="1"/>
    <col min="5382" max="5382" width="9.625" style="1037" customWidth="1"/>
    <col min="5383" max="5383" width="20.125" style="1037" customWidth="1"/>
    <col min="5384" max="5385" width="18.375" style="1037" customWidth="1"/>
    <col min="5386" max="5386" width="14.125" style="1037" bestFit="1" customWidth="1"/>
    <col min="5387" max="5387" width="11.125" style="1037" bestFit="1" customWidth="1"/>
    <col min="5388" max="5624" width="9" style="1037"/>
    <col min="5625" max="5626" width="5" style="1037" customWidth="1"/>
    <col min="5627" max="5627" width="27.375" style="1037" customWidth="1"/>
    <col min="5628" max="5631" width="14" style="1037" customWidth="1"/>
    <col min="5632" max="5633" width="4.125" style="1037" customWidth="1"/>
    <col min="5634" max="5634" width="6.625" style="1037" customWidth="1"/>
    <col min="5635" max="5635" width="14" style="1037" customWidth="1"/>
    <col min="5636" max="5636" width="18.125" style="1037" customWidth="1"/>
    <col min="5637" max="5637" width="23" style="1037" customWidth="1"/>
    <col min="5638" max="5638" width="9.625" style="1037" customWidth="1"/>
    <col min="5639" max="5639" width="20.125" style="1037" customWidth="1"/>
    <col min="5640" max="5641" width="18.375" style="1037" customWidth="1"/>
    <col min="5642" max="5642" width="14.125" style="1037" bestFit="1" customWidth="1"/>
    <col min="5643" max="5643" width="11.125" style="1037" bestFit="1" customWidth="1"/>
    <col min="5644" max="5880" width="9" style="1037"/>
    <col min="5881" max="5882" width="5" style="1037" customWidth="1"/>
    <col min="5883" max="5883" width="27.375" style="1037" customWidth="1"/>
    <col min="5884" max="5887" width="14" style="1037" customWidth="1"/>
    <col min="5888" max="5889" width="4.125" style="1037" customWidth="1"/>
    <col min="5890" max="5890" width="6.625" style="1037" customWidth="1"/>
    <col min="5891" max="5891" width="14" style="1037" customWidth="1"/>
    <col min="5892" max="5892" width="18.125" style="1037" customWidth="1"/>
    <col min="5893" max="5893" width="23" style="1037" customWidth="1"/>
    <col min="5894" max="5894" width="9.625" style="1037" customWidth="1"/>
    <col min="5895" max="5895" width="20.125" style="1037" customWidth="1"/>
    <col min="5896" max="5897" width="18.375" style="1037" customWidth="1"/>
    <col min="5898" max="5898" width="14.125" style="1037" bestFit="1" customWidth="1"/>
    <col min="5899" max="5899" width="11.125" style="1037" bestFit="1" customWidth="1"/>
    <col min="5900" max="6136" width="9" style="1037"/>
    <col min="6137" max="6138" width="5" style="1037" customWidth="1"/>
    <col min="6139" max="6139" width="27.375" style="1037" customWidth="1"/>
    <col min="6140" max="6143" width="14" style="1037" customWidth="1"/>
    <col min="6144" max="6145" width="4.125" style="1037" customWidth="1"/>
    <col min="6146" max="6146" width="6.625" style="1037" customWidth="1"/>
    <col min="6147" max="6147" width="14" style="1037" customWidth="1"/>
    <col min="6148" max="6148" width="18.125" style="1037" customWidth="1"/>
    <col min="6149" max="6149" width="23" style="1037" customWidth="1"/>
    <col min="6150" max="6150" width="9.625" style="1037" customWidth="1"/>
    <col min="6151" max="6151" width="20.125" style="1037" customWidth="1"/>
    <col min="6152" max="6153" width="18.375" style="1037" customWidth="1"/>
    <col min="6154" max="6154" width="14.125" style="1037" bestFit="1" customWidth="1"/>
    <col min="6155" max="6155" width="11.125" style="1037" bestFit="1" customWidth="1"/>
    <col min="6156" max="6392" width="9" style="1037"/>
    <col min="6393" max="6394" width="5" style="1037" customWidth="1"/>
    <col min="6395" max="6395" width="27.375" style="1037" customWidth="1"/>
    <col min="6396" max="6399" width="14" style="1037" customWidth="1"/>
    <col min="6400" max="6401" width="4.125" style="1037" customWidth="1"/>
    <col min="6402" max="6402" width="6.625" style="1037" customWidth="1"/>
    <col min="6403" max="6403" width="14" style="1037" customWidth="1"/>
    <col min="6404" max="6404" width="18.125" style="1037" customWidth="1"/>
    <col min="6405" max="6405" width="23" style="1037" customWidth="1"/>
    <col min="6406" max="6406" width="9.625" style="1037" customWidth="1"/>
    <col min="6407" max="6407" width="20.125" style="1037" customWidth="1"/>
    <col min="6408" max="6409" width="18.375" style="1037" customWidth="1"/>
    <col min="6410" max="6410" width="14.125" style="1037" bestFit="1" customWidth="1"/>
    <col min="6411" max="6411" width="11.125" style="1037" bestFit="1" customWidth="1"/>
    <col min="6412" max="6648" width="9" style="1037"/>
    <col min="6649" max="6650" width="5" style="1037" customWidth="1"/>
    <col min="6651" max="6651" width="27.375" style="1037" customWidth="1"/>
    <col min="6652" max="6655" width="14" style="1037" customWidth="1"/>
    <col min="6656" max="6657" width="4.125" style="1037" customWidth="1"/>
    <col min="6658" max="6658" width="6.625" style="1037" customWidth="1"/>
    <col min="6659" max="6659" width="14" style="1037" customWidth="1"/>
    <col min="6660" max="6660" width="18.125" style="1037" customWidth="1"/>
    <col min="6661" max="6661" width="23" style="1037" customWidth="1"/>
    <col min="6662" max="6662" width="9.625" style="1037" customWidth="1"/>
    <col min="6663" max="6663" width="20.125" style="1037" customWidth="1"/>
    <col min="6664" max="6665" width="18.375" style="1037" customWidth="1"/>
    <col min="6666" max="6666" width="14.125" style="1037" bestFit="1" customWidth="1"/>
    <col min="6667" max="6667" width="11.125" style="1037" bestFit="1" customWidth="1"/>
    <col min="6668" max="6904" width="9" style="1037"/>
    <col min="6905" max="6906" width="5" style="1037" customWidth="1"/>
    <col min="6907" max="6907" width="27.375" style="1037" customWidth="1"/>
    <col min="6908" max="6911" width="14" style="1037" customWidth="1"/>
    <col min="6912" max="6913" width="4.125" style="1037" customWidth="1"/>
    <col min="6914" max="6914" width="6.625" style="1037" customWidth="1"/>
    <col min="6915" max="6915" width="14" style="1037" customWidth="1"/>
    <col min="6916" max="6916" width="18.125" style="1037" customWidth="1"/>
    <col min="6917" max="6917" width="23" style="1037" customWidth="1"/>
    <col min="6918" max="6918" width="9.625" style="1037" customWidth="1"/>
    <col min="6919" max="6919" width="20.125" style="1037" customWidth="1"/>
    <col min="6920" max="6921" width="18.375" style="1037" customWidth="1"/>
    <col min="6922" max="6922" width="14.125" style="1037" bestFit="1" customWidth="1"/>
    <col min="6923" max="6923" width="11.125" style="1037" bestFit="1" customWidth="1"/>
    <col min="6924" max="7160" width="9" style="1037"/>
    <col min="7161" max="7162" width="5" style="1037" customWidth="1"/>
    <col min="7163" max="7163" width="27.375" style="1037" customWidth="1"/>
    <col min="7164" max="7167" width="14" style="1037" customWidth="1"/>
    <col min="7168" max="7169" width="4.125" style="1037" customWidth="1"/>
    <col min="7170" max="7170" width="6.625" style="1037" customWidth="1"/>
    <col min="7171" max="7171" width="14" style="1037" customWidth="1"/>
    <col min="7172" max="7172" width="18.125" style="1037" customWidth="1"/>
    <col min="7173" max="7173" width="23" style="1037" customWidth="1"/>
    <col min="7174" max="7174" width="9.625" style="1037" customWidth="1"/>
    <col min="7175" max="7175" width="20.125" style="1037" customWidth="1"/>
    <col min="7176" max="7177" width="18.375" style="1037" customWidth="1"/>
    <col min="7178" max="7178" width="14.125" style="1037" bestFit="1" customWidth="1"/>
    <col min="7179" max="7179" width="11.125" style="1037" bestFit="1" customWidth="1"/>
    <col min="7180" max="7416" width="9" style="1037"/>
    <col min="7417" max="7418" width="5" style="1037" customWidth="1"/>
    <col min="7419" max="7419" width="27.375" style="1037" customWidth="1"/>
    <col min="7420" max="7423" width="14" style="1037" customWidth="1"/>
    <col min="7424" max="7425" width="4.125" style="1037" customWidth="1"/>
    <col min="7426" max="7426" width="6.625" style="1037" customWidth="1"/>
    <col min="7427" max="7427" width="14" style="1037" customWidth="1"/>
    <col min="7428" max="7428" width="18.125" style="1037" customWidth="1"/>
    <col min="7429" max="7429" width="23" style="1037" customWidth="1"/>
    <col min="7430" max="7430" width="9.625" style="1037" customWidth="1"/>
    <col min="7431" max="7431" width="20.125" style="1037" customWidth="1"/>
    <col min="7432" max="7433" width="18.375" style="1037" customWidth="1"/>
    <col min="7434" max="7434" width="14.125" style="1037" bestFit="1" customWidth="1"/>
    <col min="7435" max="7435" width="11.125" style="1037" bestFit="1" customWidth="1"/>
    <col min="7436" max="7672" width="9" style="1037"/>
    <col min="7673" max="7674" width="5" style="1037" customWidth="1"/>
    <col min="7675" max="7675" width="27.375" style="1037" customWidth="1"/>
    <col min="7676" max="7679" width="14" style="1037" customWidth="1"/>
    <col min="7680" max="7681" width="4.125" style="1037" customWidth="1"/>
    <col min="7682" max="7682" width="6.625" style="1037" customWidth="1"/>
    <col min="7683" max="7683" width="14" style="1037" customWidth="1"/>
    <col min="7684" max="7684" width="18.125" style="1037" customWidth="1"/>
    <col min="7685" max="7685" width="23" style="1037" customWidth="1"/>
    <col min="7686" max="7686" width="9.625" style="1037" customWidth="1"/>
    <col min="7687" max="7687" width="20.125" style="1037" customWidth="1"/>
    <col min="7688" max="7689" width="18.375" style="1037" customWidth="1"/>
    <col min="7690" max="7690" width="14.125" style="1037" bestFit="1" customWidth="1"/>
    <col min="7691" max="7691" width="11.125" style="1037" bestFit="1" customWidth="1"/>
    <col min="7692" max="7928" width="9" style="1037"/>
    <col min="7929" max="7930" width="5" style="1037" customWidth="1"/>
    <col min="7931" max="7931" width="27.375" style="1037" customWidth="1"/>
    <col min="7932" max="7935" width="14" style="1037" customWidth="1"/>
    <col min="7936" max="7937" width="4.125" style="1037" customWidth="1"/>
    <col min="7938" max="7938" width="6.625" style="1037" customWidth="1"/>
    <col min="7939" max="7939" width="14" style="1037" customWidth="1"/>
    <col min="7940" max="7940" width="18.125" style="1037" customWidth="1"/>
    <col min="7941" max="7941" width="23" style="1037" customWidth="1"/>
    <col min="7942" max="7942" width="9.625" style="1037" customWidth="1"/>
    <col min="7943" max="7943" width="20.125" style="1037" customWidth="1"/>
    <col min="7944" max="7945" width="18.375" style="1037" customWidth="1"/>
    <col min="7946" max="7946" width="14.125" style="1037" bestFit="1" customWidth="1"/>
    <col min="7947" max="7947" width="11.125" style="1037" bestFit="1" customWidth="1"/>
    <col min="7948" max="8184" width="9" style="1037"/>
    <col min="8185" max="8186" width="5" style="1037" customWidth="1"/>
    <col min="8187" max="8187" width="27.375" style="1037" customWidth="1"/>
    <col min="8188" max="8191" width="14" style="1037" customWidth="1"/>
    <col min="8192" max="8193" width="4.125" style="1037" customWidth="1"/>
    <col min="8194" max="8194" width="6.625" style="1037" customWidth="1"/>
    <col min="8195" max="8195" width="14" style="1037" customWidth="1"/>
    <col min="8196" max="8196" width="18.125" style="1037" customWidth="1"/>
    <col min="8197" max="8197" width="23" style="1037" customWidth="1"/>
    <col min="8198" max="8198" width="9.625" style="1037" customWidth="1"/>
    <col min="8199" max="8199" width="20.125" style="1037" customWidth="1"/>
    <col min="8200" max="8201" width="18.375" style="1037" customWidth="1"/>
    <col min="8202" max="8202" width="14.125" style="1037" bestFit="1" customWidth="1"/>
    <col min="8203" max="8203" width="11.125" style="1037" bestFit="1" customWidth="1"/>
    <col min="8204" max="8440" width="9" style="1037"/>
    <col min="8441" max="8442" width="5" style="1037" customWidth="1"/>
    <col min="8443" max="8443" width="27.375" style="1037" customWidth="1"/>
    <col min="8444" max="8447" width="14" style="1037" customWidth="1"/>
    <col min="8448" max="8449" width="4.125" style="1037" customWidth="1"/>
    <col min="8450" max="8450" width="6.625" style="1037" customWidth="1"/>
    <col min="8451" max="8451" width="14" style="1037" customWidth="1"/>
    <col min="8452" max="8452" width="18.125" style="1037" customWidth="1"/>
    <col min="8453" max="8453" width="23" style="1037" customWidth="1"/>
    <col min="8454" max="8454" width="9.625" style="1037" customWidth="1"/>
    <col min="8455" max="8455" width="20.125" style="1037" customWidth="1"/>
    <col min="8456" max="8457" width="18.375" style="1037" customWidth="1"/>
    <col min="8458" max="8458" width="14.125" style="1037" bestFit="1" customWidth="1"/>
    <col min="8459" max="8459" width="11.125" style="1037" bestFit="1" customWidth="1"/>
    <col min="8460" max="8696" width="9" style="1037"/>
    <col min="8697" max="8698" width="5" style="1037" customWidth="1"/>
    <col min="8699" max="8699" width="27.375" style="1037" customWidth="1"/>
    <col min="8700" max="8703" width="14" style="1037" customWidth="1"/>
    <col min="8704" max="8705" width="4.125" style="1037" customWidth="1"/>
    <col min="8706" max="8706" width="6.625" style="1037" customWidth="1"/>
    <col min="8707" max="8707" width="14" style="1037" customWidth="1"/>
    <col min="8708" max="8708" width="18.125" style="1037" customWidth="1"/>
    <col min="8709" max="8709" width="23" style="1037" customWidth="1"/>
    <col min="8710" max="8710" width="9.625" style="1037" customWidth="1"/>
    <col min="8711" max="8711" width="20.125" style="1037" customWidth="1"/>
    <col min="8712" max="8713" width="18.375" style="1037" customWidth="1"/>
    <col min="8714" max="8714" width="14.125" style="1037" bestFit="1" customWidth="1"/>
    <col min="8715" max="8715" width="11.125" style="1037" bestFit="1" customWidth="1"/>
    <col min="8716" max="8952" width="9" style="1037"/>
    <col min="8953" max="8954" width="5" style="1037" customWidth="1"/>
    <col min="8955" max="8955" width="27.375" style="1037" customWidth="1"/>
    <col min="8956" max="8959" width="14" style="1037" customWidth="1"/>
    <col min="8960" max="8961" width="4.125" style="1037" customWidth="1"/>
    <col min="8962" max="8962" width="6.625" style="1037" customWidth="1"/>
    <col min="8963" max="8963" width="14" style="1037" customWidth="1"/>
    <col min="8964" max="8964" width="18.125" style="1037" customWidth="1"/>
    <col min="8965" max="8965" width="23" style="1037" customWidth="1"/>
    <col min="8966" max="8966" width="9.625" style="1037" customWidth="1"/>
    <col min="8967" max="8967" width="20.125" style="1037" customWidth="1"/>
    <col min="8968" max="8969" width="18.375" style="1037" customWidth="1"/>
    <col min="8970" max="8970" width="14.125" style="1037" bestFit="1" customWidth="1"/>
    <col min="8971" max="8971" width="11.125" style="1037" bestFit="1" customWidth="1"/>
    <col min="8972" max="9208" width="9" style="1037"/>
    <col min="9209" max="9210" width="5" style="1037" customWidth="1"/>
    <col min="9211" max="9211" width="27.375" style="1037" customWidth="1"/>
    <col min="9212" max="9215" width="14" style="1037" customWidth="1"/>
    <col min="9216" max="9217" width="4.125" style="1037" customWidth="1"/>
    <col min="9218" max="9218" width="6.625" style="1037" customWidth="1"/>
    <col min="9219" max="9219" width="14" style="1037" customWidth="1"/>
    <col min="9220" max="9220" width="18.125" style="1037" customWidth="1"/>
    <col min="9221" max="9221" width="23" style="1037" customWidth="1"/>
    <col min="9222" max="9222" width="9.625" style="1037" customWidth="1"/>
    <col min="9223" max="9223" width="20.125" style="1037" customWidth="1"/>
    <col min="9224" max="9225" width="18.375" style="1037" customWidth="1"/>
    <col min="9226" max="9226" width="14.125" style="1037" bestFit="1" customWidth="1"/>
    <col min="9227" max="9227" width="11.125" style="1037" bestFit="1" customWidth="1"/>
    <col min="9228" max="9464" width="9" style="1037"/>
    <col min="9465" max="9466" width="5" style="1037" customWidth="1"/>
    <col min="9467" max="9467" width="27.375" style="1037" customWidth="1"/>
    <col min="9468" max="9471" width="14" style="1037" customWidth="1"/>
    <col min="9472" max="9473" width="4.125" style="1037" customWidth="1"/>
    <col min="9474" max="9474" width="6.625" style="1037" customWidth="1"/>
    <col min="9475" max="9475" width="14" style="1037" customWidth="1"/>
    <col min="9476" max="9476" width="18.125" style="1037" customWidth="1"/>
    <col min="9477" max="9477" width="23" style="1037" customWidth="1"/>
    <col min="9478" max="9478" width="9.625" style="1037" customWidth="1"/>
    <col min="9479" max="9479" width="20.125" style="1037" customWidth="1"/>
    <col min="9480" max="9481" width="18.375" style="1037" customWidth="1"/>
    <col min="9482" max="9482" width="14.125" style="1037" bestFit="1" customWidth="1"/>
    <col min="9483" max="9483" width="11.125" style="1037" bestFit="1" customWidth="1"/>
    <col min="9484" max="9720" width="9" style="1037"/>
    <col min="9721" max="9722" width="5" style="1037" customWidth="1"/>
    <col min="9723" max="9723" width="27.375" style="1037" customWidth="1"/>
    <col min="9724" max="9727" width="14" style="1037" customWidth="1"/>
    <col min="9728" max="9729" width="4.125" style="1037" customWidth="1"/>
    <col min="9730" max="9730" width="6.625" style="1037" customWidth="1"/>
    <col min="9731" max="9731" width="14" style="1037" customWidth="1"/>
    <col min="9732" max="9732" width="18.125" style="1037" customWidth="1"/>
    <col min="9733" max="9733" width="23" style="1037" customWidth="1"/>
    <col min="9734" max="9734" width="9.625" style="1037" customWidth="1"/>
    <col min="9735" max="9735" width="20.125" style="1037" customWidth="1"/>
    <col min="9736" max="9737" width="18.375" style="1037" customWidth="1"/>
    <col min="9738" max="9738" width="14.125" style="1037" bestFit="1" customWidth="1"/>
    <col min="9739" max="9739" width="11.125" style="1037" bestFit="1" customWidth="1"/>
    <col min="9740" max="9976" width="9" style="1037"/>
    <col min="9977" max="9978" width="5" style="1037" customWidth="1"/>
    <col min="9979" max="9979" width="27.375" style="1037" customWidth="1"/>
    <col min="9980" max="9983" width="14" style="1037" customWidth="1"/>
    <col min="9984" max="9985" width="4.125" style="1037" customWidth="1"/>
    <col min="9986" max="9986" width="6.625" style="1037" customWidth="1"/>
    <col min="9987" max="9987" width="14" style="1037" customWidth="1"/>
    <col min="9988" max="9988" width="18.125" style="1037" customWidth="1"/>
    <col min="9989" max="9989" width="23" style="1037" customWidth="1"/>
    <col min="9990" max="9990" width="9.625" style="1037" customWidth="1"/>
    <col min="9991" max="9991" width="20.125" style="1037" customWidth="1"/>
    <col min="9992" max="9993" width="18.375" style="1037" customWidth="1"/>
    <col min="9994" max="9994" width="14.125" style="1037" bestFit="1" customWidth="1"/>
    <col min="9995" max="9995" width="11.125" style="1037" bestFit="1" customWidth="1"/>
    <col min="9996" max="10232" width="9" style="1037"/>
    <col min="10233" max="10234" width="5" style="1037" customWidth="1"/>
    <col min="10235" max="10235" width="27.375" style="1037" customWidth="1"/>
    <col min="10236" max="10239" width="14" style="1037" customWidth="1"/>
    <col min="10240" max="10241" width="4.125" style="1037" customWidth="1"/>
    <col min="10242" max="10242" width="6.625" style="1037" customWidth="1"/>
    <col min="10243" max="10243" width="14" style="1037" customWidth="1"/>
    <col min="10244" max="10244" width="18.125" style="1037" customWidth="1"/>
    <col min="10245" max="10245" width="23" style="1037" customWidth="1"/>
    <col min="10246" max="10246" width="9.625" style="1037" customWidth="1"/>
    <col min="10247" max="10247" width="20.125" style="1037" customWidth="1"/>
    <col min="10248" max="10249" width="18.375" style="1037" customWidth="1"/>
    <col min="10250" max="10250" width="14.125" style="1037" bestFit="1" customWidth="1"/>
    <col min="10251" max="10251" width="11.125" style="1037" bestFit="1" customWidth="1"/>
    <col min="10252" max="10488" width="9" style="1037"/>
    <col min="10489" max="10490" width="5" style="1037" customWidth="1"/>
    <col min="10491" max="10491" width="27.375" style="1037" customWidth="1"/>
    <col min="10492" max="10495" width="14" style="1037" customWidth="1"/>
    <col min="10496" max="10497" width="4.125" style="1037" customWidth="1"/>
    <col min="10498" max="10498" width="6.625" style="1037" customWidth="1"/>
    <col min="10499" max="10499" width="14" style="1037" customWidth="1"/>
    <col min="10500" max="10500" width="18.125" style="1037" customWidth="1"/>
    <col min="10501" max="10501" width="23" style="1037" customWidth="1"/>
    <col min="10502" max="10502" width="9.625" style="1037" customWidth="1"/>
    <col min="10503" max="10503" width="20.125" style="1037" customWidth="1"/>
    <col min="10504" max="10505" width="18.375" style="1037" customWidth="1"/>
    <col min="10506" max="10506" width="14.125" style="1037" bestFit="1" customWidth="1"/>
    <col min="10507" max="10507" width="11.125" style="1037" bestFit="1" customWidth="1"/>
    <col min="10508" max="10744" width="9" style="1037"/>
    <col min="10745" max="10746" width="5" style="1037" customWidth="1"/>
    <col min="10747" max="10747" width="27.375" style="1037" customWidth="1"/>
    <col min="10748" max="10751" width="14" style="1037" customWidth="1"/>
    <col min="10752" max="10753" width="4.125" style="1037" customWidth="1"/>
    <col min="10754" max="10754" width="6.625" style="1037" customWidth="1"/>
    <col min="10755" max="10755" width="14" style="1037" customWidth="1"/>
    <col min="10756" max="10756" width="18.125" style="1037" customWidth="1"/>
    <col min="10757" max="10757" width="23" style="1037" customWidth="1"/>
    <col min="10758" max="10758" width="9.625" style="1037" customWidth="1"/>
    <col min="10759" max="10759" width="20.125" style="1037" customWidth="1"/>
    <col min="10760" max="10761" width="18.375" style="1037" customWidth="1"/>
    <col min="10762" max="10762" width="14.125" style="1037" bestFit="1" customWidth="1"/>
    <col min="10763" max="10763" width="11.125" style="1037" bestFit="1" customWidth="1"/>
    <col min="10764" max="11000" width="9" style="1037"/>
    <col min="11001" max="11002" width="5" style="1037" customWidth="1"/>
    <col min="11003" max="11003" width="27.375" style="1037" customWidth="1"/>
    <col min="11004" max="11007" width="14" style="1037" customWidth="1"/>
    <col min="11008" max="11009" width="4.125" style="1037" customWidth="1"/>
    <col min="11010" max="11010" width="6.625" style="1037" customWidth="1"/>
    <col min="11011" max="11011" width="14" style="1037" customWidth="1"/>
    <col min="11012" max="11012" width="18.125" style="1037" customWidth="1"/>
    <col min="11013" max="11013" width="23" style="1037" customWidth="1"/>
    <col min="11014" max="11014" width="9.625" style="1037" customWidth="1"/>
    <col min="11015" max="11015" width="20.125" style="1037" customWidth="1"/>
    <col min="11016" max="11017" width="18.375" style="1037" customWidth="1"/>
    <col min="11018" max="11018" width="14.125" style="1037" bestFit="1" customWidth="1"/>
    <col min="11019" max="11019" width="11.125" style="1037" bestFit="1" customWidth="1"/>
    <col min="11020" max="11256" width="9" style="1037"/>
    <col min="11257" max="11258" width="5" style="1037" customWidth="1"/>
    <col min="11259" max="11259" width="27.375" style="1037" customWidth="1"/>
    <col min="11260" max="11263" width="14" style="1037" customWidth="1"/>
    <col min="11264" max="11265" width="4.125" style="1037" customWidth="1"/>
    <col min="11266" max="11266" width="6.625" style="1037" customWidth="1"/>
    <col min="11267" max="11267" width="14" style="1037" customWidth="1"/>
    <col min="11268" max="11268" width="18.125" style="1037" customWidth="1"/>
    <col min="11269" max="11269" width="23" style="1037" customWidth="1"/>
    <col min="11270" max="11270" width="9.625" style="1037" customWidth="1"/>
    <col min="11271" max="11271" width="20.125" style="1037" customWidth="1"/>
    <col min="11272" max="11273" width="18.375" style="1037" customWidth="1"/>
    <col min="11274" max="11274" width="14.125" style="1037" bestFit="1" customWidth="1"/>
    <col min="11275" max="11275" width="11.125" style="1037" bestFit="1" customWidth="1"/>
    <col min="11276" max="11512" width="9" style="1037"/>
    <col min="11513" max="11514" width="5" style="1037" customWidth="1"/>
    <col min="11515" max="11515" width="27.375" style="1037" customWidth="1"/>
    <col min="11516" max="11519" width="14" style="1037" customWidth="1"/>
    <col min="11520" max="11521" width="4.125" style="1037" customWidth="1"/>
    <col min="11522" max="11522" width="6.625" style="1037" customWidth="1"/>
    <col min="11523" max="11523" width="14" style="1037" customWidth="1"/>
    <col min="11524" max="11524" width="18.125" style="1037" customWidth="1"/>
    <col min="11525" max="11525" width="23" style="1037" customWidth="1"/>
    <col min="11526" max="11526" width="9.625" style="1037" customWidth="1"/>
    <col min="11527" max="11527" width="20.125" style="1037" customWidth="1"/>
    <col min="11528" max="11529" width="18.375" style="1037" customWidth="1"/>
    <col min="11530" max="11530" width="14.125" style="1037" bestFit="1" customWidth="1"/>
    <col min="11531" max="11531" width="11.125" style="1037" bestFit="1" customWidth="1"/>
    <col min="11532" max="11768" width="9" style="1037"/>
    <col min="11769" max="11770" width="5" style="1037" customWidth="1"/>
    <col min="11771" max="11771" width="27.375" style="1037" customWidth="1"/>
    <col min="11772" max="11775" width="14" style="1037" customWidth="1"/>
    <col min="11776" max="11777" width="4.125" style="1037" customWidth="1"/>
    <col min="11778" max="11778" width="6.625" style="1037" customWidth="1"/>
    <col min="11779" max="11779" width="14" style="1037" customWidth="1"/>
    <col min="11780" max="11780" width="18.125" style="1037" customWidth="1"/>
    <col min="11781" max="11781" width="23" style="1037" customWidth="1"/>
    <col min="11782" max="11782" width="9.625" style="1037" customWidth="1"/>
    <col min="11783" max="11783" width="20.125" style="1037" customWidth="1"/>
    <col min="11784" max="11785" width="18.375" style="1037" customWidth="1"/>
    <col min="11786" max="11786" width="14.125" style="1037" bestFit="1" customWidth="1"/>
    <col min="11787" max="11787" width="11.125" style="1037" bestFit="1" customWidth="1"/>
    <col min="11788" max="12024" width="9" style="1037"/>
    <col min="12025" max="12026" width="5" style="1037" customWidth="1"/>
    <col min="12027" max="12027" width="27.375" style="1037" customWidth="1"/>
    <col min="12028" max="12031" width="14" style="1037" customWidth="1"/>
    <col min="12032" max="12033" width="4.125" style="1037" customWidth="1"/>
    <col min="12034" max="12034" width="6.625" style="1037" customWidth="1"/>
    <col min="12035" max="12035" width="14" style="1037" customWidth="1"/>
    <col min="12036" max="12036" width="18.125" style="1037" customWidth="1"/>
    <col min="12037" max="12037" width="23" style="1037" customWidth="1"/>
    <col min="12038" max="12038" width="9.625" style="1037" customWidth="1"/>
    <col min="12039" max="12039" width="20.125" style="1037" customWidth="1"/>
    <col min="12040" max="12041" width="18.375" style="1037" customWidth="1"/>
    <col min="12042" max="12042" width="14.125" style="1037" bestFit="1" customWidth="1"/>
    <col min="12043" max="12043" width="11.125" style="1037" bestFit="1" customWidth="1"/>
    <col min="12044" max="12280" width="9" style="1037"/>
    <col min="12281" max="12282" width="5" style="1037" customWidth="1"/>
    <col min="12283" max="12283" width="27.375" style="1037" customWidth="1"/>
    <col min="12284" max="12287" width="14" style="1037" customWidth="1"/>
    <col min="12288" max="12289" width="4.125" style="1037" customWidth="1"/>
    <col min="12290" max="12290" width="6.625" style="1037" customWidth="1"/>
    <col min="12291" max="12291" width="14" style="1037" customWidth="1"/>
    <col min="12292" max="12292" width="18.125" style="1037" customWidth="1"/>
    <col min="12293" max="12293" width="23" style="1037" customWidth="1"/>
    <col min="12294" max="12294" width="9.625" style="1037" customWidth="1"/>
    <col min="12295" max="12295" width="20.125" style="1037" customWidth="1"/>
    <col min="12296" max="12297" width="18.375" style="1037" customWidth="1"/>
    <col min="12298" max="12298" width="14.125" style="1037" bestFit="1" customWidth="1"/>
    <col min="12299" max="12299" width="11.125" style="1037" bestFit="1" customWidth="1"/>
    <col min="12300" max="12536" width="9" style="1037"/>
    <col min="12537" max="12538" width="5" style="1037" customWidth="1"/>
    <col min="12539" max="12539" width="27.375" style="1037" customWidth="1"/>
    <col min="12540" max="12543" width="14" style="1037" customWidth="1"/>
    <col min="12544" max="12545" width="4.125" style="1037" customWidth="1"/>
    <col min="12546" max="12546" width="6.625" style="1037" customWidth="1"/>
    <col min="12547" max="12547" width="14" style="1037" customWidth="1"/>
    <col min="12548" max="12548" width="18.125" style="1037" customWidth="1"/>
    <col min="12549" max="12549" width="23" style="1037" customWidth="1"/>
    <col min="12550" max="12550" width="9.625" style="1037" customWidth="1"/>
    <col min="12551" max="12551" width="20.125" style="1037" customWidth="1"/>
    <col min="12552" max="12553" width="18.375" style="1037" customWidth="1"/>
    <col min="12554" max="12554" width="14.125" style="1037" bestFit="1" customWidth="1"/>
    <col min="12555" max="12555" width="11.125" style="1037" bestFit="1" customWidth="1"/>
    <col min="12556" max="12792" width="9" style="1037"/>
    <col min="12793" max="12794" width="5" style="1037" customWidth="1"/>
    <col min="12795" max="12795" width="27.375" style="1037" customWidth="1"/>
    <col min="12796" max="12799" width="14" style="1037" customWidth="1"/>
    <col min="12800" max="12801" width="4.125" style="1037" customWidth="1"/>
    <col min="12802" max="12802" width="6.625" style="1037" customWidth="1"/>
    <col min="12803" max="12803" width="14" style="1037" customWidth="1"/>
    <col min="12804" max="12804" width="18.125" style="1037" customWidth="1"/>
    <col min="12805" max="12805" width="23" style="1037" customWidth="1"/>
    <col min="12806" max="12806" width="9.625" style="1037" customWidth="1"/>
    <col min="12807" max="12807" width="20.125" style="1037" customWidth="1"/>
    <col min="12808" max="12809" width="18.375" style="1037" customWidth="1"/>
    <col min="12810" max="12810" width="14.125" style="1037" bestFit="1" customWidth="1"/>
    <col min="12811" max="12811" width="11.125" style="1037" bestFit="1" customWidth="1"/>
    <col min="12812" max="13048" width="9" style="1037"/>
    <col min="13049" max="13050" width="5" style="1037" customWidth="1"/>
    <col min="13051" max="13051" width="27.375" style="1037" customWidth="1"/>
    <col min="13052" max="13055" width="14" style="1037" customWidth="1"/>
    <col min="13056" max="13057" width="4.125" style="1037" customWidth="1"/>
    <col min="13058" max="13058" width="6.625" style="1037" customWidth="1"/>
    <col min="13059" max="13059" width="14" style="1037" customWidth="1"/>
    <col min="13060" max="13060" width="18.125" style="1037" customWidth="1"/>
    <col min="13061" max="13061" width="23" style="1037" customWidth="1"/>
    <col min="13062" max="13062" width="9.625" style="1037" customWidth="1"/>
    <col min="13063" max="13063" width="20.125" style="1037" customWidth="1"/>
    <col min="13064" max="13065" width="18.375" style="1037" customWidth="1"/>
    <col min="13066" max="13066" width="14.125" style="1037" bestFit="1" customWidth="1"/>
    <col min="13067" max="13067" width="11.125" style="1037" bestFit="1" customWidth="1"/>
    <col min="13068" max="13304" width="9" style="1037"/>
    <col min="13305" max="13306" width="5" style="1037" customWidth="1"/>
    <col min="13307" max="13307" width="27.375" style="1037" customWidth="1"/>
    <col min="13308" max="13311" width="14" style="1037" customWidth="1"/>
    <col min="13312" max="13313" width="4.125" style="1037" customWidth="1"/>
    <col min="13314" max="13314" width="6.625" style="1037" customWidth="1"/>
    <col min="13315" max="13315" width="14" style="1037" customWidth="1"/>
    <col min="13316" max="13316" width="18.125" style="1037" customWidth="1"/>
    <col min="13317" max="13317" width="23" style="1037" customWidth="1"/>
    <col min="13318" max="13318" width="9.625" style="1037" customWidth="1"/>
    <col min="13319" max="13319" width="20.125" style="1037" customWidth="1"/>
    <col min="13320" max="13321" width="18.375" style="1037" customWidth="1"/>
    <col min="13322" max="13322" width="14.125" style="1037" bestFit="1" customWidth="1"/>
    <col min="13323" max="13323" width="11.125" style="1037" bestFit="1" customWidth="1"/>
    <col min="13324" max="13560" width="9" style="1037"/>
    <col min="13561" max="13562" width="5" style="1037" customWidth="1"/>
    <col min="13563" max="13563" width="27.375" style="1037" customWidth="1"/>
    <col min="13564" max="13567" width="14" style="1037" customWidth="1"/>
    <col min="13568" max="13569" width="4.125" style="1037" customWidth="1"/>
    <col min="13570" max="13570" width="6.625" style="1037" customWidth="1"/>
    <col min="13571" max="13571" width="14" style="1037" customWidth="1"/>
    <col min="13572" max="13572" width="18.125" style="1037" customWidth="1"/>
    <col min="13573" max="13573" width="23" style="1037" customWidth="1"/>
    <col min="13574" max="13574" width="9.625" style="1037" customWidth="1"/>
    <col min="13575" max="13575" width="20.125" style="1037" customWidth="1"/>
    <col min="13576" max="13577" width="18.375" style="1037" customWidth="1"/>
    <col min="13578" max="13578" width="14.125" style="1037" bestFit="1" customWidth="1"/>
    <col min="13579" max="13579" width="11.125" style="1037" bestFit="1" customWidth="1"/>
    <col min="13580" max="13816" width="9" style="1037"/>
    <col min="13817" max="13818" width="5" style="1037" customWidth="1"/>
    <col min="13819" max="13819" width="27.375" style="1037" customWidth="1"/>
    <col min="13820" max="13823" width="14" style="1037" customWidth="1"/>
    <col min="13824" max="13825" width="4.125" style="1037" customWidth="1"/>
    <col min="13826" max="13826" width="6.625" style="1037" customWidth="1"/>
    <col min="13827" max="13827" width="14" style="1037" customWidth="1"/>
    <col min="13828" max="13828" width="18.125" style="1037" customWidth="1"/>
    <col min="13829" max="13829" width="23" style="1037" customWidth="1"/>
    <col min="13830" max="13830" width="9.625" style="1037" customWidth="1"/>
    <col min="13831" max="13831" width="20.125" style="1037" customWidth="1"/>
    <col min="13832" max="13833" width="18.375" style="1037" customWidth="1"/>
    <col min="13834" max="13834" width="14.125" style="1037" bestFit="1" customWidth="1"/>
    <col min="13835" max="13835" width="11.125" style="1037" bestFit="1" customWidth="1"/>
    <col min="13836" max="14072" width="9" style="1037"/>
    <col min="14073" max="14074" width="5" style="1037" customWidth="1"/>
    <col min="14075" max="14075" width="27.375" style="1037" customWidth="1"/>
    <col min="14076" max="14079" width="14" style="1037" customWidth="1"/>
    <col min="14080" max="14081" width="4.125" style="1037" customWidth="1"/>
    <col min="14082" max="14082" width="6.625" style="1037" customWidth="1"/>
    <col min="14083" max="14083" width="14" style="1037" customWidth="1"/>
    <col min="14084" max="14084" width="18.125" style="1037" customWidth="1"/>
    <col min="14085" max="14085" width="23" style="1037" customWidth="1"/>
    <col min="14086" max="14086" width="9.625" style="1037" customWidth="1"/>
    <col min="14087" max="14087" width="20.125" style="1037" customWidth="1"/>
    <col min="14088" max="14089" width="18.375" style="1037" customWidth="1"/>
    <col min="14090" max="14090" width="14.125" style="1037" bestFit="1" customWidth="1"/>
    <col min="14091" max="14091" width="11.125" style="1037" bestFit="1" customWidth="1"/>
    <col min="14092" max="14328" width="9" style="1037"/>
    <col min="14329" max="14330" width="5" style="1037" customWidth="1"/>
    <col min="14331" max="14331" width="27.375" style="1037" customWidth="1"/>
    <col min="14332" max="14335" width="14" style="1037" customWidth="1"/>
    <col min="14336" max="14337" width="4.125" style="1037" customWidth="1"/>
    <col min="14338" max="14338" width="6.625" style="1037" customWidth="1"/>
    <col min="14339" max="14339" width="14" style="1037" customWidth="1"/>
    <col min="14340" max="14340" width="18.125" style="1037" customWidth="1"/>
    <col min="14341" max="14341" width="23" style="1037" customWidth="1"/>
    <col min="14342" max="14342" width="9.625" style="1037" customWidth="1"/>
    <col min="14343" max="14343" width="20.125" style="1037" customWidth="1"/>
    <col min="14344" max="14345" width="18.375" style="1037" customWidth="1"/>
    <col min="14346" max="14346" width="14.125" style="1037" bestFit="1" customWidth="1"/>
    <col min="14347" max="14347" width="11.125" style="1037" bestFit="1" customWidth="1"/>
    <col min="14348" max="14584" width="9" style="1037"/>
    <col min="14585" max="14586" width="5" style="1037" customWidth="1"/>
    <col min="14587" max="14587" width="27.375" style="1037" customWidth="1"/>
    <col min="14588" max="14591" width="14" style="1037" customWidth="1"/>
    <col min="14592" max="14593" width="4.125" style="1037" customWidth="1"/>
    <col min="14594" max="14594" width="6.625" style="1037" customWidth="1"/>
    <col min="14595" max="14595" width="14" style="1037" customWidth="1"/>
    <col min="14596" max="14596" width="18.125" style="1037" customWidth="1"/>
    <col min="14597" max="14597" width="23" style="1037" customWidth="1"/>
    <col min="14598" max="14598" width="9.625" style="1037" customWidth="1"/>
    <col min="14599" max="14599" width="20.125" style="1037" customWidth="1"/>
    <col min="14600" max="14601" width="18.375" style="1037" customWidth="1"/>
    <col min="14602" max="14602" width="14.125" style="1037" bestFit="1" customWidth="1"/>
    <col min="14603" max="14603" width="11.125" style="1037" bestFit="1" customWidth="1"/>
    <col min="14604" max="14840" width="9" style="1037"/>
    <col min="14841" max="14842" width="5" style="1037" customWidth="1"/>
    <col min="14843" max="14843" width="27.375" style="1037" customWidth="1"/>
    <col min="14844" max="14847" width="14" style="1037" customWidth="1"/>
    <col min="14848" max="14849" width="4.125" style="1037" customWidth="1"/>
    <col min="14850" max="14850" width="6.625" style="1037" customWidth="1"/>
    <col min="14851" max="14851" width="14" style="1037" customWidth="1"/>
    <col min="14852" max="14852" width="18.125" style="1037" customWidth="1"/>
    <col min="14853" max="14853" width="23" style="1037" customWidth="1"/>
    <col min="14854" max="14854" width="9.625" style="1037" customWidth="1"/>
    <col min="14855" max="14855" width="20.125" style="1037" customWidth="1"/>
    <col min="14856" max="14857" width="18.375" style="1037" customWidth="1"/>
    <col min="14858" max="14858" width="14.125" style="1037" bestFit="1" customWidth="1"/>
    <col min="14859" max="14859" width="11.125" style="1037" bestFit="1" customWidth="1"/>
    <col min="14860" max="15096" width="9" style="1037"/>
    <col min="15097" max="15098" width="5" style="1037" customWidth="1"/>
    <col min="15099" max="15099" width="27.375" style="1037" customWidth="1"/>
    <col min="15100" max="15103" width="14" style="1037" customWidth="1"/>
    <col min="15104" max="15105" width="4.125" style="1037" customWidth="1"/>
    <col min="15106" max="15106" width="6.625" style="1037" customWidth="1"/>
    <col min="15107" max="15107" width="14" style="1037" customWidth="1"/>
    <col min="15108" max="15108" width="18.125" style="1037" customWidth="1"/>
    <col min="15109" max="15109" width="23" style="1037" customWidth="1"/>
    <col min="15110" max="15110" width="9.625" style="1037" customWidth="1"/>
    <col min="15111" max="15111" width="20.125" style="1037" customWidth="1"/>
    <col min="15112" max="15113" width="18.375" style="1037" customWidth="1"/>
    <col min="15114" max="15114" width="14.125" style="1037" bestFit="1" customWidth="1"/>
    <col min="15115" max="15115" width="11.125" style="1037" bestFit="1" customWidth="1"/>
    <col min="15116" max="15352" width="9" style="1037"/>
    <col min="15353" max="15354" width="5" style="1037" customWidth="1"/>
    <col min="15355" max="15355" width="27.375" style="1037" customWidth="1"/>
    <col min="15356" max="15359" width="14" style="1037" customWidth="1"/>
    <col min="15360" max="15361" width="4.125" style="1037" customWidth="1"/>
    <col min="15362" max="15362" width="6.625" style="1037" customWidth="1"/>
    <col min="15363" max="15363" width="14" style="1037" customWidth="1"/>
    <col min="15364" max="15364" width="18.125" style="1037" customWidth="1"/>
    <col min="15365" max="15365" width="23" style="1037" customWidth="1"/>
    <col min="15366" max="15366" width="9.625" style="1037" customWidth="1"/>
    <col min="15367" max="15367" width="20.125" style="1037" customWidth="1"/>
    <col min="15368" max="15369" width="18.375" style="1037" customWidth="1"/>
    <col min="15370" max="15370" width="14.125" style="1037" bestFit="1" customWidth="1"/>
    <col min="15371" max="15371" width="11.125" style="1037" bestFit="1" customWidth="1"/>
    <col min="15372" max="15608" width="9" style="1037"/>
    <col min="15609" max="15610" width="5" style="1037" customWidth="1"/>
    <col min="15611" max="15611" width="27.375" style="1037" customWidth="1"/>
    <col min="15612" max="15615" width="14" style="1037" customWidth="1"/>
    <col min="15616" max="15617" width="4.125" style="1037" customWidth="1"/>
    <col min="15618" max="15618" width="6.625" style="1037" customWidth="1"/>
    <col min="15619" max="15619" width="14" style="1037" customWidth="1"/>
    <col min="15620" max="15620" width="18.125" style="1037" customWidth="1"/>
    <col min="15621" max="15621" width="23" style="1037" customWidth="1"/>
    <col min="15622" max="15622" width="9.625" style="1037" customWidth="1"/>
    <col min="15623" max="15623" width="20.125" style="1037" customWidth="1"/>
    <col min="15624" max="15625" width="18.375" style="1037" customWidth="1"/>
    <col min="15626" max="15626" width="14.125" style="1037" bestFit="1" customWidth="1"/>
    <col min="15627" max="15627" width="11.125" style="1037" bestFit="1" customWidth="1"/>
    <col min="15628" max="15864" width="9" style="1037"/>
    <col min="15865" max="15866" width="5" style="1037" customWidth="1"/>
    <col min="15867" max="15867" width="27.375" style="1037" customWidth="1"/>
    <col min="15868" max="15871" width="14" style="1037" customWidth="1"/>
    <col min="15872" max="15873" width="4.125" style="1037" customWidth="1"/>
    <col min="15874" max="15874" width="6.625" style="1037" customWidth="1"/>
    <col min="15875" max="15875" width="14" style="1037" customWidth="1"/>
    <col min="15876" max="15876" width="18.125" style="1037" customWidth="1"/>
    <col min="15877" max="15877" width="23" style="1037" customWidth="1"/>
    <col min="15878" max="15878" width="9.625" style="1037" customWidth="1"/>
    <col min="15879" max="15879" width="20.125" style="1037" customWidth="1"/>
    <col min="15880" max="15881" width="18.375" style="1037" customWidth="1"/>
    <col min="15882" max="15882" width="14.125" style="1037" bestFit="1" customWidth="1"/>
    <col min="15883" max="15883" width="11.125" style="1037" bestFit="1" customWidth="1"/>
    <col min="15884" max="16120" width="9" style="1037"/>
    <col min="16121" max="16122" width="5" style="1037" customWidth="1"/>
    <col min="16123" max="16123" width="27.375" style="1037" customWidth="1"/>
    <col min="16124" max="16127" width="14" style="1037" customWidth="1"/>
    <col min="16128" max="16129" width="4.125" style="1037" customWidth="1"/>
    <col min="16130" max="16130" width="6.625" style="1037" customWidth="1"/>
    <col min="16131" max="16131" width="14" style="1037" customWidth="1"/>
    <col min="16132" max="16132" width="18.125" style="1037" customWidth="1"/>
    <col min="16133" max="16133" width="23" style="1037" customWidth="1"/>
    <col min="16134" max="16134" width="9.625" style="1037" customWidth="1"/>
    <col min="16135" max="16135" width="20.125" style="1037" customWidth="1"/>
    <col min="16136" max="16137" width="18.375" style="1037" customWidth="1"/>
    <col min="16138" max="16138" width="14.125" style="1037" bestFit="1" customWidth="1"/>
    <col min="16139" max="16139" width="11.125" style="1037" bestFit="1" customWidth="1"/>
    <col min="16140" max="16384" width="9" style="1037"/>
  </cols>
  <sheetData>
    <row r="1" spans="1:24">
      <c r="A1" s="1037" t="s">
        <v>2625</v>
      </c>
    </row>
    <row r="2" spans="1:24">
      <c r="D2" s="1039"/>
      <c r="E2" s="1039"/>
      <c r="F2" s="1039"/>
      <c r="H2" s="1039"/>
    </row>
    <row r="3" spans="1:24" s="1040" customFormat="1" ht="14.25" thickBot="1">
      <c r="B3" s="1987" t="s">
        <v>1035</v>
      </c>
      <c r="C3" s="1987"/>
      <c r="D3" s="1041" t="s">
        <v>1036</v>
      </c>
      <c r="E3" s="1988" t="s">
        <v>1037</v>
      </c>
      <c r="F3" s="1989"/>
      <c r="G3" s="1042" t="str">
        <f>D3</f>
        <v>HK $</v>
      </c>
      <c r="H3" s="1136">
        <f>상해_BS!H3</f>
        <v>46203</v>
      </c>
      <c r="I3" s="1990" t="s">
        <v>1037</v>
      </c>
      <c r="J3" s="1991"/>
      <c r="K3" s="1137">
        <f>H3</f>
        <v>46203</v>
      </c>
      <c r="L3" s="1987" t="s">
        <v>1038</v>
      </c>
      <c r="M3" s="1987"/>
      <c r="N3" s="1041"/>
    </row>
    <row r="4" spans="1:24" s="1050" customFormat="1" ht="30.6" customHeight="1">
      <c r="A4" s="1043" t="s">
        <v>486</v>
      </c>
      <c r="B4" s="1044" t="s">
        <v>1039</v>
      </c>
      <c r="C4" s="1044" t="s">
        <v>1040</v>
      </c>
      <c r="D4" s="1045"/>
      <c r="E4" s="1046" t="s">
        <v>230</v>
      </c>
      <c r="F4" s="1046" t="s">
        <v>232</v>
      </c>
      <c r="G4" s="1047">
        <f>환율!C17</f>
        <v>216.23</v>
      </c>
      <c r="H4" s="1041" t="s">
        <v>573</v>
      </c>
      <c r="I4" s="1046" t="s">
        <v>230</v>
      </c>
      <c r="J4" s="1046" t="s">
        <v>232</v>
      </c>
      <c r="K4" s="1048" t="s">
        <v>234</v>
      </c>
      <c r="L4" s="1044" t="s">
        <v>1039</v>
      </c>
      <c r="M4" s="1049" t="s">
        <v>1042</v>
      </c>
      <c r="N4" s="1049" t="s">
        <v>1040</v>
      </c>
      <c r="P4" s="1051"/>
    </row>
    <row r="5" spans="1:24">
      <c r="A5" s="1052"/>
      <c r="B5" s="1053" t="s">
        <v>1319</v>
      </c>
      <c r="C5" s="1053" t="s">
        <v>1248</v>
      </c>
      <c r="D5" s="1054">
        <f t="shared" ref="D5" si="0">D6+D9</f>
        <v>0</v>
      </c>
      <c r="E5" s="1054"/>
      <c r="F5" s="1054"/>
      <c r="G5" s="1055">
        <f>SUM(G6,G9)</f>
        <v>0</v>
      </c>
      <c r="H5" s="1056">
        <f>H6+H9</f>
        <v>0</v>
      </c>
      <c r="I5" s="1056"/>
      <c r="J5" s="1056"/>
      <c r="K5" s="1057">
        <f>SUM(K6,K9)</f>
        <v>0</v>
      </c>
      <c r="L5" s="1058" t="str">
        <f t="shared" ref="L5:L14" si="1">B5</f>
        <v>*</v>
      </c>
      <c r="M5" s="1059"/>
      <c r="N5" s="1059"/>
    </row>
    <row r="6" spans="1:24">
      <c r="A6" s="1052"/>
      <c r="B6" s="1060" t="s">
        <v>1257</v>
      </c>
      <c r="C6" s="1060" t="s">
        <v>1320</v>
      </c>
      <c r="D6" s="1061">
        <f t="shared" ref="D6" si="2">SUM(D7:D8)</f>
        <v>0</v>
      </c>
      <c r="E6" s="1061"/>
      <c r="F6" s="1061"/>
      <c r="G6" s="1062">
        <f>SUM(G7:G8)</f>
        <v>0</v>
      </c>
      <c r="H6" s="1063">
        <f>SUM(H7:H8)</f>
        <v>0</v>
      </c>
      <c r="I6" s="1063"/>
      <c r="J6" s="1063"/>
      <c r="K6" s="1064">
        <f>SUM(K7:K8)</f>
        <v>0</v>
      </c>
      <c r="L6" s="1065" t="str">
        <f t="shared" si="1"/>
        <v>**</v>
      </c>
      <c r="M6" s="1066"/>
      <c r="N6" s="1066"/>
      <c r="Q6" s="1067"/>
      <c r="R6" s="1067"/>
      <c r="U6" s="1067"/>
      <c r="W6" s="1067"/>
    </row>
    <row r="7" spans="1:24">
      <c r="A7" s="1052" t="s">
        <v>717</v>
      </c>
      <c r="B7" s="1060" t="s">
        <v>1125</v>
      </c>
      <c r="C7" s="1060" t="s">
        <v>1321</v>
      </c>
      <c r="D7" s="1068"/>
      <c r="E7" s="1068"/>
      <c r="F7" s="1068"/>
      <c r="G7" s="1069">
        <f t="shared" ref="G7:G8" si="3">D7-E7+F7</f>
        <v>0</v>
      </c>
      <c r="H7" s="1070">
        <f t="shared" ref="H7:H8" si="4">ROUND(G7*$G$4,)</f>
        <v>0</v>
      </c>
      <c r="I7" s="1070"/>
      <c r="J7" s="1070"/>
      <c r="K7" s="1071">
        <f t="shared" ref="K7:K8" si="5">H7-I7+J7</f>
        <v>0</v>
      </c>
      <c r="L7" s="1060" t="str">
        <f t="shared" si="1"/>
        <v>***</v>
      </c>
      <c r="M7" s="1072" t="s">
        <v>1322</v>
      </c>
      <c r="N7" s="1072" t="s">
        <v>1323</v>
      </c>
      <c r="Q7" s="1067"/>
      <c r="R7" s="1067"/>
      <c r="W7" s="1067"/>
    </row>
    <row r="8" spans="1:24">
      <c r="A8" s="1052" t="s">
        <v>717</v>
      </c>
      <c r="B8" s="1060" t="s">
        <v>1125</v>
      </c>
      <c r="C8" s="1060" t="s">
        <v>1250</v>
      </c>
      <c r="D8" s="1068"/>
      <c r="E8" s="1068"/>
      <c r="F8" s="1068"/>
      <c r="G8" s="1069">
        <f t="shared" si="3"/>
        <v>0</v>
      </c>
      <c r="H8" s="1070">
        <f t="shared" si="4"/>
        <v>0</v>
      </c>
      <c r="I8" s="1070"/>
      <c r="J8" s="1070"/>
      <c r="K8" s="1071">
        <f t="shared" si="5"/>
        <v>0</v>
      </c>
      <c r="L8" s="1060" t="str">
        <f t="shared" si="1"/>
        <v>***</v>
      </c>
      <c r="M8" s="1072" t="s">
        <v>1322</v>
      </c>
      <c r="N8" s="1072" t="s">
        <v>1324</v>
      </c>
      <c r="Q8" s="1067"/>
      <c r="R8" s="1067"/>
      <c r="S8" s="1067"/>
      <c r="U8" s="1067"/>
      <c r="W8" s="1067"/>
      <c r="X8" s="1067"/>
    </row>
    <row r="9" spans="1:24">
      <c r="A9" s="1052"/>
      <c r="B9" s="1060" t="s">
        <v>1257</v>
      </c>
      <c r="C9" s="1060" t="s">
        <v>1325</v>
      </c>
      <c r="D9" s="1061">
        <f t="shared" ref="D9" si="6">D10</f>
        <v>0</v>
      </c>
      <c r="E9" s="1061"/>
      <c r="F9" s="1061"/>
      <c r="G9" s="1062">
        <f>G10</f>
        <v>0</v>
      </c>
      <c r="H9" s="1063">
        <f>H10</f>
        <v>0</v>
      </c>
      <c r="I9" s="1063"/>
      <c r="J9" s="1063"/>
      <c r="K9" s="1064">
        <f>K10</f>
        <v>0</v>
      </c>
      <c r="L9" s="1065" t="str">
        <f t="shared" si="1"/>
        <v>**</v>
      </c>
      <c r="M9" s="1066"/>
      <c r="N9" s="1066"/>
      <c r="Q9" s="1067"/>
      <c r="R9" s="1067"/>
      <c r="U9" s="1067"/>
    </row>
    <row r="10" spans="1:24">
      <c r="A10" s="1052" t="s">
        <v>716</v>
      </c>
      <c r="B10" s="1060" t="s">
        <v>1125</v>
      </c>
      <c r="C10" s="1060" t="s">
        <v>1249</v>
      </c>
      <c r="D10" s="1068"/>
      <c r="E10" s="1068"/>
      <c r="F10" s="1068"/>
      <c r="G10" s="1069">
        <f>D10-E10+F10</f>
        <v>0</v>
      </c>
      <c r="H10" s="1070">
        <f>ROUND(G10*$G$4,)</f>
        <v>0</v>
      </c>
      <c r="I10" s="1070"/>
      <c r="J10" s="1070"/>
      <c r="K10" s="1071">
        <f>H10-I10+J10</f>
        <v>0</v>
      </c>
      <c r="L10" s="1060" t="str">
        <f t="shared" si="1"/>
        <v>***</v>
      </c>
      <c r="M10" s="1072" t="s">
        <v>1322</v>
      </c>
      <c r="N10" s="1072" t="s">
        <v>1326</v>
      </c>
      <c r="Q10" s="1067"/>
      <c r="R10" s="1067"/>
      <c r="U10" s="1067"/>
    </row>
    <row r="11" spans="1:24">
      <c r="A11" s="1052"/>
      <c r="B11" s="1053" t="s">
        <v>1319</v>
      </c>
      <c r="C11" s="1053" t="s">
        <v>1251</v>
      </c>
      <c r="D11" s="1054">
        <f t="shared" ref="D11" si="7">D12+D18</f>
        <v>0</v>
      </c>
      <c r="E11" s="1054"/>
      <c r="F11" s="1054"/>
      <c r="G11" s="1054">
        <f>G12+G18</f>
        <v>0</v>
      </c>
      <c r="H11" s="1056">
        <f>H12+H18</f>
        <v>0</v>
      </c>
      <c r="I11" s="1056"/>
      <c r="J11" s="1056"/>
      <c r="K11" s="1056">
        <f>K12+K18</f>
        <v>0</v>
      </c>
      <c r="L11" s="1058" t="str">
        <f t="shared" si="1"/>
        <v>*</v>
      </c>
      <c r="M11" s="1059"/>
      <c r="N11" s="1059"/>
      <c r="Q11" s="1067"/>
      <c r="R11" s="1067"/>
    </row>
    <row r="12" spans="1:24">
      <c r="A12" s="1052"/>
      <c r="B12" s="1060" t="s">
        <v>1257</v>
      </c>
      <c r="C12" s="1060" t="s">
        <v>1327</v>
      </c>
      <c r="D12" s="1061">
        <v>0</v>
      </c>
      <c r="E12" s="1061"/>
      <c r="F12" s="1061"/>
      <c r="G12" s="1061">
        <f>G13+G14+G15-G16-G17</f>
        <v>0</v>
      </c>
      <c r="H12" s="1063">
        <f>H13+H14+H15-H16-H17</f>
        <v>0</v>
      </c>
      <c r="I12" s="1063"/>
      <c r="J12" s="1063"/>
      <c r="K12" s="1063">
        <f>K13+K14+K15-K16-K17</f>
        <v>0</v>
      </c>
      <c r="L12" s="1065" t="str">
        <f t="shared" si="1"/>
        <v>**</v>
      </c>
      <c r="M12" s="1066" t="s">
        <v>82</v>
      </c>
      <c r="N12" s="1066"/>
      <c r="Q12" s="1067"/>
      <c r="R12" s="1067"/>
      <c r="U12" s="1067"/>
      <c r="W12" s="1067"/>
    </row>
    <row r="13" spans="1:24">
      <c r="A13" s="1052" t="s">
        <v>718</v>
      </c>
      <c r="B13" s="1060" t="s">
        <v>1125</v>
      </c>
      <c r="C13" s="1060" t="s">
        <v>1328</v>
      </c>
      <c r="D13" s="1068">
        <v>0</v>
      </c>
      <c r="E13" s="1068"/>
      <c r="F13" s="1068"/>
      <c r="G13" s="1069">
        <f>D13-E13+F13</f>
        <v>0</v>
      </c>
      <c r="H13" s="1070">
        <f t="shared" ref="H13:H21" si="8">ROUND(G13*$G$4,)</f>
        <v>0</v>
      </c>
      <c r="I13" s="1070"/>
      <c r="J13" s="1070"/>
      <c r="K13" s="1071">
        <f>H13-I13+J13</f>
        <v>0</v>
      </c>
      <c r="L13" s="1060" t="str">
        <f t="shared" si="1"/>
        <v>***</v>
      </c>
      <c r="M13" s="1072"/>
      <c r="N13" s="1072" t="s">
        <v>1329</v>
      </c>
      <c r="Q13" s="1067"/>
      <c r="R13" s="1067"/>
      <c r="W13" s="1067"/>
    </row>
    <row r="14" spans="1:24">
      <c r="A14" s="1052" t="s">
        <v>1741</v>
      </c>
      <c r="B14" s="1060" t="s">
        <v>1125</v>
      </c>
      <c r="C14" s="1060" t="s">
        <v>1330</v>
      </c>
      <c r="D14" s="1068"/>
      <c r="E14" s="1068"/>
      <c r="F14" s="1068"/>
      <c r="G14" s="1069">
        <f>D14-E14+F14</f>
        <v>0</v>
      </c>
      <c r="H14" s="1070">
        <f t="shared" si="8"/>
        <v>0</v>
      </c>
      <c r="I14" s="1070"/>
      <c r="J14" s="1070"/>
      <c r="K14" s="1071">
        <f>H14-I14+J14</f>
        <v>0</v>
      </c>
      <c r="L14" s="1060" t="str">
        <f t="shared" si="1"/>
        <v>***</v>
      </c>
      <c r="M14" s="1072"/>
      <c r="N14" s="1072" t="s">
        <v>83</v>
      </c>
      <c r="Q14" s="1067"/>
      <c r="R14" s="1067"/>
    </row>
    <row r="15" spans="1:24">
      <c r="A15" s="1052"/>
      <c r="B15" s="1060"/>
      <c r="C15" s="1060" t="s">
        <v>1331</v>
      </c>
      <c r="D15" s="1068"/>
      <c r="E15" s="1068"/>
      <c r="F15" s="1068"/>
      <c r="G15" s="1069"/>
      <c r="H15" s="1070">
        <f t="shared" si="8"/>
        <v>0</v>
      </c>
      <c r="I15" s="1070"/>
      <c r="J15" s="1070"/>
      <c r="K15" s="1071"/>
      <c r="L15" s="1060"/>
      <c r="M15" s="1072"/>
      <c r="N15" s="1072"/>
    </row>
    <row r="16" spans="1:24">
      <c r="A16" s="1052"/>
      <c r="B16" s="1060"/>
      <c r="C16" s="1060" t="s">
        <v>1332</v>
      </c>
      <c r="D16" s="1068"/>
      <c r="E16" s="1068"/>
      <c r="F16" s="1068"/>
      <c r="G16" s="1069"/>
      <c r="H16" s="1070">
        <f t="shared" si="8"/>
        <v>0</v>
      </c>
      <c r="I16" s="1070"/>
      <c r="J16" s="1070"/>
      <c r="K16" s="1071"/>
      <c r="L16" s="1060"/>
      <c r="M16" s="1072"/>
      <c r="N16" s="1072"/>
    </row>
    <row r="17" spans="1:23">
      <c r="A17" s="1052" t="s">
        <v>1745</v>
      </c>
      <c r="B17" s="1060" t="s">
        <v>1125</v>
      </c>
      <c r="C17" s="1060" t="s">
        <v>1333</v>
      </c>
      <c r="D17" s="1068"/>
      <c r="E17" s="1068"/>
      <c r="F17" s="1068"/>
      <c r="G17" s="1069">
        <f>D17-E17+F17</f>
        <v>0</v>
      </c>
      <c r="H17" s="1070">
        <f t="shared" si="8"/>
        <v>0</v>
      </c>
      <c r="I17" s="1070"/>
      <c r="J17" s="1070"/>
      <c r="K17" s="1071">
        <f>H17-I17+J17</f>
        <v>0</v>
      </c>
      <c r="L17" s="1060"/>
      <c r="M17" s="1072"/>
      <c r="N17" s="1072"/>
    </row>
    <row r="18" spans="1:23" ht="15" customHeight="1">
      <c r="A18" s="1052"/>
      <c r="B18" s="1060" t="s">
        <v>1257</v>
      </c>
      <c r="C18" s="1060" t="s">
        <v>1334</v>
      </c>
      <c r="D18" s="1073">
        <f t="shared" ref="D18" si="9">D19+D20-D22-D21</f>
        <v>0</v>
      </c>
      <c r="E18" s="1073"/>
      <c r="F18" s="1073"/>
      <c r="G18" s="1062">
        <f>G19+G20-G22-G21</f>
        <v>0</v>
      </c>
      <c r="H18" s="1064">
        <f>H19+H20-H22-H21</f>
        <v>0</v>
      </c>
      <c r="I18" s="1064"/>
      <c r="J18" s="1064"/>
      <c r="K18" s="1064">
        <f>K19+K20-K22-K21</f>
        <v>0</v>
      </c>
      <c r="L18" s="1065" t="str">
        <f>B18</f>
        <v>**</v>
      </c>
      <c r="M18" s="1066" t="s">
        <v>82</v>
      </c>
      <c r="N18" s="1066" t="s">
        <v>1335</v>
      </c>
    </row>
    <row r="19" spans="1:23" ht="15" customHeight="1">
      <c r="A19" s="1052" t="s">
        <v>1747</v>
      </c>
      <c r="B19" s="1060" t="s">
        <v>1125</v>
      </c>
      <c r="C19" s="1060" t="s">
        <v>1252</v>
      </c>
      <c r="D19" s="1074"/>
      <c r="E19" s="1068"/>
      <c r="F19" s="1068"/>
      <c r="G19" s="1069">
        <f t="shared" ref="G19:G22" si="10">D19+E19-F19</f>
        <v>0</v>
      </c>
      <c r="H19" s="1075"/>
      <c r="I19" s="1070"/>
      <c r="J19" s="1070"/>
      <c r="K19" s="1071">
        <f t="shared" ref="K19:K22" si="11">H19+I19-J19</f>
        <v>0</v>
      </c>
      <c r="L19" s="1060" t="str">
        <f>B19</f>
        <v>***</v>
      </c>
      <c r="M19" s="1072"/>
      <c r="N19" s="1072"/>
      <c r="Q19" s="1076"/>
      <c r="R19" s="1076"/>
    </row>
    <row r="20" spans="1:23">
      <c r="A20" s="1052" t="s">
        <v>1749</v>
      </c>
      <c r="B20" s="1060" t="s">
        <v>1125</v>
      </c>
      <c r="C20" s="1060" t="s">
        <v>1253</v>
      </c>
      <c r="D20" s="1068"/>
      <c r="E20" s="1068"/>
      <c r="F20" s="1068"/>
      <c r="G20" s="1069">
        <f t="shared" si="10"/>
        <v>0</v>
      </c>
      <c r="H20" s="1070">
        <f t="shared" si="8"/>
        <v>0</v>
      </c>
      <c r="I20" s="1070"/>
      <c r="J20" s="1070"/>
      <c r="K20" s="1071">
        <f t="shared" si="11"/>
        <v>0</v>
      </c>
      <c r="L20" s="1060" t="str">
        <f>B20</f>
        <v>***</v>
      </c>
      <c r="M20" s="1072"/>
      <c r="N20" s="1072"/>
    </row>
    <row r="21" spans="1:23">
      <c r="A21" s="1077" t="s">
        <v>2543</v>
      </c>
      <c r="B21" s="1078"/>
      <c r="C21" s="1078" t="s">
        <v>2542</v>
      </c>
      <c r="D21" s="1079"/>
      <c r="E21" s="1068"/>
      <c r="F21" s="1068"/>
      <c r="G21" s="1069">
        <f t="shared" si="10"/>
        <v>0</v>
      </c>
      <c r="H21" s="1070">
        <f t="shared" si="8"/>
        <v>0</v>
      </c>
      <c r="I21" s="1080"/>
      <c r="J21" s="1080"/>
      <c r="K21" s="1071">
        <f t="shared" si="11"/>
        <v>0</v>
      </c>
      <c r="L21" s="1078"/>
      <c r="M21" s="1081"/>
      <c r="N21" s="1081"/>
    </row>
    <row r="22" spans="1:23">
      <c r="A22" s="1052" t="s">
        <v>1752</v>
      </c>
      <c r="B22" s="1060" t="s">
        <v>1125</v>
      </c>
      <c r="C22" s="1060" t="s">
        <v>1254</v>
      </c>
      <c r="D22" s="1074"/>
      <c r="E22" s="1068"/>
      <c r="F22" s="1068"/>
      <c r="G22" s="1069">
        <f t="shared" si="10"/>
        <v>0</v>
      </c>
      <c r="H22" s="1075">
        <f>ROUND(G22*상해_BS!$G$4,)</f>
        <v>0</v>
      </c>
      <c r="I22" s="1070"/>
      <c r="J22" s="1070"/>
      <c r="K22" s="1071">
        <f t="shared" si="11"/>
        <v>0</v>
      </c>
      <c r="L22" s="1060" t="str">
        <f t="shared" ref="L22:L42" si="12">B22</f>
        <v>***</v>
      </c>
      <c r="M22" s="1072"/>
      <c r="N22" s="1072"/>
      <c r="Q22" s="1082"/>
      <c r="R22" s="1076"/>
    </row>
    <row r="23" spans="1:23">
      <c r="A23" s="1052"/>
      <c r="B23" s="1053" t="s">
        <v>1319</v>
      </c>
      <c r="C23" s="1053" t="s">
        <v>1255</v>
      </c>
      <c r="D23" s="1054">
        <f t="shared" ref="D23" si="13">D5-D11</f>
        <v>0</v>
      </c>
      <c r="E23" s="1054"/>
      <c r="F23" s="1054"/>
      <c r="G23" s="1054">
        <f>G5-G11</f>
        <v>0</v>
      </c>
      <c r="H23" s="1056">
        <f>H5-H11</f>
        <v>0</v>
      </c>
      <c r="I23" s="1056"/>
      <c r="J23" s="1056"/>
      <c r="K23" s="1056">
        <f>K5-K11</f>
        <v>0</v>
      </c>
      <c r="L23" s="1058" t="str">
        <f t="shared" si="12"/>
        <v>*</v>
      </c>
      <c r="M23" s="1059"/>
      <c r="N23" s="1059"/>
      <c r="W23" s="1067"/>
    </row>
    <row r="24" spans="1:23">
      <c r="A24" s="1052"/>
      <c r="B24" s="1053" t="s">
        <v>1319</v>
      </c>
      <c r="C24" s="1053" t="s">
        <v>1256</v>
      </c>
      <c r="D24" s="1054">
        <f t="shared" ref="D24" si="14">SUM(D25:D57)</f>
        <v>72233.5</v>
      </c>
      <c r="E24" s="1054"/>
      <c r="F24" s="1054"/>
      <c r="G24" s="1054">
        <f>SUM(G25:G57)</f>
        <v>72233.5</v>
      </c>
      <c r="H24" s="1056">
        <f>SUM(H25:H57)</f>
        <v>15619049</v>
      </c>
      <c r="I24" s="1056"/>
      <c r="J24" s="1056"/>
      <c r="K24" s="1056">
        <f>SUM(K25:K57)</f>
        <v>15619049</v>
      </c>
      <c r="L24" s="1058" t="str">
        <f t="shared" si="12"/>
        <v>*</v>
      </c>
      <c r="M24" s="1059"/>
      <c r="N24" s="1059"/>
    </row>
    <row r="25" spans="1:23">
      <c r="A25" s="1052" t="s">
        <v>751</v>
      </c>
      <c r="B25" s="1060" t="s">
        <v>1257</v>
      </c>
      <c r="C25" s="1060" t="s">
        <v>1258</v>
      </c>
      <c r="D25" s="1068"/>
      <c r="E25" s="1068"/>
      <c r="F25" s="1068"/>
      <c r="G25" s="1069">
        <f t="shared" ref="G25:G56" si="15">D25+E25-F25</f>
        <v>0</v>
      </c>
      <c r="H25" s="1070">
        <f t="shared" ref="H25:H57" si="16">ROUND(G25*$G$4,)</f>
        <v>0</v>
      </c>
      <c r="I25" s="1070"/>
      <c r="J25" s="1070"/>
      <c r="K25" s="1071">
        <f t="shared" ref="K25:K56" si="17">H25+I25-J25</f>
        <v>0</v>
      </c>
      <c r="L25" s="1060" t="str">
        <f t="shared" si="12"/>
        <v>**</v>
      </c>
      <c r="M25" s="1072" t="s">
        <v>1259</v>
      </c>
      <c r="N25" s="1072" t="s">
        <v>752</v>
      </c>
    </row>
    <row r="26" spans="1:23">
      <c r="A26" s="1052" t="s">
        <v>753</v>
      </c>
      <c r="B26" s="1060" t="s">
        <v>1257</v>
      </c>
      <c r="C26" s="1060" t="s">
        <v>1260</v>
      </c>
      <c r="D26" s="1068"/>
      <c r="E26" s="1068"/>
      <c r="F26" s="1068"/>
      <c r="G26" s="1069">
        <f t="shared" si="15"/>
        <v>0</v>
      </c>
      <c r="H26" s="1070">
        <f t="shared" si="16"/>
        <v>0</v>
      </c>
      <c r="I26" s="1070"/>
      <c r="J26" s="1070"/>
      <c r="K26" s="1071">
        <f t="shared" si="17"/>
        <v>0</v>
      </c>
      <c r="L26" s="1060" t="str">
        <f t="shared" si="12"/>
        <v>**</v>
      </c>
      <c r="M26" s="1072" t="s">
        <v>1259</v>
      </c>
      <c r="N26" s="1072" t="s">
        <v>725</v>
      </c>
    </row>
    <row r="27" spans="1:23">
      <c r="A27" s="1052" t="s">
        <v>755</v>
      </c>
      <c r="B27" s="1060" t="s">
        <v>1257</v>
      </c>
      <c r="C27" s="1060" t="s">
        <v>1261</v>
      </c>
      <c r="D27" s="1068"/>
      <c r="E27" s="1068"/>
      <c r="F27" s="1068"/>
      <c r="G27" s="1069">
        <f t="shared" si="15"/>
        <v>0</v>
      </c>
      <c r="H27" s="1070">
        <f t="shared" si="16"/>
        <v>0</v>
      </c>
      <c r="I27" s="1070"/>
      <c r="J27" s="1070"/>
      <c r="K27" s="1071">
        <f t="shared" si="17"/>
        <v>0</v>
      </c>
      <c r="L27" s="1060" t="str">
        <f t="shared" si="12"/>
        <v>**</v>
      </c>
      <c r="M27" s="1072" t="s">
        <v>1259</v>
      </c>
      <c r="N27" s="1072" t="s">
        <v>756</v>
      </c>
    </row>
    <row r="28" spans="1:23">
      <c r="A28" s="1052" t="s">
        <v>754</v>
      </c>
      <c r="B28" s="1060" t="s">
        <v>1257</v>
      </c>
      <c r="C28" s="1060" t="s">
        <v>1262</v>
      </c>
      <c r="D28" s="1068"/>
      <c r="E28" s="1068"/>
      <c r="F28" s="1068"/>
      <c r="G28" s="1069">
        <f t="shared" si="15"/>
        <v>0</v>
      </c>
      <c r="H28" s="1070">
        <f t="shared" si="16"/>
        <v>0</v>
      </c>
      <c r="I28" s="1070"/>
      <c r="J28" s="1070"/>
      <c r="K28" s="1071">
        <f t="shared" si="17"/>
        <v>0</v>
      </c>
      <c r="L28" s="1060" t="str">
        <f t="shared" si="12"/>
        <v>**</v>
      </c>
      <c r="M28" s="1072" t="s">
        <v>1259</v>
      </c>
      <c r="N28" s="1072" t="s">
        <v>1263</v>
      </c>
    </row>
    <row r="29" spans="1:23">
      <c r="A29" s="1052" t="s">
        <v>754</v>
      </c>
      <c r="B29" s="1060" t="s">
        <v>1257</v>
      </c>
      <c r="C29" s="1060" t="s">
        <v>1264</v>
      </c>
      <c r="D29" s="1068"/>
      <c r="E29" s="1068"/>
      <c r="F29" s="1068"/>
      <c r="G29" s="1069">
        <f t="shared" si="15"/>
        <v>0</v>
      </c>
      <c r="H29" s="1070">
        <f t="shared" si="16"/>
        <v>0</v>
      </c>
      <c r="I29" s="1070"/>
      <c r="J29" s="1070"/>
      <c r="K29" s="1071">
        <f t="shared" si="17"/>
        <v>0</v>
      </c>
      <c r="L29" s="1060" t="str">
        <f t="shared" si="12"/>
        <v>**</v>
      </c>
      <c r="M29" s="1072" t="s">
        <v>1259</v>
      </c>
      <c r="N29" s="1072" t="s">
        <v>178</v>
      </c>
    </row>
    <row r="30" spans="1:23">
      <c r="A30" s="1052" t="s">
        <v>757</v>
      </c>
      <c r="B30" s="1060" t="s">
        <v>1257</v>
      </c>
      <c r="C30" s="1060" t="s">
        <v>1265</v>
      </c>
      <c r="D30" s="1068"/>
      <c r="E30" s="1068"/>
      <c r="F30" s="1068"/>
      <c r="G30" s="1069">
        <f t="shared" si="15"/>
        <v>0</v>
      </c>
      <c r="H30" s="1070">
        <f t="shared" si="16"/>
        <v>0</v>
      </c>
      <c r="I30" s="1070"/>
      <c r="J30" s="1070"/>
      <c r="K30" s="1071">
        <f t="shared" si="17"/>
        <v>0</v>
      </c>
      <c r="L30" s="1060" t="str">
        <f t="shared" si="12"/>
        <v>**</v>
      </c>
      <c r="M30" s="1072" t="s">
        <v>1259</v>
      </c>
      <c r="N30" s="1072" t="s">
        <v>393</v>
      </c>
    </row>
    <row r="31" spans="1:23">
      <c r="A31" s="1052" t="s">
        <v>758</v>
      </c>
      <c r="B31" s="1060" t="s">
        <v>1257</v>
      </c>
      <c r="C31" s="1060" t="s">
        <v>1266</v>
      </c>
      <c r="D31" s="1068"/>
      <c r="E31" s="1068"/>
      <c r="F31" s="1068"/>
      <c r="G31" s="1069">
        <f t="shared" si="15"/>
        <v>0</v>
      </c>
      <c r="H31" s="1070">
        <f t="shared" si="16"/>
        <v>0</v>
      </c>
      <c r="I31" s="1070"/>
      <c r="J31" s="1070"/>
      <c r="K31" s="1071">
        <f t="shared" si="17"/>
        <v>0</v>
      </c>
      <c r="L31" s="1060" t="str">
        <f t="shared" si="12"/>
        <v>**</v>
      </c>
      <c r="M31" s="1072" t="s">
        <v>1259</v>
      </c>
      <c r="N31" s="1072" t="s">
        <v>508</v>
      </c>
    </row>
    <row r="32" spans="1:23">
      <c r="A32" s="1052" t="s">
        <v>759</v>
      </c>
      <c r="B32" s="1060" t="s">
        <v>1257</v>
      </c>
      <c r="C32" s="1060" t="s">
        <v>1267</v>
      </c>
      <c r="D32" s="1068"/>
      <c r="E32" s="1068"/>
      <c r="F32" s="1068"/>
      <c r="G32" s="1069">
        <f t="shared" si="15"/>
        <v>0</v>
      </c>
      <c r="H32" s="1070">
        <f t="shared" si="16"/>
        <v>0</v>
      </c>
      <c r="I32" s="1070"/>
      <c r="J32" s="1070"/>
      <c r="K32" s="1071">
        <f t="shared" si="17"/>
        <v>0</v>
      </c>
      <c r="L32" s="1060" t="str">
        <f t="shared" si="12"/>
        <v>**</v>
      </c>
      <c r="M32" s="1072" t="s">
        <v>1259</v>
      </c>
      <c r="N32" s="1072" t="s">
        <v>511</v>
      </c>
    </row>
    <row r="33" spans="1:14">
      <c r="A33" s="1052" t="s">
        <v>760</v>
      </c>
      <c r="B33" s="1060" t="s">
        <v>1257</v>
      </c>
      <c r="C33" s="1060" t="s">
        <v>1268</v>
      </c>
      <c r="D33" s="1068"/>
      <c r="E33" s="1068"/>
      <c r="F33" s="1068"/>
      <c r="G33" s="1069">
        <f t="shared" si="15"/>
        <v>0</v>
      </c>
      <c r="H33" s="1070">
        <f t="shared" si="16"/>
        <v>0</v>
      </c>
      <c r="I33" s="1070"/>
      <c r="J33" s="1070"/>
      <c r="K33" s="1071">
        <f t="shared" si="17"/>
        <v>0</v>
      </c>
      <c r="L33" s="1060" t="str">
        <f t="shared" si="12"/>
        <v>**</v>
      </c>
      <c r="M33" s="1072" t="s">
        <v>1259</v>
      </c>
      <c r="N33" s="1072" t="s">
        <v>509</v>
      </c>
    </row>
    <row r="34" spans="1:14">
      <c r="A34" s="1052" t="s">
        <v>761</v>
      </c>
      <c r="B34" s="1060" t="s">
        <v>1257</v>
      </c>
      <c r="C34" s="1060" t="s">
        <v>1269</v>
      </c>
      <c r="D34" s="1068"/>
      <c r="E34" s="1068"/>
      <c r="F34" s="1068"/>
      <c r="G34" s="1069">
        <f t="shared" si="15"/>
        <v>0</v>
      </c>
      <c r="H34" s="1070">
        <f t="shared" si="16"/>
        <v>0</v>
      </c>
      <c r="I34" s="1070"/>
      <c r="J34" s="1070"/>
      <c r="K34" s="1071">
        <f t="shared" si="17"/>
        <v>0</v>
      </c>
      <c r="L34" s="1060" t="str">
        <f t="shared" si="12"/>
        <v>**</v>
      </c>
      <c r="M34" s="1072" t="s">
        <v>1259</v>
      </c>
      <c r="N34" s="1072" t="s">
        <v>515</v>
      </c>
    </row>
    <row r="35" spans="1:14">
      <c r="A35" s="1052" t="s">
        <v>762</v>
      </c>
      <c r="B35" s="1060" t="s">
        <v>1257</v>
      </c>
      <c r="C35" s="1060" t="s">
        <v>1270</v>
      </c>
      <c r="D35" s="1068">
        <v>17.71</v>
      </c>
      <c r="E35" s="1068"/>
      <c r="F35" s="1068"/>
      <c r="G35" s="1069">
        <f t="shared" si="15"/>
        <v>17.71</v>
      </c>
      <c r="H35" s="1070">
        <f t="shared" si="16"/>
        <v>3829</v>
      </c>
      <c r="I35" s="1070"/>
      <c r="J35" s="1070"/>
      <c r="K35" s="1071">
        <f t="shared" si="17"/>
        <v>3829</v>
      </c>
      <c r="L35" s="1060" t="str">
        <f t="shared" si="12"/>
        <v>**</v>
      </c>
      <c r="M35" s="1072" t="s">
        <v>1259</v>
      </c>
      <c r="N35" s="1072" t="s">
        <v>395</v>
      </c>
    </row>
    <row r="36" spans="1:14">
      <c r="A36" s="1052" t="s">
        <v>763</v>
      </c>
      <c r="B36" s="1060" t="s">
        <v>1257</v>
      </c>
      <c r="C36" s="1060" t="s">
        <v>1271</v>
      </c>
      <c r="D36" s="1068"/>
      <c r="E36" s="1068"/>
      <c r="F36" s="1068"/>
      <c r="G36" s="1069">
        <f t="shared" si="15"/>
        <v>0</v>
      </c>
      <c r="H36" s="1070">
        <f t="shared" si="16"/>
        <v>0</v>
      </c>
      <c r="I36" s="1070"/>
      <c r="J36" s="1070"/>
      <c r="K36" s="1071">
        <f t="shared" si="17"/>
        <v>0</v>
      </c>
      <c r="L36" s="1060" t="str">
        <f t="shared" si="12"/>
        <v>**</v>
      </c>
      <c r="M36" s="1072" t="s">
        <v>85</v>
      </c>
      <c r="N36" s="1072" t="s">
        <v>1272</v>
      </c>
    </row>
    <row r="37" spans="1:14">
      <c r="A37" s="1052" t="s">
        <v>764</v>
      </c>
      <c r="B37" s="1060" t="s">
        <v>1257</v>
      </c>
      <c r="C37" s="1060" t="s">
        <v>1273</v>
      </c>
      <c r="D37" s="1068"/>
      <c r="E37" s="1068"/>
      <c r="F37" s="1068"/>
      <c r="G37" s="1069">
        <f t="shared" si="15"/>
        <v>0</v>
      </c>
      <c r="H37" s="1070">
        <f t="shared" si="16"/>
        <v>0</v>
      </c>
      <c r="I37" s="1070"/>
      <c r="J37" s="1070"/>
      <c r="K37" s="1071">
        <f t="shared" si="17"/>
        <v>0</v>
      </c>
      <c r="L37" s="1060" t="str">
        <f t="shared" si="12"/>
        <v>**</v>
      </c>
      <c r="M37" s="1072" t="s">
        <v>1259</v>
      </c>
      <c r="N37" s="1072" t="s">
        <v>1274</v>
      </c>
    </row>
    <row r="38" spans="1:14">
      <c r="A38" s="1052" t="s">
        <v>765</v>
      </c>
      <c r="B38" s="1060" t="s">
        <v>1257</v>
      </c>
      <c r="C38" s="1060" t="s">
        <v>1275</v>
      </c>
      <c r="D38" s="1068"/>
      <c r="E38" s="1068"/>
      <c r="F38" s="1068"/>
      <c r="G38" s="1069">
        <f t="shared" si="15"/>
        <v>0</v>
      </c>
      <c r="H38" s="1070">
        <f t="shared" si="16"/>
        <v>0</v>
      </c>
      <c r="I38" s="1070"/>
      <c r="J38" s="1070"/>
      <c r="K38" s="1071">
        <f t="shared" si="17"/>
        <v>0</v>
      </c>
      <c r="L38" s="1060" t="str">
        <f t="shared" si="12"/>
        <v>**</v>
      </c>
      <c r="M38" s="1072" t="s">
        <v>1259</v>
      </c>
      <c r="N38" s="1072" t="s">
        <v>390</v>
      </c>
    </row>
    <row r="39" spans="1:14">
      <c r="A39" s="1052" t="s">
        <v>766</v>
      </c>
      <c r="B39" s="1060" t="s">
        <v>1257</v>
      </c>
      <c r="C39" s="1060" t="s">
        <v>1276</v>
      </c>
      <c r="D39" s="1068"/>
      <c r="E39" s="1068"/>
      <c r="F39" s="1068"/>
      <c r="G39" s="1069">
        <f t="shared" si="15"/>
        <v>0</v>
      </c>
      <c r="H39" s="1070">
        <f t="shared" si="16"/>
        <v>0</v>
      </c>
      <c r="I39" s="1070"/>
      <c r="J39" s="1070"/>
      <c r="K39" s="1071">
        <f t="shared" si="17"/>
        <v>0</v>
      </c>
      <c r="L39" s="1060" t="str">
        <f t="shared" si="12"/>
        <v>**</v>
      </c>
      <c r="M39" s="1072" t="s">
        <v>1259</v>
      </c>
      <c r="N39" s="1072" t="s">
        <v>510</v>
      </c>
    </row>
    <row r="40" spans="1:14">
      <c r="A40" s="1052" t="s">
        <v>767</v>
      </c>
      <c r="B40" s="1060" t="s">
        <v>1257</v>
      </c>
      <c r="C40" s="1060" t="s">
        <v>1277</v>
      </c>
      <c r="D40" s="1068"/>
      <c r="E40" s="1068"/>
      <c r="F40" s="1068"/>
      <c r="G40" s="1069">
        <f t="shared" si="15"/>
        <v>0</v>
      </c>
      <c r="H40" s="1070">
        <f t="shared" si="16"/>
        <v>0</v>
      </c>
      <c r="I40" s="1070"/>
      <c r="J40" s="1070"/>
      <c r="K40" s="1071">
        <f t="shared" si="17"/>
        <v>0</v>
      </c>
      <c r="L40" s="1060" t="str">
        <f t="shared" si="12"/>
        <v>**</v>
      </c>
      <c r="M40" s="1072" t="s">
        <v>1259</v>
      </c>
      <c r="N40" s="1072" t="s">
        <v>512</v>
      </c>
    </row>
    <row r="41" spans="1:14">
      <c r="A41" s="1052" t="s">
        <v>768</v>
      </c>
      <c r="B41" s="1060" t="s">
        <v>1257</v>
      </c>
      <c r="C41" s="1060" t="s">
        <v>1278</v>
      </c>
      <c r="D41" s="1068"/>
      <c r="E41" s="1068"/>
      <c r="F41" s="1068"/>
      <c r="G41" s="1069">
        <f t="shared" si="15"/>
        <v>0</v>
      </c>
      <c r="H41" s="1070">
        <f t="shared" si="16"/>
        <v>0</v>
      </c>
      <c r="I41" s="1070"/>
      <c r="J41" s="1070"/>
      <c r="K41" s="1071">
        <f t="shared" si="17"/>
        <v>0</v>
      </c>
      <c r="L41" s="1060" t="str">
        <f t="shared" si="12"/>
        <v>**</v>
      </c>
      <c r="M41" s="1072" t="s">
        <v>1259</v>
      </c>
      <c r="N41" s="1072" t="s">
        <v>1279</v>
      </c>
    </row>
    <row r="42" spans="1:14">
      <c r="A42" s="1052" t="s">
        <v>769</v>
      </c>
      <c r="B42" s="1060" t="s">
        <v>1257</v>
      </c>
      <c r="C42" s="1060" t="s">
        <v>1280</v>
      </c>
      <c r="D42" s="1068"/>
      <c r="E42" s="1068"/>
      <c r="F42" s="1068"/>
      <c r="G42" s="1069">
        <f t="shared" si="15"/>
        <v>0</v>
      </c>
      <c r="H42" s="1070">
        <f t="shared" si="16"/>
        <v>0</v>
      </c>
      <c r="I42" s="1070"/>
      <c r="J42" s="1070"/>
      <c r="K42" s="1071">
        <f t="shared" si="17"/>
        <v>0</v>
      </c>
      <c r="L42" s="1060" t="str">
        <f t="shared" si="12"/>
        <v>**</v>
      </c>
      <c r="M42" s="1072" t="s">
        <v>1259</v>
      </c>
      <c r="N42" s="1072" t="s">
        <v>388</v>
      </c>
    </row>
    <row r="43" spans="1:14">
      <c r="A43" s="1052" t="s">
        <v>1391</v>
      </c>
      <c r="B43" s="1060" t="s">
        <v>1045</v>
      </c>
      <c r="C43" s="1060" t="s">
        <v>1281</v>
      </c>
      <c r="D43" s="1068"/>
      <c r="E43" s="1068"/>
      <c r="F43" s="1068"/>
      <c r="G43" s="1069">
        <f t="shared" si="15"/>
        <v>0</v>
      </c>
      <c r="H43" s="1070">
        <f t="shared" si="16"/>
        <v>0</v>
      </c>
      <c r="I43" s="1070"/>
      <c r="J43" s="1070"/>
      <c r="K43" s="1071">
        <f t="shared" si="17"/>
        <v>0</v>
      </c>
      <c r="L43" s="1060" t="s">
        <v>1045</v>
      </c>
      <c r="M43" s="1072" t="s">
        <v>85</v>
      </c>
      <c r="N43" s="1072" t="s">
        <v>1282</v>
      </c>
    </row>
    <row r="44" spans="1:14">
      <c r="A44" s="1052" t="s">
        <v>770</v>
      </c>
      <c r="B44" s="1060" t="s">
        <v>1257</v>
      </c>
      <c r="C44" s="1060" t="s">
        <v>1283</v>
      </c>
      <c r="D44" s="1068"/>
      <c r="E44" s="1068"/>
      <c r="F44" s="1068"/>
      <c r="G44" s="1069">
        <f t="shared" si="15"/>
        <v>0</v>
      </c>
      <c r="H44" s="1070">
        <f t="shared" si="16"/>
        <v>0</v>
      </c>
      <c r="I44" s="1070"/>
      <c r="J44" s="1070"/>
      <c r="K44" s="1071">
        <f t="shared" si="17"/>
        <v>0</v>
      </c>
      <c r="L44" s="1060" t="str">
        <f t="shared" ref="L44:L66" si="18">B44</f>
        <v>**</v>
      </c>
      <c r="M44" s="1072" t="s">
        <v>1259</v>
      </c>
      <c r="N44" s="1072" t="s">
        <v>514</v>
      </c>
    </row>
    <row r="45" spans="1:14">
      <c r="A45" s="1052" t="s">
        <v>771</v>
      </c>
      <c r="B45" s="1060" t="s">
        <v>1257</v>
      </c>
      <c r="C45" s="1060" t="s">
        <v>1284</v>
      </c>
      <c r="D45" s="1068"/>
      <c r="E45" s="1068"/>
      <c r="F45" s="1068"/>
      <c r="G45" s="1069">
        <f t="shared" si="15"/>
        <v>0</v>
      </c>
      <c r="H45" s="1070">
        <f t="shared" si="16"/>
        <v>0</v>
      </c>
      <c r="I45" s="1070"/>
      <c r="J45" s="1070"/>
      <c r="K45" s="1071">
        <f t="shared" si="17"/>
        <v>0</v>
      </c>
      <c r="L45" s="1060" t="str">
        <f t="shared" si="18"/>
        <v>**</v>
      </c>
      <c r="M45" s="1072" t="s">
        <v>1259</v>
      </c>
      <c r="N45" s="1072" t="s">
        <v>513</v>
      </c>
    </row>
    <row r="46" spans="1:14">
      <c r="A46" s="1052" t="s">
        <v>772</v>
      </c>
      <c r="B46" s="1060" t="s">
        <v>1257</v>
      </c>
      <c r="C46" s="1060" t="s">
        <v>1285</v>
      </c>
      <c r="D46" s="1068"/>
      <c r="E46" s="1068"/>
      <c r="F46" s="1068"/>
      <c r="G46" s="1069">
        <f t="shared" si="15"/>
        <v>0</v>
      </c>
      <c r="H46" s="1070">
        <f t="shared" si="16"/>
        <v>0</v>
      </c>
      <c r="I46" s="1070"/>
      <c r="J46" s="1070"/>
      <c r="K46" s="1071">
        <f t="shared" si="17"/>
        <v>0</v>
      </c>
      <c r="L46" s="1060" t="str">
        <f t="shared" si="18"/>
        <v>**</v>
      </c>
      <c r="M46" s="1072" t="s">
        <v>1259</v>
      </c>
      <c r="N46" s="1072" t="s">
        <v>773</v>
      </c>
    </row>
    <row r="47" spans="1:14">
      <c r="A47" s="1052" t="s">
        <v>774</v>
      </c>
      <c r="B47" s="1060" t="s">
        <v>1257</v>
      </c>
      <c r="C47" s="1060" t="s">
        <v>1286</v>
      </c>
      <c r="D47" s="1068"/>
      <c r="E47" s="1068"/>
      <c r="F47" s="1068"/>
      <c r="G47" s="1069">
        <f t="shared" si="15"/>
        <v>0</v>
      </c>
      <c r="H47" s="1070">
        <f t="shared" si="16"/>
        <v>0</v>
      </c>
      <c r="I47" s="1070"/>
      <c r="J47" s="1070"/>
      <c r="K47" s="1071">
        <f t="shared" si="17"/>
        <v>0</v>
      </c>
      <c r="L47" s="1060" t="str">
        <f t="shared" si="18"/>
        <v>**</v>
      </c>
      <c r="M47" s="1072" t="s">
        <v>1259</v>
      </c>
      <c r="N47" s="1072" t="s">
        <v>742</v>
      </c>
    </row>
    <row r="48" spans="1:14">
      <c r="A48" s="1052" t="s">
        <v>775</v>
      </c>
      <c r="B48" s="1060" t="s">
        <v>1257</v>
      </c>
      <c r="C48" s="1060" t="s">
        <v>1287</v>
      </c>
      <c r="D48" s="1068"/>
      <c r="E48" s="1068"/>
      <c r="F48" s="1068"/>
      <c r="G48" s="1069">
        <f t="shared" si="15"/>
        <v>0</v>
      </c>
      <c r="H48" s="1070">
        <f t="shared" si="16"/>
        <v>0</v>
      </c>
      <c r="I48" s="1070"/>
      <c r="J48" s="1070"/>
      <c r="K48" s="1071">
        <f t="shared" si="17"/>
        <v>0</v>
      </c>
      <c r="L48" s="1060" t="str">
        <f t="shared" si="18"/>
        <v>**</v>
      </c>
      <c r="M48" s="1072" t="s">
        <v>1259</v>
      </c>
      <c r="N48" s="1072" t="s">
        <v>387</v>
      </c>
    </row>
    <row r="49" spans="1:14">
      <c r="A49" s="1052" t="s">
        <v>776</v>
      </c>
      <c r="B49" s="1060" t="s">
        <v>1257</v>
      </c>
      <c r="C49" s="1060" t="s">
        <v>1288</v>
      </c>
      <c r="D49" s="1068">
        <v>72215.789999999994</v>
      </c>
      <c r="E49" s="1068"/>
      <c r="F49" s="1068"/>
      <c r="G49" s="1069">
        <f t="shared" si="15"/>
        <v>72215.789999999994</v>
      </c>
      <c r="H49" s="1070">
        <f t="shared" si="16"/>
        <v>15615220</v>
      </c>
      <c r="I49" s="1070"/>
      <c r="J49" s="1070"/>
      <c r="K49" s="1071">
        <f t="shared" si="17"/>
        <v>15615220</v>
      </c>
      <c r="L49" s="1060" t="str">
        <f t="shared" si="18"/>
        <v>**</v>
      </c>
      <c r="M49" s="1072" t="s">
        <v>1259</v>
      </c>
      <c r="N49" s="1072" t="s">
        <v>385</v>
      </c>
    </row>
    <row r="50" spans="1:14">
      <c r="A50" s="1052" t="s">
        <v>1393</v>
      </c>
      <c r="B50" s="1060" t="s">
        <v>1257</v>
      </c>
      <c r="C50" s="1060" t="s">
        <v>1289</v>
      </c>
      <c r="D50" s="1068"/>
      <c r="E50" s="1068"/>
      <c r="F50" s="1068"/>
      <c r="G50" s="1069">
        <f t="shared" si="15"/>
        <v>0</v>
      </c>
      <c r="H50" s="1070">
        <f t="shared" si="16"/>
        <v>0</v>
      </c>
      <c r="I50" s="1070"/>
      <c r="J50" s="1070"/>
      <c r="K50" s="1071">
        <f t="shared" si="17"/>
        <v>0</v>
      </c>
      <c r="L50" s="1060" t="str">
        <f t="shared" si="18"/>
        <v>**</v>
      </c>
      <c r="M50" s="1072" t="s">
        <v>1259</v>
      </c>
      <c r="N50" s="1072" t="s">
        <v>1290</v>
      </c>
    </row>
    <row r="51" spans="1:14">
      <c r="A51" s="1052" t="s">
        <v>777</v>
      </c>
      <c r="B51" s="1060" t="s">
        <v>1257</v>
      </c>
      <c r="C51" s="1060" t="s">
        <v>1291</v>
      </c>
      <c r="D51" s="1068"/>
      <c r="E51" s="1068"/>
      <c r="F51" s="1068"/>
      <c r="G51" s="1069">
        <f t="shared" si="15"/>
        <v>0</v>
      </c>
      <c r="H51" s="1070">
        <f t="shared" si="16"/>
        <v>0</v>
      </c>
      <c r="I51" s="1070"/>
      <c r="J51" s="1070"/>
      <c r="K51" s="1071">
        <f t="shared" si="17"/>
        <v>0</v>
      </c>
      <c r="L51" s="1060" t="str">
        <f t="shared" si="18"/>
        <v>**</v>
      </c>
      <c r="M51" s="1072" t="s">
        <v>1259</v>
      </c>
      <c r="N51" s="1072" t="s">
        <v>386</v>
      </c>
    </row>
    <row r="52" spans="1:14">
      <c r="A52" s="1052" t="s">
        <v>778</v>
      </c>
      <c r="B52" s="1060" t="s">
        <v>1257</v>
      </c>
      <c r="C52" s="1060" t="s">
        <v>1292</v>
      </c>
      <c r="D52" s="1068"/>
      <c r="E52" s="1068"/>
      <c r="F52" s="1068"/>
      <c r="G52" s="1069">
        <f t="shared" si="15"/>
        <v>0</v>
      </c>
      <c r="H52" s="1070">
        <f t="shared" si="16"/>
        <v>0</v>
      </c>
      <c r="I52" s="1070"/>
      <c r="J52" s="1070"/>
      <c r="K52" s="1071">
        <f t="shared" si="17"/>
        <v>0</v>
      </c>
      <c r="L52" s="1060" t="str">
        <f t="shared" si="18"/>
        <v>**</v>
      </c>
      <c r="M52" s="1072" t="s">
        <v>1259</v>
      </c>
      <c r="N52" s="1072" t="s">
        <v>174</v>
      </c>
    </row>
    <row r="53" spans="1:14">
      <c r="A53" s="1052" t="s">
        <v>779</v>
      </c>
      <c r="B53" s="1060" t="s">
        <v>1257</v>
      </c>
      <c r="C53" s="1060" t="s">
        <v>1293</v>
      </c>
      <c r="D53" s="1068"/>
      <c r="E53" s="1068"/>
      <c r="F53" s="1068"/>
      <c r="G53" s="1069">
        <f t="shared" si="15"/>
        <v>0</v>
      </c>
      <c r="H53" s="1070">
        <f t="shared" si="16"/>
        <v>0</v>
      </c>
      <c r="I53" s="1070"/>
      <c r="J53" s="1070"/>
      <c r="K53" s="1071">
        <f t="shared" si="17"/>
        <v>0</v>
      </c>
      <c r="L53" s="1060" t="str">
        <f t="shared" si="18"/>
        <v>**</v>
      </c>
      <c r="M53" s="1072" t="s">
        <v>1259</v>
      </c>
      <c r="N53" s="1072" t="s">
        <v>1294</v>
      </c>
    </row>
    <row r="54" spans="1:14">
      <c r="A54" s="1052" t="s">
        <v>780</v>
      </c>
      <c r="B54" s="1060" t="s">
        <v>1257</v>
      </c>
      <c r="C54" s="1060" t="s">
        <v>1295</v>
      </c>
      <c r="D54" s="1068"/>
      <c r="E54" s="1068"/>
      <c r="F54" s="1068"/>
      <c r="G54" s="1069">
        <f t="shared" si="15"/>
        <v>0</v>
      </c>
      <c r="H54" s="1070">
        <f t="shared" si="16"/>
        <v>0</v>
      </c>
      <c r="I54" s="1070"/>
      <c r="J54" s="1070"/>
      <c r="K54" s="1071">
        <f t="shared" si="17"/>
        <v>0</v>
      </c>
      <c r="L54" s="1060" t="str">
        <f t="shared" si="18"/>
        <v>**</v>
      </c>
      <c r="M54" s="1072" t="s">
        <v>1259</v>
      </c>
      <c r="N54" s="1072" t="s">
        <v>1296</v>
      </c>
    </row>
    <row r="55" spans="1:14">
      <c r="A55" s="1052" t="s">
        <v>782</v>
      </c>
      <c r="B55" s="1060" t="s">
        <v>1257</v>
      </c>
      <c r="C55" s="1060" t="s">
        <v>1297</v>
      </c>
      <c r="D55" s="1068"/>
      <c r="E55" s="1068"/>
      <c r="F55" s="1068"/>
      <c r="G55" s="1069">
        <f t="shared" si="15"/>
        <v>0</v>
      </c>
      <c r="H55" s="1070">
        <f t="shared" si="16"/>
        <v>0</v>
      </c>
      <c r="I55" s="1070"/>
      <c r="J55" s="1070"/>
      <c r="K55" s="1071">
        <f t="shared" si="17"/>
        <v>0</v>
      </c>
      <c r="L55" s="1060" t="str">
        <f t="shared" si="18"/>
        <v>**</v>
      </c>
      <c r="M55" s="1072" t="s">
        <v>1259</v>
      </c>
      <c r="N55" s="1072" t="s">
        <v>1298</v>
      </c>
    </row>
    <row r="56" spans="1:14">
      <c r="A56" s="1052" t="s">
        <v>783</v>
      </c>
      <c r="B56" s="1060" t="s">
        <v>1257</v>
      </c>
      <c r="C56" s="1060" t="s">
        <v>1299</v>
      </c>
      <c r="D56" s="1068"/>
      <c r="E56" s="1068"/>
      <c r="F56" s="1068"/>
      <c r="G56" s="1069">
        <f t="shared" si="15"/>
        <v>0</v>
      </c>
      <c r="H56" s="1070">
        <f t="shared" si="16"/>
        <v>0</v>
      </c>
      <c r="I56" s="1070"/>
      <c r="J56" s="1070"/>
      <c r="K56" s="1071">
        <f t="shared" si="17"/>
        <v>0</v>
      </c>
      <c r="L56" s="1060" t="str">
        <f t="shared" si="18"/>
        <v>**</v>
      </c>
      <c r="M56" s="1072" t="s">
        <v>1259</v>
      </c>
      <c r="N56" s="1072" t="s">
        <v>749</v>
      </c>
    </row>
    <row r="57" spans="1:14">
      <c r="A57" s="1052" t="s">
        <v>784</v>
      </c>
      <c r="B57" s="1060" t="s">
        <v>1257</v>
      </c>
      <c r="C57" s="1060" t="s">
        <v>1300</v>
      </c>
      <c r="D57" s="1068"/>
      <c r="E57" s="1068"/>
      <c r="F57" s="1068"/>
      <c r="G57" s="1069">
        <f>D57+E57-F57</f>
        <v>0</v>
      </c>
      <c r="H57" s="1070">
        <f t="shared" si="16"/>
        <v>0</v>
      </c>
      <c r="I57" s="1070"/>
      <c r="J57" s="1070"/>
      <c r="K57" s="1071">
        <f>H57+I57-J57</f>
        <v>0</v>
      </c>
      <c r="L57" s="1060" t="str">
        <f t="shared" si="18"/>
        <v>**</v>
      </c>
      <c r="M57" s="1072" t="s">
        <v>1259</v>
      </c>
      <c r="N57" s="1072" t="s">
        <v>1301</v>
      </c>
    </row>
    <row r="58" spans="1:14">
      <c r="A58" s="1052"/>
      <c r="B58" s="1053" t="s">
        <v>1319</v>
      </c>
      <c r="C58" s="1053" t="s">
        <v>1302</v>
      </c>
      <c r="D58" s="1054">
        <f t="shared" ref="D58" si="19">D23-D24</f>
        <v>-72233.5</v>
      </c>
      <c r="E58" s="1054"/>
      <c r="F58" s="1054"/>
      <c r="G58" s="1054">
        <f>G23-G24</f>
        <v>-72233.5</v>
      </c>
      <c r="H58" s="1056">
        <f>H23-H24</f>
        <v>-15619049</v>
      </c>
      <c r="I58" s="1056"/>
      <c r="J58" s="1056"/>
      <c r="K58" s="1056">
        <f>K23-K24</f>
        <v>-15619049</v>
      </c>
      <c r="L58" s="1058" t="str">
        <f t="shared" si="18"/>
        <v>*</v>
      </c>
      <c r="M58" s="1059"/>
      <c r="N58" s="1059"/>
    </row>
    <row r="59" spans="1:14">
      <c r="A59" s="1052"/>
      <c r="B59" s="1053" t="s">
        <v>1319</v>
      </c>
      <c r="C59" s="1053" t="s">
        <v>1303</v>
      </c>
      <c r="D59" s="1054">
        <f t="shared" ref="D59" si="20">SUM(D60:D69)</f>
        <v>172282.85</v>
      </c>
      <c r="E59" s="1054"/>
      <c r="F59" s="1054"/>
      <c r="G59" s="1054">
        <f>SUM(G60:G69)</f>
        <v>172282.85</v>
      </c>
      <c r="H59" s="1056">
        <f>SUM(H60:H69)</f>
        <v>37252721</v>
      </c>
      <c r="I59" s="1056"/>
      <c r="J59" s="1056"/>
      <c r="K59" s="1056">
        <f>SUM(K60:K69)</f>
        <v>37252721</v>
      </c>
      <c r="L59" s="1058" t="str">
        <f t="shared" si="18"/>
        <v>*</v>
      </c>
      <c r="M59" s="1059"/>
      <c r="N59" s="1059"/>
    </row>
    <row r="60" spans="1:14">
      <c r="A60" s="1052" t="s">
        <v>793</v>
      </c>
      <c r="B60" s="1060" t="s">
        <v>1257</v>
      </c>
      <c r="C60" s="1060" t="s">
        <v>1304</v>
      </c>
      <c r="D60" s="1068">
        <v>10.09</v>
      </c>
      <c r="E60" s="1068"/>
      <c r="F60" s="1068"/>
      <c r="G60" s="1069">
        <f t="shared" ref="G60:G69" si="21">D60-E60+F60</f>
        <v>10.09</v>
      </c>
      <c r="H60" s="1070">
        <f t="shared" ref="H60:H69" si="22">ROUND(G60*$G$4,)</f>
        <v>2182</v>
      </c>
      <c r="I60" s="1070"/>
      <c r="J60" s="1070"/>
      <c r="K60" s="1071">
        <f t="shared" ref="K60:K69" si="23">H60-I60+J60</f>
        <v>2182</v>
      </c>
      <c r="L60" s="1060" t="str">
        <f t="shared" si="18"/>
        <v>**</v>
      </c>
      <c r="M60" s="1072" t="s">
        <v>1336</v>
      </c>
      <c r="N60" s="1072" t="s">
        <v>133</v>
      </c>
    </row>
    <row r="61" spans="1:14">
      <c r="A61" s="1052"/>
      <c r="B61" s="1060" t="s">
        <v>1257</v>
      </c>
      <c r="C61" s="1060" t="s">
        <v>1337</v>
      </c>
      <c r="D61" s="1068"/>
      <c r="E61" s="1068"/>
      <c r="F61" s="1068"/>
      <c r="G61" s="1069">
        <f t="shared" si="21"/>
        <v>0</v>
      </c>
      <c r="H61" s="1070">
        <f t="shared" si="22"/>
        <v>0</v>
      </c>
      <c r="I61" s="1070"/>
      <c r="J61" s="1070"/>
      <c r="K61" s="1071">
        <f t="shared" si="23"/>
        <v>0</v>
      </c>
      <c r="L61" s="1060" t="str">
        <f t="shared" si="18"/>
        <v>**</v>
      </c>
      <c r="M61" s="1072" t="s">
        <v>1338</v>
      </c>
      <c r="N61" s="1072" t="s">
        <v>1339</v>
      </c>
    </row>
    <row r="62" spans="1:14">
      <c r="A62" s="1052" t="s">
        <v>794</v>
      </c>
      <c r="B62" s="1060" t="s">
        <v>1257</v>
      </c>
      <c r="C62" s="1060" t="s">
        <v>1340</v>
      </c>
      <c r="D62" s="1068"/>
      <c r="E62" s="1068"/>
      <c r="F62" s="1068"/>
      <c r="G62" s="1069">
        <f t="shared" si="21"/>
        <v>0</v>
      </c>
      <c r="H62" s="1070">
        <f t="shared" si="22"/>
        <v>0</v>
      </c>
      <c r="I62" s="1070"/>
      <c r="J62" s="1070"/>
      <c r="K62" s="1071">
        <f t="shared" si="23"/>
        <v>0</v>
      </c>
      <c r="L62" s="1060" t="str">
        <f t="shared" si="18"/>
        <v>**</v>
      </c>
      <c r="M62" s="1072" t="s">
        <v>90</v>
      </c>
      <c r="N62" s="1072" t="s">
        <v>120</v>
      </c>
    </row>
    <row r="63" spans="1:14">
      <c r="A63" s="1052" t="s">
        <v>795</v>
      </c>
      <c r="B63" s="1060" t="s">
        <v>1257</v>
      </c>
      <c r="C63" s="1060" t="s">
        <v>1341</v>
      </c>
      <c r="D63" s="1068"/>
      <c r="E63" s="1068"/>
      <c r="F63" s="1068"/>
      <c r="G63" s="1069">
        <f t="shared" si="21"/>
        <v>0</v>
      </c>
      <c r="H63" s="1070">
        <f t="shared" si="22"/>
        <v>0</v>
      </c>
      <c r="I63" s="1070"/>
      <c r="J63" s="1070"/>
      <c r="K63" s="1071">
        <f t="shared" si="23"/>
        <v>0</v>
      </c>
      <c r="L63" s="1060" t="str">
        <f t="shared" si="18"/>
        <v>**</v>
      </c>
      <c r="M63" s="1072" t="s">
        <v>90</v>
      </c>
      <c r="N63" s="1072" t="s">
        <v>121</v>
      </c>
    </row>
    <row r="64" spans="1:14">
      <c r="A64" s="1052"/>
      <c r="B64" s="1060" t="s">
        <v>1257</v>
      </c>
      <c r="C64" s="1060" t="s">
        <v>1342</v>
      </c>
      <c r="D64" s="1068"/>
      <c r="E64" s="1068"/>
      <c r="F64" s="1068"/>
      <c r="G64" s="1069">
        <f t="shared" si="21"/>
        <v>0</v>
      </c>
      <c r="H64" s="1070">
        <f t="shared" si="22"/>
        <v>0</v>
      </c>
      <c r="I64" s="1070"/>
      <c r="J64" s="1070"/>
      <c r="K64" s="1071">
        <f t="shared" si="23"/>
        <v>0</v>
      </c>
      <c r="L64" s="1060" t="str">
        <f t="shared" si="18"/>
        <v>**</v>
      </c>
      <c r="M64" s="1072" t="s">
        <v>87</v>
      </c>
      <c r="N64" s="1072" t="s">
        <v>122</v>
      </c>
    </row>
    <row r="65" spans="1:14">
      <c r="A65" s="1052" t="s">
        <v>798</v>
      </c>
      <c r="B65" s="1060" t="s">
        <v>1257</v>
      </c>
      <c r="C65" s="1060" t="s">
        <v>1343</v>
      </c>
      <c r="D65" s="1068">
        <v>172272.76</v>
      </c>
      <c r="E65" s="1068"/>
      <c r="F65" s="1068"/>
      <c r="G65" s="1069">
        <f t="shared" si="21"/>
        <v>172272.76</v>
      </c>
      <c r="H65" s="1070">
        <f t="shared" si="22"/>
        <v>37250539</v>
      </c>
      <c r="I65" s="1070"/>
      <c r="J65" s="1070"/>
      <c r="K65" s="1071">
        <f t="shared" si="23"/>
        <v>37250539</v>
      </c>
      <c r="L65" s="1060" t="str">
        <f t="shared" si="18"/>
        <v>**</v>
      </c>
      <c r="M65" s="1072" t="s">
        <v>1338</v>
      </c>
      <c r="N65" s="1072" t="s">
        <v>123</v>
      </c>
    </row>
    <row r="66" spans="1:14">
      <c r="A66" s="1052"/>
      <c r="B66" s="1060" t="s">
        <v>1257</v>
      </c>
      <c r="C66" s="1060" t="s">
        <v>1344</v>
      </c>
      <c r="D66" s="1068"/>
      <c r="E66" s="1068"/>
      <c r="F66" s="1068"/>
      <c r="G66" s="1069">
        <f t="shared" si="21"/>
        <v>0</v>
      </c>
      <c r="H66" s="1070">
        <f t="shared" si="22"/>
        <v>0</v>
      </c>
      <c r="I66" s="1070"/>
      <c r="J66" s="1070"/>
      <c r="K66" s="1071">
        <f t="shared" si="23"/>
        <v>0</v>
      </c>
      <c r="L66" s="1060" t="str">
        <f t="shared" si="18"/>
        <v>**</v>
      </c>
      <c r="M66" s="1072" t="s">
        <v>1338</v>
      </c>
      <c r="N66" s="1072" t="s">
        <v>1345</v>
      </c>
    </row>
    <row r="67" spans="1:14">
      <c r="A67" s="1052"/>
      <c r="B67" s="1060" t="s">
        <v>1045</v>
      </c>
      <c r="C67" s="1060" t="s">
        <v>1346</v>
      </c>
      <c r="D67" s="1068"/>
      <c r="E67" s="1068"/>
      <c r="F67" s="1068"/>
      <c r="G67" s="1069">
        <f t="shared" si="21"/>
        <v>0</v>
      </c>
      <c r="H67" s="1070">
        <f t="shared" si="22"/>
        <v>0</v>
      </c>
      <c r="I67" s="1070"/>
      <c r="J67" s="1070"/>
      <c r="K67" s="1071">
        <f t="shared" si="23"/>
        <v>0</v>
      </c>
      <c r="L67" s="1060" t="s">
        <v>1045</v>
      </c>
      <c r="M67" s="1072" t="s">
        <v>90</v>
      </c>
      <c r="N67" s="1068" t="s">
        <v>1305</v>
      </c>
    </row>
    <row r="68" spans="1:14">
      <c r="A68" s="1052"/>
      <c r="B68" s="1060" t="s">
        <v>1045</v>
      </c>
      <c r="C68" s="1060" t="s">
        <v>1347</v>
      </c>
      <c r="D68" s="1068"/>
      <c r="E68" s="1068"/>
      <c r="F68" s="1068"/>
      <c r="G68" s="1069">
        <f>D68-E68+F68</f>
        <v>0</v>
      </c>
      <c r="H68" s="1070">
        <f t="shared" si="22"/>
        <v>0</v>
      </c>
      <c r="I68" s="1070"/>
      <c r="J68" s="1070"/>
      <c r="K68" s="1071">
        <f>H68-I68+J68</f>
        <v>0</v>
      </c>
      <c r="L68" s="1060" t="s">
        <v>1045</v>
      </c>
      <c r="M68" s="1072" t="s">
        <v>1338</v>
      </c>
      <c r="N68" s="1068" t="s">
        <v>1348</v>
      </c>
    </row>
    <row r="69" spans="1:14">
      <c r="A69" s="1052"/>
      <c r="B69" s="1060" t="s">
        <v>1257</v>
      </c>
      <c r="C69" s="1060" t="s">
        <v>1349</v>
      </c>
      <c r="D69" s="1068"/>
      <c r="E69" s="1068"/>
      <c r="F69" s="1068"/>
      <c r="G69" s="1069">
        <f t="shared" si="21"/>
        <v>0</v>
      </c>
      <c r="H69" s="1070">
        <f t="shared" si="22"/>
        <v>0</v>
      </c>
      <c r="I69" s="1070"/>
      <c r="J69" s="1070"/>
      <c r="K69" s="1071">
        <f t="shared" si="23"/>
        <v>0</v>
      </c>
      <c r="L69" s="1060" t="str">
        <f t="shared" ref="L69:L74" si="24">B69</f>
        <v>**</v>
      </c>
      <c r="M69" s="1072" t="s">
        <v>90</v>
      </c>
      <c r="N69" s="1068" t="s">
        <v>1306</v>
      </c>
    </row>
    <row r="70" spans="1:14">
      <c r="A70" s="1052"/>
      <c r="B70" s="1060" t="s">
        <v>1319</v>
      </c>
      <c r="C70" s="1060" t="s">
        <v>1307</v>
      </c>
      <c r="D70" s="1054">
        <f t="shared" ref="D70" si="25">SUM(D71:D80)</f>
        <v>20082.099999999999</v>
      </c>
      <c r="E70" s="1054"/>
      <c r="F70" s="1054"/>
      <c r="G70" s="1054">
        <f>SUM(G71:G80)</f>
        <v>20082.099999999999</v>
      </c>
      <c r="H70" s="1056">
        <f>SUM(H71:H80)</f>
        <v>4342354</v>
      </c>
      <c r="I70" s="1056"/>
      <c r="J70" s="1056"/>
      <c r="K70" s="1056">
        <f>SUM(K71:K80)</f>
        <v>4342354</v>
      </c>
      <c r="L70" s="1058" t="str">
        <f t="shared" si="24"/>
        <v>*</v>
      </c>
      <c r="M70" s="1059"/>
      <c r="N70" s="1054"/>
    </row>
    <row r="71" spans="1:14">
      <c r="A71" s="1052" t="s">
        <v>802</v>
      </c>
      <c r="B71" s="1060" t="s">
        <v>1257</v>
      </c>
      <c r="C71" s="1060" t="s">
        <v>1308</v>
      </c>
      <c r="D71" s="1068">
        <v>0</v>
      </c>
      <c r="E71" s="1068"/>
      <c r="F71" s="1068"/>
      <c r="G71" s="1069">
        <f>D71+E71-F71</f>
        <v>0</v>
      </c>
      <c r="H71" s="1070">
        <f t="shared" ref="H71:H80" si="26">ROUND(G71*$G$4,)</f>
        <v>0</v>
      </c>
      <c r="I71" s="1070"/>
      <c r="J71" s="1070"/>
      <c r="K71" s="1071">
        <f>H71+I71-J71</f>
        <v>0</v>
      </c>
      <c r="L71" s="1060" t="str">
        <f t="shared" si="24"/>
        <v>**</v>
      </c>
      <c r="M71" s="1072" t="s">
        <v>1350</v>
      </c>
      <c r="N71" s="1068" t="s">
        <v>179</v>
      </c>
    </row>
    <row r="72" spans="1:14">
      <c r="A72" s="1052" t="s">
        <v>803</v>
      </c>
      <c r="B72" s="1060" t="s">
        <v>1257</v>
      </c>
      <c r="C72" s="1060" t="s">
        <v>1351</v>
      </c>
      <c r="D72" s="1068">
        <v>1082.0999999999999</v>
      </c>
      <c r="E72" s="1068"/>
      <c r="F72" s="1068"/>
      <c r="G72" s="1069">
        <f t="shared" ref="G72:G80" si="27">D72+E72-F72</f>
        <v>1082.0999999999999</v>
      </c>
      <c r="H72" s="1070">
        <f t="shared" si="26"/>
        <v>233982</v>
      </c>
      <c r="I72" s="1070"/>
      <c r="J72" s="1070"/>
      <c r="K72" s="1071">
        <f t="shared" ref="K72:K80" si="28">H72+I72-J72</f>
        <v>233982</v>
      </c>
      <c r="L72" s="1060" t="str">
        <f t="shared" si="24"/>
        <v>**</v>
      </c>
      <c r="M72" s="1072" t="s">
        <v>91</v>
      </c>
      <c r="N72" s="1068" t="s">
        <v>125</v>
      </c>
    </row>
    <row r="73" spans="1:14">
      <c r="A73" s="1052"/>
      <c r="B73" s="1060" t="s">
        <v>1257</v>
      </c>
      <c r="C73" s="1060" t="s">
        <v>1352</v>
      </c>
      <c r="D73" s="1068"/>
      <c r="E73" s="1068"/>
      <c r="F73" s="1068"/>
      <c r="G73" s="1069">
        <f t="shared" si="27"/>
        <v>0</v>
      </c>
      <c r="H73" s="1070">
        <f t="shared" si="26"/>
        <v>0</v>
      </c>
      <c r="I73" s="1070"/>
      <c r="J73" s="1070"/>
      <c r="K73" s="1071">
        <f t="shared" si="28"/>
        <v>0</v>
      </c>
      <c r="L73" s="1060" t="str">
        <f t="shared" si="24"/>
        <v>**</v>
      </c>
      <c r="M73" s="1072" t="s">
        <v>91</v>
      </c>
      <c r="N73" s="1068" t="s">
        <v>1353</v>
      </c>
    </row>
    <row r="74" spans="1:14">
      <c r="A74" s="1052"/>
      <c r="B74" s="1060" t="s">
        <v>1257</v>
      </c>
      <c r="C74" s="1060" t="s">
        <v>1354</v>
      </c>
      <c r="D74" s="1068"/>
      <c r="E74" s="1068"/>
      <c r="F74" s="1068"/>
      <c r="G74" s="1069">
        <f t="shared" si="27"/>
        <v>0</v>
      </c>
      <c r="H74" s="1070">
        <f t="shared" si="26"/>
        <v>0</v>
      </c>
      <c r="I74" s="1070"/>
      <c r="J74" s="1070"/>
      <c r="K74" s="1071">
        <f t="shared" si="28"/>
        <v>0</v>
      </c>
      <c r="L74" s="1060" t="str">
        <f t="shared" si="24"/>
        <v>**</v>
      </c>
      <c r="M74" s="1072" t="s">
        <v>88</v>
      </c>
      <c r="N74" s="1068" t="s">
        <v>89</v>
      </c>
    </row>
    <row r="75" spans="1:14">
      <c r="A75" s="1052"/>
      <c r="B75" s="1060" t="s">
        <v>1045</v>
      </c>
      <c r="C75" s="1060" t="s">
        <v>1309</v>
      </c>
      <c r="D75" s="1068"/>
      <c r="E75" s="1068"/>
      <c r="F75" s="1068"/>
      <c r="G75" s="1069">
        <f t="shared" si="27"/>
        <v>0</v>
      </c>
      <c r="H75" s="1070">
        <f t="shared" si="26"/>
        <v>0</v>
      </c>
      <c r="I75" s="1070"/>
      <c r="J75" s="1070"/>
      <c r="K75" s="1071">
        <f t="shared" si="28"/>
        <v>0</v>
      </c>
      <c r="L75" s="1060" t="s">
        <v>1045</v>
      </c>
      <c r="M75" s="1072" t="s">
        <v>91</v>
      </c>
      <c r="N75" s="1068" t="s">
        <v>1310</v>
      </c>
    </row>
    <row r="76" spans="1:14">
      <c r="A76" s="1052" t="s">
        <v>810</v>
      </c>
      <c r="B76" s="1060" t="s">
        <v>1257</v>
      </c>
      <c r="C76" s="1060" t="s">
        <v>1355</v>
      </c>
      <c r="D76" s="1068">
        <v>19000</v>
      </c>
      <c r="E76" s="1068"/>
      <c r="F76" s="1068"/>
      <c r="G76" s="1069">
        <f t="shared" si="27"/>
        <v>19000</v>
      </c>
      <c r="H76" s="1075">
        <f>ROUND(G76*$G$4,)+2</f>
        <v>4108372</v>
      </c>
      <c r="I76" s="1070"/>
      <c r="J76" s="1070"/>
      <c r="K76" s="1071">
        <f t="shared" si="28"/>
        <v>4108372</v>
      </c>
      <c r="L76" s="1060" t="str">
        <f>B76</f>
        <v>**</v>
      </c>
      <c r="M76" s="1072" t="s">
        <v>88</v>
      </c>
      <c r="N76" s="1068" t="s">
        <v>130</v>
      </c>
    </row>
    <row r="77" spans="1:14">
      <c r="A77" s="1052" t="s">
        <v>800</v>
      </c>
      <c r="B77" s="1060"/>
      <c r="C77" s="1083" t="s">
        <v>1356</v>
      </c>
      <c r="D77" s="1068"/>
      <c r="E77" s="1068"/>
      <c r="F77" s="1068"/>
      <c r="G77" s="1069">
        <f t="shared" si="27"/>
        <v>0</v>
      </c>
      <c r="H77" s="1070">
        <f t="shared" si="26"/>
        <v>0</v>
      </c>
      <c r="I77" s="1070"/>
      <c r="J77" s="1070"/>
      <c r="K77" s="1071">
        <f t="shared" si="28"/>
        <v>0</v>
      </c>
      <c r="L77" s="1060"/>
      <c r="M77" s="1072" t="s">
        <v>1350</v>
      </c>
      <c r="N77" s="1068" t="s">
        <v>1311</v>
      </c>
    </row>
    <row r="78" spans="1:14">
      <c r="A78" s="1052"/>
      <c r="B78" s="1060" t="s">
        <v>1257</v>
      </c>
      <c r="C78" s="1060" t="s">
        <v>1357</v>
      </c>
      <c r="D78" s="1068"/>
      <c r="E78" s="1068"/>
      <c r="F78" s="1068"/>
      <c r="G78" s="1069">
        <f t="shared" si="27"/>
        <v>0</v>
      </c>
      <c r="H78" s="1070">
        <f t="shared" si="26"/>
        <v>0</v>
      </c>
      <c r="I78" s="1070"/>
      <c r="J78" s="1070"/>
      <c r="K78" s="1071">
        <f t="shared" si="28"/>
        <v>0</v>
      </c>
      <c r="L78" s="1060" t="str">
        <f>B78</f>
        <v>**</v>
      </c>
      <c r="M78" s="1072" t="s">
        <v>1350</v>
      </c>
      <c r="N78" s="1068" t="s">
        <v>1358</v>
      </c>
    </row>
    <row r="79" spans="1:14">
      <c r="A79" s="1052" t="s">
        <v>808</v>
      </c>
      <c r="B79" s="1060"/>
      <c r="C79" s="1060" t="s">
        <v>1359</v>
      </c>
      <c r="D79" s="1068"/>
      <c r="E79" s="1068"/>
      <c r="F79" s="1068"/>
      <c r="G79" s="1069">
        <f t="shared" si="27"/>
        <v>0</v>
      </c>
      <c r="H79" s="1070">
        <f t="shared" si="26"/>
        <v>0</v>
      </c>
      <c r="I79" s="1070"/>
      <c r="J79" s="1070"/>
      <c r="K79" s="1071">
        <f t="shared" si="28"/>
        <v>0</v>
      </c>
      <c r="L79" s="1060"/>
      <c r="M79" s="1072"/>
      <c r="N79" s="1068"/>
    </row>
    <row r="80" spans="1:14">
      <c r="A80" s="1052"/>
      <c r="B80" s="1060"/>
      <c r="C80" s="1084" t="s">
        <v>1360</v>
      </c>
      <c r="D80" s="1068"/>
      <c r="E80" s="1068"/>
      <c r="F80" s="1068"/>
      <c r="G80" s="1069">
        <f t="shared" si="27"/>
        <v>0</v>
      </c>
      <c r="H80" s="1070">
        <f t="shared" si="26"/>
        <v>0</v>
      </c>
      <c r="I80" s="1070"/>
      <c r="J80" s="1070"/>
      <c r="K80" s="1071">
        <f t="shared" si="28"/>
        <v>0</v>
      </c>
      <c r="L80" s="1060"/>
      <c r="M80" s="1072"/>
      <c r="N80" s="1068"/>
    </row>
    <row r="81" spans="1:14">
      <c r="A81" s="1052"/>
      <c r="B81" s="1060" t="s">
        <v>1319</v>
      </c>
      <c r="C81" s="1060" t="s">
        <v>1312</v>
      </c>
      <c r="D81" s="1054">
        <f t="shared" ref="D81" si="29">D58+D59-D70</f>
        <v>79967.25</v>
      </c>
      <c r="E81" s="1054"/>
      <c r="F81" s="1054"/>
      <c r="G81" s="1055">
        <f>G58+G59-G70</f>
        <v>79967.25</v>
      </c>
      <c r="H81" s="1056">
        <f>H58+H59-H70</f>
        <v>17291318</v>
      </c>
      <c r="I81" s="1056"/>
      <c r="J81" s="1056"/>
      <c r="K81" s="1057">
        <f>K58+K59-K70</f>
        <v>17291318</v>
      </c>
      <c r="L81" s="1058" t="str">
        <f>B81</f>
        <v>*</v>
      </c>
      <c r="M81" s="1059"/>
      <c r="N81" s="1054"/>
    </row>
    <row r="82" spans="1:14">
      <c r="A82" s="1052"/>
      <c r="B82" s="1060" t="s">
        <v>1319</v>
      </c>
      <c r="C82" s="1060" t="s">
        <v>1313</v>
      </c>
      <c r="D82" s="1054">
        <f t="shared" ref="D82" si="30">D83</f>
        <v>0</v>
      </c>
      <c r="E82" s="1054"/>
      <c r="F82" s="1054"/>
      <c r="G82" s="1055">
        <f>G83</f>
        <v>0</v>
      </c>
      <c r="H82" s="1056">
        <f>H83</f>
        <v>0</v>
      </c>
      <c r="I82" s="1056"/>
      <c r="J82" s="1056"/>
      <c r="K82" s="1057">
        <f>K83</f>
        <v>0</v>
      </c>
      <c r="L82" s="1058" t="s">
        <v>1047</v>
      </c>
      <c r="M82" s="1059"/>
      <c r="N82" s="1059"/>
    </row>
    <row r="83" spans="1:14">
      <c r="A83" s="1052" t="s">
        <v>811</v>
      </c>
      <c r="B83" s="1060" t="s">
        <v>1257</v>
      </c>
      <c r="C83" s="1060" t="s">
        <v>1314</v>
      </c>
      <c r="D83" s="1068"/>
      <c r="E83" s="1068"/>
      <c r="F83" s="1068"/>
      <c r="G83" s="1069">
        <f>D83+E83-F83</f>
        <v>0</v>
      </c>
      <c r="H83" s="1070">
        <f t="shared" ref="H83" si="31">ROUND(G83*$G$4,)</f>
        <v>0</v>
      </c>
      <c r="I83" s="1070"/>
      <c r="J83" s="1070"/>
      <c r="K83" s="1071">
        <f>H83+I83-J83</f>
        <v>0</v>
      </c>
      <c r="L83" s="1060" t="str">
        <f>B83</f>
        <v>**</v>
      </c>
      <c r="M83" s="1072" t="s">
        <v>1361</v>
      </c>
      <c r="N83" s="1072" t="s">
        <v>238</v>
      </c>
    </row>
    <row r="84" spans="1:14">
      <c r="A84" s="1052"/>
      <c r="B84" s="1060" t="s">
        <v>1319</v>
      </c>
      <c r="C84" s="1060" t="s">
        <v>1315</v>
      </c>
      <c r="D84" s="1054">
        <f t="shared" ref="D84" si="32">D81-D82</f>
        <v>79967.25</v>
      </c>
      <c r="E84" s="1054"/>
      <c r="F84" s="1054"/>
      <c r="G84" s="1055">
        <f>G81-G82</f>
        <v>79967.25</v>
      </c>
      <c r="H84" s="1056">
        <f>H81-H82</f>
        <v>17291318</v>
      </c>
      <c r="I84" s="1056"/>
      <c r="J84" s="1056"/>
      <c r="K84" s="978">
        <f>K81-K82</f>
        <v>17291318</v>
      </c>
      <c r="L84" s="1058" t="str">
        <f>B84</f>
        <v>*</v>
      </c>
      <c r="M84" s="1059"/>
      <c r="N84" s="1059"/>
    </row>
    <row r="85" spans="1:14">
      <c r="A85" s="1052"/>
      <c r="B85" s="1060" t="s">
        <v>1319</v>
      </c>
      <c r="C85" s="1060" t="s">
        <v>1362</v>
      </c>
      <c r="D85" s="1054">
        <f t="shared" ref="D85" si="33">SUM(D86:D87)</f>
        <v>0</v>
      </c>
      <c r="E85" s="1054"/>
      <c r="F85" s="1054"/>
      <c r="G85" s="1055">
        <f>SUM(G86:G86)</f>
        <v>0</v>
      </c>
      <c r="H85" s="1056">
        <f>SUM(H86:H87)</f>
        <v>-693420</v>
      </c>
      <c r="I85" s="1056"/>
      <c r="J85" s="1056"/>
      <c r="K85" s="975">
        <f>SUM(K86:K87)</f>
        <v>-693420</v>
      </c>
      <c r="L85" s="1058" t="s">
        <v>1047</v>
      </c>
      <c r="M85" s="1059"/>
      <c r="N85" s="1059"/>
    </row>
    <row r="86" spans="1:14">
      <c r="A86" s="1052" t="s">
        <v>1790</v>
      </c>
      <c r="B86" s="1060" t="s">
        <v>1257</v>
      </c>
      <c r="C86" s="1060" t="s">
        <v>78</v>
      </c>
      <c r="D86" s="1068"/>
      <c r="E86" s="1068"/>
      <c r="F86" s="1068"/>
      <c r="G86" s="1069">
        <f>D86+E86-F86</f>
        <v>0</v>
      </c>
      <c r="H86" s="1070">
        <v>0</v>
      </c>
      <c r="I86" s="1070"/>
      <c r="J86" s="1070"/>
      <c r="K86" s="977">
        <f>H86+I86-J86</f>
        <v>0</v>
      </c>
      <c r="L86" s="1060" t="s">
        <v>1043</v>
      </c>
      <c r="M86" s="1072" t="s">
        <v>1363</v>
      </c>
      <c r="N86" s="1072" t="s">
        <v>78</v>
      </c>
    </row>
    <row r="87" spans="1:14">
      <c r="A87" s="1052" t="s">
        <v>1794</v>
      </c>
      <c r="B87" s="1060"/>
      <c r="C87" s="1060" t="s">
        <v>1668</v>
      </c>
      <c r="D87" s="1068"/>
      <c r="E87" s="1068"/>
      <c r="F87" s="1068"/>
      <c r="G87" s="1069">
        <f>D87+E87-F87</f>
        <v>0</v>
      </c>
      <c r="H87" s="1070">
        <f>상해!F112</f>
        <v>-693420</v>
      </c>
      <c r="I87" s="1070"/>
      <c r="J87" s="1085"/>
      <c r="K87" s="977">
        <f>H87+I87-J87</f>
        <v>-693420</v>
      </c>
      <c r="L87" s="1060"/>
      <c r="M87" s="1072"/>
      <c r="N87" s="1072"/>
    </row>
    <row r="88" spans="1:14" ht="14.25" thickBot="1">
      <c r="A88" s="1086"/>
      <c r="B88" s="1060" t="s">
        <v>1319</v>
      </c>
      <c r="C88" s="1060" t="s">
        <v>1364</v>
      </c>
      <c r="D88" s="1054">
        <f t="shared" ref="D88" si="34">D84+D85</f>
        <v>79967.25</v>
      </c>
      <c r="E88" s="1054"/>
      <c r="F88" s="1054"/>
      <c r="G88" s="1054">
        <f>G84+G85</f>
        <v>79967.25</v>
      </c>
      <c r="H88" s="1056">
        <f>H84+H85</f>
        <v>16597898</v>
      </c>
      <c r="I88" s="1056"/>
      <c r="J88" s="1056"/>
      <c r="K88" s="975">
        <f>K84+K85</f>
        <v>16597898</v>
      </c>
      <c r="L88" s="1058" t="s">
        <v>1047</v>
      </c>
      <c r="M88" s="1059"/>
      <c r="N88" s="1059"/>
    </row>
    <row r="89" spans="1:14">
      <c r="A89" s="1039"/>
      <c r="D89" s="1082"/>
      <c r="E89" s="1082"/>
      <c r="F89" s="1082"/>
      <c r="H89" s="1087"/>
      <c r="I89" s="1087"/>
      <c r="J89" s="1087"/>
    </row>
    <row r="90" spans="1:14">
      <c r="A90" s="1039"/>
      <c r="D90" s="1088"/>
      <c r="E90" s="1087">
        <f>SUM(E5:E84)</f>
        <v>0</v>
      </c>
      <c r="F90" s="1087">
        <f>SUM(F5:F84)</f>
        <v>0</v>
      </c>
      <c r="H90" s="1087"/>
      <c r="I90" s="1087">
        <f>SUM(I5:I84)</f>
        <v>0</v>
      </c>
      <c r="J90" s="1087">
        <f>SUM(J5:J84)</f>
        <v>0</v>
      </c>
    </row>
    <row r="91" spans="1:14">
      <c r="C91" s="1089"/>
      <c r="D91" s="1090"/>
      <c r="E91" s="1090"/>
      <c r="F91" s="1090">
        <f>E90-F90</f>
        <v>0</v>
      </c>
      <c r="H91" s="1091"/>
    </row>
    <row r="96" spans="1:14">
      <c r="H96" s="1067"/>
    </row>
  </sheetData>
  <mergeCells count="4">
    <mergeCell ref="B3:C3"/>
    <mergeCell ref="E3:F3"/>
    <mergeCell ref="I3:J3"/>
    <mergeCell ref="L3:M3"/>
  </mergeCells>
  <phoneticPr fontId="3" type="noConversion"/>
  <pageMargins left="0.7" right="0.7" top="0.75" bottom="0.75" header="0.3" footer="0.3"/>
  <legacy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3">
    <tabColor theme="8" tint="0.79998168889431442"/>
  </sheetPr>
  <dimension ref="A1:N137"/>
  <sheetViews>
    <sheetView zoomScale="85" zoomScaleNormal="85" workbookViewId="0">
      <pane ySplit="4" topLeftCell="A5" activePane="bottomLeft" state="frozen"/>
      <selection activeCell="D72" sqref="D72"/>
      <selection pane="bottomLeft" activeCell="D12" sqref="D12"/>
    </sheetView>
  </sheetViews>
  <sheetFormatPr defaultColWidth="8" defaultRowHeight="13.5"/>
  <cols>
    <col min="1" max="1" width="8.875" style="1008" customWidth="1"/>
    <col min="2" max="2" width="5.625" style="602" customWidth="1"/>
    <col min="3" max="3" width="27.625" style="596" customWidth="1"/>
    <col min="4" max="7" width="13.625" style="598" customWidth="1"/>
    <col min="8" max="8" width="13.625" style="603" customWidth="1"/>
    <col min="9" max="11" width="13.625" style="1008" customWidth="1"/>
    <col min="12" max="12" width="5.625" style="1008" customWidth="1"/>
    <col min="13" max="13" width="18" style="596" customWidth="1"/>
    <col min="14" max="14" width="34" style="596" customWidth="1"/>
    <col min="15" max="15" width="8" style="596"/>
    <col min="16" max="16" width="10.125" style="596" bestFit="1" customWidth="1"/>
    <col min="17" max="16384" width="8" style="596"/>
  </cols>
  <sheetData>
    <row r="1" spans="1:14">
      <c r="A1" s="1008" t="s">
        <v>2624</v>
      </c>
    </row>
    <row r="3" spans="1:14" s="604" customFormat="1" ht="14.25" thickBot="1">
      <c r="B3" s="1983" t="s">
        <v>1035</v>
      </c>
      <c r="C3" s="1983"/>
      <c r="D3" s="590" t="s">
        <v>599</v>
      </c>
      <c r="E3" s="1984" t="s">
        <v>1037</v>
      </c>
      <c r="F3" s="1985"/>
      <c r="G3" s="590" t="s">
        <v>599</v>
      </c>
      <c r="H3" s="1134">
        <f>상해_PL!H3</f>
        <v>46203</v>
      </c>
      <c r="I3" s="1992" t="s">
        <v>1037</v>
      </c>
      <c r="J3" s="1993"/>
      <c r="K3" s="1134">
        <f>H3</f>
        <v>46203</v>
      </c>
      <c r="L3" s="1009" t="s">
        <v>1038</v>
      </c>
      <c r="M3" s="1009"/>
      <c r="N3" s="590"/>
    </row>
    <row r="4" spans="1:14" ht="27" customHeight="1">
      <c r="A4" s="646" t="s">
        <v>486</v>
      </c>
      <c r="B4" s="594" t="s">
        <v>1039</v>
      </c>
      <c r="C4" s="594" t="s">
        <v>1040</v>
      </c>
      <c r="D4" s="591"/>
      <c r="E4" s="1010" t="s">
        <v>230</v>
      </c>
      <c r="F4" s="1010" t="s">
        <v>232</v>
      </c>
      <c r="G4" s="591">
        <f>환율!C25</f>
        <v>1192.74</v>
      </c>
      <c r="H4" s="605" t="s">
        <v>1041</v>
      </c>
      <c r="I4" s="1010" t="s">
        <v>230</v>
      </c>
      <c r="J4" s="1010" t="s">
        <v>232</v>
      </c>
      <c r="K4" s="605" t="s">
        <v>2536</v>
      </c>
      <c r="L4" s="1010" t="s">
        <v>1039</v>
      </c>
      <c r="M4" s="594" t="s">
        <v>1042</v>
      </c>
      <c r="N4" s="594" t="s">
        <v>1040</v>
      </c>
    </row>
    <row r="5" spans="1:14">
      <c r="A5" s="647"/>
      <c r="B5" s="993" t="s">
        <v>1043</v>
      </c>
      <c r="C5" s="994" t="s">
        <v>1044</v>
      </c>
      <c r="D5" s="995">
        <f t="shared" ref="D5" si="0">SUM(D6,D41)</f>
        <v>18857.54</v>
      </c>
      <c r="E5" s="995"/>
      <c r="F5" s="995"/>
      <c r="G5" s="1024">
        <f>SUM(G6,G41)</f>
        <v>18857.54</v>
      </c>
      <c r="H5" s="996">
        <f>SUM(H6,H41)</f>
        <v>22492142</v>
      </c>
      <c r="I5" s="1011"/>
      <c r="J5" s="1011"/>
      <c r="K5" s="996">
        <f>SUM(K6,K41)</f>
        <v>22492142</v>
      </c>
      <c r="L5" s="1012" t="str">
        <f t="shared" ref="L5:L10" si="1">B5</f>
        <v>*</v>
      </c>
      <c r="M5" s="994"/>
      <c r="N5" s="994"/>
    </row>
    <row r="6" spans="1:14">
      <c r="A6" s="647"/>
      <c r="B6" s="997" t="s">
        <v>1045</v>
      </c>
      <c r="C6" s="998" t="s">
        <v>1046</v>
      </c>
      <c r="D6" s="999">
        <f t="shared" ref="D6" si="2">SUM(D7,D33)</f>
        <v>18857.54</v>
      </c>
      <c r="E6" s="999"/>
      <c r="F6" s="999"/>
      <c r="G6" s="1025">
        <f>SUM(G7,G33)</f>
        <v>18857.54</v>
      </c>
      <c r="H6" s="1000">
        <f>SUM(H7,H33)</f>
        <v>22492142</v>
      </c>
      <c r="I6" s="1013"/>
      <c r="J6" s="1013"/>
      <c r="K6" s="1000">
        <f>SUM(K7,K33)</f>
        <v>22492142</v>
      </c>
      <c r="L6" s="1014" t="str">
        <f t="shared" si="1"/>
        <v>**</v>
      </c>
      <c r="M6" s="998"/>
      <c r="N6" s="998"/>
    </row>
    <row r="7" spans="1:14">
      <c r="A7" s="647"/>
      <c r="B7" s="609" t="s">
        <v>1047</v>
      </c>
      <c r="C7" s="610" t="s">
        <v>1048</v>
      </c>
      <c r="D7" s="611">
        <f t="shared" ref="D7" si="3">SUM(D8,D13,D19,D22,D23)</f>
        <v>18857.54</v>
      </c>
      <c r="E7" s="611"/>
      <c r="F7" s="611"/>
      <c r="G7" s="1026">
        <f>SUM(G8,G13,G19,G22,G23)</f>
        <v>18857.54</v>
      </c>
      <c r="H7" s="976">
        <f>SUM(H8,H13,H19,H22,H23)</f>
        <v>22492142</v>
      </c>
      <c r="I7" s="1015"/>
      <c r="J7" s="1015"/>
      <c r="K7" s="976">
        <f>SUM(K8,K13,K19,K22,K23)</f>
        <v>22492142</v>
      </c>
      <c r="L7" s="1016" t="str">
        <f t="shared" si="1"/>
        <v>***</v>
      </c>
      <c r="M7" s="610"/>
      <c r="N7" s="610"/>
    </row>
    <row r="8" spans="1:14">
      <c r="A8" s="647"/>
      <c r="B8" s="612" t="s">
        <v>1049</v>
      </c>
      <c r="C8" s="593" t="s">
        <v>1050</v>
      </c>
      <c r="D8" s="613">
        <f t="shared" ref="D8" si="4">SUM(D9:D10,D12)</f>
        <v>18857.54</v>
      </c>
      <c r="E8" s="613"/>
      <c r="F8" s="613"/>
      <c r="G8" s="1027">
        <f>SUM(G9:G10,G12)</f>
        <v>18857.54</v>
      </c>
      <c r="H8" s="718">
        <f>SUM(H9:H10,H12)</f>
        <v>22492142</v>
      </c>
      <c r="I8" s="1017"/>
      <c r="J8" s="1017"/>
      <c r="K8" s="718">
        <f>SUM(K9:K10,K12)</f>
        <v>22492142</v>
      </c>
      <c r="L8" s="1018" t="str">
        <f t="shared" si="1"/>
        <v>****</v>
      </c>
      <c r="M8" s="593"/>
      <c r="N8" s="593"/>
    </row>
    <row r="9" spans="1:14">
      <c r="A9" s="647" t="s">
        <v>623</v>
      </c>
      <c r="B9" s="612" t="s">
        <v>1051</v>
      </c>
      <c r="C9" s="593" t="s">
        <v>1052</v>
      </c>
      <c r="D9" s="613"/>
      <c r="E9" s="613"/>
      <c r="F9" s="613"/>
      <c r="G9" s="1028">
        <f>D9+E9-F9</f>
        <v>0</v>
      </c>
      <c r="H9" s="977">
        <f>ROUND(G9*$G$4,)</f>
        <v>0</v>
      </c>
      <c r="I9" s="1017"/>
      <c r="J9" s="1017"/>
      <c r="K9" s="977">
        <f>H9+I9-J9</f>
        <v>0</v>
      </c>
      <c r="L9" s="1018" t="str">
        <f t="shared" si="1"/>
        <v>*****</v>
      </c>
      <c r="M9" s="593" t="s">
        <v>359</v>
      </c>
      <c r="N9" s="593" t="s">
        <v>1053</v>
      </c>
    </row>
    <row r="10" spans="1:14">
      <c r="A10" s="647" t="s">
        <v>624</v>
      </c>
      <c r="B10" s="612" t="s">
        <v>1051</v>
      </c>
      <c r="C10" s="593" t="s">
        <v>1055</v>
      </c>
      <c r="D10" s="614">
        <v>12210.2</v>
      </c>
      <c r="E10" s="614"/>
      <c r="F10" s="614"/>
      <c r="G10" s="1028">
        <f>D10+E10-F10</f>
        <v>12210.2</v>
      </c>
      <c r="H10" s="977">
        <f>ROUND(G10*$G$4,)</f>
        <v>14563594</v>
      </c>
      <c r="I10" s="1017"/>
      <c r="J10" s="1017"/>
      <c r="K10" s="977">
        <f>H10+I10-J10</f>
        <v>14563594</v>
      </c>
      <c r="L10" s="1018" t="str">
        <f t="shared" si="1"/>
        <v>*****</v>
      </c>
      <c r="M10" s="593" t="s">
        <v>359</v>
      </c>
      <c r="N10" s="593" t="s">
        <v>1056</v>
      </c>
    </row>
    <row r="11" spans="1:14">
      <c r="A11" s="647"/>
      <c r="B11" s="612"/>
      <c r="C11" s="593" t="s">
        <v>1057</v>
      </c>
      <c r="D11" s="613"/>
      <c r="E11" s="613"/>
      <c r="F11" s="613"/>
      <c r="G11" s="1028">
        <f>D11+E11-F11</f>
        <v>0</v>
      </c>
      <c r="H11" s="977">
        <f>ROUND(G11*$G$4,)</f>
        <v>0</v>
      </c>
      <c r="I11" s="1017"/>
      <c r="J11" s="1017"/>
      <c r="K11" s="977">
        <f>H11+I11-J11</f>
        <v>0</v>
      </c>
      <c r="L11" s="1018"/>
      <c r="M11" s="593"/>
      <c r="N11" s="593"/>
    </row>
    <row r="12" spans="1:14">
      <c r="A12" s="647" t="s">
        <v>625</v>
      </c>
      <c r="B12" s="612" t="s">
        <v>1051</v>
      </c>
      <c r="C12" s="593" t="s">
        <v>1058</v>
      </c>
      <c r="D12" s="613">
        <v>6647.34</v>
      </c>
      <c r="E12" s="613"/>
      <c r="F12" s="613"/>
      <c r="G12" s="1028">
        <f>D12+E12-F12</f>
        <v>6647.34</v>
      </c>
      <c r="H12" s="977">
        <f>ROUND(G12*$G$4,)</f>
        <v>7928548</v>
      </c>
      <c r="I12" s="1017"/>
      <c r="J12" s="1017"/>
      <c r="K12" s="977">
        <f>H12+I12-J12</f>
        <v>7928548</v>
      </c>
      <c r="L12" s="1018" t="str">
        <f t="shared" ref="L12:L38" si="5">B12</f>
        <v>*****</v>
      </c>
      <c r="M12" s="593" t="s">
        <v>359</v>
      </c>
      <c r="N12" s="593" t="s">
        <v>1059</v>
      </c>
    </row>
    <row r="13" spans="1:14">
      <c r="A13" s="647"/>
      <c r="B13" s="612" t="s">
        <v>1049</v>
      </c>
      <c r="C13" s="593" t="s">
        <v>1060</v>
      </c>
      <c r="D13" s="613">
        <f t="shared" ref="D13" si="6">SUM(D14:D15,D18)</f>
        <v>0</v>
      </c>
      <c r="E13" s="613"/>
      <c r="F13" s="613"/>
      <c r="G13" s="1027">
        <f>SUM(G14:G15,G18)</f>
        <v>0</v>
      </c>
      <c r="H13" s="718">
        <f>SUM(H14:H15,H18)</f>
        <v>0</v>
      </c>
      <c r="I13" s="1017"/>
      <c r="J13" s="1017"/>
      <c r="K13" s="718">
        <f>SUM(K14:K15,K18)</f>
        <v>0</v>
      </c>
      <c r="L13" s="1018" t="str">
        <f t="shared" si="5"/>
        <v>****</v>
      </c>
      <c r="M13" s="593"/>
      <c r="N13" s="593"/>
    </row>
    <row r="14" spans="1:14">
      <c r="A14" s="647"/>
      <c r="B14" s="612" t="s">
        <v>1051</v>
      </c>
      <c r="C14" s="593" t="s">
        <v>1062</v>
      </c>
      <c r="D14" s="613"/>
      <c r="E14" s="613"/>
      <c r="F14" s="613"/>
      <c r="G14" s="1028">
        <f>D14+E14-F14</f>
        <v>0</v>
      </c>
      <c r="H14" s="977">
        <f t="shared" ref="H14:H18" si="7">ROUND(G14*$G$4,)</f>
        <v>0</v>
      </c>
      <c r="I14" s="1017"/>
      <c r="J14" s="1017"/>
      <c r="K14" s="977">
        <f>H14+I14-J14</f>
        <v>0</v>
      </c>
      <c r="L14" s="1018" t="str">
        <f t="shared" si="5"/>
        <v>*****</v>
      </c>
      <c r="M14" s="593" t="s">
        <v>1063</v>
      </c>
      <c r="N14" s="593" t="s">
        <v>1064</v>
      </c>
    </row>
    <row r="15" spans="1:14">
      <c r="A15" s="647"/>
      <c r="B15" s="612" t="s">
        <v>1051</v>
      </c>
      <c r="C15" s="593" t="s">
        <v>1065</v>
      </c>
      <c r="D15" s="613"/>
      <c r="E15" s="613"/>
      <c r="F15" s="613"/>
      <c r="G15" s="1028">
        <f>D15+E15-F15</f>
        <v>0</v>
      </c>
      <c r="H15" s="977">
        <f t="shared" si="7"/>
        <v>0</v>
      </c>
      <c r="I15" s="1017"/>
      <c r="J15" s="1017"/>
      <c r="K15" s="977">
        <f>H15+I15-J15</f>
        <v>0</v>
      </c>
      <c r="L15" s="1018" t="str">
        <f t="shared" si="5"/>
        <v>*****</v>
      </c>
      <c r="M15" s="593"/>
      <c r="N15" s="593"/>
    </row>
    <row r="16" spans="1:14">
      <c r="A16" s="647"/>
      <c r="B16" s="612" t="s">
        <v>1066</v>
      </c>
      <c r="C16" s="593" t="s">
        <v>1067</v>
      </c>
      <c r="D16" s="613"/>
      <c r="E16" s="613"/>
      <c r="F16" s="613"/>
      <c r="G16" s="1028">
        <f>D16+E16-F16</f>
        <v>0</v>
      </c>
      <c r="H16" s="977">
        <f t="shared" si="7"/>
        <v>0</v>
      </c>
      <c r="I16" s="1017"/>
      <c r="J16" s="1017"/>
      <c r="K16" s="977">
        <f>H16+I16-J16</f>
        <v>0</v>
      </c>
      <c r="L16" s="1018" t="str">
        <f t="shared" si="5"/>
        <v>******</v>
      </c>
      <c r="M16" s="593" t="s">
        <v>1054</v>
      </c>
      <c r="N16" s="593" t="s">
        <v>1068</v>
      </c>
    </row>
    <row r="17" spans="1:14">
      <c r="A17" s="647"/>
      <c r="B17" s="612" t="s">
        <v>1066</v>
      </c>
      <c r="C17" s="593" t="s">
        <v>1069</v>
      </c>
      <c r="D17" s="613"/>
      <c r="E17" s="613"/>
      <c r="F17" s="613"/>
      <c r="G17" s="1028">
        <f>D17+E17-F17</f>
        <v>0</v>
      </c>
      <c r="H17" s="977">
        <f t="shared" si="7"/>
        <v>0</v>
      </c>
      <c r="I17" s="1017"/>
      <c r="J17" s="1017"/>
      <c r="K17" s="977">
        <f>H17+I17-J17</f>
        <v>0</v>
      </c>
      <c r="L17" s="1018" t="str">
        <f t="shared" si="5"/>
        <v>******</v>
      </c>
      <c r="M17" s="593" t="s">
        <v>1054</v>
      </c>
      <c r="N17" s="593" t="s">
        <v>1070</v>
      </c>
    </row>
    <row r="18" spans="1:14">
      <c r="A18" s="647"/>
      <c r="B18" s="612" t="s">
        <v>1051</v>
      </c>
      <c r="C18" s="593" t="s">
        <v>1071</v>
      </c>
      <c r="D18" s="613"/>
      <c r="E18" s="613"/>
      <c r="F18" s="613"/>
      <c r="G18" s="1028">
        <f>D18+E18-F18</f>
        <v>0</v>
      </c>
      <c r="H18" s="977">
        <f t="shared" si="7"/>
        <v>0</v>
      </c>
      <c r="I18" s="1017"/>
      <c r="J18" s="1017"/>
      <c r="K18" s="977">
        <f>H18+I18-J18</f>
        <v>0</v>
      </c>
      <c r="L18" s="1018" t="str">
        <f t="shared" si="5"/>
        <v>*****</v>
      </c>
      <c r="M18" s="593" t="s">
        <v>1063</v>
      </c>
      <c r="N18" s="593" t="s">
        <v>1072</v>
      </c>
    </row>
    <row r="19" spans="1:14">
      <c r="A19" s="647"/>
      <c r="B19" s="612" t="s">
        <v>1049</v>
      </c>
      <c r="C19" s="593" t="s">
        <v>1073</v>
      </c>
      <c r="D19" s="613">
        <f t="shared" ref="D19" si="8">SUM(D20:D21)</f>
        <v>0</v>
      </c>
      <c r="E19" s="613"/>
      <c r="F19" s="613"/>
      <c r="G19" s="1027">
        <f>SUM(G20:G21)</f>
        <v>0</v>
      </c>
      <c r="H19" s="718">
        <f>SUM(H20:H21)</f>
        <v>0</v>
      </c>
      <c r="I19" s="1017"/>
      <c r="J19" s="1017"/>
      <c r="K19" s="718">
        <f>SUM(K20:K21)</f>
        <v>0</v>
      </c>
      <c r="L19" s="1018" t="str">
        <f t="shared" si="5"/>
        <v>****</v>
      </c>
      <c r="M19" s="593"/>
      <c r="N19" s="593"/>
    </row>
    <row r="20" spans="1:14">
      <c r="A20" s="647" t="s">
        <v>628</v>
      </c>
      <c r="B20" s="612" t="s">
        <v>1051</v>
      </c>
      <c r="C20" s="593" t="s">
        <v>1074</v>
      </c>
      <c r="D20" s="613"/>
      <c r="E20" s="613"/>
      <c r="F20" s="613"/>
      <c r="G20" s="1028">
        <f>D20+E20-F20</f>
        <v>0</v>
      </c>
      <c r="H20" s="977">
        <f t="shared" ref="H20:H21" si="9">ROUND(G20*$G$4,)</f>
        <v>0</v>
      </c>
      <c r="I20" s="1017"/>
      <c r="J20" s="1017"/>
      <c r="K20" s="977">
        <f>H20+I20-J20</f>
        <v>0</v>
      </c>
      <c r="L20" s="1018" t="str">
        <f t="shared" si="5"/>
        <v>*****</v>
      </c>
      <c r="M20" s="593" t="s">
        <v>1054</v>
      </c>
      <c r="N20" s="593" t="s">
        <v>1075</v>
      </c>
    </row>
    <row r="21" spans="1:14">
      <c r="A21" s="647" t="s">
        <v>629</v>
      </c>
      <c r="B21" s="612" t="s">
        <v>1051</v>
      </c>
      <c r="C21" s="593" t="s">
        <v>1076</v>
      </c>
      <c r="D21" s="613"/>
      <c r="E21" s="613"/>
      <c r="F21" s="613"/>
      <c r="G21" s="1028">
        <f>D21+E21-F21</f>
        <v>0</v>
      </c>
      <c r="H21" s="977">
        <f t="shared" si="9"/>
        <v>0</v>
      </c>
      <c r="I21" s="1017"/>
      <c r="J21" s="1017"/>
      <c r="K21" s="977">
        <f>H21+I21-J21</f>
        <v>0</v>
      </c>
      <c r="L21" s="1018" t="str">
        <f t="shared" si="5"/>
        <v>*****</v>
      </c>
      <c r="M21" s="593" t="s">
        <v>1054</v>
      </c>
      <c r="N21" s="593" t="s">
        <v>1077</v>
      </c>
    </row>
    <row r="22" spans="1:14">
      <c r="A22" s="647" t="s">
        <v>636</v>
      </c>
      <c r="B22" s="612" t="s">
        <v>1049</v>
      </c>
      <c r="C22" s="593" t="s">
        <v>1078</v>
      </c>
      <c r="D22" s="613">
        <v>0</v>
      </c>
      <c r="E22" s="613"/>
      <c r="F22" s="613"/>
      <c r="G22" s="1028">
        <f>D22+E22-F22</f>
        <v>0</v>
      </c>
      <c r="H22" s="977">
        <f>ROUND(G22*$G$4,)</f>
        <v>0</v>
      </c>
      <c r="I22" s="1017"/>
      <c r="J22" s="1017"/>
      <c r="K22" s="977">
        <f>H22+I22-J22</f>
        <v>0</v>
      </c>
      <c r="L22" s="1018" t="str">
        <f t="shared" si="5"/>
        <v>****</v>
      </c>
      <c r="M22" s="593" t="s">
        <v>105</v>
      </c>
      <c r="N22" s="593" t="s">
        <v>1079</v>
      </c>
    </row>
    <row r="23" spans="1:14">
      <c r="A23" s="647"/>
      <c r="B23" s="612" t="s">
        <v>1049</v>
      </c>
      <c r="C23" s="593" t="s">
        <v>1080</v>
      </c>
      <c r="D23" s="613">
        <f t="shared" ref="D23" si="10">SUM(D24,D26,D25,D27,D28,D31,D32)</f>
        <v>0</v>
      </c>
      <c r="E23" s="613"/>
      <c r="F23" s="613"/>
      <c r="G23" s="1027">
        <f>SUM(G24,G26,G25,G27,G28,G31,G32)</f>
        <v>0</v>
      </c>
      <c r="H23" s="718">
        <f>SUM(H24,H26,H25,H27,H28,H31,H32)</f>
        <v>0</v>
      </c>
      <c r="I23" s="1017"/>
      <c r="J23" s="1017"/>
      <c r="K23" s="718">
        <f>SUM(K24,K26,K25,K27,K28,K31,K32)</f>
        <v>0</v>
      </c>
      <c r="L23" s="1018" t="str">
        <f t="shared" si="5"/>
        <v>****</v>
      </c>
      <c r="M23" s="593"/>
      <c r="N23" s="593"/>
    </row>
    <row r="24" spans="1:14">
      <c r="A24" s="647" t="s">
        <v>632</v>
      </c>
      <c r="B24" s="612" t="s">
        <v>1051</v>
      </c>
      <c r="C24" s="593" t="s">
        <v>1081</v>
      </c>
      <c r="D24" s="613"/>
      <c r="E24" s="613"/>
      <c r="F24" s="613"/>
      <c r="G24" s="1028">
        <f>D24+E24-F24</f>
        <v>0</v>
      </c>
      <c r="H24" s="992">
        <f>ROUND(G24*$G$4,)</f>
        <v>0</v>
      </c>
      <c r="I24" s="1017"/>
      <c r="J24" s="1017"/>
      <c r="K24" s="977">
        <f>H24+I24-J24</f>
        <v>0</v>
      </c>
      <c r="L24" s="1018" t="str">
        <f t="shared" si="5"/>
        <v>*****</v>
      </c>
      <c r="M24" s="593" t="s">
        <v>1054</v>
      </c>
      <c r="N24" s="593" t="s">
        <v>1082</v>
      </c>
    </row>
    <row r="25" spans="1:14">
      <c r="A25" s="647"/>
      <c r="B25" s="612" t="s">
        <v>1051</v>
      </c>
      <c r="C25" s="593" t="s">
        <v>1083</v>
      </c>
      <c r="D25" s="613"/>
      <c r="E25" s="613"/>
      <c r="F25" s="613"/>
      <c r="G25" s="1028">
        <f>D25+E25-F25</f>
        <v>0</v>
      </c>
      <c r="H25" s="977">
        <f t="shared" ref="H25:H32" si="11">ROUND(G25*$G$4,)</f>
        <v>0</v>
      </c>
      <c r="I25" s="1017"/>
      <c r="J25" s="1017"/>
      <c r="K25" s="977">
        <f>H25+I25-J25</f>
        <v>0</v>
      </c>
      <c r="L25" s="1018" t="str">
        <f t="shared" si="5"/>
        <v>*****</v>
      </c>
      <c r="M25" s="593" t="s">
        <v>1054</v>
      </c>
      <c r="N25" s="593" t="s">
        <v>1084</v>
      </c>
    </row>
    <row r="26" spans="1:14">
      <c r="A26" s="647"/>
      <c r="B26" s="612" t="s">
        <v>1051</v>
      </c>
      <c r="C26" s="593" t="s">
        <v>1085</v>
      </c>
      <c r="D26" s="613"/>
      <c r="E26" s="613"/>
      <c r="F26" s="613"/>
      <c r="G26" s="1028">
        <f>D26+E26-F26</f>
        <v>0</v>
      </c>
      <c r="H26" s="977">
        <f t="shared" si="11"/>
        <v>0</v>
      </c>
      <c r="I26" s="1017"/>
      <c r="J26" s="1017"/>
      <c r="K26" s="977">
        <f>H26+I26-J26</f>
        <v>0</v>
      </c>
      <c r="L26" s="1018" t="str">
        <f t="shared" si="5"/>
        <v>*****</v>
      </c>
      <c r="M26" s="593" t="s">
        <v>1054</v>
      </c>
      <c r="N26" s="593" t="s">
        <v>1086</v>
      </c>
    </row>
    <row r="27" spans="1:14">
      <c r="A27" s="647"/>
      <c r="B27" s="612" t="s">
        <v>1051</v>
      </c>
      <c r="C27" s="593" t="s">
        <v>1088</v>
      </c>
      <c r="D27" s="613"/>
      <c r="E27" s="613"/>
      <c r="F27" s="613"/>
      <c r="G27" s="1028">
        <f>D27+E27-F27</f>
        <v>0</v>
      </c>
      <c r="H27" s="977">
        <f t="shared" si="11"/>
        <v>0</v>
      </c>
      <c r="I27" s="1017"/>
      <c r="J27" s="1017"/>
      <c r="K27" s="977">
        <f>H27+I27-J27</f>
        <v>0</v>
      </c>
      <c r="L27" s="1018" t="str">
        <f t="shared" si="5"/>
        <v>*****</v>
      </c>
      <c r="M27" s="593" t="s">
        <v>1054</v>
      </c>
      <c r="N27" s="593" t="s">
        <v>1089</v>
      </c>
    </row>
    <row r="28" spans="1:14">
      <c r="A28" s="647"/>
      <c r="B28" s="612" t="s">
        <v>1051</v>
      </c>
      <c r="C28" s="593" t="s">
        <v>1090</v>
      </c>
      <c r="D28" s="613">
        <f t="shared" ref="D28" si="12">SUM(D29,D30)</f>
        <v>0</v>
      </c>
      <c r="E28" s="613"/>
      <c r="F28" s="613"/>
      <c r="G28" s="1027">
        <f>SUM(G29,G30)</f>
        <v>0</v>
      </c>
      <c r="H28" s="977">
        <f t="shared" si="11"/>
        <v>0</v>
      </c>
      <c r="I28" s="1017"/>
      <c r="J28" s="1017"/>
      <c r="K28" s="718">
        <f>SUM(K29,K30)</f>
        <v>0</v>
      </c>
      <c r="L28" s="1018" t="str">
        <f t="shared" si="5"/>
        <v>*****</v>
      </c>
      <c r="M28" s="593"/>
      <c r="N28" s="593"/>
    </row>
    <row r="29" spans="1:14">
      <c r="A29" s="647" t="s">
        <v>634</v>
      </c>
      <c r="B29" s="612" t="s">
        <v>1066</v>
      </c>
      <c r="C29" s="593" t="s">
        <v>1092</v>
      </c>
      <c r="D29" s="613"/>
      <c r="E29" s="613"/>
      <c r="F29" s="613"/>
      <c r="G29" s="1028">
        <f t="shared" ref="G29:G32" si="13">D29+E29-F29</f>
        <v>0</v>
      </c>
      <c r="H29" s="977">
        <f t="shared" si="11"/>
        <v>0</v>
      </c>
      <c r="I29" s="1017"/>
      <c r="J29" s="1017"/>
      <c r="K29" s="977">
        <f t="shared" ref="K29:K32" si="14">H29+I29-J29</f>
        <v>0</v>
      </c>
      <c r="L29" s="1018" t="str">
        <f t="shared" si="5"/>
        <v>******</v>
      </c>
      <c r="M29" s="593" t="s">
        <v>105</v>
      </c>
      <c r="N29" s="593" t="s">
        <v>1093</v>
      </c>
    </row>
    <row r="30" spans="1:14">
      <c r="A30" s="647"/>
      <c r="B30" s="612" t="s">
        <v>1066</v>
      </c>
      <c r="C30" s="593" t="s">
        <v>1094</v>
      </c>
      <c r="D30" s="613"/>
      <c r="E30" s="613"/>
      <c r="F30" s="613"/>
      <c r="G30" s="1028">
        <f t="shared" si="13"/>
        <v>0</v>
      </c>
      <c r="H30" s="977">
        <f t="shared" si="11"/>
        <v>0</v>
      </c>
      <c r="I30" s="1017"/>
      <c r="J30" s="1017"/>
      <c r="K30" s="977">
        <f t="shared" si="14"/>
        <v>0</v>
      </c>
      <c r="L30" s="1018" t="str">
        <f t="shared" si="5"/>
        <v>******</v>
      </c>
      <c r="M30" s="593" t="s">
        <v>105</v>
      </c>
      <c r="N30" s="593" t="s">
        <v>1095</v>
      </c>
    </row>
    <row r="31" spans="1:14">
      <c r="A31" s="647" t="s">
        <v>2509</v>
      </c>
      <c r="B31" s="612" t="s">
        <v>1051</v>
      </c>
      <c r="C31" s="593" t="s">
        <v>2538</v>
      </c>
      <c r="D31" s="613"/>
      <c r="E31" s="613"/>
      <c r="F31" s="613"/>
      <c r="G31" s="1028">
        <f t="shared" si="13"/>
        <v>0</v>
      </c>
      <c r="H31" s="977">
        <f t="shared" si="11"/>
        <v>0</v>
      </c>
      <c r="I31" s="1017"/>
      <c r="J31" s="1017"/>
      <c r="K31" s="977">
        <f t="shared" si="14"/>
        <v>0</v>
      </c>
      <c r="L31" s="1018" t="str">
        <f t="shared" si="5"/>
        <v>*****</v>
      </c>
      <c r="M31" s="593" t="s">
        <v>1096</v>
      </c>
      <c r="N31" s="593" t="s">
        <v>1061</v>
      </c>
    </row>
    <row r="32" spans="1:14">
      <c r="A32" s="647" t="s">
        <v>2540</v>
      </c>
      <c r="B32" s="612" t="s">
        <v>1051</v>
      </c>
      <c r="C32" s="593" t="s">
        <v>2539</v>
      </c>
      <c r="D32" s="613"/>
      <c r="E32" s="613"/>
      <c r="F32" s="613"/>
      <c r="G32" s="1028">
        <f t="shared" si="13"/>
        <v>0</v>
      </c>
      <c r="H32" s="977">
        <f t="shared" si="11"/>
        <v>0</v>
      </c>
      <c r="I32" s="1017"/>
      <c r="J32" s="1017"/>
      <c r="K32" s="977">
        <f t="shared" si="14"/>
        <v>0</v>
      </c>
      <c r="L32" s="1018" t="str">
        <f t="shared" si="5"/>
        <v>*****</v>
      </c>
      <c r="M32" s="593" t="s">
        <v>105</v>
      </c>
      <c r="N32" s="593" t="s">
        <v>18</v>
      </c>
    </row>
    <row r="33" spans="1:14">
      <c r="A33" s="647"/>
      <c r="B33" s="609" t="s">
        <v>1047</v>
      </c>
      <c r="C33" s="610" t="s">
        <v>1097</v>
      </c>
      <c r="D33" s="611">
        <f t="shared" ref="D33" si="15">SUM(D34,D35,D36,D37,D38,D39,D40)</f>
        <v>0</v>
      </c>
      <c r="E33" s="611"/>
      <c r="F33" s="611"/>
      <c r="G33" s="1026">
        <f>SUM(G34,G35,G36,G37,G38,G39,G40)</f>
        <v>0</v>
      </c>
      <c r="H33" s="976">
        <f>SUM(H34,H35,H36,H37,H38,H39,H40)</f>
        <v>0</v>
      </c>
      <c r="I33" s="1015"/>
      <c r="J33" s="1015"/>
      <c r="K33" s="976">
        <f>SUM(K34,K35,K36,K37,K38,K39,K40)</f>
        <v>0</v>
      </c>
      <c r="L33" s="1016" t="str">
        <f t="shared" si="5"/>
        <v>***</v>
      </c>
      <c r="M33" s="610"/>
      <c r="N33" s="610"/>
    </row>
    <row r="34" spans="1:14">
      <c r="A34" s="647" t="s">
        <v>645</v>
      </c>
      <c r="B34" s="612" t="s">
        <v>1049</v>
      </c>
      <c r="C34" s="593" t="s">
        <v>1316</v>
      </c>
      <c r="D34" s="613"/>
      <c r="E34" s="613"/>
      <c r="F34" s="613"/>
      <c r="G34" s="1028">
        <f t="shared" ref="G34:G40" si="16">D34+E34-F34</f>
        <v>0</v>
      </c>
      <c r="H34" s="977">
        <f>ROUND(G34*$G$4,)</f>
        <v>0</v>
      </c>
      <c r="I34" s="1017"/>
      <c r="J34" s="1017"/>
      <c r="K34" s="977">
        <f t="shared" ref="K34:K40" si="17">H34+I34-J34</f>
        <v>0</v>
      </c>
      <c r="L34" s="1018" t="str">
        <f t="shared" si="5"/>
        <v>****</v>
      </c>
      <c r="M34" s="593" t="s">
        <v>20</v>
      </c>
      <c r="N34" s="593" t="s">
        <v>1098</v>
      </c>
    </row>
    <row r="35" spans="1:14">
      <c r="A35" s="647" t="s">
        <v>643</v>
      </c>
      <c r="B35" s="612" t="s">
        <v>1049</v>
      </c>
      <c r="C35" s="593" t="s">
        <v>1099</v>
      </c>
      <c r="D35" s="613"/>
      <c r="E35" s="613"/>
      <c r="F35" s="613"/>
      <c r="G35" s="1028">
        <f t="shared" si="16"/>
        <v>0</v>
      </c>
      <c r="H35" s="977">
        <f t="shared" ref="H35:H40" si="18">ROUND(G35*$G$4,)</f>
        <v>0</v>
      </c>
      <c r="I35" s="1017"/>
      <c r="J35" s="1017"/>
      <c r="K35" s="977">
        <f t="shared" si="17"/>
        <v>0</v>
      </c>
      <c r="L35" s="1018" t="str">
        <f t="shared" si="5"/>
        <v>****</v>
      </c>
      <c r="M35" s="593" t="s">
        <v>20</v>
      </c>
      <c r="N35" s="593" t="s">
        <v>1100</v>
      </c>
    </row>
    <row r="36" spans="1:14">
      <c r="A36" s="647" t="s">
        <v>646</v>
      </c>
      <c r="B36" s="612" t="s">
        <v>1049</v>
      </c>
      <c r="C36" s="593" t="s">
        <v>1317</v>
      </c>
      <c r="D36" s="613"/>
      <c r="E36" s="613"/>
      <c r="F36" s="613"/>
      <c r="G36" s="1028">
        <f t="shared" si="16"/>
        <v>0</v>
      </c>
      <c r="H36" s="977">
        <f t="shared" si="18"/>
        <v>0</v>
      </c>
      <c r="I36" s="1017"/>
      <c r="J36" s="1017"/>
      <c r="K36" s="977">
        <f t="shared" si="17"/>
        <v>0</v>
      </c>
      <c r="L36" s="1018" t="str">
        <f t="shared" si="5"/>
        <v>****</v>
      </c>
      <c r="M36" s="593" t="s">
        <v>20</v>
      </c>
      <c r="N36" s="593" t="s">
        <v>1101</v>
      </c>
    </row>
    <row r="37" spans="1:14">
      <c r="A37" s="647" t="s">
        <v>647</v>
      </c>
      <c r="B37" s="612" t="s">
        <v>1049</v>
      </c>
      <c r="C37" s="593" t="s">
        <v>1318</v>
      </c>
      <c r="D37" s="613"/>
      <c r="E37" s="613"/>
      <c r="F37" s="613"/>
      <c r="G37" s="1028">
        <f t="shared" si="16"/>
        <v>0</v>
      </c>
      <c r="H37" s="977">
        <f t="shared" si="18"/>
        <v>0</v>
      </c>
      <c r="I37" s="1017"/>
      <c r="J37" s="1017"/>
      <c r="K37" s="977">
        <f t="shared" si="17"/>
        <v>0</v>
      </c>
      <c r="L37" s="1018" t="str">
        <f t="shared" si="5"/>
        <v>****</v>
      </c>
      <c r="M37" s="593" t="s">
        <v>20</v>
      </c>
      <c r="N37" s="593" t="s">
        <v>1102</v>
      </c>
    </row>
    <row r="38" spans="1:14">
      <c r="A38" s="647" t="s">
        <v>649</v>
      </c>
      <c r="B38" s="612" t="s">
        <v>1049</v>
      </c>
      <c r="C38" s="593" t="s">
        <v>1103</v>
      </c>
      <c r="D38" s="613"/>
      <c r="E38" s="613"/>
      <c r="F38" s="613"/>
      <c r="G38" s="1028">
        <f t="shared" si="16"/>
        <v>0</v>
      </c>
      <c r="H38" s="977">
        <f t="shared" si="18"/>
        <v>0</v>
      </c>
      <c r="I38" s="1017"/>
      <c r="J38" s="1017"/>
      <c r="K38" s="977">
        <f t="shared" si="17"/>
        <v>0</v>
      </c>
      <c r="L38" s="1018" t="str">
        <f t="shared" si="5"/>
        <v>****</v>
      </c>
      <c r="M38" s="593" t="s">
        <v>20</v>
      </c>
      <c r="N38" s="593" t="s">
        <v>1104</v>
      </c>
    </row>
    <row r="39" spans="1:14">
      <c r="A39" s="647" t="s">
        <v>650</v>
      </c>
      <c r="B39" s="612"/>
      <c r="C39" s="593" t="s">
        <v>1105</v>
      </c>
      <c r="D39" s="613"/>
      <c r="E39" s="613"/>
      <c r="F39" s="613"/>
      <c r="G39" s="1028">
        <f t="shared" si="16"/>
        <v>0</v>
      </c>
      <c r="H39" s="977">
        <f t="shared" si="18"/>
        <v>0</v>
      </c>
      <c r="I39" s="1017"/>
      <c r="J39" s="1017"/>
      <c r="K39" s="977">
        <f t="shared" si="17"/>
        <v>0</v>
      </c>
      <c r="L39" s="1018"/>
      <c r="M39" s="593"/>
      <c r="N39" s="593"/>
    </row>
    <row r="40" spans="1:14">
      <c r="A40" s="647"/>
      <c r="B40" s="612"/>
      <c r="C40" s="593" t="s">
        <v>1106</v>
      </c>
      <c r="D40" s="613"/>
      <c r="E40" s="613"/>
      <c r="F40" s="613"/>
      <c r="G40" s="1028">
        <f t="shared" si="16"/>
        <v>0</v>
      </c>
      <c r="H40" s="977">
        <f t="shared" si="18"/>
        <v>0</v>
      </c>
      <c r="I40" s="1017"/>
      <c r="J40" s="1017"/>
      <c r="K40" s="977">
        <f t="shared" si="17"/>
        <v>0</v>
      </c>
      <c r="L40" s="1018"/>
      <c r="M40" s="593"/>
      <c r="N40" s="593"/>
    </row>
    <row r="41" spans="1:14">
      <c r="A41" s="647"/>
      <c r="B41" s="997" t="s">
        <v>1045</v>
      </c>
      <c r="C41" s="998" t="s">
        <v>1107</v>
      </c>
      <c r="D41" s="999">
        <f t="shared" ref="D41" si="19">SUM(D42,D44,D49,D51,D65,D74)</f>
        <v>0</v>
      </c>
      <c r="E41" s="999"/>
      <c r="F41" s="999"/>
      <c r="G41" s="1025">
        <f>SUM(G42,G44,G49,G51,G65,G74)</f>
        <v>0</v>
      </c>
      <c r="H41" s="1000">
        <f>SUM(H42,H44,H49,H51,H65,H74)</f>
        <v>0</v>
      </c>
      <c r="I41" s="1013"/>
      <c r="J41" s="1013"/>
      <c r="K41" s="1000">
        <f>SUM(K42,K44,K49,K51,K65,K74)</f>
        <v>0</v>
      </c>
      <c r="L41" s="1014" t="str">
        <f>B41</f>
        <v>**</v>
      </c>
      <c r="M41" s="998"/>
      <c r="N41" s="998"/>
    </row>
    <row r="42" spans="1:14">
      <c r="A42" s="647"/>
      <c r="B42" s="609" t="s">
        <v>1047</v>
      </c>
      <c r="C42" s="610" t="s">
        <v>1108</v>
      </c>
      <c r="D42" s="611">
        <f t="shared" ref="D42" si="20">D43</f>
        <v>0</v>
      </c>
      <c r="E42" s="611"/>
      <c r="F42" s="611"/>
      <c r="G42" s="1026">
        <f>G43</f>
        <v>0</v>
      </c>
      <c r="H42" s="976">
        <f>H43</f>
        <v>0</v>
      </c>
      <c r="I42" s="1015"/>
      <c r="J42" s="1015"/>
      <c r="K42" s="976">
        <f>K43</f>
        <v>0</v>
      </c>
      <c r="L42" s="1016" t="str">
        <f>B42</f>
        <v>***</v>
      </c>
      <c r="M42" s="610"/>
      <c r="N42" s="610"/>
    </row>
    <row r="43" spans="1:14">
      <c r="A43" s="647" t="s">
        <v>906</v>
      </c>
      <c r="B43" s="612" t="s">
        <v>1049</v>
      </c>
      <c r="C43" s="593" t="s">
        <v>1109</v>
      </c>
      <c r="D43" s="613"/>
      <c r="E43" s="613"/>
      <c r="F43" s="613"/>
      <c r="G43" s="1028">
        <f>D43+E43-F43</f>
        <v>0</v>
      </c>
      <c r="H43" s="977">
        <f>ROUND(G43*$G$4,)</f>
        <v>0</v>
      </c>
      <c r="I43" s="1017"/>
      <c r="J43" s="1017"/>
      <c r="K43" s="977">
        <f>H43+I43-J43</f>
        <v>0</v>
      </c>
      <c r="L43" s="1018" t="str">
        <f>B43</f>
        <v>****</v>
      </c>
      <c r="M43" s="593" t="s">
        <v>1110</v>
      </c>
      <c r="N43" s="593" t="s">
        <v>1111</v>
      </c>
    </row>
    <row r="44" spans="1:14">
      <c r="A44" s="647"/>
      <c r="B44" s="609" t="s">
        <v>1047</v>
      </c>
      <c r="C44" s="610" t="s">
        <v>1112</v>
      </c>
      <c r="D44" s="611">
        <f t="shared" ref="D44" si="21">SUM(D45,D48)</f>
        <v>0</v>
      </c>
      <c r="E44" s="611"/>
      <c r="F44" s="611"/>
      <c r="G44" s="1026">
        <f>SUM(G45,G48)</f>
        <v>0</v>
      </c>
      <c r="H44" s="976">
        <f>SUM(H45,H48)</f>
        <v>0</v>
      </c>
      <c r="I44" s="1015"/>
      <c r="J44" s="1015"/>
      <c r="K44" s="976">
        <f>SUM(K45,K48)</f>
        <v>0</v>
      </c>
      <c r="L44" s="1016"/>
      <c r="M44" s="610"/>
      <c r="N44" s="610"/>
    </row>
    <row r="45" spans="1:14">
      <c r="A45" s="647"/>
      <c r="B45" s="612" t="s">
        <v>1049</v>
      </c>
      <c r="C45" s="593" t="s">
        <v>1113</v>
      </c>
      <c r="D45" s="613">
        <f t="shared" ref="D45" si="22">SUM(D46:D47)</f>
        <v>0</v>
      </c>
      <c r="E45" s="613"/>
      <c r="F45" s="613"/>
      <c r="G45" s="1027">
        <f>SUM(G46:G47)</f>
        <v>0</v>
      </c>
      <c r="H45" s="718">
        <f>SUM(H46:H47)</f>
        <v>0</v>
      </c>
      <c r="I45" s="1017"/>
      <c r="J45" s="1017"/>
      <c r="K45" s="718">
        <f>SUM(K46:K47)</f>
        <v>0</v>
      </c>
      <c r="L45" s="1018" t="str">
        <f t="shared" ref="L45:L67" si="23">B45</f>
        <v>****</v>
      </c>
      <c r="M45" s="593"/>
      <c r="N45" s="593"/>
    </row>
    <row r="46" spans="1:14">
      <c r="A46" s="647" t="s">
        <v>679</v>
      </c>
      <c r="B46" s="612" t="s">
        <v>1051</v>
      </c>
      <c r="C46" s="593" t="s">
        <v>1114</v>
      </c>
      <c r="D46" s="613">
        <v>0</v>
      </c>
      <c r="E46" s="613"/>
      <c r="F46" s="613"/>
      <c r="G46" s="1028">
        <f>D46+E46-F46</f>
        <v>0</v>
      </c>
      <c r="H46" s="977">
        <f t="shared" ref="H46:H73" si="24">ROUND(G46*$G$4,)</f>
        <v>0</v>
      </c>
      <c r="I46" s="1017"/>
      <c r="J46" s="1017"/>
      <c r="K46" s="977">
        <f>H46+I46-J46</f>
        <v>0</v>
      </c>
      <c r="L46" s="1018" t="str">
        <f t="shared" si="23"/>
        <v>*****</v>
      </c>
      <c r="M46" s="593" t="s">
        <v>1115</v>
      </c>
      <c r="N46" s="593" t="s">
        <v>1116</v>
      </c>
    </row>
    <row r="47" spans="1:14">
      <c r="A47" s="647" t="s">
        <v>680</v>
      </c>
      <c r="B47" s="612" t="s">
        <v>1051</v>
      </c>
      <c r="C47" s="593" t="s">
        <v>1117</v>
      </c>
      <c r="D47" s="613">
        <v>0</v>
      </c>
      <c r="E47" s="613"/>
      <c r="F47" s="613"/>
      <c r="G47" s="1028">
        <f>D47+E47-F47</f>
        <v>0</v>
      </c>
      <c r="H47" s="977">
        <f t="shared" si="24"/>
        <v>0</v>
      </c>
      <c r="I47" s="1017"/>
      <c r="J47" s="1017"/>
      <c r="K47" s="977">
        <f>H47+I47-J47</f>
        <v>0</v>
      </c>
      <c r="L47" s="1018" t="str">
        <f t="shared" si="23"/>
        <v>*****</v>
      </c>
      <c r="M47" s="593" t="s">
        <v>1115</v>
      </c>
      <c r="N47" s="593" t="s">
        <v>1118</v>
      </c>
    </row>
    <row r="48" spans="1:14">
      <c r="A48" s="647"/>
      <c r="B48" s="612" t="s">
        <v>1049</v>
      </c>
      <c r="C48" s="593" t="s">
        <v>1119</v>
      </c>
      <c r="D48" s="613">
        <v>0</v>
      </c>
      <c r="E48" s="613"/>
      <c r="F48" s="613"/>
      <c r="G48" s="1028">
        <f>D48+E48-F48</f>
        <v>0</v>
      </c>
      <c r="H48" s="977">
        <f t="shared" si="24"/>
        <v>0</v>
      </c>
      <c r="I48" s="1017"/>
      <c r="J48" s="1017"/>
      <c r="K48" s="977">
        <f>H48+I48-J48</f>
        <v>0</v>
      </c>
      <c r="L48" s="1018" t="str">
        <f t="shared" si="23"/>
        <v>****</v>
      </c>
      <c r="M48" s="593" t="s">
        <v>1115</v>
      </c>
      <c r="N48" s="593" t="s">
        <v>1120</v>
      </c>
    </row>
    <row r="49" spans="1:14">
      <c r="A49" s="647"/>
      <c r="B49" s="609" t="s">
        <v>1047</v>
      </c>
      <c r="C49" s="610" t="s">
        <v>1121</v>
      </c>
      <c r="D49" s="611">
        <f t="shared" ref="D49" si="25">D50</f>
        <v>0</v>
      </c>
      <c r="E49" s="611"/>
      <c r="F49" s="611"/>
      <c r="G49" s="1026">
        <f>G50</f>
        <v>0</v>
      </c>
      <c r="H49" s="976">
        <f>H50</f>
        <v>0</v>
      </c>
      <c r="I49" s="1015"/>
      <c r="J49" s="1015"/>
      <c r="K49" s="976">
        <f>K50</f>
        <v>0</v>
      </c>
      <c r="L49" s="1016" t="str">
        <f t="shared" si="23"/>
        <v>***</v>
      </c>
      <c r="M49" s="610"/>
      <c r="N49" s="610"/>
    </row>
    <row r="50" spans="1:14">
      <c r="A50" s="647"/>
      <c r="B50" s="612" t="s">
        <v>1049</v>
      </c>
      <c r="C50" s="593" t="s">
        <v>1122</v>
      </c>
      <c r="D50" s="613"/>
      <c r="E50" s="613"/>
      <c r="F50" s="613"/>
      <c r="G50" s="1028">
        <f>D50+E50-F50</f>
        <v>0</v>
      </c>
      <c r="H50" s="977">
        <f t="shared" si="24"/>
        <v>0</v>
      </c>
      <c r="I50" s="1017"/>
      <c r="J50" s="1017"/>
      <c r="K50" s="977">
        <f>H50+I50-J50</f>
        <v>0</v>
      </c>
      <c r="L50" s="1018" t="str">
        <f t="shared" si="23"/>
        <v>****</v>
      </c>
      <c r="M50" s="593" t="s">
        <v>1123</v>
      </c>
      <c r="N50" s="593" t="s">
        <v>1124</v>
      </c>
    </row>
    <row r="51" spans="1:14">
      <c r="A51" s="647"/>
      <c r="B51" s="609" t="s">
        <v>1125</v>
      </c>
      <c r="C51" s="610" t="s">
        <v>1126</v>
      </c>
      <c r="D51" s="611">
        <f t="shared" ref="D51" si="26">SUM(D52:D64)</f>
        <v>0</v>
      </c>
      <c r="E51" s="611"/>
      <c r="F51" s="611"/>
      <c r="G51" s="1026">
        <f>SUM(G52:G64)</f>
        <v>0</v>
      </c>
      <c r="H51" s="976">
        <f>SUM(H52:H64)</f>
        <v>0</v>
      </c>
      <c r="I51" s="1015"/>
      <c r="J51" s="1015"/>
      <c r="K51" s="976">
        <f>SUM(K52:K64)</f>
        <v>0</v>
      </c>
      <c r="L51" s="1016" t="str">
        <f t="shared" si="23"/>
        <v>***</v>
      </c>
      <c r="M51" s="610"/>
      <c r="N51" s="610"/>
    </row>
    <row r="52" spans="1:14">
      <c r="A52" s="647"/>
      <c r="B52" s="612" t="s">
        <v>1049</v>
      </c>
      <c r="C52" s="593" t="s">
        <v>1127</v>
      </c>
      <c r="D52" s="613"/>
      <c r="E52" s="613"/>
      <c r="F52" s="613"/>
      <c r="G52" s="1028">
        <f t="shared" ref="G52:G64" si="27">D52+E52-F52</f>
        <v>0</v>
      </c>
      <c r="H52" s="977">
        <f t="shared" si="24"/>
        <v>0</v>
      </c>
      <c r="I52" s="1017"/>
      <c r="J52" s="1017"/>
      <c r="K52" s="977">
        <f t="shared" ref="K52:K64" si="28">H52+I52-J52</f>
        <v>0</v>
      </c>
      <c r="L52" s="1018" t="str">
        <f t="shared" si="23"/>
        <v>****</v>
      </c>
      <c r="M52" s="593" t="s">
        <v>27</v>
      </c>
      <c r="N52" s="593" t="s">
        <v>1128</v>
      </c>
    </row>
    <row r="53" spans="1:14">
      <c r="A53" s="647"/>
      <c r="B53" s="612" t="s">
        <v>1049</v>
      </c>
      <c r="C53" s="593" t="s">
        <v>1129</v>
      </c>
      <c r="D53" s="613"/>
      <c r="E53" s="613"/>
      <c r="F53" s="613"/>
      <c r="G53" s="1028">
        <f t="shared" si="27"/>
        <v>0</v>
      </c>
      <c r="H53" s="977">
        <f t="shared" si="24"/>
        <v>0</v>
      </c>
      <c r="I53" s="1017"/>
      <c r="J53" s="1017"/>
      <c r="K53" s="977">
        <f t="shared" si="28"/>
        <v>0</v>
      </c>
      <c r="L53" s="1018" t="str">
        <f t="shared" si="23"/>
        <v>****</v>
      </c>
      <c r="M53" s="593" t="s">
        <v>27</v>
      </c>
      <c r="N53" s="593" t="s">
        <v>1130</v>
      </c>
    </row>
    <row r="54" spans="1:14">
      <c r="A54" s="647"/>
      <c r="B54" s="612" t="s">
        <v>1049</v>
      </c>
      <c r="C54" s="593" t="s">
        <v>1132</v>
      </c>
      <c r="D54" s="613"/>
      <c r="E54" s="613"/>
      <c r="F54" s="613"/>
      <c r="G54" s="1028">
        <f t="shared" si="27"/>
        <v>0</v>
      </c>
      <c r="H54" s="977">
        <f t="shared" si="24"/>
        <v>0</v>
      </c>
      <c r="I54" s="1017"/>
      <c r="J54" s="1017"/>
      <c r="K54" s="977">
        <f t="shared" si="28"/>
        <v>0</v>
      </c>
      <c r="L54" s="1018" t="str">
        <f t="shared" si="23"/>
        <v>****</v>
      </c>
      <c r="M54" s="593" t="s">
        <v>27</v>
      </c>
      <c r="N54" s="593" t="s">
        <v>1133</v>
      </c>
    </row>
    <row r="55" spans="1:14">
      <c r="A55" s="647"/>
      <c r="B55" s="612" t="s">
        <v>1049</v>
      </c>
      <c r="C55" s="593" t="s">
        <v>1134</v>
      </c>
      <c r="D55" s="613"/>
      <c r="E55" s="613"/>
      <c r="F55" s="613"/>
      <c r="G55" s="1028">
        <f t="shared" si="27"/>
        <v>0</v>
      </c>
      <c r="H55" s="977">
        <f t="shared" si="24"/>
        <v>0</v>
      </c>
      <c r="I55" s="1017"/>
      <c r="J55" s="1017"/>
      <c r="K55" s="977">
        <f t="shared" si="28"/>
        <v>0</v>
      </c>
      <c r="L55" s="1018" t="str">
        <f t="shared" si="23"/>
        <v>****</v>
      </c>
      <c r="M55" s="593" t="s">
        <v>27</v>
      </c>
      <c r="N55" s="593" t="s">
        <v>1135</v>
      </c>
    </row>
    <row r="56" spans="1:14">
      <c r="A56" s="647"/>
      <c r="B56" s="612" t="s">
        <v>1049</v>
      </c>
      <c r="C56" s="593" t="s">
        <v>1136</v>
      </c>
      <c r="D56" s="613"/>
      <c r="E56" s="613"/>
      <c r="F56" s="613"/>
      <c r="G56" s="1028">
        <f t="shared" si="27"/>
        <v>0</v>
      </c>
      <c r="H56" s="977">
        <f t="shared" si="24"/>
        <v>0</v>
      </c>
      <c r="I56" s="1017"/>
      <c r="J56" s="1017"/>
      <c r="K56" s="977">
        <f t="shared" si="28"/>
        <v>0</v>
      </c>
      <c r="L56" s="1018" t="str">
        <f t="shared" si="23"/>
        <v>****</v>
      </c>
      <c r="M56" s="593" t="s">
        <v>27</v>
      </c>
      <c r="N56" s="593" t="s">
        <v>1137</v>
      </c>
    </row>
    <row r="57" spans="1:14">
      <c r="A57" s="647"/>
      <c r="B57" s="612" t="s">
        <v>1049</v>
      </c>
      <c r="C57" s="593" t="s">
        <v>1138</v>
      </c>
      <c r="D57" s="613"/>
      <c r="E57" s="613"/>
      <c r="F57" s="613"/>
      <c r="G57" s="1028">
        <f t="shared" si="27"/>
        <v>0</v>
      </c>
      <c r="H57" s="977">
        <f t="shared" si="24"/>
        <v>0</v>
      </c>
      <c r="I57" s="1017"/>
      <c r="J57" s="1017"/>
      <c r="K57" s="977">
        <f t="shared" si="28"/>
        <v>0</v>
      </c>
      <c r="L57" s="1018" t="str">
        <f t="shared" si="23"/>
        <v>****</v>
      </c>
      <c r="M57" s="593" t="s">
        <v>27</v>
      </c>
      <c r="N57" s="593" t="s">
        <v>1139</v>
      </c>
    </row>
    <row r="58" spans="1:14">
      <c r="A58" s="647" t="s">
        <v>665</v>
      </c>
      <c r="B58" s="612" t="s">
        <v>1049</v>
      </c>
      <c r="C58" s="593" t="s">
        <v>1140</v>
      </c>
      <c r="D58" s="613"/>
      <c r="E58" s="613"/>
      <c r="F58" s="613"/>
      <c r="G58" s="1028">
        <f t="shared" si="27"/>
        <v>0</v>
      </c>
      <c r="H58" s="977">
        <f t="shared" si="24"/>
        <v>0</v>
      </c>
      <c r="I58" s="1017"/>
      <c r="J58" s="1017"/>
      <c r="K58" s="977">
        <f t="shared" si="28"/>
        <v>0</v>
      </c>
      <c r="L58" s="1018" t="str">
        <f t="shared" si="23"/>
        <v>****</v>
      </c>
      <c r="M58" s="593" t="s">
        <v>27</v>
      </c>
      <c r="N58" s="593" t="s">
        <v>1141</v>
      </c>
    </row>
    <row r="59" spans="1:14">
      <c r="A59" s="647" t="s">
        <v>666</v>
      </c>
      <c r="B59" s="612" t="s">
        <v>1049</v>
      </c>
      <c r="C59" s="593" t="s">
        <v>1142</v>
      </c>
      <c r="D59" s="613"/>
      <c r="E59" s="613"/>
      <c r="F59" s="613"/>
      <c r="G59" s="1028">
        <f t="shared" si="27"/>
        <v>0</v>
      </c>
      <c r="H59" s="977">
        <f t="shared" si="24"/>
        <v>0</v>
      </c>
      <c r="I59" s="1017"/>
      <c r="J59" s="1017"/>
      <c r="K59" s="977">
        <f t="shared" si="28"/>
        <v>0</v>
      </c>
      <c r="L59" s="1018" t="str">
        <f t="shared" si="23"/>
        <v>****</v>
      </c>
      <c r="M59" s="593" t="s">
        <v>27</v>
      </c>
      <c r="N59" s="593" t="s">
        <v>1143</v>
      </c>
    </row>
    <row r="60" spans="1:14">
      <c r="A60" s="647"/>
      <c r="B60" s="612" t="s">
        <v>1049</v>
      </c>
      <c r="C60" s="593" t="s">
        <v>1144</v>
      </c>
      <c r="D60" s="613"/>
      <c r="E60" s="613"/>
      <c r="F60" s="613"/>
      <c r="G60" s="1028">
        <f t="shared" si="27"/>
        <v>0</v>
      </c>
      <c r="H60" s="977">
        <f t="shared" si="24"/>
        <v>0</v>
      </c>
      <c r="I60" s="1017"/>
      <c r="J60" s="1017"/>
      <c r="K60" s="977">
        <f t="shared" si="28"/>
        <v>0</v>
      </c>
      <c r="L60" s="1018" t="str">
        <f t="shared" si="23"/>
        <v>****</v>
      </c>
      <c r="M60" s="593" t="s">
        <v>27</v>
      </c>
      <c r="N60" s="593" t="s">
        <v>1145</v>
      </c>
    </row>
    <row r="61" spans="1:14">
      <c r="A61" s="647" t="s">
        <v>668</v>
      </c>
      <c r="B61" s="612" t="s">
        <v>1049</v>
      </c>
      <c r="C61" s="593" t="s">
        <v>1146</v>
      </c>
      <c r="D61" s="613"/>
      <c r="E61" s="613"/>
      <c r="F61" s="613"/>
      <c r="G61" s="1028">
        <f t="shared" si="27"/>
        <v>0</v>
      </c>
      <c r="H61" s="977">
        <f t="shared" si="24"/>
        <v>0</v>
      </c>
      <c r="I61" s="1017"/>
      <c r="J61" s="1017"/>
      <c r="K61" s="977">
        <f t="shared" si="28"/>
        <v>0</v>
      </c>
      <c r="L61" s="1018" t="str">
        <f t="shared" si="23"/>
        <v>****</v>
      </c>
      <c r="M61" s="593" t="s">
        <v>27</v>
      </c>
      <c r="N61" s="593" t="s">
        <v>1026</v>
      </c>
    </row>
    <row r="62" spans="1:14">
      <c r="A62" s="647" t="s">
        <v>670</v>
      </c>
      <c r="B62" s="612" t="s">
        <v>1049</v>
      </c>
      <c r="C62" s="593" t="s">
        <v>1147</v>
      </c>
      <c r="D62" s="613"/>
      <c r="E62" s="613"/>
      <c r="F62" s="613"/>
      <c r="G62" s="1028">
        <f t="shared" si="27"/>
        <v>0</v>
      </c>
      <c r="H62" s="977">
        <f t="shared" si="24"/>
        <v>0</v>
      </c>
      <c r="I62" s="1017"/>
      <c r="J62" s="1017"/>
      <c r="K62" s="977">
        <f t="shared" si="28"/>
        <v>0</v>
      </c>
      <c r="L62" s="1018" t="str">
        <f t="shared" si="23"/>
        <v>****</v>
      </c>
      <c r="M62" s="593" t="s">
        <v>27</v>
      </c>
      <c r="N62" s="593" t="s">
        <v>1148</v>
      </c>
    </row>
    <row r="63" spans="1:14">
      <c r="A63" s="647" t="s">
        <v>672</v>
      </c>
      <c r="B63" s="612" t="s">
        <v>1049</v>
      </c>
      <c r="C63" s="593" t="s">
        <v>2544</v>
      </c>
      <c r="D63" s="613"/>
      <c r="E63" s="613"/>
      <c r="F63" s="613"/>
      <c r="G63" s="1028">
        <f t="shared" si="27"/>
        <v>0</v>
      </c>
      <c r="H63" s="977">
        <f t="shared" si="24"/>
        <v>0</v>
      </c>
      <c r="I63" s="1017"/>
      <c r="J63" s="1017"/>
      <c r="K63" s="977">
        <f t="shared" si="28"/>
        <v>0</v>
      </c>
      <c r="L63" s="1018" t="str">
        <f t="shared" si="23"/>
        <v>****</v>
      </c>
      <c r="M63" s="593" t="s">
        <v>27</v>
      </c>
      <c r="N63" s="593" t="s">
        <v>1149</v>
      </c>
    </row>
    <row r="64" spans="1:14">
      <c r="A64" s="647" t="s">
        <v>673</v>
      </c>
      <c r="B64" s="612" t="s">
        <v>1049</v>
      </c>
      <c r="C64" s="593" t="s">
        <v>2545</v>
      </c>
      <c r="D64" s="613"/>
      <c r="E64" s="613"/>
      <c r="F64" s="613"/>
      <c r="G64" s="1028">
        <f t="shared" si="27"/>
        <v>0</v>
      </c>
      <c r="H64" s="977">
        <f t="shared" si="24"/>
        <v>0</v>
      </c>
      <c r="I64" s="1017"/>
      <c r="J64" s="1017"/>
      <c r="K64" s="977">
        <f t="shared" si="28"/>
        <v>0</v>
      </c>
      <c r="L64" s="1018" t="str">
        <f t="shared" si="23"/>
        <v>****</v>
      </c>
      <c r="M64" s="593" t="s">
        <v>27</v>
      </c>
      <c r="N64" s="593" t="s">
        <v>1150</v>
      </c>
    </row>
    <row r="65" spans="1:14">
      <c r="A65" s="647"/>
      <c r="B65" s="609" t="s">
        <v>1047</v>
      </c>
      <c r="C65" s="610" t="s">
        <v>1151</v>
      </c>
      <c r="D65" s="611">
        <f t="shared" ref="D65" si="29">SUM(D66:D69,D72,D73)</f>
        <v>0</v>
      </c>
      <c r="E65" s="611"/>
      <c r="F65" s="611"/>
      <c r="G65" s="1026">
        <f>SUM(G66:G69,G72,G73)</f>
        <v>0</v>
      </c>
      <c r="H65" s="976">
        <f>SUM(H66:H69,H72,H73)</f>
        <v>0</v>
      </c>
      <c r="I65" s="1015"/>
      <c r="J65" s="1015"/>
      <c r="K65" s="976">
        <f>SUM(K66:K69,K72,K73)</f>
        <v>0</v>
      </c>
      <c r="L65" s="1016" t="str">
        <f t="shared" si="23"/>
        <v>***</v>
      </c>
      <c r="M65" s="610"/>
      <c r="N65" s="610"/>
    </row>
    <row r="66" spans="1:14">
      <c r="A66" s="647"/>
      <c r="B66" s="612" t="s">
        <v>1049</v>
      </c>
      <c r="C66" s="593" t="s">
        <v>1152</v>
      </c>
      <c r="D66" s="613"/>
      <c r="E66" s="613"/>
      <c r="F66" s="613"/>
      <c r="G66" s="1028">
        <f t="shared" ref="G66:G68" si="30">D66+E66-F66</f>
        <v>0</v>
      </c>
      <c r="H66" s="977">
        <f t="shared" si="24"/>
        <v>0</v>
      </c>
      <c r="I66" s="1017"/>
      <c r="J66" s="1017"/>
      <c r="K66" s="977">
        <f t="shared" ref="K66:K68" si="31">H66+I66-J66</f>
        <v>0</v>
      </c>
      <c r="L66" s="1018" t="str">
        <f t="shared" si="23"/>
        <v>****</v>
      </c>
      <c r="M66" s="593" t="s">
        <v>875</v>
      </c>
      <c r="N66" s="593" t="s">
        <v>1153</v>
      </c>
    </row>
    <row r="67" spans="1:14">
      <c r="A67" s="647"/>
      <c r="B67" s="612" t="s">
        <v>1049</v>
      </c>
      <c r="C67" s="593" t="s">
        <v>1154</v>
      </c>
      <c r="D67" s="613"/>
      <c r="E67" s="613"/>
      <c r="F67" s="613"/>
      <c r="G67" s="1028">
        <f t="shared" si="30"/>
        <v>0</v>
      </c>
      <c r="H67" s="977">
        <f t="shared" si="24"/>
        <v>0</v>
      </c>
      <c r="I67" s="1017"/>
      <c r="J67" s="1017"/>
      <c r="K67" s="977">
        <f t="shared" si="31"/>
        <v>0</v>
      </c>
      <c r="L67" s="1018" t="str">
        <f t="shared" si="23"/>
        <v>****</v>
      </c>
      <c r="M67" s="593" t="s">
        <v>875</v>
      </c>
      <c r="N67" s="593" t="s">
        <v>1155</v>
      </c>
    </row>
    <row r="68" spans="1:14">
      <c r="A68" s="647"/>
      <c r="B68" s="612" t="s">
        <v>1049</v>
      </c>
      <c r="C68" s="593" t="s">
        <v>1156</v>
      </c>
      <c r="D68" s="613"/>
      <c r="E68" s="613"/>
      <c r="F68" s="613"/>
      <c r="G68" s="1028">
        <f t="shared" si="30"/>
        <v>0</v>
      </c>
      <c r="H68" s="977">
        <f t="shared" si="24"/>
        <v>0</v>
      </c>
      <c r="I68" s="1017"/>
      <c r="J68" s="1017"/>
      <c r="K68" s="977">
        <f t="shared" si="31"/>
        <v>0</v>
      </c>
      <c r="L68" s="1018"/>
      <c r="M68" s="593" t="s">
        <v>875</v>
      </c>
      <c r="N68" s="593" t="s">
        <v>1157</v>
      </c>
    </row>
    <row r="69" spans="1:14">
      <c r="A69" s="647"/>
      <c r="B69" s="612" t="s">
        <v>1049</v>
      </c>
      <c r="C69" s="593" t="s">
        <v>1158</v>
      </c>
      <c r="D69" s="613">
        <f t="shared" ref="D69" si="32">SUM(D70:D71)</f>
        <v>0</v>
      </c>
      <c r="E69" s="613"/>
      <c r="F69" s="613"/>
      <c r="G69" s="1027">
        <f>SUM(G70:G71)</f>
        <v>0</v>
      </c>
      <c r="H69" s="718">
        <f>SUM(H70:H71)</f>
        <v>0</v>
      </c>
      <c r="I69" s="1017"/>
      <c r="J69" s="1017"/>
      <c r="K69" s="718">
        <f>SUM(K70:K71)</f>
        <v>0</v>
      </c>
      <c r="L69" s="1018" t="str">
        <f>B69</f>
        <v>****</v>
      </c>
      <c r="M69" s="593"/>
      <c r="N69" s="593"/>
    </row>
    <row r="70" spans="1:14">
      <c r="A70" s="647"/>
      <c r="B70" s="612" t="s">
        <v>1051</v>
      </c>
      <c r="C70" s="593" t="s">
        <v>1159</v>
      </c>
      <c r="D70" s="613"/>
      <c r="E70" s="613"/>
      <c r="F70" s="613"/>
      <c r="G70" s="1028">
        <f t="shared" ref="G70:G72" si="33">D70+E70-F70</f>
        <v>0</v>
      </c>
      <c r="H70" s="977">
        <f t="shared" si="24"/>
        <v>0</v>
      </c>
      <c r="I70" s="1017"/>
      <c r="J70" s="1017"/>
      <c r="K70" s="977">
        <f t="shared" ref="K70:K72" si="34">H70+I70-J70</f>
        <v>0</v>
      </c>
      <c r="L70" s="1018" t="str">
        <f>B70</f>
        <v>*****</v>
      </c>
      <c r="M70" s="593" t="s">
        <v>35</v>
      </c>
      <c r="N70" s="593" t="s">
        <v>1160</v>
      </c>
    </row>
    <row r="71" spans="1:14">
      <c r="A71" s="647"/>
      <c r="B71" s="612" t="s">
        <v>1051</v>
      </c>
      <c r="C71" s="593" t="s">
        <v>1161</v>
      </c>
      <c r="D71" s="613"/>
      <c r="E71" s="613"/>
      <c r="F71" s="613"/>
      <c r="G71" s="1028">
        <f t="shared" si="33"/>
        <v>0</v>
      </c>
      <c r="H71" s="977">
        <f t="shared" si="24"/>
        <v>0</v>
      </c>
      <c r="I71" s="1017"/>
      <c r="J71" s="1017"/>
      <c r="K71" s="977">
        <f t="shared" si="34"/>
        <v>0</v>
      </c>
      <c r="L71" s="1018" t="str">
        <f>B71</f>
        <v>*****</v>
      </c>
      <c r="M71" s="593" t="s">
        <v>35</v>
      </c>
      <c r="N71" s="593" t="s">
        <v>1162</v>
      </c>
    </row>
    <row r="72" spans="1:14">
      <c r="A72" s="647"/>
      <c r="B72" s="612" t="s">
        <v>1051</v>
      </c>
      <c r="C72" s="593" t="s">
        <v>1163</v>
      </c>
      <c r="D72" s="613"/>
      <c r="E72" s="613"/>
      <c r="F72" s="613"/>
      <c r="G72" s="1028">
        <f t="shared" si="33"/>
        <v>0</v>
      </c>
      <c r="H72" s="977">
        <f t="shared" si="24"/>
        <v>0</v>
      </c>
      <c r="I72" s="1017"/>
      <c r="J72" s="1017"/>
      <c r="K72" s="977">
        <f t="shared" si="34"/>
        <v>0</v>
      </c>
      <c r="L72" s="1018" t="s">
        <v>1049</v>
      </c>
      <c r="M72" s="593" t="s">
        <v>875</v>
      </c>
      <c r="N72" s="593" t="s">
        <v>1164</v>
      </c>
    </row>
    <row r="73" spans="1:14">
      <c r="A73" s="647"/>
      <c r="B73" s="612"/>
      <c r="C73" s="593" t="s">
        <v>1165</v>
      </c>
      <c r="D73" s="613"/>
      <c r="E73" s="613"/>
      <c r="F73" s="613"/>
      <c r="G73" s="1028"/>
      <c r="H73" s="977">
        <f t="shared" si="24"/>
        <v>0</v>
      </c>
      <c r="I73" s="1017"/>
      <c r="J73" s="1017"/>
      <c r="K73" s="977"/>
      <c r="L73" s="1018"/>
      <c r="M73" s="593"/>
      <c r="N73" s="593"/>
    </row>
    <row r="74" spans="1:14">
      <c r="A74" s="647"/>
      <c r="B74" s="609" t="s">
        <v>1047</v>
      </c>
      <c r="C74" s="610" t="s">
        <v>1166</v>
      </c>
      <c r="D74" s="611"/>
      <c r="E74" s="611"/>
      <c r="F74" s="611"/>
      <c r="G74" s="1029">
        <v>0</v>
      </c>
      <c r="H74" s="1004">
        <v>0</v>
      </c>
      <c r="I74" s="1019"/>
      <c r="J74" s="1019"/>
      <c r="K74" s="1004">
        <v>0</v>
      </c>
      <c r="L74" s="1020" t="str">
        <f>B74</f>
        <v>***</v>
      </c>
      <c r="M74" s="1002" t="s">
        <v>1167</v>
      </c>
      <c r="N74" s="1002" t="s">
        <v>1167</v>
      </c>
    </row>
    <row r="75" spans="1:14">
      <c r="A75" s="647"/>
      <c r="B75" s="606" t="s">
        <v>1043</v>
      </c>
      <c r="C75" s="607" t="s">
        <v>1168</v>
      </c>
      <c r="D75" s="608">
        <f t="shared" ref="D75" si="35">SUM(D76,D98)</f>
        <v>0</v>
      </c>
      <c r="E75" s="608"/>
      <c r="F75" s="608"/>
      <c r="G75" s="1030">
        <f>SUM(G76,G98)</f>
        <v>0</v>
      </c>
      <c r="H75" s="975">
        <f>SUM(H76,H98)</f>
        <v>0</v>
      </c>
      <c r="I75" s="1021"/>
      <c r="J75" s="1021"/>
      <c r="K75" s="975">
        <f>SUM(K76,K98)</f>
        <v>0</v>
      </c>
      <c r="L75" s="1022" t="str">
        <f>B75</f>
        <v>*</v>
      </c>
      <c r="M75" s="607"/>
      <c r="N75" s="607"/>
    </row>
    <row r="76" spans="1:14">
      <c r="A76" s="647"/>
      <c r="B76" s="997" t="s">
        <v>1045</v>
      </c>
      <c r="C76" s="998" t="s">
        <v>1169</v>
      </c>
      <c r="D76" s="998">
        <f t="shared" ref="D76" si="36">SUM(D77,D78,D79,D80,D82,D85,D86,D87)</f>
        <v>0</v>
      </c>
      <c r="E76" s="998"/>
      <c r="F76" s="998"/>
      <c r="G76" s="1025">
        <f>SUM(G77,G78,G79,G80,G82,G85,G86,G87)</f>
        <v>0</v>
      </c>
      <c r="H76" s="1000">
        <f>SUM(H77,H78,H79,H80,H82,H85,H86,H87)</f>
        <v>0</v>
      </c>
      <c r="I76" s="1013"/>
      <c r="J76" s="1013"/>
      <c r="K76" s="1000">
        <f>SUM(K77,K78,K79,K80,K82,K85,K86,K87)</f>
        <v>0</v>
      </c>
      <c r="L76" s="1014" t="str">
        <f>B76</f>
        <v>**</v>
      </c>
      <c r="M76" s="998"/>
      <c r="N76" s="998"/>
    </row>
    <row r="77" spans="1:14">
      <c r="A77" s="647"/>
      <c r="B77" s="609" t="s">
        <v>1047</v>
      </c>
      <c r="C77" s="610" t="s">
        <v>1170</v>
      </c>
      <c r="D77" s="611">
        <v>0</v>
      </c>
      <c r="E77" s="611"/>
      <c r="F77" s="611"/>
      <c r="G77" s="1029">
        <f>D77-E77+F77</f>
        <v>0</v>
      </c>
      <c r="H77" s="1004">
        <f t="shared" ref="H77:H79" si="37">ROUND(G77*$G$4,)</f>
        <v>0</v>
      </c>
      <c r="I77" s="1019"/>
      <c r="J77" s="1019"/>
      <c r="K77" s="1004">
        <f>H77-I77+J77</f>
        <v>0</v>
      </c>
      <c r="L77" s="1020" t="str">
        <f>B77</f>
        <v>***</v>
      </c>
      <c r="M77" s="610" t="s">
        <v>880</v>
      </c>
      <c r="N77" s="610" t="s">
        <v>880</v>
      </c>
    </row>
    <row r="78" spans="1:14">
      <c r="A78" s="647"/>
      <c r="B78" s="609" t="s">
        <v>1047</v>
      </c>
      <c r="C78" s="610" t="s">
        <v>1171</v>
      </c>
      <c r="D78" s="611">
        <v>0</v>
      </c>
      <c r="E78" s="611"/>
      <c r="F78" s="611"/>
      <c r="G78" s="1029">
        <f t="shared" ref="G78:G79" si="38">D78-E78+F78</f>
        <v>0</v>
      </c>
      <c r="H78" s="1004">
        <f t="shared" si="37"/>
        <v>0</v>
      </c>
      <c r="I78" s="1019"/>
      <c r="J78" s="1019"/>
      <c r="K78" s="1004">
        <f t="shared" ref="K78:K79" si="39">H78-I78+J78</f>
        <v>0</v>
      </c>
      <c r="L78" s="1020" t="str">
        <f>B78</f>
        <v>***</v>
      </c>
      <c r="M78" s="610" t="s">
        <v>1091</v>
      </c>
      <c r="N78" s="610" t="s">
        <v>1172</v>
      </c>
    </row>
    <row r="79" spans="1:14">
      <c r="A79" s="647"/>
      <c r="B79" s="609"/>
      <c r="C79" s="610" t="s">
        <v>1173</v>
      </c>
      <c r="D79" s="611">
        <v>0</v>
      </c>
      <c r="E79" s="611"/>
      <c r="F79" s="611"/>
      <c r="G79" s="1029">
        <f t="shared" si="38"/>
        <v>0</v>
      </c>
      <c r="H79" s="1004">
        <f t="shared" si="37"/>
        <v>0</v>
      </c>
      <c r="I79" s="1019"/>
      <c r="J79" s="1019"/>
      <c r="K79" s="1004">
        <f t="shared" si="39"/>
        <v>0</v>
      </c>
      <c r="L79" s="1020"/>
      <c r="M79" s="607" t="s">
        <v>1174</v>
      </c>
      <c r="N79" s="610" t="s">
        <v>1175</v>
      </c>
    </row>
    <row r="80" spans="1:14">
      <c r="A80" s="647"/>
      <c r="B80" s="609" t="s">
        <v>1047</v>
      </c>
      <c r="C80" s="610" t="s">
        <v>1176</v>
      </c>
      <c r="D80" s="611">
        <f t="shared" ref="D80" si="40">D81</f>
        <v>0</v>
      </c>
      <c r="E80" s="611"/>
      <c r="F80" s="611"/>
      <c r="G80" s="1026">
        <f>G81</f>
        <v>0</v>
      </c>
      <c r="H80" s="976">
        <f>H81</f>
        <v>0</v>
      </c>
      <c r="I80" s="1015"/>
      <c r="J80" s="1015"/>
      <c r="K80" s="976">
        <f>K81</f>
        <v>0</v>
      </c>
      <c r="L80" s="1016" t="str">
        <f t="shared" ref="L80:L93" si="41">B80</f>
        <v>***</v>
      </c>
      <c r="M80" s="610"/>
      <c r="N80" s="610"/>
    </row>
    <row r="81" spans="1:14">
      <c r="A81" s="647" t="s">
        <v>681</v>
      </c>
      <c r="B81" s="612" t="s">
        <v>1049</v>
      </c>
      <c r="C81" s="593" t="s">
        <v>1177</v>
      </c>
      <c r="D81" s="613">
        <v>0</v>
      </c>
      <c r="E81" s="613"/>
      <c r="F81" s="613"/>
      <c r="G81" s="1028">
        <f>D81-E81+F81</f>
        <v>0</v>
      </c>
      <c r="H81" s="1154">
        <f>ROUND(G81*$G$4,)</f>
        <v>0</v>
      </c>
      <c r="I81" s="1017"/>
      <c r="J81" s="1017"/>
      <c r="K81" s="977">
        <f>H81-I81+J81</f>
        <v>0</v>
      </c>
      <c r="L81" s="1018" t="str">
        <f t="shared" si="41"/>
        <v>****</v>
      </c>
      <c r="M81" s="593" t="s">
        <v>1087</v>
      </c>
      <c r="N81" s="593" t="s">
        <v>49</v>
      </c>
    </row>
    <row r="82" spans="1:14">
      <c r="A82" s="647"/>
      <c r="B82" s="609" t="s">
        <v>1047</v>
      </c>
      <c r="C82" s="610" t="s">
        <v>1178</v>
      </c>
      <c r="D82" s="611">
        <f t="shared" ref="D82" si="42">SUM(D83:D84)</f>
        <v>0</v>
      </c>
      <c r="E82" s="611"/>
      <c r="F82" s="611"/>
      <c r="G82" s="1026">
        <f>SUM(G83:G84)</f>
        <v>0</v>
      </c>
      <c r="H82" s="976">
        <f>SUM(H83:H84)</f>
        <v>0</v>
      </c>
      <c r="I82" s="1015"/>
      <c r="J82" s="1015"/>
      <c r="K82" s="976">
        <f>SUM(K83:K84)</f>
        <v>0</v>
      </c>
      <c r="L82" s="1016" t="str">
        <f t="shared" si="41"/>
        <v>***</v>
      </c>
      <c r="M82" s="610"/>
      <c r="N82" s="610"/>
    </row>
    <row r="83" spans="1:14">
      <c r="A83" s="647" t="s">
        <v>682</v>
      </c>
      <c r="B83" s="612" t="s">
        <v>1049</v>
      </c>
      <c r="C83" s="593" t="s">
        <v>1179</v>
      </c>
      <c r="D83" s="613">
        <v>0</v>
      </c>
      <c r="E83" s="613"/>
      <c r="F83" s="613"/>
      <c r="G83" s="1028">
        <f t="shared" ref="G83:G84" si="43">D83-E83+F83</f>
        <v>0</v>
      </c>
      <c r="H83" s="977">
        <f t="shared" ref="H83:H84" si="44">ROUND(G83*$G$4,)</f>
        <v>0</v>
      </c>
      <c r="I83" s="1017"/>
      <c r="J83" s="1017"/>
      <c r="K83" s="977">
        <f t="shared" ref="K83:K84" si="45">H83-I83+J83</f>
        <v>0</v>
      </c>
      <c r="L83" s="1018" t="str">
        <f t="shared" si="41"/>
        <v>****</v>
      </c>
      <c r="M83" s="593" t="s">
        <v>1087</v>
      </c>
      <c r="N83" s="593" t="s">
        <v>1180</v>
      </c>
    </row>
    <row r="84" spans="1:14">
      <c r="A84" s="647" t="s">
        <v>687</v>
      </c>
      <c r="B84" s="612" t="s">
        <v>1049</v>
      </c>
      <c r="C84" s="593" t="s">
        <v>1181</v>
      </c>
      <c r="D84" s="613"/>
      <c r="E84" s="613"/>
      <c r="F84" s="613"/>
      <c r="G84" s="1028">
        <f t="shared" si="43"/>
        <v>0</v>
      </c>
      <c r="H84" s="977">
        <f t="shared" si="44"/>
        <v>0</v>
      </c>
      <c r="I84" s="1017"/>
      <c r="J84" s="1017"/>
      <c r="K84" s="977">
        <f t="shared" si="45"/>
        <v>0</v>
      </c>
      <c r="L84" s="1018" t="str">
        <f t="shared" si="41"/>
        <v>****</v>
      </c>
      <c r="M84" s="593" t="s">
        <v>1087</v>
      </c>
      <c r="N84" s="593" t="s">
        <v>1182</v>
      </c>
    </row>
    <row r="85" spans="1:14">
      <c r="A85" s="647"/>
      <c r="B85" s="609" t="s">
        <v>1047</v>
      </c>
      <c r="C85" s="610" t="s">
        <v>1183</v>
      </c>
      <c r="D85" s="611">
        <v>0</v>
      </c>
      <c r="E85" s="611"/>
      <c r="F85" s="611"/>
      <c r="G85" s="1029">
        <f>D85-E85+F85</f>
        <v>0</v>
      </c>
      <c r="H85" s="1004">
        <v>0</v>
      </c>
      <c r="I85" s="1019"/>
      <c r="J85" s="1019"/>
      <c r="K85" s="1004">
        <f>H85-I85+J85</f>
        <v>0</v>
      </c>
      <c r="L85" s="1016" t="str">
        <f t="shared" si="41"/>
        <v>***</v>
      </c>
      <c r="M85" s="610" t="s">
        <v>1184</v>
      </c>
      <c r="N85" s="610" t="s">
        <v>1184</v>
      </c>
    </row>
    <row r="86" spans="1:14">
      <c r="A86" s="647"/>
      <c r="B86" s="609" t="s">
        <v>1047</v>
      </c>
      <c r="C86" s="610" t="s">
        <v>1185</v>
      </c>
      <c r="D86" s="611">
        <v>0</v>
      </c>
      <c r="E86" s="611"/>
      <c r="F86" s="611"/>
      <c r="G86" s="1029">
        <f>D86-E86+F86</f>
        <v>0</v>
      </c>
      <c r="H86" s="1004">
        <v>0</v>
      </c>
      <c r="I86" s="1019"/>
      <c r="J86" s="1019"/>
      <c r="K86" s="1004">
        <f>H86-I86+J86</f>
        <v>0</v>
      </c>
      <c r="L86" s="1016" t="str">
        <f t="shared" si="41"/>
        <v>***</v>
      </c>
      <c r="M86" s="610" t="s">
        <v>689</v>
      </c>
      <c r="N86" s="610" t="s">
        <v>1186</v>
      </c>
    </row>
    <row r="87" spans="1:14">
      <c r="A87" s="647"/>
      <c r="B87" s="609" t="s">
        <v>1047</v>
      </c>
      <c r="C87" s="610" t="s">
        <v>1187</v>
      </c>
      <c r="D87" s="611">
        <f t="shared" ref="D87" si="46">SUM(D88:D93)</f>
        <v>0</v>
      </c>
      <c r="E87" s="611"/>
      <c r="F87" s="611"/>
      <c r="G87" s="1026">
        <f>SUM(G88:G93)</f>
        <v>0</v>
      </c>
      <c r="H87" s="976">
        <f>SUM(H88:H93)</f>
        <v>0</v>
      </c>
      <c r="I87" s="1015"/>
      <c r="J87" s="1015"/>
      <c r="K87" s="976">
        <f>SUM(K88:K93)</f>
        <v>0</v>
      </c>
      <c r="L87" s="1016" t="str">
        <f t="shared" si="41"/>
        <v>***</v>
      </c>
      <c r="M87" s="610"/>
      <c r="N87" s="610"/>
    </row>
    <row r="88" spans="1:14">
      <c r="A88" s="647" t="s">
        <v>685</v>
      </c>
      <c r="B88" s="612" t="s">
        <v>1049</v>
      </c>
      <c r="C88" s="593" t="s">
        <v>1188</v>
      </c>
      <c r="D88" s="613">
        <v>0</v>
      </c>
      <c r="E88" s="613"/>
      <c r="F88" s="613"/>
      <c r="G88" s="1028">
        <f t="shared" ref="G88:G93" si="47">D88-E88+F88</f>
        <v>0</v>
      </c>
      <c r="H88" s="977">
        <f t="shared" ref="H88:H93" si="48">ROUND(G88*$G$4,)</f>
        <v>0</v>
      </c>
      <c r="I88" s="1017"/>
      <c r="J88" s="1017"/>
      <c r="K88" s="977">
        <f t="shared" ref="K88:K93" si="49">H88-I88+J88</f>
        <v>0</v>
      </c>
      <c r="L88" s="1018" t="str">
        <f t="shared" si="41"/>
        <v>****</v>
      </c>
      <c r="M88" s="593" t="s">
        <v>107</v>
      </c>
      <c r="N88" s="593" t="s">
        <v>1189</v>
      </c>
    </row>
    <row r="89" spans="1:14">
      <c r="A89" s="647" t="s">
        <v>683</v>
      </c>
      <c r="B89" s="612" t="s">
        <v>1049</v>
      </c>
      <c r="C89" s="593" t="s">
        <v>1190</v>
      </c>
      <c r="D89" s="613"/>
      <c r="E89" s="613"/>
      <c r="F89" s="613"/>
      <c r="G89" s="1028">
        <f t="shared" si="47"/>
        <v>0</v>
      </c>
      <c r="H89" s="977">
        <f t="shared" si="48"/>
        <v>0</v>
      </c>
      <c r="I89" s="1017"/>
      <c r="J89" s="1017"/>
      <c r="K89" s="977">
        <f t="shared" si="49"/>
        <v>0</v>
      </c>
      <c r="L89" s="1018" t="str">
        <f t="shared" si="41"/>
        <v>****</v>
      </c>
      <c r="M89" s="593" t="s">
        <v>107</v>
      </c>
      <c r="N89" s="593" t="s">
        <v>879</v>
      </c>
    </row>
    <row r="90" spans="1:14">
      <c r="A90" s="647" t="s">
        <v>693</v>
      </c>
      <c r="B90" s="612" t="s">
        <v>1049</v>
      </c>
      <c r="C90" s="593" t="s">
        <v>2546</v>
      </c>
      <c r="D90" s="613"/>
      <c r="E90" s="613"/>
      <c r="F90" s="613"/>
      <c r="G90" s="1028">
        <f t="shared" si="47"/>
        <v>0</v>
      </c>
      <c r="H90" s="977">
        <f t="shared" si="48"/>
        <v>0</v>
      </c>
      <c r="I90" s="1017"/>
      <c r="J90" s="1017"/>
      <c r="K90" s="977">
        <f t="shared" si="49"/>
        <v>0</v>
      </c>
      <c r="L90" s="1018" t="str">
        <f t="shared" si="41"/>
        <v>****</v>
      </c>
      <c r="M90" s="593" t="s">
        <v>107</v>
      </c>
      <c r="N90" s="593" t="s">
        <v>1192</v>
      </c>
    </row>
    <row r="91" spans="1:14">
      <c r="A91" s="647"/>
      <c r="B91" s="612" t="s">
        <v>1049</v>
      </c>
      <c r="C91" s="593" t="s">
        <v>1193</v>
      </c>
      <c r="D91" s="613"/>
      <c r="E91" s="613"/>
      <c r="F91" s="613"/>
      <c r="G91" s="1028">
        <f t="shared" si="47"/>
        <v>0</v>
      </c>
      <c r="H91" s="977">
        <f t="shared" si="48"/>
        <v>0</v>
      </c>
      <c r="I91" s="1017"/>
      <c r="J91" s="1017"/>
      <c r="K91" s="977">
        <f t="shared" si="49"/>
        <v>0</v>
      </c>
      <c r="L91" s="1018" t="str">
        <f t="shared" si="41"/>
        <v>****</v>
      </c>
      <c r="M91" s="593" t="s">
        <v>107</v>
      </c>
      <c r="N91" s="593" t="s">
        <v>1194</v>
      </c>
    </row>
    <row r="92" spans="1:14">
      <c r="A92" s="647"/>
      <c r="B92" s="612" t="s">
        <v>1049</v>
      </c>
      <c r="C92" s="593" t="s">
        <v>1195</v>
      </c>
      <c r="D92" s="613"/>
      <c r="E92" s="613"/>
      <c r="F92" s="613"/>
      <c r="G92" s="1028">
        <f t="shared" si="47"/>
        <v>0</v>
      </c>
      <c r="H92" s="977">
        <f t="shared" si="48"/>
        <v>0</v>
      </c>
      <c r="I92" s="1017"/>
      <c r="J92" s="1017"/>
      <c r="K92" s="977">
        <f t="shared" si="49"/>
        <v>0</v>
      </c>
      <c r="L92" s="1018" t="str">
        <f t="shared" si="41"/>
        <v>****</v>
      </c>
      <c r="M92" s="593" t="s">
        <v>107</v>
      </c>
      <c r="N92" s="593" t="s">
        <v>1196</v>
      </c>
    </row>
    <row r="93" spans="1:14">
      <c r="A93" s="647"/>
      <c r="B93" s="612" t="s">
        <v>1049</v>
      </c>
      <c r="C93" s="593" t="s">
        <v>1197</v>
      </c>
      <c r="D93" s="613"/>
      <c r="E93" s="613"/>
      <c r="F93" s="613"/>
      <c r="G93" s="1028">
        <f t="shared" si="47"/>
        <v>0</v>
      </c>
      <c r="H93" s="977">
        <f t="shared" si="48"/>
        <v>0</v>
      </c>
      <c r="I93" s="1017"/>
      <c r="J93" s="1017"/>
      <c r="K93" s="977">
        <f t="shared" si="49"/>
        <v>0</v>
      </c>
      <c r="L93" s="1018" t="str">
        <f t="shared" si="41"/>
        <v>****</v>
      </c>
      <c r="M93" s="593" t="s">
        <v>107</v>
      </c>
      <c r="N93" s="593" t="s">
        <v>1198</v>
      </c>
    </row>
    <row r="94" spans="1:14">
      <c r="A94" s="647"/>
      <c r="B94" s="612"/>
      <c r="C94" s="593"/>
      <c r="D94" s="613"/>
      <c r="E94" s="613"/>
      <c r="F94" s="613"/>
      <c r="G94" s="1028"/>
      <c r="H94" s="977"/>
      <c r="I94" s="1017"/>
      <c r="J94" s="1017"/>
      <c r="K94" s="977"/>
      <c r="L94" s="1018"/>
      <c r="M94" s="593"/>
      <c r="N94" s="593"/>
    </row>
    <row r="95" spans="1:14">
      <c r="A95" s="647"/>
      <c r="B95" s="612"/>
      <c r="C95" s="593"/>
      <c r="D95" s="613"/>
      <c r="E95" s="613"/>
      <c r="F95" s="613"/>
      <c r="G95" s="1028"/>
      <c r="H95" s="977"/>
      <c r="I95" s="1017"/>
      <c r="J95" s="1017"/>
      <c r="K95" s="977"/>
      <c r="L95" s="1018"/>
      <c r="M95" s="593"/>
      <c r="N95" s="593"/>
    </row>
    <row r="96" spans="1:14">
      <c r="A96" s="647"/>
      <c r="B96" s="612"/>
      <c r="C96" s="593"/>
      <c r="D96" s="613"/>
      <c r="E96" s="613"/>
      <c r="F96" s="613"/>
      <c r="G96" s="1028"/>
      <c r="H96" s="977"/>
      <c r="I96" s="1017"/>
      <c r="J96" s="1017"/>
      <c r="K96" s="977"/>
      <c r="L96" s="1018"/>
      <c r="M96" s="593"/>
      <c r="N96" s="593"/>
    </row>
    <row r="97" spans="1:14">
      <c r="A97" s="647"/>
      <c r="B97" s="609" t="s">
        <v>1047</v>
      </c>
      <c r="C97" s="610" t="s">
        <v>1199</v>
      </c>
      <c r="D97" s="611">
        <v>0</v>
      </c>
      <c r="E97" s="611"/>
      <c r="F97" s="611"/>
      <c r="G97" s="1029">
        <f>D97-E97+F97</f>
        <v>0</v>
      </c>
      <c r="H97" s="1004">
        <v>0</v>
      </c>
      <c r="I97" s="1015"/>
      <c r="J97" s="1015"/>
      <c r="K97" s="1004">
        <f>H97-I97+J97</f>
        <v>0</v>
      </c>
      <c r="L97" s="1016" t="s">
        <v>1047</v>
      </c>
      <c r="M97" s="1002" t="s">
        <v>107</v>
      </c>
      <c r="N97" s="610" t="s">
        <v>691</v>
      </c>
    </row>
    <row r="98" spans="1:14">
      <c r="A98" s="647"/>
      <c r="B98" s="997" t="s">
        <v>1045</v>
      </c>
      <c r="C98" s="998" t="s">
        <v>1200</v>
      </c>
      <c r="D98" s="999">
        <f t="shared" ref="D98" si="50">SUM(D99,D102,D106,D107,D108,)</f>
        <v>0</v>
      </c>
      <c r="E98" s="999"/>
      <c r="F98" s="999"/>
      <c r="G98" s="1025">
        <f>SUM(G99,G102,G106,G107,G108,)</f>
        <v>0</v>
      </c>
      <c r="H98" s="1000">
        <f>SUM(H99,H102,H106,H107,H108,)</f>
        <v>0</v>
      </c>
      <c r="I98" s="1013"/>
      <c r="J98" s="1013"/>
      <c r="K98" s="1000">
        <f>SUM(K99,K102,K106,K107,K108,)</f>
        <v>0</v>
      </c>
      <c r="L98" s="1014" t="str">
        <f>B98</f>
        <v>**</v>
      </c>
      <c r="M98" s="998"/>
      <c r="N98" s="998"/>
    </row>
    <row r="99" spans="1:14">
      <c r="A99" s="647"/>
      <c r="B99" s="609" t="s">
        <v>1047</v>
      </c>
      <c r="C99" s="610" t="s">
        <v>1201</v>
      </c>
      <c r="D99" s="611">
        <f t="shared" ref="D99" si="51">SUM(D100:D101)</f>
        <v>0</v>
      </c>
      <c r="E99" s="611"/>
      <c r="F99" s="611"/>
      <c r="G99" s="1026">
        <f>SUM(G100:G101)</f>
        <v>0</v>
      </c>
      <c r="H99" s="976">
        <f>SUM(H100:H101)</f>
        <v>0</v>
      </c>
      <c r="I99" s="1015"/>
      <c r="J99" s="1015"/>
      <c r="K99" s="976">
        <f>SUM(K100:K101)</f>
        <v>0</v>
      </c>
      <c r="L99" s="1016" t="str">
        <f>B99</f>
        <v>***</v>
      </c>
      <c r="M99" s="610"/>
      <c r="N99" s="610"/>
    </row>
    <row r="100" spans="1:14">
      <c r="A100" s="647"/>
      <c r="B100" s="612" t="s">
        <v>1049</v>
      </c>
      <c r="C100" s="593" t="s">
        <v>1202</v>
      </c>
      <c r="D100" s="613">
        <v>0</v>
      </c>
      <c r="E100" s="613"/>
      <c r="F100" s="613"/>
      <c r="G100" s="1028">
        <f t="shared" ref="G100:G101" si="52">D100-E100+F100</f>
        <v>0</v>
      </c>
      <c r="H100" s="977">
        <f t="shared" ref="H100:H101" si="53">ROUND(G100*$G$4,)</f>
        <v>0</v>
      </c>
      <c r="I100" s="1017"/>
      <c r="J100" s="1017"/>
      <c r="K100" s="977">
        <f t="shared" ref="K100:K101" si="54">H100-I100+J100</f>
        <v>0</v>
      </c>
      <c r="L100" s="1018" t="str">
        <f>B100</f>
        <v>****</v>
      </c>
      <c r="M100" s="593" t="s">
        <v>585</v>
      </c>
      <c r="N100" s="593" t="s">
        <v>1203</v>
      </c>
    </row>
    <row r="101" spans="1:14">
      <c r="A101" s="647"/>
      <c r="B101" s="612" t="s">
        <v>1049</v>
      </c>
      <c r="C101" s="593" t="s">
        <v>1204</v>
      </c>
      <c r="D101" s="613">
        <v>0</v>
      </c>
      <c r="E101" s="613"/>
      <c r="F101" s="613"/>
      <c r="G101" s="1028">
        <f t="shared" si="52"/>
        <v>0</v>
      </c>
      <c r="H101" s="977">
        <f t="shared" si="53"/>
        <v>0</v>
      </c>
      <c r="I101" s="1017"/>
      <c r="J101" s="1017"/>
      <c r="K101" s="977">
        <f t="shared" si="54"/>
        <v>0</v>
      </c>
      <c r="L101" s="1018" t="str">
        <f>B101</f>
        <v>****</v>
      </c>
      <c r="M101" s="593" t="s">
        <v>585</v>
      </c>
      <c r="N101" s="593" t="s">
        <v>1205</v>
      </c>
    </row>
    <row r="102" spans="1:14">
      <c r="A102" s="647"/>
      <c r="B102" s="609" t="s">
        <v>1047</v>
      </c>
      <c r="C102" s="610" t="s">
        <v>1206</v>
      </c>
      <c r="D102" s="611">
        <f t="shared" ref="D102" si="55">SUM(D103:D105)</f>
        <v>0</v>
      </c>
      <c r="E102" s="611"/>
      <c r="F102" s="611"/>
      <c r="G102" s="1026">
        <f>SUM(G103:G105)</f>
        <v>0</v>
      </c>
      <c r="H102" s="976">
        <f>SUM(H103:H105)</f>
        <v>0</v>
      </c>
      <c r="I102" s="1015"/>
      <c r="J102" s="1015"/>
      <c r="K102" s="976">
        <f>SUM(K103:K105)</f>
        <v>0</v>
      </c>
      <c r="L102" s="1016" t="str">
        <f>B102</f>
        <v>***</v>
      </c>
      <c r="M102" s="610"/>
      <c r="N102" s="610"/>
    </row>
    <row r="103" spans="1:14">
      <c r="A103" s="647"/>
      <c r="B103" s="612" t="s">
        <v>1049</v>
      </c>
      <c r="C103" s="593" t="s">
        <v>1207</v>
      </c>
      <c r="D103" s="613">
        <v>0</v>
      </c>
      <c r="E103" s="613"/>
      <c r="F103" s="613"/>
      <c r="G103" s="1028">
        <f t="shared" ref="G103:G105" si="56">D103-E103+F103</f>
        <v>0</v>
      </c>
      <c r="H103" s="977">
        <f t="shared" ref="H103:H107" si="57">ROUND(G103*$G$4,)</f>
        <v>0</v>
      </c>
      <c r="I103" s="1017"/>
      <c r="J103" s="1017"/>
      <c r="K103" s="977">
        <f t="shared" ref="K103:K105" si="58">H103-I103+J103</f>
        <v>0</v>
      </c>
      <c r="L103" s="1023" t="s">
        <v>1049</v>
      </c>
      <c r="M103" s="593" t="s">
        <v>698</v>
      </c>
      <c r="N103" s="593" t="s">
        <v>698</v>
      </c>
    </row>
    <row r="104" spans="1:14">
      <c r="A104" s="647"/>
      <c r="B104" s="612" t="s">
        <v>1049</v>
      </c>
      <c r="C104" s="593" t="s">
        <v>1208</v>
      </c>
      <c r="D104" s="613">
        <v>0</v>
      </c>
      <c r="E104" s="613"/>
      <c r="F104" s="613"/>
      <c r="G104" s="1028">
        <f t="shared" si="56"/>
        <v>0</v>
      </c>
      <c r="H104" s="977">
        <f t="shared" si="57"/>
        <v>0</v>
      </c>
      <c r="I104" s="1017"/>
      <c r="J104" s="1017"/>
      <c r="K104" s="977">
        <f t="shared" si="58"/>
        <v>0</v>
      </c>
      <c r="L104" s="1023" t="s">
        <v>1049</v>
      </c>
      <c r="M104" s="593" t="s">
        <v>698</v>
      </c>
      <c r="N104" s="593" t="s">
        <v>1209</v>
      </c>
    </row>
    <row r="105" spans="1:14">
      <c r="A105" s="647"/>
      <c r="B105" s="612" t="s">
        <v>1049</v>
      </c>
      <c r="C105" s="593" t="s">
        <v>1210</v>
      </c>
      <c r="D105" s="613">
        <v>0</v>
      </c>
      <c r="E105" s="613"/>
      <c r="F105" s="613"/>
      <c r="G105" s="1028">
        <f t="shared" si="56"/>
        <v>0</v>
      </c>
      <c r="H105" s="977">
        <f t="shared" si="57"/>
        <v>0</v>
      </c>
      <c r="I105" s="1017"/>
      <c r="J105" s="1017"/>
      <c r="K105" s="977">
        <f t="shared" si="58"/>
        <v>0</v>
      </c>
      <c r="L105" s="1023" t="s">
        <v>1049</v>
      </c>
      <c r="M105" s="593" t="s">
        <v>698</v>
      </c>
      <c r="N105" s="593" t="s">
        <v>1211</v>
      </c>
    </row>
    <row r="106" spans="1:14">
      <c r="A106" s="647"/>
      <c r="B106" s="1001" t="s">
        <v>1047</v>
      </c>
      <c r="C106" s="1002" t="s">
        <v>1212</v>
      </c>
      <c r="D106" s="1003">
        <v>0</v>
      </c>
      <c r="E106" s="1003"/>
      <c r="F106" s="1003"/>
      <c r="G106" s="1029">
        <f>D106-E106+F106</f>
        <v>0</v>
      </c>
      <c r="H106" s="1004">
        <f t="shared" si="57"/>
        <v>0</v>
      </c>
      <c r="I106" s="1019"/>
      <c r="J106" s="1019"/>
      <c r="K106" s="1004">
        <f>H106-I106+J106</f>
        <v>0</v>
      </c>
      <c r="L106" s="1020" t="s">
        <v>1047</v>
      </c>
      <c r="M106" s="1002"/>
      <c r="N106" s="1002"/>
    </row>
    <row r="107" spans="1:14">
      <c r="A107" s="647"/>
      <c r="B107" s="1001" t="s">
        <v>1047</v>
      </c>
      <c r="C107" s="1002" t="s">
        <v>1213</v>
      </c>
      <c r="D107" s="1003">
        <v>0</v>
      </c>
      <c r="E107" s="1003"/>
      <c r="F107" s="1003"/>
      <c r="G107" s="1029">
        <f>D107-E107+F107</f>
        <v>0</v>
      </c>
      <c r="H107" s="1004">
        <f t="shared" si="57"/>
        <v>0</v>
      </c>
      <c r="I107" s="1019"/>
      <c r="J107" s="1019"/>
      <c r="K107" s="1004">
        <f>H107-I107+J107</f>
        <v>0</v>
      </c>
      <c r="L107" s="1020" t="s">
        <v>1047</v>
      </c>
      <c r="M107" s="1002" t="s">
        <v>506</v>
      </c>
      <c r="N107" s="1002" t="s">
        <v>506</v>
      </c>
    </row>
    <row r="108" spans="1:14">
      <c r="A108" s="647"/>
      <c r="B108" s="609" t="s">
        <v>1047</v>
      </c>
      <c r="C108" s="610" t="s">
        <v>1214</v>
      </c>
      <c r="D108" s="611">
        <f t="shared" ref="D108" si="59">SUM(D109:D110)</f>
        <v>0</v>
      </c>
      <c r="E108" s="611"/>
      <c r="F108" s="611"/>
      <c r="G108" s="1026">
        <f>SUM(G109:G110)</f>
        <v>0</v>
      </c>
      <c r="H108" s="976">
        <f>SUM(H109:H110)</f>
        <v>0</v>
      </c>
      <c r="I108" s="1015"/>
      <c r="J108" s="1015"/>
      <c r="K108" s="976">
        <f>SUM(K109:K110)</f>
        <v>0</v>
      </c>
      <c r="L108" s="1016"/>
      <c r="M108" s="610"/>
      <c r="N108" s="610"/>
    </row>
    <row r="109" spans="1:14">
      <c r="A109" s="647"/>
      <c r="B109" s="612" t="s">
        <v>1049</v>
      </c>
      <c r="C109" s="593" t="s">
        <v>1215</v>
      </c>
      <c r="D109" s="613">
        <v>0</v>
      </c>
      <c r="E109" s="613"/>
      <c r="F109" s="613"/>
      <c r="G109" s="1028">
        <f t="shared" ref="G109:G110" si="60">D109-E109+F109</f>
        <v>0</v>
      </c>
      <c r="H109" s="977">
        <f t="shared" ref="H109:H110" si="61">ROUND(G109*$G$4,)</f>
        <v>0</v>
      </c>
      <c r="I109" s="1017"/>
      <c r="J109" s="1017"/>
      <c r="K109" s="977">
        <f t="shared" ref="K109:K110" si="62">H109-I109+J109</f>
        <v>0</v>
      </c>
      <c r="L109" s="1018" t="str">
        <f>B109</f>
        <v>****</v>
      </c>
      <c r="M109" s="593" t="s">
        <v>1216</v>
      </c>
      <c r="N109" s="593" t="s">
        <v>883</v>
      </c>
    </row>
    <row r="110" spans="1:14">
      <c r="A110" s="647"/>
      <c r="B110" s="612"/>
      <c r="C110" s="593" t="s">
        <v>1217</v>
      </c>
      <c r="D110" s="613">
        <v>0</v>
      </c>
      <c r="E110" s="613"/>
      <c r="F110" s="613"/>
      <c r="G110" s="1028">
        <f t="shared" si="60"/>
        <v>0</v>
      </c>
      <c r="H110" s="977">
        <f t="shared" si="61"/>
        <v>0</v>
      </c>
      <c r="I110" s="1017"/>
      <c r="J110" s="1017"/>
      <c r="K110" s="977">
        <f t="shared" si="62"/>
        <v>0</v>
      </c>
      <c r="L110" s="1018"/>
      <c r="M110" s="593" t="s">
        <v>884</v>
      </c>
      <c r="N110" s="593" t="s">
        <v>57</v>
      </c>
    </row>
    <row r="111" spans="1:14">
      <c r="A111" s="647"/>
      <c r="B111" s="606" t="s">
        <v>1043</v>
      </c>
      <c r="C111" s="607" t="s">
        <v>1218</v>
      </c>
      <c r="D111" s="608">
        <f t="shared" ref="D111" si="63">SUM(D112,D115,D118,D120,D123)</f>
        <v>18857.542000000001</v>
      </c>
      <c r="E111" s="608"/>
      <c r="F111" s="608"/>
      <c r="G111" s="608">
        <f t="shared" ref="G111" si="64">SUM(G112,G115,G118,G120,G123)</f>
        <v>18857.542000000001</v>
      </c>
      <c r="H111" s="975">
        <f>SUM(H112,H115,H118,H120,H123)</f>
        <v>22492142</v>
      </c>
      <c r="I111" s="1021"/>
      <c r="J111" s="1021"/>
      <c r="K111" s="975">
        <f>SUM(K112,K115,K118,K120,K123)</f>
        <v>22492142</v>
      </c>
      <c r="L111" s="1022" t="str">
        <f t="shared" ref="L111:L118" si="65">B111</f>
        <v>*</v>
      </c>
      <c r="M111" s="607"/>
      <c r="N111" s="607"/>
    </row>
    <row r="112" spans="1:14">
      <c r="A112" s="647"/>
      <c r="B112" s="997" t="s">
        <v>1045</v>
      </c>
      <c r="C112" s="998" t="s">
        <v>1219</v>
      </c>
      <c r="D112" s="999">
        <f t="shared" ref="D112" si="66">SUM(D113:D114)</f>
        <v>40133</v>
      </c>
      <c r="E112" s="999"/>
      <c r="F112" s="999"/>
      <c r="G112" s="1025">
        <f>SUM(G113:G114)</f>
        <v>40133</v>
      </c>
      <c r="H112" s="1000">
        <f>SUM(H113:H114)</f>
        <v>42330000</v>
      </c>
      <c r="I112" s="1013"/>
      <c r="J112" s="1013"/>
      <c r="K112" s="1000">
        <f>SUM(K113:K114)</f>
        <v>42330000</v>
      </c>
      <c r="L112" s="1014" t="str">
        <f t="shared" si="65"/>
        <v>**</v>
      </c>
      <c r="M112" s="998"/>
      <c r="N112" s="998"/>
    </row>
    <row r="113" spans="1:14">
      <c r="A113" s="647" t="s">
        <v>704</v>
      </c>
      <c r="B113" s="612" t="s">
        <v>1125</v>
      </c>
      <c r="C113" s="593" t="s">
        <v>1220</v>
      </c>
      <c r="D113" s="613">
        <v>40133</v>
      </c>
      <c r="E113" s="613"/>
      <c r="F113" s="613"/>
      <c r="G113" s="1028">
        <f>D113-E113+F113</f>
        <v>40133</v>
      </c>
      <c r="H113" s="992">
        <f>27600000+14730000</f>
        <v>42330000</v>
      </c>
      <c r="I113" s="1017"/>
      <c r="J113" s="1017"/>
      <c r="K113" s="977">
        <f>H113-I113+J113</f>
        <v>42330000</v>
      </c>
      <c r="L113" s="1018" t="str">
        <f t="shared" si="65"/>
        <v>***</v>
      </c>
      <c r="M113" s="593" t="s">
        <v>887</v>
      </c>
      <c r="N113" s="593" t="s">
        <v>887</v>
      </c>
    </row>
    <row r="114" spans="1:14">
      <c r="A114" s="647"/>
      <c r="B114" s="612" t="s">
        <v>1125</v>
      </c>
      <c r="C114" s="593" t="s">
        <v>1221</v>
      </c>
      <c r="D114" s="613">
        <v>0</v>
      </c>
      <c r="E114" s="613"/>
      <c r="F114" s="613"/>
      <c r="G114" s="1028">
        <f>D114-E114+F114</f>
        <v>0</v>
      </c>
      <c r="H114" s="977">
        <v>0</v>
      </c>
      <c r="I114" s="1017"/>
      <c r="J114" s="1017"/>
      <c r="K114" s="977">
        <f>H114-I114+J114</f>
        <v>0</v>
      </c>
      <c r="L114" s="1018" t="str">
        <f t="shared" si="65"/>
        <v>***</v>
      </c>
      <c r="M114" s="593" t="s">
        <v>887</v>
      </c>
      <c r="N114" s="593" t="s">
        <v>1222</v>
      </c>
    </row>
    <row r="115" spans="1:14">
      <c r="A115" s="647"/>
      <c r="B115" s="997" t="s">
        <v>1045</v>
      </c>
      <c r="C115" s="998" t="s">
        <v>1223</v>
      </c>
      <c r="D115" s="999">
        <f t="shared" ref="D115" si="67">SUM(D116:D117)</f>
        <v>0</v>
      </c>
      <c r="E115" s="999"/>
      <c r="F115" s="999"/>
      <c r="G115" s="1025">
        <f>SUM(G116:G117)</f>
        <v>0</v>
      </c>
      <c r="H115" s="1000">
        <f>SUM(H116:H117)</f>
        <v>0</v>
      </c>
      <c r="I115" s="1013"/>
      <c r="J115" s="1013"/>
      <c r="K115" s="1000">
        <f>SUM(K116:K117)</f>
        <v>0</v>
      </c>
      <c r="L115" s="1014" t="str">
        <f t="shared" si="65"/>
        <v>**</v>
      </c>
      <c r="M115" s="998"/>
      <c r="N115" s="998"/>
    </row>
    <row r="116" spans="1:14">
      <c r="A116" s="647"/>
      <c r="B116" s="612" t="s">
        <v>1125</v>
      </c>
      <c r="C116" s="593" t="s">
        <v>1224</v>
      </c>
      <c r="D116" s="613">
        <v>0</v>
      </c>
      <c r="E116" s="613"/>
      <c r="F116" s="613"/>
      <c r="G116" s="1028">
        <f t="shared" ref="G116:G117" si="68">D116-E116+F116</f>
        <v>0</v>
      </c>
      <c r="H116" s="977">
        <v>0</v>
      </c>
      <c r="I116" s="1017"/>
      <c r="J116" s="1017"/>
      <c r="K116" s="977">
        <f t="shared" ref="K116:K117" si="69">H116-I116+J116</f>
        <v>0</v>
      </c>
      <c r="L116" s="1018" t="str">
        <f t="shared" si="65"/>
        <v>***</v>
      </c>
      <c r="M116" s="593" t="s">
        <v>1225</v>
      </c>
      <c r="N116" s="593" t="s">
        <v>1226</v>
      </c>
    </row>
    <row r="117" spans="1:14">
      <c r="A117" s="647"/>
      <c r="B117" s="612" t="s">
        <v>1125</v>
      </c>
      <c r="C117" s="593" t="s">
        <v>1227</v>
      </c>
      <c r="D117" s="613">
        <v>0</v>
      </c>
      <c r="E117" s="613"/>
      <c r="F117" s="613"/>
      <c r="G117" s="1028">
        <f t="shared" si="68"/>
        <v>0</v>
      </c>
      <c r="H117" s="977">
        <v>0</v>
      </c>
      <c r="I117" s="1017"/>
      <c r="J117" s="1017"/>
      <c r="K117" s="977">
        <f t="shared" si="69"/>
        <v>0</v>
      </c>
      <c r="L117" s="1018" t="str">
        <f t="shared" si="65"/>
        <v>***</v>
      </c>
      <c r="M117" s="593" t="s">
        <v>65</v>
      </c>
      <c r="N117" s="593" t="s">
        <v>1228</v>
      </c>
    </row>
    <row r="118" spans="1:14">
      <c r="A118" s="647"/>
      <c r="B118" s="997" t="s">
        <v>1045</v>
      </c>
      <c r="C118" s="998" t="s">
        <v>1229</v>
      </c>
      <c r="D118" s="999">
        <f t="shared" ref="D118" si="70">D119</f>
        <v>0</v>
      </c>
      <c r="E118" s="999"/>
      <c r="F118" s="999"/>
      <c r="G118" s="1025">
        <f>G119</f>
        <v>0</v>
      </c>
      <c r="H118" s="1000">
        <f>H119</f>
        <v>0</v>
      </c>
      <c r="I118" s="1013"/>
      <c r="J118" s="1013"/>
      <c r="K118" s="1000">
        <f>K119</f>
        <v>0</v>
      </c>
      <c r="L118" s="1014" t="str">
        <f t="shared" si="65"/>
        <v>**</v>
      </c>
      <c r="M118" s="998"/>
      <c r="N118" s="998"/>
    </row>
    <row r="119" spans="1:14">
      <c r="A119" s="647"/>
      <c r="B119" s="612"/>
      <c r="C119" s="593" t="s">
        <v>1230</v>
      </c>
      <c r="D119" s="613">
        <v>0</v>
      </c>
      <c r="E119" s="613"/>
      <c r="F119" s="613"/>
      <c r="G119" s="1028"/>
      <c r="H119" s="977">
        <v>0</v>
      </c>
      <c r="I119" s="1017"/>
      <c r="J119" s="1017"/>
      <c r="K119" s="977"/>
      <c r="L119" s="1018"/>
      <c r="M119" s="593"/>
      <c r="N119" s="593"/>
    </row>
    <row r="120" spans="1:14">
      <c r="A120" s="647"/>
      <c r="B120" s="997" t="s">
        <v>1045</v>
      </c>
      <c r="C120" s="998" t="s">
        <v>1231</v>
      </c>
      <c r="D120" s="998">
        <f t="shared" ref="D120" si="71">SUM(D121:D122)</f>
        <v>0</v>
      </c>
      <c r="E120" s="998"/>
      <c r="F120" s="998"/>
      <c r="G120" s="1025">
        <f>SUM(G121:G122)</f>
        <v>0</v>
      </c>
      <c r="H120" s="1000">
        <f>SUM(H121:H122)</f>
        <v>3718991</v>
      </c>
      <c r="I120" s="1013"/>
      <c r="J120" s="1013"/>
      <c r="K120" s="1000">
        <f>SUM(K121:K122)</f>
        <v>3718991</v>
      </c>
      <c r="L120" s="1014" t="str">
        <f t="shared" ref="L120:L128" si="72">B120</f>
        <v>**</v>
      </c>
      <c r="M120" s="998"/>
      <c r="N120" s="998"/>
    </row>
    <row r="121" spans="1:14">
      <c r="A121" s="647"/>
      <c r="B121" s="612" t="s">
        <v>1125</v>
      </c>
      <c r="C121" s="593" t="s">
        <v>1232</v>
      </c>
      <c r="D121" s="613">
        <v>0</v>
      </c>
      <c r="E121" s="613"/>
      <c r="F121" s="613"/>
      <c r="G121" s="1028">
        <f t="shared" ref="G121:G122" si="73">D121-E121+F121</f>
        <v>0</v>
      </c>
      <c r="H121" s="977">
        <v>0</v>
      </c>
      <c r="I121" s="1017"/>
      <c r="J121" s="1017"/>
      <c r="K121" s="977">
        <f t="shared" ref="K121:K122" si="74">H121-I121+J121</f>
        <v>0</v>
      </c>
      <c r="L121" s="1018" t="str">
        <f t="shared" si="72"/>
        <v>***</v>
      </c>
      <c r="M121" s="593" t="s">
        <v>1233</v>
      </c>
      <c r="N121" s="593" t="s">
        <v>69</v>
      </c>
    </row>
    <row r="122" spans="1:14">
      <c r="A122" s="647" t="s">
        <v>827</v>
      </c>
      <c r="B122" s="612" t="s">
        <v>1125</v>
      </c>
      <c r="C122" s="593" t="s">
        <v>1234</v>
      </c>
      <c r="D122" s="613">
        <v>0</v>
      </c>
      <c r="E122" s="613"/>
      <c r="F122" s="613"/>
      <c r="G122" s="1028">
        <f t="shared" si="73"/>
        <v>0</v>
      </c>
      <c r="H122" s="992">
        <f>SG!F63</f>
        <v>3718991</v>
      </c>
      <c r="I122" s="1017"/>
      <c r="J122" s="1017"/>
      <c r="K122" s="977">
        <f t="shared" si="74"/>
        <v>3718991</v>
      </c>
      <c r="L122" s="1018" t="str">
        <f t="shared" si="72"/>
        <v>***</v>
      </c>
      <c r="M122" s="593" t="s">
        <v>1233</v>
      </c>
      <c r="N122" s="593" t="s">
        <v>1235</v>
      </c>
    </row>
    <row r="123" spans="1:14">
      <c r="A123" s="647"/>
      <c r="B123" s="997" t="s">
        <v>1045</v>
      </c>
      <c r="C123" s="998" t="s">
        <v>1236</v>
      </c>
      <c r="D123" s="999">
        <f t="shared" ref="D123" si="75">D124</f>
        <v>-21275.457999999999</v>
      </c>
      <c r="E123" s="999"/>
      <c r="F123" s="999"/>
      <c r="G123" s="1025">
        <f>G124</f>
        <v>-21275.457999999999</v>
      </c>
      <c r="H123" s="1000">
        <f>H124</f>
        <v>-23556849</v>
      </c>
      <c r="I123" s="1013"/>
      <c r="J123" s="1013"/>
      <c r="K123" s="1000">
        <f>K124</f>
        <v>-23556849</v>
      </c>
      <c r="L123" s="1014" t="str">
        <f t="shared" si="72"/>
        <v>**</v>
      </c>
      <c r="M123" s="998"/>
      <c r="N123" s="998"/>
    </row>
    <row r="124" spans="1:14">
      <c r="A124" s="647" t="s">
        <v>714</v>
      </c>
      <c r="B124" s="612" t="s">
        <v>1125</v>
      </c>
      <c r="C124" s="593" t="s">
        <v>1237</v>
      </c>
      <c r="D124" s="613">
        <f t="shared" ref="D124" si="76">SUM(D125:D128)</f>
        <v>-21275.457999999999</v>
      </c>
      <c r="E124" s="613"/>
      <c r="F124" s="613"/>
      <c r="G124" s="1027">
        <f>SUM(G125:G128)</f>
        <v>-21275.457999999999</v>
      </c>
      <c r="H124" s="718">
        <f>SUM(H125:H128)</f>
        <v>-23556849</v>
      </c>
      <c r="I124" s="1017"/>
      <c r="J124" s="1017"/>
      <c r="K124" s="718">
        <f>SUM(K125:K128)</f>
        <v>-23556849</v>
      </c>
      <c r="L124" s="1018" t="str">
        <f t="shared" si="72"/>
        <v>***</v>
      </c>
      <c r="M124" s="593"/>
      <c r="N124" s="593"/>
    </row>
    <row r="125" spans="1:14">
      <c r="A125" s="647"/>
      <c r="B125" s="612" t="s">
        <v>1238</v>
      </c>
      <c r="C125" s="593" t="s">
        <v>1239</v>
      </c>
      <c r="D125" s="613">
        <v>-13791.757999999998</v>
      </c>
      <c r="E125" s="613"/>
      <c r="F125" s="613"/>
      <c r="G125" s="1028">
        <f t="shared" ref="G125:G128" si="77">D125-E125+F125</f>
        <v>-13791.757999999998</v>
      </c>
      <c r="H125" s="992">
        <f>SG!G59</f>
        <v>-14870818</v>
      </c>
      <c r="I125" s="1017"/>
      <c r="J125" s="1017"/>
      <c r="K125" s="977">
        <f t="shared" ref="K125:K128" si="78">H125-I125+J125</f>
        <v>-14870818</v>
      </c>
      <c r="L125" s="1018" t="str">
        <f t="shared" si="72"/>
        <v>****</v>
      </c>
      <c r="M125" s="593" t="s">
        <v>1240</v>
      </c>
      <c r="N125" s="593" t="s">
        <v>1241</v>
      </c>
    </row>
    <row r="126" spans="1:14">
      <c r="A126" s="647"/>
      <c r="B126" s="612" t="s">
        <v>1238</v>
      </c>
      <c r="C126" s="593" t="s">
        <v>1242</v>
      </c>
      <c r="D126" s="613">
        <v>0</v>
      </c>
      <c r="E126" s="613"/>
      <c r="F126" s="613"/>
      <c r="G126" s="1028">
        <f t="shared" si="77"/>
        <v>0</v>
      </c>
      <c r="H126" s="977">
        <v>0</v>
      </c>
      <c r="I126" s="1017"/>
      <c r="J126" s="1017"/>
      <c r="K126" s="977">
        <f t="shared" si="78"/>
        <v>0</v>
      </c>
      <c r="L126" s="1018" t="str">
        <f t="shared" si="72"/>
        <v>****</v>
      </c>
      <c r="M126" s="593" t="s">
        <v>73</v>
      </c>
      <c r="N126" s="593" t="s">
        <v>1243</v>
      </c>
    </row>
    <row r="127" spans="1:14">
      <c r="A127" s="647"/>
      <c r="B127" s="612" t="s">
        <v>1238</v>
      </c>
      <c r="C127" s="593" t="s">
        <v>1244</v>
      </c>
      <c r="D127" s="613">
        <v>0</v>
      </c>
      <c r="E127" s="613"/>
      <c r="F127" s="613"/>
      <c r="G127" s="1028">
        <f t="shared" si="77"/>
        <v>0</v>
      </c>
      <c r="H127" s="977">
        <v>0</v>
      </c>
      <c r="I127" s="1017"/>
      <c r="J127" s="1017"/>
      <c r="K127" s="977">
        <f t="shared" si="78"/>
        <v>0</v>
      </c>
      <c r="L127" s="1018" t="str">
        <f t="shared" si="72"/>
        <v>****</v>
      </c>
      <c r="M127" s="593" t="s">
        <v>70</v>
      </c>
      <c r="N127" s="593" t="s">
        <v>1245</v>
      </c>
    </row>
    <row r="128" spans="1:14" ht="14.25" thickBot="1">
      <c r="A128" s="648"/>
      <c r="B128" s="612" t="s">
        <v>1238</v>
      </c>
      <c r="C128" s="593" t="s">
        <v>1246</v>
      </c>
      <c r="D128" s="973">
        <v>-7483.7000000000007</v>
      </c>
      <c r="E128" s="1017">
        <f>SG_PL!E90</f>
        <v>0</v>
      </c>
      <c r="F128" s="1017">
        <f>SG_PL!F90</f>
        <v>0</v>
      </c>
      <c r="G128" s="1028">
        <f t="shared" si="77"/>
        <v>-7483.7000000000007</v>
      </c>
      <c r="H128" s="979">
        <f>SG_PL!K84</f>
        <v>-8686031</v>
      </c>
      <c r="I128" s="1017">
        <f>SG_PL!I90</f>
        <v>0</v>
      </c>
      <c r="J128" s="1017">
        <f>SG_PL!J90</f>
        <v>0</v>
      </c>
      <c r="K128" s="977">
        <f t="shared" si="78"/>
        <v>-8686031</v>
      </c>
      <c r="L128" s="1018" t="str">
        <f t="shared" si="72"/>
        <v>****</v>
      </c>
      <c r="M128" s="593" t="s">
        <v>1240</v>
      </c>
      <c r="N128" s="593" t="s">
        <v>140</v>
      </c>
    </row>
    <row r="129" spans="2:11">
      <c r="D129" s="598">
        <f>D111+D75-D5</f>
        <v>2.0000000004074536E-3</v>
      </c>
      <c r="G129" s="598">
        <f>G111+G75-G5</f>
        <v>2.0000000004074536E-3</v>
      </c>
      <c r="H129" s="991">
        <f>H111+H75-H5</f>
        <v>0</v>
      </c>
      <c r="I129" s="991">
        <f>SUM(I5:I128)</f>
        <v>0</v>
      </c>
      <c r="J129" s="991">
        <f>SUM(J5:J128)</f>
        <v>0</v>
      </c>
      <c r="K129" s="991">
        <f>K111+K75-K5</f>
        <v>0</v>
      </c>
    </row>
    <row r="130" spans="2:11">
      <c r="H130" s="1036"/>
      <c r="I130" s="676"/>
      <c r="J130" s="676">
        <f>J129-I129</f>
        <v>0</v>
      </c>
      <c r="K130" s="676"/>
    </row>
    <row r="131" spans="2:11">
      <c r="C131" s="596" t="s">
        <v>2547</v>
      </c>
      <c r="D131" s="598">
        <v>-13791.757999999998</v>
      </c>
      <c r="H131" s="980"/>
    </row>
    <row r="132" spans="2:11">
      <c r="C132" s="596" t="s">
        <v>2548</v>
      </c>
      <c r="D132" s="598">
        <f t="shared" ref="D132" si="79">D131-D125</f>
        <v>0</v>
      </c>
      <c r="H132" s="980"/>
    </row>
    <row r="133" spans="2:11">
      <c r="H133" s="981"/>
      <c r="I133" s="596"/>
      <c r="J133" s="596"/>
      <c r="K133" s="596"/>
    </row>
    <row r="134" spans="2:11">
      <c r="H134" s="980"/>
    </row>
    <row r="135" spans="2:11">
      <c r="B135" s="616"/>
      <c r="H135" s="980"/>
    </row>
    <row r="136" spans="2:11">
      <c r="D136" s="982"/>
      <c r="E136" s="982"/>
      <c r="F136" s="982"/>
      <c r="G136" s="982"/>
      <c r="H136" s="980"/>
    </row>
    <row r="137" spans="2:11">
      <c r="D137" s="617"/>
      <c r="E137" s="617"/>
      <c r="F137" s="617"/>
      <c r="G137" s="617"/>
    </row>
  </sheetData>
  <mergeCells count="3">
    <mergeCell ref="B3:C3"/>
    <mergeCell ref="E3:F3"/>
    <mergeCell ref="I3:J3"/>
  </mergeCells>
  <phoneticPr fontId="3" type="noConversion"/>
  <pageMargins left="0.7" right="0.7" top="0.75" bottom="0.75" header="0.3" footer="0.3"/>
  <legacy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4">
    <tabColor theme="8" tint="0.79998168889431442"/>
  </sheetPr>
  <dimension ref="A1:X96"/>
  <sheetViews>
    <sheetView topLeftCell="A56" zoomScaleNormal="100" workbookViewId="0">
      <selection activeCell="H87" sqref="H87"/>
    </sheetView>
  </sheetViews>
  <sheetFormatPr defaultRowHeight="13.5"/>
  <cols>
    <col min="1" max="1" width="9.625" style="1037" customWidth="1"/>
    <col min="2" max="2" width="5" style="1037" customWidth="1"/>
    <col min="3" max="3" width="27.375" style="1037" customWidth="1"/>
    <col min="4" max="6" width="13.375" style="1037" customWidth="1"/>
    <col min="7" max="7" width="13.375" style="1038" customWidth="1"/>
    <col min="8" max="10" width="13.375" style="1037" customWidth="1"/>
    <col min="11" max="11" width="13.375" style="1038" customWidth="1"/>
    <col min="12" max="12" width="6.625" style="1037" customWidth="1"/>
    <col min="13" max="13" width="14" style="1037" customWidth="1"/>
    <col min="14" max="14" width="18.125" style="1037" customWidth="1"/>
    <col min="15" max="15" width="9" style="1037"/>
    <col min="16" max="16" width="32.125" style="1037" customWidth="1"/>
    <col min="17" max="17" width="11.625" style="1037" bestFit="1" customWidth="1"/>
    <col min="18" max="18" width="11.5" style="1037" bestFit="1" customWidth="1"/>
    <col min="19" max="20" width="9" style="1037"/>
    <col min="21" max="21" width="10.125" style="1037" bestFit="1" customWidth="1"/>
    <col min="22" max="22" width="9" style="1037"/>
    <col min="23" max="23" width="9.125" style="1037" bestFit="1" customWidth="1"/>
    <col min="24" max="248" width="9" style="1037"/>
    <col min="249" max="250" width="5" style="1037" customWidth="1"/>
    <col min="251" max="251" width="27.375" style="1037" customWidth="1"/>
    <col min="252" max="255" width="14" style="1037" customWidth="1"/>
    <col min="256" max="257" width="4.125" style="1037" customWidth="1"/>
    <col min="258" max="258" width="6.625" style="1037" customWidth="1"/>
    <col min="259" max="259" width="14" style="1037" customWidth="1"/>
    <col min="260" max="260" width="18.125" style="1037" customWidth="1"/>
    <col min="261" max="261" width="23" style="1037" customWidth="1"/>
    <col min="262" max="262" width="9.625" style="1037" customWidth="1"/>
    <col min="263" max="263" width="20.125" style="1037" customWidth="1"/>
    <col min="264" max="265" width="18.375" style="1037" customWidth="1"/>
    <col min="266" max="266" width="14.125" style="1037" bestFit="1" customWidth="1"/>
    <col min="267" max="267" width="11.125" style="1037" bestFit="1" customWidth="1"/>
    <col min="268" max="504" width="9" style="1037"/>
    <col min="505" max="506" width="5" style="1037" customWidth="1"/>
    <col min="507" max="507" width="27.375" style="1037" customWidth="1"/>
    <col min="508" max="511" width="14" style="1037" customWidth="1"/>
    <col min="512" max="513" width="4.125" style="1037" customWidth="1"/>
    <col min="514" max="514" width="6.625" style="1037" customWidth="1"/>
    <col min="515" max="515" width="14" style="1037" customWidth="1"/>
    <col min="516" max="516" width="18.125" style="1037" customWidth="1"/>
    <col min="517" max="517" width="23" style="1037" customWidth="1"/>
    <col min="518" max="518" width="9.625" style="1037" customWidth="1"/>
    <col min="519" max="519" width="20.125" style="1037" customWidth="1"/>
    <col min="520" max="521" width="18.375" style="1037" customWidth="1"/>
    <col min="522" max="522" width="14.125" style="1037" bestFit="1" customWidth="1"/>
    <col min="523" max="523" width="11.125" style="1037" bestFit="1" customWidth="1"/>
    <col min="524" max="760" width="9" style="1037"/>
    <col min="761" max="762" width="5" style="1037" customWidth="1"/>
    <col min="763" max="763" width="27.375" style="1037" customWidth="1"/>
    <col min="764" max="767" width="14" style="1037" customWidth="1"/>
    <col min="768" max="769" width="4.125" style="1037" customWidth="1"/>
    <col min="770" max="770" width="6.625" style="1037" customWidth="1"/>
    <col min="771" max="771" width="14" style="1037" customWidth="1"/>
    <col min="772" max="772" width="18.125" style="1037" customWidth="1"/>
    <col min="773" max="773" width="23" style="1037" customWidth="1"/>
    <col min="774" max="774" width="9.625" style="1037" customWidth="1"/>
    <col min="775" max="775" width="20.125" style="1037" customWidth="1"/>
    <col min="776" max="777" width="18.375" style="1037" customWidth="1"/>
    <col min="778" max="778" width="14.125" style="1037" bestFit="1" customWidth="1"/>
    <col min="779" max="779" width="11.125" style="1037" bestFit="1" customWidth="1"/>
    <col min="780" max="1016" width="9" style="1037"/>
    <col min="1017" max="1018" width="5" style="1037" customWidth="1"/>
    <col min="1019" max="1019" width="27.375" style="1037" customWidth="1"/>
    <col min="1020" max="1023" width="14" style="1037" customWidth="1"/>
    <col min="1024" max="1025" width="4.125" style="1037" customWidth="1"/>
    <col min="1026" max="1026" width="6.625" style="1037" customWidth="1"/>
    <col min="1027" max="1027" width="14" style="1037" customWidth="1"/>
    <col min="1028" max="1028" width="18.125" style="1037" customWidth="1"/>
    <col min="1029" max="1029" width="23" style="1037" customWidth="1"/>
    <col min="1030" max="1030" width="9.625" style="1037" customWidth="1"/>
    <col min="1031" max="1031" width="20.125" style="1037" customWidth="1"/>
    <col min="1032" max="1033" width="18.375" style="1037" customWidth="1"/>
    <col min="1034" max="1034" width="14.125" style="1037" bestFit="1" customWidth="1"/>
    <col min="1035" max="1035" width="11.125" style="1037" bestFit="1" customWidth="1"/>
    <col min="1036" max="1272" width="9" style="1037"/>
    <col min="1273" max="1274" width="5" style="1037" customWidth="1"/>
    <col min="1275" max="1275" width="27.375" style="1037" customWidth="1"/>
    <col min="1276" max="1279" width="14" style="1037" customWidth="1"/>
    <col min="1280" max="1281" width="4.125" style="1037" customWidth="1"/>
    <col min="1282" max="1282" width="6.625" style="1037" customWidth="1"/>
    <col min="1283" max="1283" width="14" style="1037" customWidth="1"/>
    <col min="1284" max="1284" width="18.125" style="1037" customWidth="1"/>
    <col min="1285" max="1285" width="23" style="1037" customWidth="1"/>
    <col min="1286" max="1286" width="9.625" style="1037" customWidth="1"/>
    <col min="1287" max="1287" width="20.125" style="1037" customWidth="1"/>
    <col min="1288" max="1289" width="18.375" style="1037" customWidth="1"/>
    <col min="1290" max="1290" width="14.125" style="1037" bestFit="1" customWidth="1"/>
    <col min="1291" max="1291" width="11.125" style="1037" bestFit="1" customWidth="1"/>
    <col min="1292" max="1528" width="9" style="1037"/>
    <col min="1529" max="1530" width="5" style="1037" customWidth="1"/>
    <col min="1531" max="1531" width="27.375" style="1037" customWidth="1"/>
    <col min="1532" max="1535" width="14" style="1037" customWidth="1"/>
    <col min="1536" max="1537" width="4.125" style="1037" customWidth="1"/>
    <col min="1538" max="1538" width="6.625" style="1037" customWidth="1"/>
    <col min="1539" max="1539" width="14" style="1037" customWidth="1"/>
    <col min="1540" max="1540" width="18.125" style="1037" customWidth="1"/>
    <col min="1541" max="1541" width="23" style="1037" customWidth="1"/>
    <col min="1542" max="1542" width="9.625" style="1037" customWidth="1"/>
    <col min="1543" max="1543" width="20.125" style="1037" customWidth="1"/>
    <col min="1544" max="1545" width="18.375" style="1037" customWidth="1"/>
    <col min="1546" max="1546" width="14.125" style="1037" bestFit="1" customWidth="1"/>
    <col min="1547" max="1547" width="11.125" style="1037" bestFit="1" customWidth="1"/>
    <col min="1548" max="1784" width="9" style="1037"/>
    <col min="1785" max="1786" width="5" style="1037" customWidth="1"/>
    <col min="1787" max="1787" width="27.375" style="1037" customWidth="1"/>
    <col min="1788" max="1791" width="14" style="1037" customWidth="1"/>
    <col min="1792" max="1793" width="4.125" style="1037" customWidth="1"/>
    <col min="1794" max="1794" width="6.625" style="1037" customWidth="1"/>
    <col min="1795" max="1795" width="14" style="1037" customWidth="1"/>
    <col min="1796" max="1796" width="18.125" style="1037" customWidth="1"/>
    <col min="1797" max="1797" width="23" style="1037" customWidth="1"/>
    <col min="1798" max="1798" width="9.625" style="1037" customWidth="1"/>
    <col min="1799" max="1799" width="20.125" style="1037" customWidth="1"/>
    <col min="1800" max="1801" width="18.375" style="1037" customWidth="1"/>
    <col min="1802" max="1802" width="14.125" style="1037" bestFit="1" customWidth="1"/>
    <col min="1803" max="1803" width="11.125" style="1037" bestFit="1" customWidth="1"/>
    <col min="1804" max="2040" width="9" style="1037"/>
    <col min="2041" max="2042" width="5" style="1037" customWidth="1"/>
    <col min="2043" max="2043" width="27.375" style="1037" customWidth="1"/>
    <col min="2044" max="2047" width="14" style="1037" customWidth="1"/>
    <col min="2048" max="2049" width="4.125" style="1037" customWidth="1"/>
    <col min="2050" max="2050" width="6.625" style="1037" customWidth="1"/>
    <col min="2051" max="2051" width="14" style="1037" customWidth="1"/>
    <col min="2052" max="2052" width="18.125" style="1037" customWidth="1"/>
    <col min="2053" max="2053" width="23" style="1037" customWidth="1"/>
    <col min="2054" max="2054" width="9.625" style="1037" customWidth="1"/>
    <col min="2055" max="2055" width="20.125" style="1037" customWidth="1"/>
    <col min="2056" max="2057" width="18.375" style="1037" customWidth="1"/>
    <col min="2058" max="2058" width="14.125" style="1037" bestFit="1" customWidth="1"/>
    <col min="2059" max="2059" width="11.125" style="1037" bestFit="1" customWidth="1"/>
    <col min="2060" max="2296" width="9" style="1037"/>
    <col min="2297" max="2298" width="5" style="1037" customWidth="1"/>
    <col min="2299" max="2299" width="27.375" style="1037" customWidth="1"/>
    <col min="2300" max="2303" width="14" style="1037" customWidth="1"/>
    <col min="2304" max="2305" width="4.125" style="1037" customWidth="1"/>
    <col min="2306" max="2306" width="6.625" style="1037" customWidth="1"/>
    <col min="2307" max="2307" width="14" style="1037" customWidth="1"/>
    <col min="2308" max="2308" width="18.125" style="1037" customWidth="1"/>
    <col min="2309" max="2309" width="23" style="1037" customWidth="1"/>
    <col min="2310" max="2310" width="9.625" style="1037" customWidth="1"/>
    <col min="2311" max="2311" width="20.125" style="1037" customWidth="1"/>
    <col min="2312" max="2313" width="18.375" style="1037" customWidth="1"/>
    <col min="2314" max="2314" width="14.125" style="1037" bestFit="1" customWidth="1"/>
    <col min="2315" max="2315" width="11.125" style="1037" bestFit="1" customWidth="1"/>
    <col min="2316" max="2552" width="9" style="1037"/>
    <col min="2553" max="2554" width="5" style="1037" customWidth="1"/>
    <col min="2555" max="2555" width="27.375" style="1037" customWidth="1"/>
    <col min="2556" max="2559" width="14" style="1037" customWidth="1"/>
    <col min="2560" max="2561" width="4.125" style="1037" customWidth="1"/>
    <col min="2562" max="2562" width="6.625" style="1037" customWidth="1"/>
    <col min="2563" max="2563" width="14" style="1037" customWidth="1"/>
    <col min="2564" max="2564" width="18.125" style="1037" customWidth="1"/>
    <col min="2565" max="2565" width="23" style="1037" customWidth="1"/>
    <col min="2566" max="2566" width="9.625" style="1037" customWidth="1"/>
    <col min="2567" max="2567" width="20.125" style="1037" customWidth="1"/>
    <col min="2568" max="2569" width="18.375" style="1037" customWidth="1"/>
    <col min="2570" max="2570" width="14.125" style="1037" bestFit="1" customWidth="1"/>
    <col min="2571" max="2571" width="11.125" style="1037" bestFit="1" customWidth="1"/>
    <col min="2572" max="2808" width="9" style="1037"/>
    <col min="2809" max="2810" width="5" style="1037" customWidth="1"/>
    <col min="2811" max="2811" width="27.375" style="1037" customWidth="1"/>
    <col min="2812" max="2815" width="14" style="1037" customWidth="1"/>
    <col min="2816" max="2817" width="4.125" style="1037" customWidth="1"/>
    <col min="2818" max="2818" width="6.625" style="1037" customWidth="1"/>
    <col min="2819" max="2819" width="14" style="1037" customWidth="1"/>
    <col min="2820" max="2820" width="18.125" style="1037" customWidth="1"/>
    <col min="2821" max="2821" width="23" style="1037" customWidth="1"/>
    <col min="2822" max="2822" width="9.625" style="1037" customWidth="1"/>
    <col min="2823" max="2823" width="20.125" style="1037" customWidth="1"/>
    <col min="2824" max="2825" width="18.375" style="1037" customWidth="1"/>
    <col min="2826" max="2826" width="14.125" style="1037" bestFit="1" customWidth="1"/>
    <col min="2827" max="2827" width="11.125" style="1037" bestFit="1" customWidth="1"/>
    <col min="2828" max="3064" width="9" style="1037"/>
    <col min="3065" max="3066" width="5" style="1037" customWidth="1"/>
    <col min="3067" max="3067" width="27.375" style="1037" customWidth="1"/>
    <col min="3068" max="3071" width="14" style="1037" customWidth="1"/>
    <col min="3072" max="3073" width="4.125" style="1037" customWidth="1"/>
    <col min="3074" max="3074" width="6.625" style="1037" customWidth="1"/>
    <col min="3075" max="3075" width="14" style="1037" customWidth="1"/>
    <col min="3076" max="3076" width="18.125" style="1037" customWidth="1"/>
    <col min="3077" max="3077" width="23" style="1037" customWidth="1"/>
    <col min="3078" max="3078" width="9.625" style="1037" customWidth="1"/>
    <col min="3079" max="3079" width="20.125" style="1037" customWidth="1"/>
    <col min="3080" max="3081" width="18.375" style="1037" customWidth="1"/>
    <col min="3082" max="3082" width="14.125" style="1037" bestFit="1" customWidth="1"/>
    <col min="3083" max="3083" width="11.125" style="1037" bestFit="1" customWidth="1"/>
    <col min="3084" max="3320" width="9" style="1037"/>
    <col min="3321" max="3322" width="5" style="1037" customWidth="1"/>
    <col min="3323" max="3323" width="27.375" style="1037" customWidth="1"/>
    <col min="3324" max="3327" width="14" style="1037" customWidth="1"/>
    <col min="3328" max="3329" width="4.125" style="1037" customWidth="1"/>
    <col min="3330" max="3330" width="6.625" style="1037" customWidth="1"/>
    <col min="3331" max="3331" width="14" style="1037" customWidth="1"/>
    <col min="3332" max="3332" width="18.125" style="1037" customWidth="1"/>
    <col min="3333" max="3333" width="23" style="1037" customWidth="1"/>
    <col min="3334" max="3334" width="9.625" style="1037" customWidth="1"/>
    <col min="3335" max="3335" width="20.125" style="1037" customWidth="1"/>
    <col min="3336" max="3337" width="18.375" style="1037" customWidth="1"/>
    <col min="3338" max="3338" width="14.125" style="1037" bestFit="1" customWidth="1"/>
    <col min="3339" max="3339" width="11.125" style="1037" bestFit="1" customWidth="1"/>
    <col min="3340" max="3576" width="9" style="1037"/>
    <col min="3577" max="3578" width="5" style="1037" customWidth="1"/>
    <col min="3579" max="3579" width="27.375" style="1037" customWidth="1"/>
    <col min="3580" max="3583" width="14" style="1037" customWidth="1"/>
    <col min="3584" max="3585" width="4.125" style="1037" customWidth="1"/>
    <col min="3586" max="3586" width="6.625" style="1037" customWidth="1"/>
    <col min="3587" max="3587" width="14" style="1037" customWidth="1"/>
    <col min="3588" max="3588" width="18.125" style="1037" customWidth="1"/>
    <col min="3589" max="3589" width="23" style="1037" customWidth="1"/>
    <col min="3590" max="3590" width="9.625" style="1037" customWidth="1"/>
    <col min="3591" max="3591" width="20.125" style="1037" customWidth="1"/>
    <col min="3592" max="3593" width="18.375" style="1037" customWidth="1"/>
    <col min="3594" max="3594" width="14.125" style="1037" bestFit="1" customWidth="1"/>
    <col min="3595" max="3595" width="11.125" style="1037" bestFit="1" customWidth="1"/>
    <col min="3596" max="3832" width="9" style="1037"/>
    <col min="3833" max="3834" width="5" style="1037" customWidth="1"/>
    <col min="3835" max="3835" width="27.375" style="1037" customWidth="1"/>
    <col min="3836" max="3839" width="14" style="1037" customWidth="1"/>
    <col min="3840" max="3841" width="4.125" style="1037" customWidth="1"/>
    <col min="3842" max="3842" width="6.625" style="1037" customWidth="1"/>
    <col min="3843" max="3843" width="14" style="1037" customWidth="1"/>
    <col min="3844" max="3844" width="18.125" style="1037" customWidth="1"/>
    <col min="3845" max="3845" width="23" style="1037" customWidth="1"/>
    <col min="3846" max="3846" width="9.625" style="1037" customWidth="1"/>
    <col min="3847" max="3847" width="20.125" style="1037" customWidth="1"/>
    <col min="3848" max="3849" width="18.375" style="1037" customWidth="1"/>
    <col min="3850" max="3850" width="14.125" style="1037" bestFit="1" customWidth="1"/>
    <col min="3851" max="3851" width="11.125" style="1037" bestFit="1" customWidth="1"/>
    <col min="3852" max="4088" width="9" style="1037"/>
    <col min="4089" max="4090" width="5" style="1037" customWidth="1"/>
    <col min="4091" max="4091" width="27.375" style="1037" customWidth="1"/>
    <col min="4092" max="4095" width="14" style="1037" customWidth="1"/>
    <col min="4096" max="4097" width="4.125" style="1037" customWidth="1"/>
    <col min="4098" max="4098" width="6.625" style="1037" customWidth="1"/>
    <col min="4099" max="4099" width="14" style="1037" customWidth="1"/>
    <col min="4100" max="4100" width="18.125" style="1037" customWidth="1"/>
    <col min="4101" max="4101" width="23" style="1037" customWidth="1"/>
    <col min="4102" max="4102" width="9.625" style="1037" customWidth="1"/>
    <col min="4103" max="4103" width="20.125" style="1037" customWidth="1"/>
    <col min="4104" max="4105" width="18.375" style="1037" customWidth="1"/>
    <col min="4106" max="4106" width="14.125" style="1037" bestFit="1" customWidth="1"/>
    <col min="4107" max="4107" width="11.125" style="1037" bestFit="1" customWidth="1"/>
    <col min="4108" max="4344" width="9" style="1037"/>
    <col min="4345" max="4346" width="5" style="1037" customWidth="1"/>
    <col min="4347" max="4347" width="27.375" style="1037" customWidth="1"/>
    <col min="4348" max="4351" width="14" style="1037" customWidth="1"/>
    <col min="4352" max="4353" width="4.125" style="1037" customWidth="1"/>
    <col min="4354" max="4354" width="6.625" style="1037" customWidth="1"/>
    <col min="4355" max="4355" width="14" style="1037" customWidth="1"/>
    <col min="4356" max="4356" width="18.125" style="1037" customWidth="1"/>
    <col min="4357" max="4357" width="23" style="1037" customWidth="1"/>
    <col min="4358" max="4358" width="9.625" style="1037" customWidth="1"/>
    <col min="4359" max="4359" width="20.125" style="1037" customWidth="1"/>
    <col min="4360" max="4361" width="18.375" style="1037" customWidth="1"/>
    <col min="4362" max="4362" width="14.125" style="1037" bestFit="1" customWidth="1"/>
    <col min="4363" max="4363" width="11.125" style="1037" bestFit="1" customWidth="1"/>
    <col min="4364" max="4600" width="9" style="1037"/>
    <col min="4601" max="4602" width="5" style="1037" customWidth="1"/>
    <col min="4603" max="4603" width="27.375" style="1037" customWidth="1"/>
    <col min="4604" max="4607" width="14" style="1037" customWidth="1"/>
    <col min="4608" max="4609" width="4.125" style="1037" customWidth="1"/>
    <col min="4610" max="4610" width="6.625" style="1037" customWidth="1"/>
    <col min="4611" max="4611" width="14" style="1037" customWidth="1"/>
    <col min="4612" max="4612" width="18.125" style="1037" customWidth="1"/>
    <col min="4613" max="4613" width="23" style="1037" customWidth="1"/>
    <col min="4614" max="4614" width="9.625" style="1037" customWidth="1"/>
    <col min="4615" max="4615" width="20.125" style="1037" customWidth="1"/>
    <col min="4616" max="4617" width="18.375" style="1037" customWidth="1"/>
    <col min="4618" max="4618" width="14.125" style="1037" bestFit="1" customWidth="1"/>
    <col min="4619" max="4619" width="11.125" style="1037" bestFit="1" customWidth="1"/>
    <col min="4620" max="4856" width="9" style="1037"/>
    <col min="4857" max="4858" width="5" style="1037" customWidth="1"/>
    <col min="4859" max="4859" width="27.375" style="1037" customWidth="1"/>
    <col min="4860" max="4863" width="14" style="1037" customWidth="1"/>
    <col min="4864" max="4865" width="4.125" style="1037" customWidth="1"/>
    <col min="4866" max="4866" width="6.625" style="1037" customWidth="1"/>
    <col min="4867" max="4867" width="14" style="1037" customWidth="1"/>
    <col min="4868" max="4868" width="18.125" style="1037" customWidth="1"/>
    <col min="4869" max="4869" width="23" style="1037" customWidth="1"/>
    <col min="4870" max="4870" width="9.625" style="1037" customWidth="1"/>
    <col min="4871" max="4871" width="20.125" style="1037" customWidth="1"/>
    <col min="4872" max="4873" width="18.375" style="1037" customWidth="1"/>
    <col min="4874" max="4874" width="14.125" style="1037" bestFit="1" customWidth="1"/>
    <col min="4875" max="4875" width="11.125" style="1037" bestFit="1" customWidth="1"/>
    <col min="4876" max="5112" width="9" style="1037"/>
    <col min="5113" max="5114" width="5" style="1037" customWidth="1"/>
    <col min="5115" max="5115" width="27.375" style="1037" customWidth="1"/>
    <col min="5116" max="5119" width="14" style="1037" customWidth="1"/>
    <col min="5120" max="5121" width="4.125" style="1037" customWidth="1"/>
    <col min="5122" max="5122" width="6.625" style="1037" customWidth="1"/>
    <col min="5123" max="5123" width="14" style="1037" customWidth="1"/>
    <col min="5124" max="5124" width="18.125" style="1037" customWidth="1"/>
    <col min="5125" max="5125" width="23" style="1037" customWidth="1"/>
    <col min="5126" max="5126" width="9.625" style="1037" customWidth="1"/>
    <col min="5127" max="5127" width="20.125" style="1037" customWidth="1"/>
    <col min="5128" max="5129" width="18.375" style="1037" customWidth="1"/>
    <col min="5130" max="5130" width="14.125" style="1037" bestFit="1" customWidth="1"/>
    <col min="5131" max="5131" width="11.125" style="1037" bestFit="1" customWidth="1"/>
    <col min="5132" max="5368" width="9" style="1037"/>
    <col min="5369" max="5370" width="5" style="1037" customWidth="1"/>
    <col min="5371" max="5371" width="27.375" style="1037" customWidth="1"/>
    <col min="5372" max="5375" width="14" style="1037" customWidth="1"/>
    <col min="5376" max="5377" width="4.125" style="1037" customWidth="1"/>
    <col min="5378" max="5378" width="6.625" style="1037" customWidth="1"/>
    <col min="5379" max="5379" width="14" style="1037" customWidth="1"/>
    <col min="5380" max="5380" width="18.125" style="1037" customWidth="1"/>
    <col min="5381" max="5381" width="23" style="1037" customWidth="1"/>
    <col min="5382" max="5382" width="9.625" style="1037" customWidth="1"/>
    <col min="5383" max="5383" width="20.125" style="1037" customWidth="1"/>
    <col min="5384" max="5385" width="18.375" style="1037" customWidth="1"/>
    <col min="5386" max="5386" width="14.125" style="1037" bestFit="1" customWidth="1"/>
    <col min="5387" max="5387" width="11.125" style="1037" bestFit="1" customWidth="1"/>
    <col min="5388" max="5624" width="9" style="1037"/>
    <col min="5625" max="5626" width="5" style="1037" customWidth="1"/>
    <col min="5627" max="5627" width="27.375" style="1037" customWidth="1"/>
    <col min="5628" max="5631" width="14" style="1037" customWidth="1"/>
    <col min="5632" max="5633" width="4.125" style="1037" customWidth="1"/>
    <col min="5634" max="5634" width="6.625" style="1037" customWidth="1"/>
    <col min="5635" max="5635" width="14" style="1037" customWidth="1"/>
    <col min="5636" max="5636" width="18.125" style="1037" customWidth="1"/>
    <col min="5637" max="5637" width="23" style="1037" customWidth="1"/>
    <col min="5638" max="5638" width="9.625" style="1037" customWidth="1"/>
    <col min="5639" max="5639" width="20.125" style="1037" customWidth="1"/>
    <col min="5640" max="5641" width="18.375" style="1037" customWidth="1"/>
    <col min="5642" max="5642" width="14.125" style="1037" bestFit="1" customWidth="1"/>
    <col min="5643" max="5643" width="11.125" style="1037" bestFit="1" customWidth="1"/>
    <col min="5644" max="5880" width="9" style="1037"/>
    <col min="5881" max="5882" width="5" style="1037" customWidth="1"/>
    <col min="5883" max="5883" width="27.375" style="1037" customWidth="1"/>
    <col min="5884" max="5887" width="14" style="1037" customWidth="1"/>
    <col min="5888" max="5889" width="4.125" style="1037" customWidth="1"/>
    <col min="5890" max="5890" width="6.625" style="1037" customWidth="1"/>
    <col min="5891" max="5891" width="14" style="1037" customWidth="1"/>
    <col min="5892" max="5892" width="18.125" style="1037" customWidth="1"/>
    <col min="5893" max="5893" width="23" style="1037" customWidth="1"/>
    <col min="5894" max="5894" width="9.625" style="1037" customWidth="1"/>
    <col min="5895" max="5895" width="20.125" style="1037" customWidth="1"/>
    <col min="5896" max="5897" width="18.375" style="1037" customWidth="1"/>
    <col min="5898" max="5898" width="14.125" style="1037" bestFit="1" customWidth="1"/>
    <col min="5899" max="5899" width="11.125" style="1037" bestFit="1" customWidth="1"/>
    <col min="5900" max="6136" width="9" style="1037"/>
    <col min="6137" max="6138" width="5" style="1037" customWidth="1"/>
    <col min="6139" max="6139" width="27.375" style="1037" customWidth="1"/>
    <col min="6140" max="6143" width="14" style="1037" customWidth="1"/>
    <col min="6144" max="6145" width="4.125" style="1037" customWidth="1"/>
    <col min="6146" max="6146" width="6.625" style="1037" customWidth="1"/>
    <col min="6147" max="6147" width="14" style="1037" customWidth="1"/>
    <col min="6148" max="6148" width="18.125" style="1037" customWidth="1"/>
    <col min="6149" max="6149" width="23" style="1037" customWidth="1"/>
    <col min="6150" max="6150" width="9.625" style="1037" customWidth="1"/>
    <col min="6151" max="6151" width="20.125" style="1037" customWidth="1"/>
    <col min="6152" max="6153" width="18.375" style="1037" customWidth="1"/>
    <col min="6154" max="6154" width="14.125" style="1037" bestFit="1" customWidth="1"/>
    <col min="6155" max="6155" width="11.125" style="1037" bestFit="1" customWidth="1"/>
    <col min="6156" max="6392" width="9" style="1037"/>
    <col min="6393" max="6394" width="5" style="1037" customWidth="1"/>
    <col min="6395" max="6395" width="27.375" style="1037" customWidth="1"/>
    <col min="6396" max="6399" width="14" style="1037" customWidth="1"/>
    <col min="6400" max="6401" width="4.125" style="1037" customWidth="1"/>
    <col min="6402" max="6402" width="6.625" style="1037" customWidth="1"/>
    <col min="6403" max="6403" width="14" style="1037" customWidth="1"/>
    <col min="6404" max="6404" width="18.125" style="1037" customWidth="1"/>
    <col min="6405" max="6405" width="23" style="1037" customWidth="1"/>
    <col min="6406" max="6406" width="9.625" style="1037" customWidth="1"/>
    <col min="6407" max="6407" width="20.125" style="1037" customWidth="1"/>
    <col min="6408" max="6409" width="18.375" style="1037" customWidth="1"/>
    <col min="6410" max="6410" width="14.125" style="1037" bestFit="1" customWidth="1"/>
    <col min="6411" max="6411" width="11.125" style="1037" bestFit="1" customWidth="1"/>
    <col min="6412" max="6648" width="9" style="1037"/>
    <col min="6649" max="6650" width="5" style="1037" customWidth="1"/>
    <col min="6651" max="6651" width="27.375" style="1037" customWidth="1"/>
    <col min="6652" max="6655" width="14" style="1037" customWidth="1"/>
    <col min="6656" max="6657" width="4.125" style="1037" customWidth="1"/>
    <col min="6658" max="6658" width="6.625" style="1037" customWidth="1"/>
    <col min="6659" max="6659" width="14" style="1037" customWidth="1"/>
    <col min="6660" max="6660" width="18.125" style="1037" customWidth="1"/>
    <col min="6661" max="6661" width="23" style="1037" customWidth="1"/>
    <col min="6662" max="6662" width="9.625" style="1037" customWidth="1"/>
    <col min="6663" max="6663" width="20.125" style="1037" customWidth="1"/>
    <col min="6664" max="6665" width="18.375" style="1037" customWidth="1"/>
    <col min="6666" max="6666" width="14.125" style="1037" bestFit="1" customWidth="1"/>
    <col min="6667" max="6667" width="11.125" style="1037" bestFit="1" customWidth="1"/>
    <col min="6668" max="6904" width="9" style="1037"/>
    <col min="6905" max="6906" width="5" style="1037" customWidth="1"/>
    <col min="6907" max="6907" width="27.375" style="1037" customWidth="1"/>
    <col min="6908" max="6911" width="14" style="1037" customWidth="1"/>
    <col min="6912" max="6913" width="4.125" style="1037" customWidth="1"/>
    <col min="6914" max="6914" width="6.625" style="1037" customWidth="1"/>
    <col min="6915" max="6915" width="14" style="1037" customWidth="1"/>
    <col min="6916" max="6916" width="18.125" style="1037" customWidth="1"/>
    <col min="6917" max="6917" width="23" style="1037" customWidth="1"/>
    <col min="6918" max="6918" width="9.625" style="1037" customWidth="1"/>
    <col min="6919" max="6919" width="20.125" style="1037" customWidth="1"/>
    <col min="6920" max="6921" width="18.375" style="1037" customWidth="1"/>
    <col min="6922" max="6922" width="14.125" style="1037" bestFit="1" customWidth="1"/>
    <col min="6923" max="6923" width="11.125" style="1037" bestFit="1" customWidth="1"/>
    <col min="6924" max="7160" width="9" style="1037"/>
    <col min="7161" max="7162" width="5" style="1037" customWidth="1"/>
    <col min="7163" max="7163" width="27.375" style="1037" customWidth="1"/>
    <col min="7164" max="7167" width="14" style="1037" customWidth="1"/>
    <col min="7168" max="7169" width="4.125" style="1037" customWidth="1"/>
    <col min="7170" max="7170" width="6.625" style="1037" customWidth="1"/>
    <col min="7171" max="7171" width="14" style="1037" customWidth="1"/>
    <col min="7172" max="7172" width="18.125" style="1037" customWidth="1"/>
    <col min="7173" max="7173" width="23" style="1037" customWidth="1"/>
    <col min="7174" max="7174" width="9.625" style="1037" customWidth="1"/>
    <col min="7175" max="7175" width="20.125" style="1037" customWidth="1"/>
    <col min="7176" max="7177" width="18.375" style="1037" customWidth="1"/>
    <col min="7178" max="7178" width="14.125" style="1037" bestFit="1" customWidth="1"/>
    <col min="7179" max="7179" width="11.125" style="1037" bestFit="1" customWidth="1"/>
    <col min="7180" max="7416" width="9" style="1037"/>
    <col min="7417" max="7418" width="5" style="1037" customWidth="1"/>
    <col min="7419" max="7419" width="27.375" style="1037" customWidth="1"/>
    <col min="7420" max="7423" width="14" style="1037" customWidth="1"/>
    <col min="7424" max="7425" width="4.125" style="1037" customWidth="1"/>
    <col min="7426" max="7426" width="6.625" style="1037" customWidth="1"/>
    <col min="7427" max="7427" width="14" style="1037" customWidth="1"/>
    <col min="7428" max="7428" width="18.125" style="1037" customWidth="1"/>
    <col min="7429" max="7429" width="23" style="1037" customWidth="1"/>
    <col min="7430" max="7430" width="9.625" style="1037" customWidth="1"/>
    <col min="7431" max="7431" width="20.125" style="1037" customWidth="1"/>
    <col min="7432" max="7433" width="18.375" style="1037" customWidth="1"/>
    <col min="7434" max="7434" width="14.125" style="1037" bestFit="1" customWidth="1"/>
    <col min="7435" max="7435" width="11.125" style="1037" bestFit="1" customWidth="1"/>
    <col min="7436" max="7672" width="9" style="1037"/>
    <col min="7673" max="7674" width="5" style="1037" customWidth="1"/>
    <col min="7675" max="7675" width="27.375" style="1037" customWidth="1"/>
    <col min="7676" max="7679" width="14" style="1037" customWidth="1"/>
    <col min="7680" max="7681" width="4.125" style="1037" customWidth="1"/>
    <col min="7682" max="7682" width="6.625" style="1037" customWidth="1"/>
    <col min="7683" max="7683" width="14" style="1037" customWidth="1"/>
    <col min="7684" max="7684" width="18.125" style="1037" customWidth="1"/>
    <col min="7685" max="7685" width="23" style="1037" customWidth="1"/>
    <col min="7686" max="7686" width="9.625" style="1037" customWidth="1"/>
    <col min="7687" max="7687" width="20.125" style="1037" customWidth="1"/>
    <col min="7688" max="7689" width="18.375" style="1037" customWidth="1"/>
    <col min="7690" max="7690" width="14.125" style="1037" bestFit="1" customWidth="1"/>
    <col min="7691" max="7691" width="11.125" style="1037" bestFit="1" customWidth="1"/>
    <col min="7692" max="7928" width="9" style="1037"/>
    <col min="7929" max="7930" width="5" style="1037" customWidth="1"/>
    <col min="7931" max="7931" width="27.375" style="1037" customWidth="1"/>
    <col min="7932" max="7935" width="14" style="1037" customWidth="1"/>
    <col min="7936" max="7937" width="4.125" style="1037" customWidth="1"/>
    <col min="7938" max="7938" width="6.625" style="1037" customWidth="1"/>
    <col min="7939" max="7939" width="14" style="1037" customWidth="1"/>
    <col min="7940" max="7940" width="18.125" style="1037" customWidth="1"/>
    <col min="7941" max="7941" width="23" style="1037" customWidth="1"/>
    <col min="7942" max="7942" width="9.625" style="1037" customWidth="1"/>
    <col min="7943" max="7943" width="20.125" style="1037" customWidth="1"/>
    <col min="7944" max="7945" width="18.375" style="1037" customWidth="1"/>
    <col min="7946" max="7946" width="14.125" style="1037" bestFit="1" customWidth="1"/>
    <col min="7947" max="7947" width="11.125" style="1037" bestFit="1" customWidth="1"/>
    <col min="7948" max="8184" width="9" style="1037"/>
    <col min="8185" max="8186" width="5" style="1037" customWidth="1"/>
    <col min="8187" max="8187" width="27.375" style="1037" customWidth="1"/>
    <col min="8188" max="8191" width="14" style="1037" customWidth="1"/>
    <col min="8192" max="8193" width="4.125" style="1037" customWidth="1"/>
    <col min="8194" max="8194" width="6.625" style="1037" customWidth="1"/>
    <col min="8195" max="8195" width="14" style="1037" customWidth="1"/>
    <col min="8196" max="8196" width="18.125" style="1037" customWidth="1"/>
    <col min="8197" max="8197" width="23" style="1037" customWidth="1"/>
    <col min="8198" max="8198" width="9.625" style="1037" customWidth="1"/>
    <col min="8199" max="8199" width="20.125" style="1037" customWidth="1"/>
    <col min="8200" max="8201" width="18.375" style="1037" customWidth="1"/>
    <col min="8202" max="8202" width="14.125" style="1037" bestFit="1" customWidth="1"/>
    <col min="8203" max="8203" width="11.125" style="1037" bestFit="1" customWidth="1"/>
    <col min="8204" max="8440" width="9" style="1037"/>
    <col min="8441" max="8442" width="5" style="1037" customWidth="1"/>
    <col min="8443" max="8443" width="27.375" style="1037" customWidth="1"/>
    <col min="8444" max="8447" width="14" style="1037" customWidth="1"/>
    <col min="8448" max="8449" width="4.125" style="1037" customWidth="1"/>
    <col min="8450" max="8450" width="6.625" style="1037" customWidth="1"/>
    <col min="8451" max="8451" width="14" style="1037" customWidth="1"/>
    <col min="8452" max="8452" width="18.125" style="1037" customWidth="1"/>
    <col min="8453" max="8453" width="23" style="1037" customWidth="1"/>
    <col min="8454" max="8454" width="9.625" style="1037" customWidth="1"/>
    <col min="8455" max="8455" width="20.125" style="1037" customWidth="1"/>
    <col min="8456" max="8457" width="18.375" style="1037" customWidth="1"/>
    <col min="8458" max="8458" width="14.125" style="1037" bestFit="1" customWidth="1"/>
    <col min="8459" max="8459" width="11.125" style="1037" bestFit="1" customWidth="1"/>
    <col min="8460" max="8696" width="9" style="1037"/>
    <col min="8697" max="8698" width="5" style="1037" customWidth="1"/>
    <col min="8699" max="8699" width="27.375" style="1037" customWidth="1"/>
    <col min="8700" max="8703" width="14" style="1037" customWidth="1"/>
    <col min="8704" max="8705" width="4.125" style="1037" customWidth="1"/>
    <col min="8706" max="8706" width="6.625" style="1037" customWidth="1"/>
    <col min="8707" max="8707" width="14" style="1037" customWidth="1"/>
    <col min="8708" max="8708" width="18.125" style="1037" customWidth="1"/>
    <col min="8709" max="8709" width="23" style="1037" customWidth="1"/>
    <col min="8710" max="8710" width="9.625" style="1037" customWidth="1"/>
    <col min="8711" max="8711" width="20.125" style="1037" customWidth="1"/>
    <col min="8712" max="8713" width="18.375" style="1037" customWidth="1"/>
    <col min="8714" max="8714" width="14.125" style="1037" bestFit="1" customWidth="1"/>
    <col min="8715" max="8715" width="11.125" style="1037" bestFit="1" customWidth="1"/>
    <col min="8716" max="8952" width="9" style="1037"/>
    <col min="8953" max="8954" width="5" style="1037" customWidth="1"/>
    <col min="8955" max="8955" width="27.375" style="1037" customWidth="1"/>
    <col min="8956" max="8959" width="14" style="1037" customWidth="1"/>
    <col min="8960" max="8961" width="4.125" style="1037" customWidth="1"/>
    <col min="8962" max="8962" width="6.625" style="1037" customWidth="1"/>
    <col min="8963" max="8963" width="14" style="1037" customWidth="1"/>
    <col min="8964" max="8964" width="18.125" style="1037" customWidth="1"/>
    <col min="8965" max="8965" width="23" style="1037" customWidth="1"/>
    <col min="8966" max="8966" width="9.625" style="1037" customWidth="1"/>
    <col min="8967" max="8967" width="20.125" style="1037" customWidth="1"/>
    <col min="8968" max="8969" width="18.375" style="1037" customWidth="1"/>
    <col min="8970" max="8970" width="14.125" style="1037" bestFit="1" customWidth="1"/>
    <col min="8971" max="8971" width="11.125" style="1037" bestFit="1" customWidth="1"/>
    <col min="8972" max="9208" width="9" style="1037"/>
    <col min="9209" max="9210" width="5" style="1037" customWidth="1"/>
    <col min="9211" max="9211" width="27.375" style="1037" customWidth="1"/>
    <col min="9212" max="9215" width="14" style="1037" customWidth="1"/>
    <col min="9216" max="9217" width="4.125" style="1037" customWidth="1"/>
    <col min="9218" max="9218" width="6.625" style="1037" customWidth="1"/>
    <col min="9219" max="9219" width="14" style="1037" customWidth="1"/>
    <col min="9220" max="9220" width="18.125" style="1037" customWidth="1"/>
    <col min="9221" max="9221" width="23" style="1037" customWidth="1"/>
    <col min="9222" max="9222" width="9.625" style="1037" customWidth="1"/>
    <col min="9223" max="9223" width="20.125" style="1037" customWidth="1"/>
    <col min="9224" max="9225" width="18.375" style="1037" customWidth="1"/>
    <col min="9226" max="9226" width="14.125" style="1037" bestFit="1" customWidth="1"/>
    <col min="9227" max="9227" width="11.125" style="1037" bestFit="1" customWidth="1"/>
    <col min="9228" max="9464" width="9" style="1037"/>
    <col min="9465" max="9466" width="5" style="1037" customWidth="1"/>
    <col min="9467" max="9467" width="27.375" style="1037" customWidth="1"/>
    <col min="9468" max="9471" width="14" style="1037" customWidth="1"/>
    <col min="9472" max="9473" width="4.125" style="1037" customWidth="1"/>
    <col min="9474" max="9474" width="6.625" style="1037" customWidth="1"/>
    <col min="9475" max="9475" width="14" style="1037" customWidth="1"/>
    <col min="9476" max="9476" width="18.125" style="1037" customWidth="1"/>
    <col min="9477" max="9477" width="23" style="1037" customWidth="1"/>
    <col min="9478" max="9478" width="9.625" style="1037" customWidth="1"/>
    <col min="9479" max="9479" width="20.125" style="1037" customWidth="1"/>
    <col min="9480" max="9481" width="18.375" style="1037" customWidth="1"/>
    <col min="9482" max="9482" width="14.125" style="1037" bestFit="1" customWidth="1"/>
    <col min="9483" max="9483" width="11.125" style="1037" bestFit="1" customWidth="1"/>
    <col min="9484" max="9720" width="9" style="1037"/>
    <col min="9721" max="9722" width="5" style="1037" customWidth="1"/>
    <col min="9723" max="9723" width="27.375" style="1037" customWidth="1"/>
    <col min="9724" max="9727" width="14" style="1037" customWidth="1"/>
    <col min="9728" max="9729" width="4.125" style="1037" customWidth="1"/>
    <col min="9730" max="9730" width="6.625" style="1037" customWidth="1"/>
    <col min="9731" max="9731" width="14" style="1037" customWidth="1"/>
    <col min="9732" max="9732" width="18.125" style="1037" customWidth="1"/>
    <col min="9733" max="9733" width="23" style="1037" customWidth="1"/>
    <col min="9734" max="9734" width="9.625" style="1037" customWidth="1"/>
    <col min="9735" max="9735" width="20.125" style="1037" customWidth="1"/>
    <col min="9736" max="9737" width="18.375" style="1037" customWidth="1"/>
    <col min="9738" max="9738" width="14.125" style="1037" bestFit="1" customWidth="1"/>
    <col min="9739" max="9739" width="11.125" style="1037" bestFit="1" customWidth="1"/>
    <col min="9740" max="9976" width="9" style="1037"/>
    <col min="9977" max="9978" width="5" style="1037" customWidth="1"/>
    <col min="9979" max="9979" width="27.375" style="1037" customWidth="1"/>
    <col min="9980" max="9983" width="14" style="1037" customWidth="1"/>
    <col min="9984" max="9985" width="4.125" style="1037" customWidth="1"/>
    <col min="9986" max="9986" width="6.625" style="1037" customWidth="1"/>
    <col min="9987" max="9987" width="14" style="1037" customWidth="1"/>
    <col min="9988" max="9988" width="18.125" style="1037" customWidth="1"/>
    <col min="9989" max="9989" width="23" style="1037" customWidth="1"/>
    <col min="9990" max="9990" width="9.625" style="1037" customWidth="1"/>
    <col min="9991" max="9991" width="20.125" style="1037" customWidth="1"/>
    <col min="9992" max="9993" width="18.375" style="1037" customWidth="1"/>
    <col min="9994" max="9994" width="14.125" style="1037" bestFit="1" customWidth="1"/>
    <col min="9995" max="9995" width="11.125" style="1037" bestFit="1" customWidth="1"/>
    <col min="9996" max="10232" width="9" style="1037"/>
    <col min="10233" max="10234" width="5" style="1037" customWidth="1"/>
    <col min="10235" max="10235" width="27.375" style="1037" customWidth="1"/>
    <col min="10236" max="10239" width="14" style="1037" customWidth="1"/>
    <col min="10240" max="10241" width="4.125" style="1037" customWidth="1"/>
    <col min="10242" max="10242" width="6.625" style="1037" customWidth="1"/>
    <col min="10243" max="10243" width="14" style="1037" customWidth="1"/>
    <col min="10244" max="10244" width="18.125" style="1037" customWidth="1"/>
    <col min="10245" max="10245" width="23" style="1037" customWidth="1"/>
    <col min="10246" max="10246" width="9.625" style="1037" customWidth="1"/>
    <col min="10247" max="10247" width="20.125" style="1037" customWidth="1"/>
    <col min="10248" max="10249" width="18.375" style="1037" customWidth="1"/>
    <col min="10250" max="10250" width="14.125" style="1037" bestFit="1" customWidth="1"/>
    <col min="10251" max="10251" width="11.125" style="1037" bestFit="1" customWidth="1"/>
    <col min="10252" max="10488" width="9" style="1037"/>
    <col min="10489" max="10490" width="5" style="1037" customWidth="1"/>
    <col min="10491" max="10491" width="27.375" style="1037" customWidth="1"/>
    <col min="10492" max="10495" width="14" style="1037" customWidth="1"/>
    <col min="10496" max="10497" width="4.125" style="1037" customWidth="1"/>
    <col min="10498" max="10498" width="6.625" style="1037" customWidth="1"/>
    <col min="10499" max="10499" width="14" style="1037" customWidth="1"/>
    <col min="10500" max="10500" width="18.125" style="1037" customWidth="1"/>
    <col min="10501" max="10501" width="23" style="1037" customWidth="1"/>
    <col min="10502" max="10502" width="9.625" style="1037" customWidth="1"/>
    <col min="10503" max="10503" width="20.125" style="1037" customWidth="1"/>
    <col min="10504" max="10505" width="18.375" style="1037" customWidth="1"/>
    <col min="10506" max="10506" width="14.125" style="1037" bestFit="1" customWidth="1"/>
    <col min="10507" max="10507" width="11.125" style="1037" bestFit="1" customWidth="1"/>
    <col min="10508" max="10744" width="9" style="1037"/>
    <col min="10745" max="10746" width="5" style="1037" customWidth="1"/>
    <col min="10747" max="10747" width="27.375" style="1037" customWidth="1"/>
    <col min="10748" max="10751" width="14" style="1037" customWidth="1"/>
    <col min="10752" max="10753" width="4.125" style="1037" customWidth="1"/>
    <col min="10754" max="10754" width="6.625" style="1037" customWidth="1"/>
    <col min="10755" max="10755" width="14" style="1037" customWidth="1"/>
    <col min="10756" max="10756" width="18.125" style="1037" customWidth="1"/>
    <col min="10757" max="10757" width="23" style="1037" customWidth="1"/>
    <col min="10758" max="10758" width="9.625" style="1037" customWidth="1"/>
    <col min="10759" max="10759" width="20.125" style="1037" customWidth="1"/>
    <col min="10760" max="10761" width="18.375" style="1037" customWidth="1"/>
    <col min="10762" max="10762" width="14.125" style="1037" bestFit="1" customWidth="1"/>
    <col min="10763" max="10763" width="11.125" style="1037" bestFit="1" customWidth="1"/>
    <col min="10764" max="11000" width="9" style="1037"/>
    <col min="11001" max="11002" width="5" style="1037" customWidth="1"/>
    <col min="11003" max="11003" width="27.375" style="1037" customWidth="1"/>
    <col min="11004" max="11007" width="14" style="1037" customWidth="1"/>
    <col min="11008" max="11009" width="4.125" style="1037" customWidth="1"/>
    <col min="11010" max="11010" width="6.625" style="1037" customWidth="1"/>
    <col min="11011" max="11011" width="14" style="1037" customWidth="1"/>
    <col min="11012" max="11012" width="18.125" style="1037" customWidth="1"/>
    <col min="11013" max="11013" width="23" style="1037" customWidth="1"/>
    <col min="11014" max="11014" width="9.625" style="1037" customWidth="1"/>
    <col min="11015" max="11015" width="20.125" style="1037" customWidth="1"/>
    <col min="11016" max="11017" width="18.375" style="1037" customWidth="1"/>
    <col min="11018" max="11018" width="14.125" style="1037" bestFit="1" customWidth="1"/>
    <col min="11019" max="11019" width="11.125" style="1037" bestFit="1" customWidth="1"/>
    <col min="11020" max="11256" width="9" style="1037"/>
    <col min="11257" max="11258" width="5" style="1037" customWidth="1"/>
    <col min="11259" max="11259" width="27.375" style="1037" customWidth="1"/>
    <col min="11260" max="11263" width="14" style="1037" customWidth="1"/>
    <col min="11264" max="11265" width="4.125" style="1037" customWidth="1"/>
    <col min="11266" max="11266" width="6.625" style="1037" customWidth="1"/>
    <col min="11267" max="11267" width="14" style="1037" customWidth="1"/>
    <col min="11268" max="11268" width="18.125" style="1037" customWidth="1"/>
    <col min="11269" max="11269" width="23" style="1037" customWidth="1"/>
    <col min="11270" max="11270" width="9.625" style="1037" customWidth="1"/>
    <col min="11271" max="11271" width="20.125" style="1037" customWidth="1"/>
    <col min="11272" max="11273" width="18.375" style="1037" customWidth="1"/>
    <col min="11274" max="11274" width="14.125" style="1037" bestFit="1" customWidth="1"/>
    <col min="11275" max="11275" width="11.125" style="1037" bestFit="1" customWidth="1"/>
    <col min="11276" max="11512" width="9" style="1037"/>
    <col min="11513" max="11514" width="5" style="1037" customWidth="1"/>
    <col min="11515" max="11515" width="27.375" style="1037" customWidth="1"/>
    <col min="11516" max="11519" width="14" style="1037" customWidth="1"/>
    <col min="11520" max="11521" width="4.125" style="1037" customWidth="1"/>
    <col min="11522" max="11522" width="6.625" style="1037" customWidth="1"/>
    <col min="11523" max="11523" width="14" style="1037" customWidth="1"/>
    <col min="11524" max="11524" width="18.125" style="1037" customWidth="1"/>
    <col min="11525" max="11525" width="23" style="1037" customWidth="1"/>
    <col min="11526" max="11526" width="9.625" style="1037" customWidth="1"/>
    <col min="11527" max="11527" width="20.125" style="1037" customWidth="1"/>
    <col min="11528" max="11529" width="18.375" style="1037" customWidth="1"/>
    <col min="11530" max="11530" width="14.125" style="1037" bestFit="1" customWidth="1"/>
    <col min="11531" max="11531" width="11.125" style="1037" bestFit="1" customWidth="1"/>
    <col min="11532" max="11768" width="9" style="1037"/>
    <col min="11769" max="11770" width="5" style="1037" customWidth="1"/>
    <col min="11771" max="11771" width="27.375" style="1037" customWidth="1"/>
    <col min="11772" max="11775" width="14" style="1037" customWidth="1"/>
    <col min="11776" max="11777" width="4.125" style="1037" customWidth="1"/>
    <col min="11778" max="11778" width="6.625" style="1037" customWidth="1"/>
    <col min="11779" max="11779" width="14" style="1037" customWidth="1"/>
    <col min="11780" max="11780" width="18.125" style="1037" customWidth="1"/>
    <col min="11781" max="11781" width="23" style="1037" customWidth="1"/>
    <col min="11782" max="11782" width="9.625" style="1037" customWidth="1"/>
    <col min="11783" max="11783" width="20.125" style="1037" customWidth="1"/>
    <col min="11784" max="11785" width="18.375" style="1037" customWidth="1"/>
    <col min="11786" max="11786" width="14.125" style="1037" bestFit="1" customWidth="1"/>
    <col min="11787" max="11787" width="11.125" style="1037" bestFit="1" customWidth="1"/>
    <col min="11788" max="12024" width="9" style="1037"/>
    <col min="12025" max="12026" width="5" style="1037" customWidth="1"/>
    <col min="12027" max="12027" width="27.375" style="1037" customWidth="1"/>
    <col min="12028" max="12031" width="14" style="1037" customWidth="1"/>
    <col min="12032" max="12033" width="4.125" style="1037" customWidth="1"/>
    <col min="12034" max="12034" width="6.625" style="1037" customWidth="1"/>
    <col min="12035" max="12035" width="14" style="1037" customWidth="1"/>
    <col min="12036" max="12036" width="18.125" style="1037" customWidth="1"/>
    <col min="12037" max="12037" width="23" style="1037" customWidth="1"/>
    <col min="12038" max="12038" width="9.625" style="1037" customWidth="1"/>
    <col min="12039" max="12039" width="20.125" style="1037" customWidth="1"/>
    <col min="12040" max="12041" width="18.375" style="1037" customWidth="1"/>
    <col min="12042" max="12042" width="14.125" style="1037" bestFit="1" customWidth="1"/>
    <col min="12043" max="12043" width="11.125" style="1037" bestFit="1" customWidth="1"/>
    <col min="12044" max="12280" width="9" style="1037"/>
    <col min="12281" max="12282" width="5" style="1037" customWidth="1"/>
    <col min="12283" max="12283" width="27.375" style="1037" customWidth="1"/>
    <col min="12284" max="12287" width="14" style="1037" customWidth="1"/>
    <col min="12288" max="12289" width="4.125" style="1037" customWidth="1"/>
    <col min="12290" max="12290" width="6.625" style="1037" customWidth="1"/>
    <col min="12291" max="12291" width="14" style="1037" customWidth="1"/>
    <col min="12292" max="12292" width="18.125" style="1037" customWidth="1"/>
    <col min="12293" max="12293" width="23" style="1037" customWidth="1"/>
    <col min="12294" max="12294" width="9.625" style="1037" customWidth="1"/>
    <col min="12295" max="12295" width="20.125" style="1037" customWidth="1"/>
    <col min="12296" max="12297" width="18.375" style="1037" customWidth="1"/>
    <col min="12298" max="12298" width="14.125" style="1037" bestFit="1" customWidth="1"/>
    <col min="12299" max="12299" width="11.125" style="1037" bestFit="1" customWidth="1"/>
    <col min="12300" max="12536" width="9" style="1037"/>
    <col min="12537" max="12538" width="5" style="1037" customWidth="1"/>
    <col min="12539" max="12539" width="27.375" style="1037" customWidth="1"/>
    <col min="12540" max="12543" width="14" style="1037" customWidth="1"/>
    <col min="12544" max="12545" width="4.125" style="1037" customWidth="1"/>
    <col min="12546" max="12546" width="6.625" style="1037" customWidth="1"/>
    <col min="12547" max="12547" width="14" style="1037" customWidth="1"/>
    <col min="12548" max="12548" width="18.125" style="1037" customWidth="1"/>
    <col min="12549" max="12549" width="23" style="1037" customWidth="1"/>
    <col min="12550" max="12550" width="9.625" style="1037" customWidth="1"/>
    <col min="12551" max="12551" width="20.125" style="1037" customWidth="1"/>
    <col min="12552" max="12553" width="18.375" style="1037" customWidth="1"/>
    <col min="12554" max="12554" width="14.125" style="1037" bestFit="1" customWidth="1"/>
    <col min="12555" max="12555" width="11.125" style="1037" bestFit="1" customWidth="1"/>
    <col min="12556" max="12792" width="9" style="1037"/>
    <col min="12793" max="12794" width="5" style="1037" customWidth="1"/>
    <col min="12795" max="12795" width="27.375" style="1037" customWidth="1"/>
    <col min="12796" max="12799" width="14" style="1037" customWidth="1"/>
    <col min="12800" max="12801" width="4.125" style="1037" customWidth="1"/>
    <col min="12802" max="12802" width="6.625" style="1037" customWidth="1"/>
    <col min="12803" max="12803" width="14" style="1037" customWidth="1"/>
    <col min="12804" max="12804" width="18.125" style="1037" customWidth="1"/>
    <col min="12805" max="12805" width="23" style="1037" customWidth="1"/>
    <col min="12806" max="12806" width="9.625" style="1037" customWidth="1"/>
    <col min="12807" max="12807" width="20.125" style="1037" customWidth="1"/>
    <col min="12808" max="12809" width="18.375" style="1037" customWidth="1"/>
    <col min="12810" max="12810" width="14.125" style="1037" bestFit="1" customWidth="1"/>
    <col min="12811" max="12811" width="11.125" style="1037" bestFit="1" customWidth="1"/>
    <col min="12812" max="13048" width="9" style="1037"/>
    <col min="13049" max="13050" width="5" style="1037" customWidth="1"/>
    <col min="13051" max="13051" width="27.375" style="1037" customWidth="1"/>
    <col min="13052" max="13055" width="14" style="1037" customWidth="1"/>
    <col min="13056" max="13057" width="4.125" style="1037" customWidth="1"/>
    <col min="13058" max="13058" width="6.625" style="1037" customWidth="1"/>
    <col min="13059" max="13059" width="14" style="1037" customWidth="1"/>
    <col min="13060" max="13060" width="18.125" style="1037" customWidth="1"/>
    <col min="13061" max="13061" width="23" style="1037" customWidth="1"/>
    <col min="13062" max="13062" width="9.625" style="1037" customWidth="1"/>
    <col min="13063" max="13063" width="20.125" style="1037" customWidth="1"/>
    <col min="13064" max="13065" width="18.375" style="1037" customWidth="1"/>
    <col min="13066" max="13066" width="14.125" style="1037" bestFit="1" customWidth="1"/>
    <col min="13067" max="13067" width="11.125" style="1037" bestFit="1" customWidth="1"/>
    <col min="13068" max="13304" width="9" style="1037"/>
    <col min="13305" max="13306" width="5" style="1037" customWidth="1"/>
    <col min="13307" max="13307" width="27.375" style="1037" customWidth="1"/>
    <col min="13308" max="13311" width="14" style="1037" customWidth="1"/>
    <col min="13312" max="13313" width="4.125" style="1037" customWidth="1"/>
    <col min="13314" max="13314" width="6.625" style="1037" customWidth="1"/>
    <col min="13315" max="13315" width="14" style="1037" customWidth="1"/>
    <col min="13316" max="13316" width="18.125" style="1037" customWidth="1"/>
    <col min="13317" max="13317" width="23" style="1037" customWidth="1"/>
    <col min="13318" max="13318" width="9.625" style="1037" customWidth="1"/>
    <col min="13319" max="13319" width="20.125" style="1037" customWidth="1"/>
    <col min="13320" max="13321" width="18.375" style="1037" customWidth="1"/>
    <col min="13322" max="13322" width="14.125" style="1037" bestFit="1" customWidth="1"/>
    <col min="13323" max="13323" width="11.125" style="1037" bestFit="1" customWidth="1"/>
    <col min="13324" max="13560" width="9" style="1037"/>
    <col min="13561" max="13562" width="5" style="1037" customWidth="1"/>
    <col min="13563" max="13563" width="27.375" style="1037" customWidth="1"/>
    <col min="13564" max="13567" width="14" style="1037" customWidth="1"/>
    <col min="13568" max="13569" width="4.125" style="1037" customWidth="1"/>
    <col min="13570" max="13570" width="6.625" style="1037" customWidth="1"/>
    <col min="13571" max="13571" width="14" style="1037" customWidth="1"/>
    <col min="13572" max="13572" width="18.125" style="1037" customWidth="1"/>
    <col min="13573" max="13573" width="23" style="1037" customWidth="1"/>
    <col min="13574" max="13574" width="9.625" style="1037" customWidth="1"/>
    <col min="13575" max="13575" width="20.125" style="1037" customWidth="1"/>
    <col min="13576" max="13577" width="18.375" style="1037" customWidth="1"/>
    <col min="13578" max="13578" width="14.125" style="1037" bestFit="1" customWidth="1"/>
    <col min="13579" max="13579" width="11.125" style="1037" bestFit="1" customWidth="1"/>
    <col min="13580" max="13816" width="9" style="1037"/>
    <col min="13817" max="13818" width="5" style="1037" customWidth="1"/>
    <col min="13819" max="13819" width="27.375" style="1037" customWidth="1"/>
    <col min="13820" max="13823" width="14" style="1037" customWidth="1"/>
    <col min="13824" max="13825" width="4.125" style="1037" customWidth="1"/>
    <col min="13826" max="13826" width="6.625" style="1037" customWidth="1"/>
    <col min="13827" max="13827" width="14" style="1037" customWidth="1"/>
    <col min="13828" max="13828" width="18.125" style="1037" customWidth="1"/>
    <col min="13829" max="13829" width="23" style="1037" customWidth="1"/>
    <col min="13830" max="13830" width="9.625" style="1037" customWidth="1"/>
    <col min="13831" max="13831" width="20.125" style="1037" customWidth="1"/>
    <col min="13832" max="13833" width="18.375" style="1037" customWidth="1"/>
    <col min="13834" max="13834" width="14.125" style="1037" bestFit="1" customWidth="1"/>
    <col min="13835" max="13835" width="11.125" style="1037" bestFit="1" customWidth="1"/>
    <col min="13836" max="14072" width="9" style="1037"/>
    <col min="14073" max="14074" width="5" style="1037" customWidth="1"/>
    <col min="14075" max="14075" width="27.375" style="1037" customWidth="1"/>
    <col min="14076" max="14079" width="14" style="1037" customWidth="1"/>
    <col min="14080" max="14081" width="4.125" style="1037" customWidth="1"/>
    <col min="14082" max="14082" width="6.625" style="1037" customWidth="1"/>
    <col min="14083" max="14083" width="14" style="1037" customWidth="1"/>
    <col min="14084" max="14084" width="18.125" style="1037" customWidth="1"/>
    <col min="14085" max="14085" width="23" style="1037" customWidth="1"/>
    <col min="14086" max="14086" width="9.625" style="1037" customWidth="1"/>
    <col min="14087" max="14087" width="20.125" style="1037" customWidth="1"/>
    <col min="14088" max="14089" width="18.375" style="1037" customWidth="1"/>
    <col min="14090" max="14090" width="14.125" style="1037" bestFit="1" customWidth="1"/>
    <col min="14091" max="14091" width="11.125" style="1037" bestFit="1" customWidth="1"/>
    <col min="14092" max="14328" width="9" style="1037"/>
    <col min="14329" max="14330" width="5" style="1037" customWidth="1"/>
    <col min="14331" max="14331" width="27.375" style="1037" customWidth="1"/>
    <col min="14332" max="14335" width="14" style="1037" customWidth="1"/>
    <col min="14336" max="14337" width="4.125" style="1037" customWidth="1"/>
    <col min="14338" max="14338" width="6.625" style="1037" customWidth="1"/>
    <col min="14339" max="14339" width="14" style="1037" customWidth="1"/>
    <col min="14340" max="14340" width="18.125" style="1037" customWidth="1"/>
    <col min="14341" max="14341" width="23" style="1037" customWidth="1"/>
    <col min="14342" max="14342" width="9.625" style="1037" customWidth="1"/>
    <col min="14343" max="14343" width="20.125" style="1037" customWidth="1"/>
    <col min="14344" max="14345" width="18.375" style="1037" customWidth="1"/>
    <col min="14346" max="14346" width="14.125" style="1037" bestFit="1" customWidth="1"/>
    <col min="14347" max="14347" width="11.125" style="1037" bestFit="1" customWidth="1"/>
    <col min="14348" max="14584" width="9" style="1037"/>
    <col min="14585" max="14586" width="5" style="1037" customWidth="1"/>
    <col min="14587" max="14587" width="27.375" style="1037" customWidth="1"/>
    <col min="14588" max="14591" width="14" style="1037" customWidth="1"/>
    <col min="14592" max="14593" width="4.125" style="1037" customWidth="1"/>
    <col min="14594" max="14594" width="6.625" style="1037" customWidth="1"/>
    <col min="14595" max="14595" width="14" style="1037" customWidth="1"/>
    <col min="14596" max="14596" width="18.125" style="1037" customWidth="1"/>
    <col min="14597" max="14597" width="23" style="1037" customWidth="1"/>
    <col min="14598" max="14598" width="9.625" style="1037" customWidth="1"/>
    <col min="14599" max="14599" width="20.125" style="1037" customWidth="1"/>
    <col min="14600" max="14601" width="18.375" style="1037" customWidth="1"/>
    <col min="14602" max="14602" width="14.125" style="1037" bestFit="1" customWidth="1"/>
    <col min="14603" max="14603" width="11.125" style="1037" bestFit="1" customWidth="1"/>
    <col min="14604" max="14840" width="9" style="1037"/>
    <col min="14841" max="14842" width="5" style="1037" customWidth="1"/>
    <col min="14843" max="14843" width="27.375" style="1037" customWidth="1"/>
    <col min="14844" max="14847" width="14" style="1037" customWidth="1"/>
    <col min="14848" max="14849" width="4.125" style="1037" customWidth="1"/>
    <col min="14850" max="14850" width="6.625" style="1037" customWidth="1"/>
    <col min="14851" max="14851" width="14" style="1037" customWidth="1"/>
    <col min="14852" max="14852" width="18.125" style="1037" customWidth="1"/>
    <col min="14853" max="14853" width="23" style="1037" customWidth="1"/>
    <col min="14854" max="14854" width="9.625" style="1037" customWidth="1"/>
    <col min="14855" max="14855" width="20.125" style="1037" customWidth="1"/>
    <col min="14856" max="14857" width="18.375" style="1037" customWidth="1"/>
    <col min="14858" max="14858" width="14.125" style="1037" bestFit="1" customWidth="1"/>
    <col min="14859" max="14859" width="11.125" style="1037" bestFit="1" customWidth="1"/>
    <col min="14860" max="15096" width="9" style="1037"/>
    <col min="15097" max="15098" width="5" style="1037" customWidth="1"/>
    <col min="15099" max="15099" width="27.375" style="1037" customWidth="1"/>
    <col min="15100" max="15103" width="14" style="1037" customWidth="1"/>
    <col min="15104" max="15105" width="4.125" style="1037" customWidth="1"/>
    <col min="15106" max="15106" width="6.625" style="1037" customWidth="1"/>
    <col min="15107" max="15107" width="14" style="1037" customWidth="1"/>
    <col min="15108" max="15108" width="18.125" style="1037" customWidth="1"/>
    <col min="15109" max="15109" width="23" style="1037" customWidth="1"/>
    <col min="15110" max="15110" width="9.625" style="1037" customWidth="1"/>
    <col min="15111" max="15111" width="20.125" style="1037" customWidth="1"/>
    <col min="15112" max="15113" width="18.375" style="1037" customWidth="1"/>
    <col min="15114" max="15114" width="14.125" style="1037" bestFit="1" customWidth="1"/>
    <col min="15115" max="15115" width="11.125" style="1037" bestFit="1" customWidth="1"/>
    <col min="15116" max="15352" width="9" style="1037"/>
    <col min="15353" max="15354" width="5" style="1037" customWidth="1"/>
    <col min="15355" max="15355" width="27.375" style="1037" customWidth="1"/>
    <col min="15356" max="15359" width="14" style="1037" customWidth="1"/>
    <col min="15360" max="15361" width="4.125" style="1037" customWidth="1"/>
    <col min="15362" max="15362" width="6.625" style="1037" customWidth="1"/>
    <col min="15363" max="15363" width="14" style="1037" customWidth="1"/>
    <col min="15364" max="15364" width="18.125" style="1037" customWidth="1"/>
    <col min="15365" max="15365" width="23" style="1037" customWidth="1"/>
    <col min="15366" max="15366" width="9.625" style="1037" customWidth="1"/>
    <col min="15367" max="15367" width="20.125" style="1037" customWidth="1"/>
    <col min="15368" max="15369" width="18.375" style="1037" customWidth="1"/>
    <col min="15370" max="15370" width="14.125" style="1037" bestFit="1" customWidth="1"/>
    <col min="15371" max="15371" width="11.125" style="1037" bestFit="1" customWidth="1"/>
    <col min="15372" max="15608" width="9" style="1037"/>
    <col min="15609" max="15610" width="5" style="1037" customWidth="1"/>
    <col min="15611" max="15611" width="27.375" style="1037" customWidth="1"/>
    <col min="15612" max="15615" width="14" style="1037" customWidth="1"/>
    <col min="15616" max="15617" width="4.125" style="1037" customWidth="1"/>
    <col min="15618" max="15618" width="6.625" style="1037" customWidth="1"/>
    <col min="15619" max="15619" width="14" style="1037" customWidth="1"/>
    <col min="15620" max="15620" width="18.125" style="1037" customWidth="1"/>
    <col min="15621" max="15621" width="23" style="1037" customWidth="1"/>
    <col min="15622" max="15622" width="9.625" style="1037" customWidth="1"/>
    <col min="15623" max="15623" width="20.125" style="1037" customWidth="1"/>
    <col min="15624" max="15625" width="18.375" style="1037" customWidth="1"/>
    <col min="15626" max="15626" width="14.125" style="1037" bestFit="1" customWidth="1"/>
    <col min="15627" max="15627" width="11.125" style="1037" bestFit="1" customWidth="1"/>
    <col min="15628" max="15864" width="9" style="1037"/>
    <col min="15865" max="15866" width="5" style="1037" customWidth="1"/>
    <col min="15867" max="15867" width="27.375" style="1037" customWidth="1"/>
    <col min="15868" max="15871" width="14" style="1037" customWidth="1"/>
    <col min="15872" max="15873" width="4.125" style="1037" customWidth="1"/>
    <col min="15874" max="15874" width="6.625" style="1037" customWidth="1"/>
    <col min="15875" max="15875" width="14" style="1037" customWidth="1"/>
    <col min="15876" max="15876" width="18.125" style="1037" customWidth="1"/>
    <col min="15877" max="15877" width="23" style="1037" customWidth="1"/>
    <col min="15878" max="15878" width="9.625" style="1037" customWidth="1"/>
    <col min="15879" max="15879" width="20.125" style="1037" customWidth="1"/>
    <col min="15880" max="15881" width="18.375" style="1037" customWidth="1"/>
    <col min="15882" max="15882" width="14.125" style="1037" bestFit="1" customWidth="1"/>
    <col min="15883" max="15883" width="11.125" style="1037" bestFit="1" customWidth="1"/>
    <col min="15884" max="16120" width="9" style="1037"/>
    <col min="16121" max="16122" width="5" style="1037" customWidth="1"/>
    <col min="16123" max="16123" width="27.375" style="1037" customWidth="1"/>
    <col min="16124" max="16127" width="14" style="1037" customWidth="1"/>
    <col min="16128" max="16129" width="4.125" style="1037" customWidth="1"/>
    <col min="16130" max="16130" width="6.625" style="1037" customWidth="1"/>
    <col min="16131" max="16131" width="14" style="1037" customWidth="1"/>
    <col min="16132" max="16132" width="18.125" style="1037" customWidth="1"/>
    <col min="16133" max="16133" width="23" style="1037" customWidth="1"/>
    <col min="16134" max="16134" width="9.625" style="1037" customWidth="1"/>
    <col min="16135" max="16135" width="20.125" style="1037" customWidth="1"/>
    <col min="16136" max="16137" width="18.375" style="1037" customWidth="1"/>
    <col min="16138" max="16138" width="14.125" style="1037" bestFit="1" customWidth="1"/>
    <col min="16139" max="16139" width="11.125" style="1037" bestFit="1" customWidth="1"/>
    <col min="16140" max="16384" width="9" style="1037"/>
  </cols>
  <sheetData>
    <row r="1" spans="1:24">
      <c r="A1" s="1037" t="s">
        <v>2624</v>
      </c>
    </row>
    <row r="2" spans="1:24">
      <c r="D2" s="1039"/>
      <c r="E2" s="1039"/>
      <c r="F2" s="1039"/>
      <c r="H2" s="1039"/>
    </row>
    <row r="3" spans="1:24" s="1040" customFormat="1" ht="14.25" thickBot="1">
      <c r="B3" s="1987" t="s">
        <v>1035</v>
      </c>
      <c r="C3" s="1987"/>
      <c r="D3" s="590" t="s">
        <v>599</v>
      </c>
      <c r="E3" s="1984" t="s">
        <v>1037</v>
      </c>
      <c r="F3" s="1985"/>
      <c r="G3" s="590" t="s">
        <v>599</v>
      </c>
      <c r="H3" s="1136">
        <f>SG_BS!H3</f>
        <v>46203</v>
      </c>
      <c r="I3" s="1990" t="s">
        <v>1037</v>
      </c>
      <c r="J3" s="1991"/>
      <c r="K3" s="1137">
        <f>H3</f>
        <v>46203</v>
      </c>
      <c r="L3" s="1987" t="s">
        <v>1038</v>
      </c>
      <c r="M3" s="1987"/>
      <c r="N3" s="1041"/>
    </row>
    <row r="4" spans="1:24" s="1050" customFormat="1" ht="30.6" customHeight="1">
      <c r="A4" s="1043" t="s">
        <v>486</v>
      </c>
      <c r="B4" s="1044" t="s">
        <v>1039</v>
      </c>
      <c r="C4" s="1044" t="s">
        <v>1040</v>
      </c>
      <c r="D4" s="1045"/>
      <c r="E4" s="1046" t="s">
        <v>230</v>
      </c>
      <c r="F4" s="1046" t="s">
        <v>232</v>
      </c>
      <c r="G4" s="1047">
        <f>환율!C24</f>
        <v>1160.6600000000001</v>
      </c>
      <c r="H4" s="1041" t="s">
        <v>573</v>
      </c>
      <c r="I4" s="1046" t="s">
        <v>230</v>
      </c>
      <c r="J4" s="1046" t="s">
        <v>232</v>
      </c>
      <c r="K4" s="1048" t="s">
        <v>234</v>
      </c>
      <c r="L4" s="1044" t="s">
        <v>1039</v>
      </c>
      <c r="M4" s="1049" t="s">
        <v>1042</v>
      </c>
      <c r="N4" s="1049" t="s">
        <v>1040</v>
      </c>
      <c r="P4" s="1051"/>
    </row>
    <row r="5" spans="1:24">
      <c r="A5" s="1052"/>
      <c r="B5" s="1053" t="s">
        <v>1319</v>
      </c>
      <c r="C5" s="1053" t="s">
        <v>1248</v>
      </c>
      <c r="D5" s="1054">
        <f t="shared" ref="D5" si="0">D6+D9</f>
        <v>0</v>
      </c>
      <c r="E5" s="1054"/>
      <c r="F5" s="1054"/>
      <c r="G5" s="1055">
        <f>SUM(G6,G9)</f>
        <v>0</v>
      </c>
      <c r="H5" s="1056">
        <f>H6+H9</f>
        <v>0</v>
      </c>
      <c r="I5" s="1056"/>
      <c r="J5" s="1056"/>
      <c r="K5" s="1057">
        <f>SUM(K6,K9)</f>
        <v>0</v>
      </c>
      <c r="L5" s="1058" t="str">
        <f t="shared" ref="L5:L14" si="1">B5</f>
        <v>*</v>
      </c>
      <c r="M5" s="1059"/>
      <c r="N5" s="1059"/>
    </row>
    <row r="6" spans="1:24">
      <c r="A6" s="1052"/>
      <c r="B6" s="1060" t="s">
        <v>1257</v>
      </c>
      <c r="C6" s="1060" t="s">
        <v>1320</v>
      </c>
      <c r="D6" s="1061">
        <f t="shared" ref="D6" si="2">SUM(D7:D8)</f>
        <v>0</v>
      </c>
      <c r="E6" s="1061"/>
      <c r="F6" s="1061"/>
      <c r="G6" s="1062">
        <f>SUM(G7:G8)</f>
        <v>0</v>
      </c>
      <c r="H6" s="1063">
        <f>SUM(H7:H8)</f>
        <v>0</v>
      </c>
      <c r="I6" s="1063"/>
      <c r="J6" s="1063"/>
      <c r="K6" s="1064">
        <f>SUM(K7:K8)</f>
        <v>0</v>
      </c>
      <c r="L6" s="1065" t="str">
        <f t="shared" si="1"/>
        <v>**</v>
      </c>
      <c r="M6" s="1066"/>
      <c r="N6" s="1066"/>
      <c r="Q6" s="1067"/>
      <c r="R6" s="1067"/>
      <c r="U6" s="1067"/>
      <c r="W6" s="1067"/>
    </row>
    <row r="7" spans="1:24">
      <c r="A7" s="1052" t="s">
        <v>717</v>
      </c>
      <c r="B7" s="1060" t="s">
        <v>1125</v>
      </c>
      <c r="C7" s="1060" t="s">
        <v>1321</v>
      </c>
      <c r="D7" s="1068"/>
      <c r="E7" s="1068"/>
      <c r="F7" s="1068"/>
      <c r="G7" s="1069">
        <f t="shared" ref="G7:G8" si="3">D7-E7+F7</f>
        <v>0</v>
      </c>
      <c r="H7" s="1070">
        <f t="shared" ref="H7:H8" si="4">ROUND(G7*$G$4,)</f>
        <v>0</v>
      </c>
      <c r="I7" s="1070"/>
      <c r="J7" s="1070"/>
      <c r="K7" s="1071">
        <f t="shared" ref="K7:K8" si="5">H7-I7+J7</f>
        <v>0</v>
      </c>
      <c r="L7" s="1060" t="str">
        <f t="shared" si="1"/>
        <v>***</v>
      </c>
      <c r="M7" s="1072" t="s">
        <v>1322</v>
      </c>
      <c r="N7" s="1072" t="s">
        <v>1323</v>
      </c>
      <c r="Q7" s="1067"/>
      <c r="R7" s="1067"/>
      <c r="W7" s="1067"/>
    </row>
    <row r="8" spans="1:24">
      <c r="A8" s="1052" t="s">
        <v>717</v>
      </c>
      <c r="B8" s="1060" t="s">
        <v>1125</v>
      </c>
      <c r="C8" s="1060" t="s">
        <v>1250</v>
      </c>
      <c r="D8" s="1068"/>
      <c r="E8" s="1068"/>
      <c r="F8" s="1068"/>
      <c r="G8" s="1069">
        <f t="shared" si="3"/>
        <v>0</v>
      </c>
      <c r="H8" s="1070">
        <f t="shared" si="4"/>
        <v>0</v>
      </c>
      <c r="I8" s="1070"/>
      <c r="J8" s="1070"/>
      <c r="K8" s="1071">
        <f t="shared" si="5"/>
        <v>0</v>
      </c>
      <c r="L8" s="1060" t="str">
        <f t="shared" si="1"/>
        <v>***</v>
      </c>
      <c r="M8" s="1072" t="s">
        <v>1322</v>
      </c>
      <c r="N8" s="1072" t="s">
        <v>1324</v>
      </c>
      <c r="Q8" s="1067"/>
      <c r="R8" s="1067"/>
      <c r="S8" s="1067"/>
      <c r="U8" s="1067"/>
      <c r="W8" s="1067"/>
      <c r="X8" s="1067"/>
    </row>
    <row r="9" spans="1:24">
      <c r="A9" s="1052"/>
      <c r="B9" s="1060" t="s">
        <v>1257</v>
      </c>
      <c r="C9" s="1060" t="s">
        <v>1325</v>
      </c>
      <c r="D9" s="1061">
        <f t="shared" ref="D9" si="6">D10</f>
        <v>0</v>
      </c>
      <c r="E9" s="1061"/>
      <c r="F9" s="1061"/>
      <c r="G9" s="1062">
        <f>G10</f>
        <v>0</v>
      </c>
      <c r="H9" s="1063">
        <f>H10</f>
        <v>0</v>
      </c>
      <c r="I9" s="1063"/>
      <c r="J9" s="1063"/>
      <c r="K9" s="1064">
        <f>K10</f>
        <v>0</v>
      </c>
      <c r="L9" s="1065" t="str">
        <f t="shared" si="1"/>
        <v>**</v>
      </c>
      <c r="M9" s="1066"/>
      <c r="N9" s="1066"/>
      <c r="Q9" s="1067"/>
      <c r="R9" s="1067"/>
      <c r="U9" s="1067"/>
    </row>
    <row r="10" spans="1:24">
      <c r="A10" s="1052" t="s">
        <v>716</v>
      </c>
      <c r="B10" s="1060" t="s">
        <v>1125</v>
      </c>
      <c r="C10" s="1060" t="s">
        <v>1249</v>
      </c>
      <c r="D10" s="1068"/>
      <c r="E10" s="1068"/>
      <c r="F10" s="1068"/>
      <c r="G10" s="1069">
        <f>D10-E10+F10</f>
        <v>0</v>
      </c>
      <c r="H10" s="1070">
        <f>ROUND(G10*$G$4,)</f>
        <v>0</v>
      </c>
      <c r="I10" s="1070"/>
      <c r="J10" s="1070"/>
      <c r="K10" s="1071">
        <f>H10-I10+J10</f>
        <v>0</v>
      </c>
      <c r="L10" s="1060" t="str">
        <f t="shared" si="1"/>
        <v>***</v>
      </c>
      <c r="M10" s="1072" t="s">
        <v>1322</v>
      </c>
      <c r="N10" s="1072" t="s">
        <v>1326</v>
      </c>
      <c r="Q10" s="1067"/>
      <c r="R10" s="1067"/>
      <c r="U10" s="1067"/>
    </row>
    <row r="11" spans="1:24">
      <c r="A11" s="1052"/>
      <c r="B11" s="1053" t="s">
        <v>1319</v>
      </c>
      <c r="C11" s="1053" t="s">
        <v>1251</v>
      </c>
      <c r="D11" s="1054">
        <f t="shared" ref="D11" si="7">D12+D18</f>
        <v>0</v>
      </c>
      <c r="E11" s="1054"/>
      <c r="F11" s="1054"/>
      <c r="G11" s="1054">
        <f>G12+G18</f>
        <v>0</v>
      </c>
      <c r="H11" s="1056">
        <f>H12+H18</f>
        <v>0</v>
      </c>
      <c r="I11" s="1056"/>
      <c r="J11" s="1056"/>
      <c r="K11" s="1056">
        <f>K12+K18</f>
        <v>0</v>
      </c>
      <c r="L11" s="1058" t="str">
        <f t="shared" si="1"/>
        <v>*</v>
      </c>
      <c r="M11" s="1059"/>
      <c r="N11" s="1059"/>
      <c r="Q11" s="1067"/>
      <c r="R11" s="1067"/>
    </row>
    <row r="12" spans="1:24">
      <c r="A12" s="1052"/>
      <c r="B12" s="1060" t="s">
        <v>1257</v>
      </c>
      <c r="C12" s="1060" t="s">
        <v>1327</v>
      </c>
      <c r="D12" s="1061">
        <v>0</v>
      </c>
      <c r="E12" s="1061"/>
      <c r="F12" s="1061"/>
      <c r="G12" s="1061">
        <f>G13+G14+G15-G16-G17</f>
        <v>0</v>
      </c>
      <c r="H12" s="1063">
        <f>H13+H14+H15-H16-H17</f>
        <v>0</v>
      </c>
      <c r="I12" s="1063"/>
      <c r="J12" s="1063"/>
      <c r="K12" s="1063">
        <f>K13+K14+K15-K16-K17</f>
        <v>0</v>
      </c>
      <c r="L12" s="1065" t="str">
        <f t="shared" si="1"/>
        <v>**</v>
      </c>
      <c r="M12" s="1066" t="s">
        <v>82</v>
      </c>
      <c r="N12" s="1066"/>
      <c r="Q12" s="1067"/>
      <c r="R12" s="1067"/>
      <c r="U12" s="1067"/>
      <c r="W12" s="1067"/>
    </row>
    <row r="13" spans="1:24">
      <c r="A13" s="1052" t="s">
        <v>718</v>
      </c>
      <c r="B13" s="1060" t="s">
        <v>1125</v>
      </c>
      <c r="C13" s="1060" t="s">
        <v>1328</v>
      </c>
      <c r="D13" s="1068">
        <v>0</v>
      </c>
      <c r="E13" s="1068"/>
      <c r="F13" s="1068"/>
      <c r="G13" s="1069">
        <f>D13-E13+F13</f>
        <v>0</v>
      </c>
      <c r="H13" s="1070">
        <f t="shared" ref="H13:H21" si="8">ROUND(G13*$G$4,)</f>
        <v>0</v>
      </c>
      <c r="I13" s="1070"/>
      <c r="J13" s="1070"/>
      <c r="K13" s="1071">
        <f>H13-I13+J13</f>
        <v>0</v>
      </c>
      <c r="L13" s="1060" t="str">
        <f t="shared" si="1"/>
        <v>***</v>
      </c>
      <c r="M13" s="1072"/>
      <c r="N13" s="1072" t="s">
        <v>1329</v>
      </c>
      <c r="Q13" s="1067"/>
      <c r="R13" s="1067"/>
      <c r="W13" s="1067"/>
    </row>
    <row r="14" spans="1:24">
      <c r="A14" s="1052" t="s">
        <v>1741</v>
      </c>
      <c r="B14" s="1060" t="s">
        <v>1125</v>
      </c>
      <c r="C14" s="1060" t="s">
        <v>1330</v>
      </c>
      <c r="D14" s="1068"/>
      <c r="E14" s="1068"/>
      <c r="F14" s="1068"/>
      <c r="G14" s="1069">
        <f>D14-E14+F14</f>
        <v>0</v>
      </c>
      <c r="H14" s="1070">
        <f t="shared" si="8"/>
        <v>0</v>
      </c>
      <c r="I14" s="1070"/>
      <c r="J14" s="1070"/>
      <c r="K14" s="1071">
        <f>H14-I14+J14</f>
        <v>0</v>
      </c>
      <c r="L14" s="1060" t="str">
        <f t="shared" si="1"/>
        <v>***</v>
      </c>
      <c r="M14" s="1072"/>
      <c r="N14" s="1072" t="s">
        <v>83</v>
      </c>
      <c r="Q14" s="1067"/>
      <c r="R14" s="1067"/>
    </row>
    <row r="15" spans="1:24">
      <c r="A15" s="1052"/>
      <c r="B15" s="1060"/>
      <c r="C15" s="1060" t="s">
        <v>1331</v>
      </c>
      <c r="D15" s="1068"/>
      <c r="E15" s="1068"/>
      <c r="F15" s="1068"/>
      <c r="G15" s="1069"/>
      <c r="H15" s="1070">
        <f t="shared" si="8"/>
        <v>0</v>
      </c>
      <c r="I15" s="1070"/>
      <c r="J15" s="1070"/>
      <c r="K15" s="1071"/>
      <c r="L15" s="1060"/>
      <c r="M15" s="1072"/>
      <c r="N15" s="1072"/>
    </row>
    <row r="16" spans="1:24">
      <c r="A16" s="1052"/>
      <c r="B16" s="1060"/>
      <c r="C16" s="1060" t="s">
        <v>1332</v>
      </c>
      <c r="D16" s="1068"/>
      <c r="E16" s="1068"/>
      <c r="F16" s="1068"/>
      <c r="G16" s="1069"/>
      <c r="H16" s="1070">
        <f t="shared" si="8"/>
        <v>0</v>
      </c>
      <c r="I16" s="1070"/>
      <c r="J16" s="1070"/>
      <c r="K16" s="1071"/>
      <c r="L16" s="1060"/>
      <c r="M16" s="1072"/>
      <c r="N16" s="1072"/>
    </row>
    <row r="17" spans="1:23">
      <c r="A17" s="1052" t="s">
        <v>1745</v>
      </c>
      <c r="B17" s="1060" t="s">
        <v>1125</v>
      </c>
      <c r="C17" s="1060" t="s">
        <v>1333</v>
      </c>
      <c r="D17" s="1068"/>
      <c r="E17" s="1068"/>
      <c r="F17" s="1068"/>
      <c r="G17" s="1069">
        <f>D17-E17+F17</f>
        <v>0</v>
      </c>
      <c r="H17" s="1070">
        <f t="shared" si="8"/>
        <v>0</v>
      </c>
      <c r="I17" s="1070"/>
      <c r="J17" s="1070"/>
      <c r="K17" s="1071">
        <f>H17-I17+J17</f>
        <v>0</v>
      </c>
      <c r="L17" s="1060"/>
      <c r="M17" s="1072"/>
      <c r="N17" s="1072"/>
    </row>
    <row r="18" spans="1:23" ht="15" customHeight="1">
      <c r="A18" s="1052"/>
      <c r="B18" s="1060" t="s">
        <v>1257</v>
      </c>
      <c r="C18" s="1060" t="s">
        <v>1334</v>
      </c>
      <c r="D18" s="1073">
        <f t="shared" ref="D18" si="9">D19+D20-D22-D21</f>
        <v>0</v>
      </c>
      <c r="E18" s="1073"/>
      <c r="F18" s="1073"/>
      <c r="G18" s="1062">
        <f>G19+G20-G22-G21</f>
        <v>0</v>
      </c>
      <c r="H18" s="1064">
        <f>H19+H20-H22-H21</f>
        <v>0</v>
      </c>
      <c r="I18" s="1064"/>
      <c r="J18" s="1064"/>
      <c r="K18" s="1064">
        <f>K19+K20-K22-K21</f>
        <v>0</v>
      </c>
      <c r="L18" s="1065" t="str">
        <f>B18</f>
        <v>**</v>
      </c>
      <c r="M18" s="1066" t="s">
        <v>82</v>
      </c>
      <c r="N18" s="1066" t="s">
        <v>1335</v>
      </c>
    </row>
    <row r="19" spans="1:23" ht="15" customHeight="1">
      <c r="A19" s="1052" t="s">
        <v>1747</v>
      </c>
      <c r="B19" s="1060" t="s">
        <v>1125</v>
      </c>
      <c r="C19" s="1060" t="s">
        <v>1252</v>
      </c>
      <c r="D19" s="1074"/>
      <c r="E19" s="1068"/>
      <c r="F19" s="1068"/>
      <c r="G19" s="1069">
        <f t="shared" ref="G19:G22" si="10">D19+E19-F19</f>
        <v>0</v>
      </c>
      <c r="H19" s="1075"/>
      <c r="I19" s="1070"/>
      <c r="J19" s="1070"/>
      <c r="K19" s="1071">
        <f t="shared" ref="K19:K22" si="11">H19+I19-J19</f>
        <v>0</v>
      </c>
      <c r="L19" s="1060" t="str">
        <f>B19</f>
        <v>***</v>
      </c>
      <c r="M19" s="1072"/>
      <c r="N19" s="1072"/>
      <c r="Q19" s="1076"/>
      <c r="R19" s="1076"/>
    </row>
    <row r="20" spans="1:23">
      <c r="A20" s="1052" t="s">
        <v>1749</v>
      </c>
      <c r="B20" s="1060" t="s">
        <v>1125</v>
      </c>
      <c r="C20" s="1060" t="s">
        <v>1253</v>
      </c>
      <c r="D20" s="1068"/>
      <c r="E20" s="1068"/>
      <c r="F20" s="1068"/>
      <c r="G20" s="1069">
        <f t="shared" si="10"/>
        <v>0</v>
      </c>
      <c r="H20" s="1070">
        <f t="shared" si="8"/>
        <v>0</v>
      </c>
      <c r="I20" s="1070"/>
      <c r="J20" s="1070"/>
      <c r="K20" s="1071">
        <f t="shared" si="11"/>
        <v>0</v>
      </c>
      <c r="L20" s="1060" t="str">
        <f>B20</f>
        <v>***</v>
      </c>
      <c r="M20" s="1072"/>
      <c r="N20" s="1072"/>
    </row>
    <row r="21" spans="1:23">
      <c r="A21" s="1077" t="s">
        <v>2543</v>
      </c>
      <c r="B21" s="1078"/>
      <c r="C21" s="1078" t="s">
        <v>2542</v>
      </c>
      <c r="D21" s="1079"/>
      <c r="E21" s="1068"/>
      <c r="F21" s="1068"/>
      <c r="G21" s="1069">
        <f t="shared" si="10"/>
        <v>0</v>
      </c>
      <c r="H21" s="1070">
        <f t="shared" si="8"/>
        <v>0</v>
      </c>
      <c r="I21" s="1080"/>
      <c r="J21" s="1080"/>
      <c r="K21" s="1071">
        <f t="shared" si="11"/>
        <v>0</v>
      </c>
      <c r="L21" s="1078"/>
      <c r="M21" s="1081"/>
      <c r="N21" s="1081"/>
    </row>
    <row r="22" spans="1:23">
      <c r="A22" s="1052" t="s">
        <v>1752</v>
      </c>
      <c r="B22" s="1060" t="s">
        <v>1125</v>
      </c>
      <c r="C22" s="1060" t="s">
        <v>1254</v>
      </c>
      <c r="D22" s="1074"/>
      <c r="E22" s="1068"/>
      <c r="F22" s="1068"/>
      <c r="G22" s="1069">
        <f t="shared" si="10"/>
        <v>0</v>
      </c>
      <c r="H22" s="1075">
        <f>ROUND(G22*SG_BS!$G$4,)</f>
        <v>0</v>
      </c>
      <c r="I22" s="1070"/>
      <c r="J22" s="1070"/>
      <c r="K22" s="1071">
        <f t="shared" si="11"/>
        <v>0</v>
      </c>
      <c r="L22" s="1060" t="str">
        <f t="shared" ref="L22:L42" si="12">B22</f>
        <v>***</v>
      </c>
      <c r="M22" s="1072"/>
      <c r="N22" s="1072"/>
      <c r="Q22" s="1082"/>
      <c r="R22" s="1076"/>
    </row>
    <row r="23" spans="1:23">
      <c r="A23" s="1052"/>
      <c r="B23" s="1053" t="s">
        <v>1319</v>
      </c>
      <c r="C23" s="1053" t="s">
        <v>1255</v>
      </c>
      <c r="D23" s="1054">
        <f t="shared" ref="D23" si="13">D5-D11</f>
        <v>0</v>
      </c>
      <c r="E23" s="1054"/>
      <c r="F23" s="1054"/>
      <c r="G23" s="1054">
        <f>G5-G11</f>
        <v>0</v>
      </c>
      <c r="H23" s="1056">
        <f>H5-H11</f>
        <v>0</v>
      </c>
      <c r="I23" s="1056"/>
      <c r="J23" s="1056"/>
      <c r="K23" s="1056">
        <f>K5-K11</f>
        <v>0</v>
      </c>
      <c r="L23" s="1058" t="str">
        <f t="shared" si="12"/>
        <v>*</v>
      </c>
      <c r="M23" s="1059"/>
      <c r="N23" s="1059"/>
      <c r="W23" s="1067"/>
    </row>
    <row r="24" spans="1:23">
      <c r="A24" s="1052"/>
      <c r="B24" s="1053" t="s">
        <v>1319</v>
      </c>
      <c r="C24" s="1053" t="s">
        <v>1256</v>
      </c>
      <c r="D24" s="1054">
        <f t="shared" ref="D24" si="14">SUM(D25:D57)</f>
        <v>7457.8300000000008</v>
      </c>
      <c r="E24" s="1054"/>
      <c r="F24" s="1054"/>
      <c r="G24" s="1054">
        <f>SUM(G25:G57)</f>
        <v>7457.8300000000008</v>
      </c>
      <c r="H24" s="1056">
        <f>SUM(H25:H57)</f>
        <v>8656005</v>
      </c>
      <c r="I24" s="1056"/>
      <c r="J24" s="1056"/>
      <c r="K24" s="1056">
        <f>SUM(K25:K57)</f>
        <v>8656005</v>
      </c>
      <c r="L24" s="1058" t="str">
        <f t="shared" si="12"/>
        <v>*</v>
      </c>
      <c r="M24" s="1059"/>
      <c r="N24" s="1059"/>
    </row>
    <row r="25" spans="1:23">
      <c r="A25" s="1052" t="s">
        <v>751</v>
      </c>
      <c r="B25" s="1060" t="s">
        <v>1257</v>
      </c>
      <c r="C25" s="1060" t="s">
        <v>1258</v>
      </c>
      <c r="D25" s="1068"/>
      <c r="E25" s="1068"/>
      <c r="F25" s="1068"/>
      <c r="G25" s="1069">
        <f t="shared" ref="G25:G56" si="15">D25+E25-F25</f>
        <v>0</v>
      </c>
      <c r="H25" s="1070">
        <f t="shared" ref="H25:H57" si="16">ROUND(G25*$G$4,)</f>
        <v>0</v>
      </c>
      <c r="I25" s="1070"/>
      <c r="J25" s="1070"/>
      <c r="K25" s="1071">
        <f t="shared" ref="K25:K56" si="17">H25+I25-J25</f>
        <v>0</v>
      </c>
      <c r="L25" s="1060" t="str">
        <f t="shared" si="12"/>
        <v>**</v>
      </c>
      <c r="M25" s="1072" t="s">
        <v>1259</v>
      </c>
      <c r="N25" s="1072" t="s">
        <v>752</v>
      </c>
    </row>
    <row r="26" spans="1:23">
      <c r="A26" s="1052" t="s">
        <v>753</v>
      </c>
      <c r="B26" s="1060" t="s">
        <v>1257</v>
      </c>
      <c r="C26" s="1060" t="s">
        <v>1260</v>
      </c>
      <c r="D26" s="1068"/>
      <c r="E26" s="1068"/>
      <c r="F26" s="1068"/>
      <c r="G26" s="1069">
        <f t="shared" si="15"/>
        <v>0</v>
      </c>
      <c r="H26" s="1070">
        <f t="shared" si="16"/>
        <v>0</v>
      </c>
      <c r="I26" s="1070"/>
      <c r="J26" s="1070"/>
      <c r="K26" s="1071">
        <f t="shared" si="17"/>
        <v>0</v>
      </c>
      <c r="L26" s="1060" t="str">
        <f t="shared" si="12"/>
        <v>**</v>
      </c>
      <c r="M26" s="1072" t="s">
        <v>1259</v>
      </c>
      <c r="N26" s="1072" t="s">
        <v>725</v>
      </c>
    </row>
    <row r="27" spans="1:23">
      <c r="A27" s="1052" t="s">
        <v>755</v>
      </c>
      <c r="B27" s="1060" t="s">
        <v>1257</v>
      </c>
      <c r="C27" s="1060" t="s">
        <v>1261</v>
      </c>
      <c r="D27" s="1068"/>
      <c r="E27" s="1068"/>
      <c r="F27" s="1068"/>
      <c r="G27" s="1069">
        <f t="shared" si="15"/>
        <v>0</v>
      </c>
      <c r="H27" s="1070">
        <f t="shared" si="16"/>
        <v>0</v>
      </c>
      <c r="I27" s="1070"/>
      <c r="J27" s="1070"/>
      <c r="K27" s="1071">
        <f t="shared" si="17"/>
        <v>0</v>
      </c>
      <c r="L27" s="1060" t="str">
        <f t="shared" si="12"/>
        <v>**</v>
      </c>
      <c r="M27" s="1072" t="s">
        <v>1259</v>
      </c>
      <c r="N27" s="1072" t="s">
        <v>756</v>
      </c>
    </row>
    <row r="28" spans="1:23">
      <c r="A28" s="1052" t="s">
        <v>754</v>
      </c>
      <c r="B28" s="1060" t="s">
        <v>1257</v>
      </c>
      <c r="C28" s="1060" t="s">
        <v>1262</v>
      </c>
      <c r="D28" s="1068"/>
      <c r="E28" s="1068"/>
      <c r="F28" s="1068"/>
      <c r="G28" s="1069">
        <f t="shared" si="15"/>
        <v>0</v>
      </c>
      <c r="H28" s="1070">
        <f t="shared" si="16"/>
        <v>0</v>
      </c>
      <c r="I28" s="1070"/>
      <c r="J28" s="1070"/>
      <c r="K28" s="1071">
        <f t="shared" si="17"/>
        <v>0</v>
      </c>
      <c r="L28" s="1060" t="str">
        <f t="shared" si="12"/>
        <v>**</v>
      </c>
      <c r="M28" s="1072" t="s">
        <v>1259</v>
      </c>
      <c r="N28" s="1072" t="s">
        <v>1263</v>
      </c>
    </row>
    <row r="29" spans="1:23">
      <c r="A29" s="1052" t="s">
        <v>754</v>
      </c>
      <c r="B29" s="1060" t="s">
        <v>1257</v>
      </c>
      <c r="C29" s="1060" t="s">
        <v>1264</v>
      </c>
      <c r="D29" s="1068"/>
      <c r="E29" s="1068"/>
      <c r="F29" s="1068"/>
      <c r="G29" s="1069">
        <f t="shared" si="15"/>
        <v>0</v>
      </c>
      <c r="H29" s="1070">
        <f t="shared" si="16"/>
        <v>0</v>
      </c>
      <c r="I29" s="1070"/>
      <c r="J29" s="1070"/>
      <c r="K29" s="1071">
        <f t="shared" si="17"/>
        <v>0</v>
      </c>
      <c r="L29" s="1060" t="str">
        <f t="shared" si="12"/>
        <v>**</v>
      </c>
      <c r="M29" s="1072" t="s">
        <v>1259</v>
      </c>
      <c r="N29" s="1072" t="s">
        <v>178</v>
      </c>
    </row>
    <row r="30" spans="1:23">
      <c r="A30" s="1052" t="s">
        <v>757</v>
      </c>
      <c r="B30" s="1060" t="s">
        <v>1257</v>
      </c>
      <c r="C30" s="1060" t="s">
        <v>1265</v>
      </c>
      <c r="D30" s="1068"/>
      <c r="E30" s="1068"/>
      <c r="F30" s="1068"/>
      <c r="G30" s="1069">
        <f t="shared" si="15"/>
        <v>0</v>
      </c>
      <c r="H30" s="1070">
        <f t="shared" si="16"/>
        <v>0</v>
      </c>
      <c r="I30" s="1070"/>
      <c r="J30" s="1070"/>
      <c r="K30" s="1071">
        <f t="shared" si="17"/>
        <v>0</v>
      </c>
      <c r="L30" s="1060" t="str">
        <f t="shared" si="12"/>
        <v>**</v>
      </c>
      <c r="M30" s="1072" t="s">
        <v>1259</v>
      </c>
      <c r="N30" s="1072" t="s">
        <v>393</v>
      </c>
    </row>
    <row r="31" spans="1:23">
      <c r="A31" s="1052" t="s">
        <v>758</v>
      </c>
      <c r="B31" s="1060" t="s">
        <v>1257</v>
      </c>
      <c r="C31" s="1060" t="s">
        <v>1266</v>
      </c>
      <c r="D31" s="1068"/>
      <c r="E31" s="1068"/>
      <c r="F31" s="1068"/>
      <c r="G31" s="1069">
        <f t="shared" si="15"/>
        <v>0</v>
      </c>
      <c r="H31" s="1070">
        <f t="shared" si="16"/>
        <v>0</v>
      </c>
      <c r="I31" s="1070"/>
      <c r="J31" s="1070"/>
      <c r="K31" s="1071">
        <f t="shared" si="17"/>
        <v>0</v>
      </c>
      <c r="L31" s="1060" t="str">
        <f t="shared" si="12"/>
        <v>**</v>
      </c>
      <c r="M31" s="1072" t="s">
        <v>1259</v>
      </c>
      <c r="N31" s="1072" t="s">
        <v>508</v>
      </c>
    </row>
    <row r="32" spans="1:23">
      <c r="A32" s="1052" t="s">
        <v>759</v>
      </c>
      <c r="B32" s="1060" t="s">
        <v>1257</v>
      </c>
      <c r="C32" s="1060" t="s">
        <v>1267</v>
      </c>
      <c r="D32" s="1068"/>
      <c r="E32" s="1068"/>
      <c r="F32" s="1068"/>
      <c r="G32" s="1069">
        <f t="shared" si="15"/>
        <v>0</v>
      </c>
      <c r="H32" s="1070">
        <f t="shared" si="16"/>
        <v>0</v>
      </c>
      <c r="I32" s="1070"/>
      <c r="J32" s="1070"/>
      <c r="K32" s="1071">
        <f t="shared" si="17"/>
        <v>0</v>
      </c>
      <c r="L32" s="1060" t="str">
        <f t="shared" si="12"/>
        <v>**</v>
      </c>
      <c r="M32" s="1072" t="s">
        <v>1259</v>
      </c>
      <c r="N32" s="1072" t="s">
        <v>511</v>
      </c>
    </row>
    <row r="33" spans="1:14">
      <c r="A33" s="1052" t="s">
        <v>760</v>
      </c>
      <c r="B33" s="1060" t="s">
        <v>1257</v>
      </c>
      <c r="C33" s="1060" t="s">
        <v>1268</v>
      </c>
      <c r="D33" s="1068"/>
      <c r="E33" s="1068"/>
      <c r="F33" s="1068"/>
      <c r="G33" s="1069">
        <f t="shared" si="15"/>
        <v>0</v>
      </c>
      <c r="H33" s="1070">
        <f t="shared" si="16"/>
        <v>0</v>
      </c>
      <c r="I33" s="1070"/>
      <c r="J33" s="1070"/>
      <c r="K33" s="1071">
        <f t="shared" si="17"/>
        <v>0</v>
      </c>
      <c r="L33" s="1060" t="str">
        <f t="shared" si="12"/>
        <v>**</v>
      </c>
      <c r="M33" s="1072" t="s">
        <v>1259</v>
      </c>
      <c r="N33" s="1072" t="s">
        <v>509</v>
      </c>
    </row>
    <row r="34" spans="1:14">
      <c r="A34" s="1052" t="s">
        <v>761</v>
      </c>
      <c r="B34" s="1060" t="s">
        <v>1257</v>
      </c>
      <c r="C34" s="1060" t="s">
        <v>1269</v>
      </c>
      <c r="D34" s="1068"/>
      <c r="E34" s="1068"/>
      <c r="F34" s="1068"/>
      <c r="G34" s="1069">
        <f t="shared" si="15"/>
        <v>0</v>
      </c>
      <c r="H34" s="1070">
        <f t="shared" si="16"/>
        <v>0</v>
      </c>
      <c r="I34" s="1070"/>
      <c r="J34" s="1070"/>
      <c r="K34" s="1071">
        <f t="shared" si="17"/>
        <v>0</v>
      </c>
      <c r="L34" s="1060" t="str">
        <f t="shared" si="12"/>
        <v>**</v>
      </c>
      <c r="M34" s="1072" t="s">
        <v>1259</v>
      </c>
      <c r="N34" s="1072" t="s">
        <v>515</v>
      </c>
    </row>
    <row r="35" spans="1:14">
      <c r="A35" s="1052" t="s">
        <v>762</v>
      </c>
      <c r="B35" s="1060" t="s">
        <v>1257</v>
      </c>
      <c r="C35" s="1060" t="s">
        <v>1270</v>
      </c>
      <c r="D35" s="1068"/>
      <c r="E35" s="1068"/>
      <c r="F35" s="1068"/>
      <c r="G35" s="1069">
        <f t="shared" si="15"/>
        <v>0</v>
      </c>
      <c r="H35" s="1070">
        <f t="shared" si="16"/>
        <v>0</v>
      </c>
      <c r="I35" s="1070"/>
      <c r="J35" s="1070"/>
      <c r="K35" s="1071">
        <f t="shared" si="17"/>
        <v>0</v>
      </c>
      <c r="L35" s="1060" t="str">
        <f t="shared" si="12"/>
        <v>**</v>
      </c>
      <c r="M35" s="1072" t="s">
        <v>1259</v>
      </c>
      <c r="N35" s="1072" t="s">
        <v>395</v>
      </c>
    </row>
    <row r="36" spans="1:14">
      <c r="A36" s="1052" t="s">
        <v>763</v>
      </c>
      <c r="B36" s="1060" t="s">
        <v>1257</v>
      </c>
      <c r="C36" s="1060" t="s">
        <v>1271</v>
      </c>
      <c r="D36" s="1068"/>
      <c r="E36" s="1068"/>
      <c r="F36" s="1068"/>
      <c r="G36" s="1069">
        <f t="shared" si="15"/>
        <v>0</v>
      </c>
      <c r="H36" s="1070">
        <f t="shared" si="16"/>
        <v>0</v>
      </c>
      <c r="I36" s="1070"/>
      <c r="J36" s="1070"/>
      <c r="K36" s="1071">
        <f t="shared" si="17"/>
        <v>0</v>
      </c>
      <c r="L36" s="1060" t="str">
        <f t="shared" si="12"/>
        <v>**</v>
      </c>
      <c r="M36" s="1072" t="s">
        <v>85</v>
      </c>
      <c r="N36" s="1072" t="s">
        <v>1272</v>
      </c>
    </row>
    <row r="37" spans="1:14">
      <c r="A37" s="1052" t="s">
        <v>764</v>
      </c>
      <c r="B37" s="1060" t="s">
        <v>1257</v>
      </c>
      <c r="C37" s="1060" t="s">
        <v>1273</v>
      </c>
      <c r="D37" s="1068"/>
      <c r="E37" s="1068"/>
      <c r="F37" s="1068"/>
      <c r="G37" s="1069">
        <f t="shared" si="15"/>
        <v>0</v>
      </c>
      <c r="H37" s="1070">
        <f t="shared" si="16"/>
        <v>0</v>
      </c>
      <c r="I37" s="1070"/>
      <c r="J37" s="1070"/>
      <c r="K37" s="1071">
        <f t="shared" si="17"/>
        <v>0</v>
      </c>
      <c r="L37" s="1060" t="str">
        <f t="shared" si="12"/>
        <v>**</v>
      </c>
      <c r="M37" s="1072" t="s">
        <v>1259</v>
      </c>
      <c r="N37" s="1072" t="s">
        <v>1274</v>
      </c>
    </row>
    <row r="38" spans="1:14">
      <c r="A38" s="1052" t="s">
        <v>765</v>
      </c>
      <c r="B38" s="1060" t="s">
        <v>1257</v>
      </c>
      <c r="C38" s="1060" t="s">
        <v>1275</v>
      </c>
      <c r="D38" s="1068"/>
      <c r="E38" s="1068"/>
      <c r="F38" s="1068"/>
      <c r="G38" s="1069">
        <f t="shared" si="15"/>
        <v>0</v>
      </c>
      <c r="H38" s="1070">
        <f t="shared" si="16"/>
        <v>0</v>
      </c>
      <c r="I38" s="1070"/>
      <c r="J38" s="1070"/>
      <c r="K38" s="1071">
        <f t="shared" si="17"/>
        <v>0</v>
      </c>
      <c r="L38" s="1060" t="str">
        <f t="shared" si="12"/>
        <v>**</v>
      </c>
      <c r="M38" s="1072" t="s">
        <v>1259</v>
      </c>
      <c r="N38" s="1072" t="s">
        <v>390</v>
      </c>
    </row>
    <row r="39" spans="1:14">
      <c r="A39" s="1052" t="s">
        <v>766</v>
      </c>
      <c r="B39" s="1060" t="s">
        <v>1257</v>
      </c>
      <c r="C39" s="1060" t="s">
        <v>1276</v>
      </c>
      <c r="D39" s="1068"/>
      <c r="E39" s="1068"/>
      <c r="F39" s="1068"/>
      <c r="G39" s="1069">
        <f t="shared" si="15"/>
        <v>0</v>
      </c>
      <c r="H39" s="1070">
        <f t="shared" si="16"/>
        <v>0</v>
      </c>
      <c r="I39" s="1070"/>
      <c r="J39" s="1070"/>
      <c r="K39" s="1071">
        <f t="shared" si="17"/>
        <v>0</v>
      </c>
      <c r="L39" s="1060" t="str">
        <f t="shared" si="12"/>
        <v>**</v>
      </c>
      <c r="M39" s="1072" t="s">
        <v>1259</v>
      </c>
      <c r="N39" s="1072" t="s">
        <v>510</v>
      </c>
    </row>
    <row r="40" spans="1:14">
      <c r="A40" s="1052" t="s">
        <v>767</v>
      </c>
      <c r="B40" s="1060" t="s">
        <v>1257</v>
      </c>
      <c r="C40" s="1060" t="s">
        <v>1277</v>
      </c>
      <c r="D40" s="1068"/>
      <c r="E40" s="1068"/>
      <c r="F40" s="1068"/>
      <c r="G40" s="1069">
        <f t="shared" si="15"/>
        <v>0</v>
      </c>
      <c r="H40" s="1070">
        <f t="shared" si="16"/>
        <v>0</v>
      </c>
      <c r="I40" s="1070"/>
      <c r="J40" s="1070"/>
      <c r="K40" s="1071">
        <f t="shared" si="17"/>
        <v>0</v>
      </c>
      <c r="L40" s="1060" t="str">
        <f t="shared" si="12"/>
        <v>**</v>
      </c>
      <c r="M40" s="1072" t="s">
        <v>1259</v>
      </c>
      <c r="N40" s="1072" t="s">
        <v>512</v>
      </c>
    </row>
    <row r="41" spans="1:14">
      <c r="A41" s="1052" t="s">
        <v>768</v>
      </c>
      <c r="B41" s="1060" t="s">
        <v>1257</v>
      </c>
      <c r="C41" s="1060" t="s">
        <v>1278</v>
      </c>
      <c r="D41" s="1068"/>
      <c r="E41" s="1068"/>
      <c r="F41" s="1068"/>
      <c r="G41" s="1069">
        <f t="shared" si="15"/>
        <v>0</v>
      </c>
      <c r="H41" s="1070">
        <f t="shared" si="16"/>
        <v>0</v>
      </c>
      <c r="I41" s="1070"/>
      <c r="J41" s="1070"/>
      <c r="K41" s="1071">
        <f t="shared" si="17"/>
        <v>0</v>
      </c>
      <c r="L41" s="1060" t="str">
        <f t="shared" si="12"/>
        <v>**</v>
      </c>
      <c r="M41" s="1072" t="s">
        <v>1259</v>
      </c>
      <c r="N41" s="1072" t="s">
        <v>1279</v>
      </c>
    </row>
    <row r="42" spans="1:14">
      <c r="A42" s="1052" t="s">
        <v>769</v>
      </c>
      <c r="B42" s="1060" t="s">
        <v>1257</v>
      </c>
      <c r="C42" s="1060" t="s">
        <v>1280</v>
      </c>
      <c r="D42" s="1068"/>
      <c r="E42" s="1068"/>
      <c r="F42" s="1068"/>
      <c r="G42" s="1069">
        <f t="shared" si="15"/>
        <v>0</v>
      </c>
      <c r="H42" s="1070">
        <f t="shared" si="16"/>
        <v>0</v>
      </c>
      <c r="I42" s="1070"/>
      <c r="J42" s="1070"/>
      <c r="K42" s="1071">
        <f t="shared" si="17"/>
        <v>0</v>
      </c>
      <c r="L42" s="1060" t="str">
        <f t="shared" si="12"/>
        <v>**</v>
      </c>
      <c r="M42" s="1072" t="s">
        <v>1259</v>
      </c>
      <c r="N42" s="1072" t="s">
        <v>388</v>
      </c>
    </row>
    <row r="43" spans="1:14">
      <c r="A43" s="1052" t="s">
        <v>1391</v>
      </c>
      <c r="B43" s="1060" t="s">
        <v>1045</v>
      </c>
      <c r="C43" s="1060" t="s">
        <v>1281</v>
      </c>
      <c r="D43" s="1068"/>
      <c r="E43" s="1068"/>
      <c r="F43" s="1068"/>
      <c r="G43" s="1069">
        <f t="shared" si="15"/>
        <v>0</v>
      </c>
      <c r="H43" s="1070">
        <f t="shared" si="16"/>
        <v>0</v>
      </c>
      <c r="I43" s="1070"/>
      <c r="J43" s="1070"/>
      <c r="K43" s="1071">
        <f t="shared" si="17"/>
        <v>0</v>
      </c>
      <c r="L43" s="1060" t="s">
        <v>1045</v>
      </c>
      <c r="M43" s="1072" t="s">
        <v>85</v>
      </c>
      <c r="N43" s="1072" t="s">
        <v>1282</v>
      </c>
    </row>
    <row r="44" spans="1:14">
      <c r="A44" s="1052" t="s">
        <v>770</v>
      </c>
      <c r="B44" s="1060" t="s">
        <v>1257</v>
      </c>
      <c r="C44" s="1060" t="s">
        <v>1283</v>
      </c>
      <c r="D44" s="1068"/>
      <c r="E44" s="1068"/>
      <c r="F44" s="1068"/>
      <c r="G44" s="1069">
        <f t="shared" si="15"/>
        <v>0</v>
      </c>
      <c r="H44" s="1070">
        <f t="shared" si="16"/>
        <v>0</v>
      </c>
      <c r="I44" s="1070"/>
      <c r="J44" s="1070"/>
      <c r="K44" s="1071">
        <f t="shared" si="17"/>
        <v>0</v>
      </c>
      <c r="L44" s="1060" t="str">
        <f t="shared" ref="L44:L66" si="18">B44</f>
        <v>**</v>
      </c>
      <c r="M44" s="1072" t="s">
        <v>1259</v>
      </c>
      <c r="N44" s="1072" t="s">
        <v>514</v>
      </c>
    </row>
    <row r="45" spans="1:14">
      <c r="A45" s="1052" t="s">
        <v>771</v>
      </c>
      <c r="B45" s="1060" t="s">
        <v>1257</v>
      </c>
      <c r="C45" s="1060" t="s">
        <v>1284</v>
      </c>
      <c r="D45" s="1068"/>
      <c r="E45" s="1068"/>
      <c r="F45" s="1068"/>
      <c r="G45" s="1069">
        <f t="shared" si="15"/>
        <v>0</v>
      </c>
      <c r="H45" s="1070">
        <f t="shared" si="16"/>
        <v>0</v>
      </c>
      <c r="I45" s="1070"/>
      <c r="J45" s="1070"/>
      <c r="K45" s="1071">
        <f t="shared" si="17"/>
        <v>0</v>
      </c>
      <c r="L45" s="1060" t="str">
        <f t="shared" si="18"/>
        <v>**</v>
      </c>
      <c r="M45" s="1072" t="s">
        <v>1259</v>
      </c>
      <c r="N45" s="1072" t="s">
        <v>513</v>
      </c>
    </row>
    <row r="46" spans="1:14">
      <c r="A46" s="1052" t="s">
        <v>772</v>
      </c>
      <c r="B46" s="1060" t="s">
        <v>1257</v>
      </c>
      <c r="C46" s="1060" t="s">
        <v>1285</v>
      </c>
      <c r="D46" s="1068"/>
      <c r="E46" s="1068"/>
      <c r="F46" s="1068"/>
      <c r="G46" s="1069">
        <f t="shared" si="15"/>
        <v>0</v>
      </c>
      <c r="H46" s="1070">
        <f t="shared" si="16"/>
        <v>0</v>
      </c>
      <c r="I46" s="1070"/>
      <c r="J46" s="1070"/>
      <c r="K46" s="1071">
        <f t="shared" si="17"/>
        <v>0</v>
      </c>
      <c r="L46" s="1060" t="str">
        <f t="shared" si="18"/>
        <v>**</v>
      </c>
      <c r="M46" s="1072" t="s">
        <v>1259</v>
      </c>
      <c r="N46" s="1072" t="s">
        <v>773</v>
      </c>
    </row>
    <row r="47" spans="1:14">
      <c r="A47" s="1052" t="s">
        <v>774</v>
      </c>
      <c r="B47" s="1060" t="s">
        <v>1257</v>
      </c>
      <c r="C47" s="1060" t="s">
        <v>1286</v>
      </c>
      <c r="D47" s="1068"/>
      <c r="E47" s="1068"/>
      <c r="F47" s="1068"/>
      <c r="G47" s="1069">
        <f t="shared" si="15"/>
        <v>0</v>
      </c>
      <c r="H47" s="1070">
        <f t="shared" si="16"/>
        <v>0</v>
      </c>
      <c r="I47" s="1070"/>
      <c r="J47" s="1070"/>
      <c r="K47" s="1071">
        <f t="shared" si="17"/>
        <v>0</v>
      </c>
      <c r="L47" s="1060" t="str">
        <f t="shared" si="18"/>
        <v>**</v>
      </c>
      <c r="M47" s="1072" t="s">
        <v>1259</v>
      </c>
      <c r="N47" s="1072" t="s">
        <v>742</v>
      </c>
    </row>
    <row r="48" spans="1:14">
      <c r="A48" s="1052" t="s">
        <v>775</v>
      </c>
      <c r="B48" s="1060" t="s">
        <v>1257</v>
      </c>
      <c r="C48" s="1060" t="s">
        <v>1287</v>
      </c>
      <c r="D48" s="1068"/>
      <c r="E48" s="1068"/>
      <c r="F48" s="1068"/>
      <c r="G48" s="1069">
        <f t="shared" si="15"/>
        <v>0</v>
      </c>
      <c r="H48" s="1070">
        <f t="shared" si="16"/>
        <v>0</v>
      </c>
      <c r="I48" s="1070"/>
      <c r="J48" s="1070"/>
      <c r="K48" s="1071">
        <f t="shared" si="17"/>
        <v>0</v>
      </c>
      <c r="L48" s="1060" t="str">
        <f t="shared" si="18"/>
        <v>**</v>
      </c>
      <c r="M48" s="1072" t="s">
        <v>1259</v>
      </c>
      <c r="N48" s="1072" t="s">
        <v>387</v>
      </c>
    </row>
    <row r="49" spans="1:14">
      <c r="A49" s="1052" t="s">
        <v>776</v>
      </c>
      <c r="B49" s="1060" t="s">
        <v>1257</v>
      </c>
      <c r="C49" s="1060" t="s">
        <v>1288</v>
      </c>
      <c r="D49" s="1068">
        <v>7457.8300000000008</v>
      </c>
      <c r="E49" s="1068"/>
      <c r="F49" s="1068"/>
      <c r="G49" s="1069">
        <f t="shared" si="15"/>
        <v>7457.8300000000008</v>
      </c>
      <c r="H49" s="1070">
        <f t="shared" si="16"/>
        <v>8656005</v>
      </c>
      <c r="I49" s="1070"/>
      <c r="J49" s="1070"/>
      <c r="K49" s="1071">
        <f t="shared" si="17"/>
        <v>8656005</v>
      </c>
      <c r="L49" s="1060" t="str">
        <f t="shared" si="18"/>
        <v>**</v>
      </c>
      <c r="M49" s="1072" t="s">
        <v>1259</v>
      </c>
      <c r="N49" s="1072" t="s">
        <v>385</v>
      </c>
    </row>
    <row r="50" spans="1:14">
      <c r="A50" s="1052" t="s">
        <v>1393</v>
      </c>
      <c r="B50" s="1060" t="s">
        <v>1257</v>
      </c>
      <c r="C50" s="1060" t="s">
        <v>1289</v>
      </c>
      <c r="D50" s="1068"/>
      <c r="E50" s="1068"/>
      <c r="F50" s="1068"/>
      <c r="G50" s="1069">
        <f t="shared" si="15"/>
        <v>0</v>
      </c>
      <c r="H50" s="1070">
        <f t="shared" si="16"/>
        <v>0</v>
      </c>
      <c r="I50" s="1070"/>
      <c r="J50" s="1070"/>
      <c r="K50" s="1071">
        <f t="shared" si="17"/>
        <v>0</v>
      </c>
      <c r="L50" s="1060" t="str">
        <f t="shared" si="18"/>
        <v>**</v>
      </c>
      <c r="M50" s="1072" t="s">
        <v>1259</v>
      </c>
      <c r="N50" s="1072" t="s">
        <v>1290</v>
      </c>
    </row>
    <row r="51" spans="1:14">
      <c r="A51" s="1052" t="s">
        <v>777</v>
      </c>
      <c r="B51" s="1060" t="s">
        <v>1257</v>
      </c>
      <c r="C51" s="1060" t="s">
        <v>1291</v>
      </c>
      <c r="D51" s="1068"/>
      <c r="E51" s="1068"/>
      <c r="F51" s="1068"/>
      <c r="G51" s="1069">
        <f t="shared" si="15"/>
        <v>0</v>
      </c>
      <c r="H51" s="1070">
        <f t="shared" si="16"/>
        <v>0</v>
      </c>
      <c r="I51" s="1070"/>
      <c r="J51" s="1070"/>
      <c r="K51" s="1071">
        <f t="shared" si="17"/>
        <v>0</v>
      </c>
      <c r="L51" s="1060" t="str">
        <f t="shared" si="18"/>
        <v>**</v>
      </c>
      <c r="M51" s="1072" t="s">
        <v>1259</v>
      </c>
      <c r="N51" s="1072" t="s">
        <v>386</v>
      </c>
    </row>
    <row r="52" spans="1:14">
      <c r="A52" s="1052" t="s">
        <v>778</v>
      </c>
      <c r="B52" s="1060" t="s">
        <v>1257</v>
      </c>
      <c r="C52" s="1060" t="s">
        <v>1292</v>
      </c>
      <c r="D52" s="1068"/>
      <c r="E52" s="1068"/>
      <c r="F52" s="1068"/>
      <c r="G52" s="1069">
        <f t="shared" si="15"/>
        <v>0</v>
      </c>
      <c r="H52" s="1070">
        <f t="shared" si="16"/>
        <v>0</v>
      </c>
      <c r="I52" s="1070"/>
      <c r="J52" s="1070"/>
      <c r="K52" s="1071">
        <f t="shared" si="17"/>
        <v>0</v>
      </c>
      <c r="L52" s="1060" t="str">
        <f t="shared" si="18"/>
        <v>**</v>
      </c>
      <c r="M52" s="1072" t="s">
        <v>1259</v>
      </c>
      <c r="N52" s="1072" t="s">
        <v>174</v>
      </c>
    </row>
    <row r="53" spans="1:14">
      <c r="A53" s="1052" t="s">
        <v>779</v>
      </c>
      <c r="B53" s="1060" t="s">
        <v>1257</v>
      </c>
      <c r="C53" s="1060" t="s">
        <v>1293</v>
      </c>
      <c r="D53" s="1068"/>
      <c r="E53" s="1068"/>
      <c r="F53" s="1068"/>
      <c r="G53" s="1069">
        <f t="shared" si="15"/>
        <v>0</v>
      </c>
      <c r="H53" s="1070">
        <f t="shared" si="16"/>
        <v>0</v>
      </c>
      <c r="I53" s="1070"/>
      <c r="J53" s="1070"/>
      <c r="K53" s="1071">
        <f t="shared" si="17"/>
        <v>0</v>
      </c>
      <c r="L53" s="1060" t="str">
        <f t="shared" si="18"/>
        <v>**</v>
      </c>
      <c r="M53" s="1072" t="s">
        <v>1259</v>
      </c>
      <c r="N53" s="1072" t="s">
        <v>1294</v>
      </c>
    </row>
    <row r="54" spans="1:14">
      <c r="A54" s="1052" t="s">
        <v>780</v>
      </c>
      <c r="B54" s="1060" t="s">
        <v>1257</v>
      </c>
      <c r="C54" s="1060" t="s">
        <v>1295</v>
      </c>
      <c r="D54" s="1068"/>
      <c r="E54" s="1068"/>
      <c r="F54" s="1068"/>
      <c r="G54" s="1069">
        <f t="shared" si="15"/>
        <v>0</v>
      </c>
      <c r="H54" s="1070">
        <f t="shared" si="16"/>
        <v>0</v>
      </c>
      <c r="I54" s="1070"/>
      <c r="J54" s="1070"/>
      <c r="K54" s="1071">
        <f t="shared" si="17"/>
        <v>0</v>
      </c>
      <c r="L54" s="1060" t="str">
        <f t="shared" si="18"/>
        <v>**</v>
      </c>
      <c r="M54" s="1072" t="s">
        <v>1259</v>
      </c>
      <c r="N54" s="1072" t="s">
        <v>1296</v>
      </c>
    </row>
    <row r="55" spans="1:14">
      <c r="A55" s="1052" t="s">
        <v>782</v>
      </c>
      <c r="B55" s="1060" t="s">
        <v>1257</v>
      </c>
      <c r="C55" s="1060" t="s">
        <v>1297</v>
      </c>
      <c r="D55" s="1068"/>
      <c r="E55" s="1068"/>
      <c r="F55" s="1068"/>
      <c r="G55" s="1069">
        <f t="shared" si="15"/>
        <v>0</v>
      </c>
      <c r="H55" s="1070">
        <f t="shared" si="16"/>
        <v>0</v>
      </c>
      <c r="I55" s="1070"/>
      <c r="J55" s="1070"/>
      <c r="K55" s="1071">
        <f t="shared" si="17"/>
        <v>0</v>
      </c>
      <c r="L55" s="1060" t="str">
        <f t="shared" si="18"/>
        <v>**</v>
      </c>
      <c r="M55" s="1072" t="s">
        <v>1259</v>
      </c>
      <c r="N55" s="1072" t="s">
        <v>1298</v>
      </c>
    </row>
    <row r="56" spans="1:14">
      <c r="A56" s="1052" t="s">
        <v>783</v>
      </c>
      <c r="B56" s="1060" t="s">
        <v>1257</v>
      </c>
      <c r="C56" s="1060" t="s">
        <v>1299</v>
      </c>
      <c r="D56" s="1068"/>
      <c r="E56" s="1068"/>
      <c r="F56" s="1068"/>
      <c r="G56" s="1069">
        <f t="shared" si="15"/>
        <v>0</v>
      </c>
      <c r="H56" s="1070">
        <f t="shared" si="16"/>
        <v>0</v>
      </c>
      <c r="I56" s="1070"/>
      <c r="J56" s="1070"/>
      <c r="K56" s="1071">
        <f t="shared" si="17"/>
        <v>0</v>
      </c>
      <c r="L56" s="1060" t="str">
        <f t="shared" si="18"/>
        <v>**</v>
      </c>
      <c r="M56" s="1072" t="s">
        <v>1259</v>
      </c>
      <c r="N56" s="1072" t="s">
        <v>749</v>
      </c>
    </row>
    <row r="57" spans="1:14">
      <c r="A57" s="1052" t="s">
        <v>784</v>
      </c>
      <c r="B57" s="1060" t="s">
        <v>1257</v>
      </c>
      <c r="C57" s="1060" t="s">
        <v>1300</v>
      </c>
      <c r="D57" s="1068"/>
      <c r="E57" s="1068"/>
      <c r="F57" s="1068"/>
      <c r="G57" s="1069">
        <f>D57+E57-F57</f>
        <v>0</v>
      </c>
      <c r="H57" s="1070">
        <f t="shared" si="16"/>
        <v>0</v>
      </c>
      <c r="I57" s="1070"/>
      <c r="J57" s="1070"/>
      <c r="K57" s="1071">
        <f>H57+I57-J57</f>
        <v>0</v>
      </c>
      <c r="L57" s="1060" t="str">
        <f t="shared" si="18"/>
        <v>**</v>
      </c>
      <c r="M57" s="1072" t="s">
        <v>1259</v>
      </c>
      <c r="N57" s="1072" t="s">
        <v>1301</v>
      </c>
    </row>
    <row r="58" spans="1:14">
      <c r="A58" s="1052"/>
      <c r="B58" s="1053" t="s">
        <v>1319</v>
      </c>
      <c r="C58" s="1053" t="s">
        <v>1302</v>
      </c>
      <c r="D58" s="1054">
        <f t="shared" ref="D58" si="19">D23-D24</f>
        <v>-7457.8300000000008</v>
      </c>
      <c r="E58" s="1054"/>
      <c r="F58" s="1054"/>
      <c r="G58" s="1054">
        <f>G23-G24</f>
        <v>-7457.8300000000008</v>
      </c>
      <c r="H58" s="1056">
        <f>H23-H24</f>
        <v>-8656005</v>
      </c>
      <c r="I58" s="1056"/>
      <c r="J58" s="1056"/>
      <c r="K58" s="1056">
        <f>K23-K24</f>
        <v>-8656005</v>
      </c>
      <c r="L58" s="1058" t="str">
        <f t="shared" si="18"/>
        <v>*</v>
      </c>
      <c r="M58" s="1059"/>
      <c r="N58" s="1059"/>
    </row>
    <row r="59" spans="1:14">
      <c r="A59" s="1052"/>
      <c r="B59" s="1053" t="s">
        <v>1319</v>
      </c>
      <c r="C59" s="1053" t="s">
        <v>1303</v>
      </c>
      <c r="D59" s="1054">
        <f t="shared" ref="D59" si="20">SUM(D60:D69)</f>
        <v>0</v>
      </c>
      <c r="E59" s="1054"/>
      <c r="F59" s="1054"/>
      <c r="G59" s="1054">
        <f>SUM(G60:G69)</f>
        <v>0</v>
      </c>
      <c r="H59" s="1056">
        <f>SUM(H60:H69)</f>
        <v>0</v>
      </c>
      <c r="I59" s="1056"/>
      <c r="J59" s="1056"/>
      <c r="K59" s="1056">
        <f>SUM(K60:K69)</f>
        <v>0</v>
      </c>
      <c r="L59" s="1058" t="str">
        <f t="shared" si="18"/>
        <v>*</v>
      </c>
      <c r="M59" s="1059"/>
      <c r="N59" s="1059"/>
    </row>
    <row r="60" spans="1:14">
      <c r="A60" s="1052" t="s">
        <v>793</v>
      </c>
      <c r="B60" s="1060" t="s">
        <v>1257</v>
      </c>
      <c r="C60" s="1060" t="s">
        <v>1304</v>
      </c>
      <c r="D60" s="1068"/>
      <c r="E60" s="1068"/>
      <c r="F60" s="1068"/>
      <c r="G60" s="1069">
        <f t="shared" ref="G60:G69" si="21">D60-E60+F60</f>
        <v>0</v>
      </c>
      <c r="H60" s="1070">
        <f t="shared" ref="H60:H69" si="22">ROUND(G60*$G$4,)</f>
        <v>0</v>
      </c>
      <c r="I60" s="1070"/>
      <c r="J60" s="1070"/>
      <c r="K60" s="1071">
        <f t="shared" ref="K60:K69" si="23">H60-I60+J60</f>
        <v>0</v>
      </c>
      <c r="L60" s="1060" t="str">
        <f t="shared" si="18"/>
        <v>**</v>
      </c>
      <c r="M60" s="1072" t="s">
        <v>1336</v>
      </c>
      <c r="N60" s="1072" t="s">
        <v>133</v>
      </c>
    </row>
    <row r="61" spans="1:14">
      <c r="A61" s="1052"/>
      <c r="B61" s="1060" t="s">
        <v>1257</v>
      </c>
      <c r="C61" s="1060" t="s">
        <v>1337</v>
      </c>
      <c r="D61" s="1068"/>
      <c r="E61" s="1068"/>
      <c r="F61" s="1068"/>
      <c r="G61" s="1069">
        <f t="shared" si="21"/>
        <v>0</v>
      </c>
      <c r="H61" s="1070">
        <f t="shared" si="22"/>
        <v>0</v>
      </c>
      <c r="I61" s="1070"/>
      <c r="J61" s="1070"/>
      <c r="K61" s="1071">
        <f t="shared" si="23"/>
        <v>0</v>
      </c>
      <c r="L61" s="1060" t="str">
        <f t="shared" si="18"/>
        <v>**</v>
      </c>
      <c r="M61" s="1072" t="s">
        <v>1338</v>
      </c>
      <c r="N61" s="1072" t="s">
        <v>1339</v>
      </c>
    </row>
    <row r="62" spans="1:14">
      <c r="A62" s="1052" t="s">
        <v>794</v>
      </c>
      <c r="B62" s="1060" t="s">
        <v>1257</v>
      </c>
      <c r="C62" s="1060" t="s">
        <v>1340</v>
      </c>
      <c r="D62" s="1068">
        <v>0</v>
      </c>
      <c r="E62" s="1068"/>
      <c r="F62" s="1068"/>
      <c r="G62" s="1069">
        <f t="shared" si="21"/>
        <v>0</v>
      </c>
      <c r="H62" s="1070">
        <f t="shared" si="22"/>
        <v>0</v>
      </c>
      <c r="I62" s="1070"/>
      <c r="J62" s="1070"/>
      <c r="K62" s="1071">
        <f t="shared" si="23"/>
        <v>0</v>
      </c>
      <c r="L62" s="1060" t="str">
        <f t="shared" si="18"/>
        <v>**</v>
      </c>
      <c r="M62" s="1072" t="s">
        <v>90</v>
      </c>
      <c r="N62" s="1072" t="s">
        <v>120</v>
      </c>
    </row>
    <row r="63" spans="1:14">
      <c r="A63" s="1052" t="s">
        <v>795</v>
      </c>
      <c r="B63" s="1060" t="s">
        <v>1257</v>
      </c>
      <c r="C63" s="1060" t="s">
        <v>1341</v>
      </c>
      <c r="D63" s="1068"/>
      <c r="E63" s="1068"/>
      <c r="F63" s="1068"/>
      <c r="G63" s="1069">
        <f t="shared" si="21"/>
        <v>0</v>
      </c>
      <c r="H63" s="1070">
        <f t="shared" si="22"/>
        <v>0</v>
      </c>
      <c r="I63" s="1070"/>
      <c r="J63" s="1070"/>
      <c r="K63" s="1071">
        <f t="shared" si="23"/>
        <v>0</v>
      </c>
      <c r="L63" s="1060" t="str">
        <f t="shared" si="18"/>
        <v>**</v>
      </c>
      <c r="M63" s="1072" t="s">
        <v>90</v>
      </c>
      <c r="N63" s="1072" t="s">
        <v>121</v>
      </c>
    </row>
    <row r="64" spans="1:14">
      <c r="A64" s="1052"/>
      <c r="B64" s="1060" t="s">
        <v>1257</v>
      </c>
      <c r="C64" s="1060" t="s">
        <v>1342</v>
      </c>
      <c r="D64" s="1068"/>
      <c r="E64" s="1068"/>
      <c r="F64" s="1068"/>
      <c r="G64" s="1069">
        <f t="shared" si="21"/>
        <v>0</v>
      </c>
      <c r="H64" s="1070">
        <f t="shared" si="22"/>
        <v>0</v>
      </c>
      <c r="I64" s="1070"/>
      <c r="J64" s="1070"/>
      <c r="K64" s="1071">
        <f t="shared" si="23"/>
        <v>0</v>
      </c>
      <c r="L64" s="1060" t="str">
        <f t="shared" si="18"/>
        <v>**</v>
      </c>
      <c r="M64" s="1072" t="s">
        <v>87</v>
      </c>
      <c r="N64" s="1072" t="s">
        <v>122</v>
      </c>
    </row>
    <row r="65" spans="1:14">
      <c r="A65" s="1052" t="s">
        <v>798</v>
      </c>
      <c r="B65" s="1060" t="s">
        <v>1257</v>
      </c>
      <c r="C65" s="1060" t="s">
        <v>1343</v>
      </c>
      <c r="D65" s="1068"/>
      <c r="E65" s="1068"/>
      <c r="F65" s="1068"/>
      <c r="G65" s="1069">
        <f t="shared" si="21"/>
        <v>0</v>
      </c>
      <c r="H65" s="1070">
        <f t="shared" si="22"/>
        <v>0</v>
      </c>
      <c r="I65" s="1070"/>
      <c r="J65" s="1070"/>
      <c r="K65" s="1071">
        <f t="shared" si="23"/>
        <v>0</v>
      </c>
      <c r="L65" s="1060" t="str">
        <f t="shared" si="18"/>
        <v>**</v>
      </c>
      <c r="M65" s="1072" t="s">
        <v>1338</v>
      </c>
      <c r="N65" s="1072" t="s">
        <v>123</v>
      </c>
    </row>
    <row r="66" spans="1:14">
      <c r="A66" s="1052"/>
      <c r="B66" s="1060" t="s">
        <v>1257</v>
      </c>
      <c r="C66" s="1060" t="s">
        <v>1344</v>
      </c>
      <c r="D66" s="1068"/>
      <c r="E66" s="1068"/>
      <c r="F66" s="1068"/>
      <c r="G66" s="1069">
        <f t="shared" si="21"/>
        <v>0</v>
      </c>
      <c r="H66" s="1070">
        <f t="shared" si="22"/>
        <v>0</v>
      </c>
      <c r="I66" s="1070"/>
      <c r="J66" s="1070"/>
      <c r="K66" s="1071">
        <f t="shared" si="23"/>
        <v>0</v>
      </c>
      <c r="L66" s="1060" t="str">
        <f t="shared" si="18"/>
        <v>**</v>
      </c>
      <c r="M66" s="1072" t="s">
        <v>1338</v>
      </c>
      <c r="N66" s="1072" t="s">
        <v>1345</v>
      </c>
    </row>
    <row r="67" spans="1:14">
      <c r="A67" s="1052"/>
      <c r="B67" s="1060" t="s">
        <v>1045</v>
      </c>
      <c r="C67" s="1060" t="s">
        <v>1346</v>
      </c>
      <c r="D67" s="1068"/>
      <c r="E67" s="1068"/>
      <c r="F67" s="1068"/>
      <c r="G67" s="1069">
        <f t="shared" si="21"/>
        <v>0</v>
      </c>
      <c r="H67" s="1070">
        <f t="shared" si="22"/>
        <v>0</v>
      </c>
      <c r="I67" s="1070"/>
      <c r="J67" s="1070"/>
      <c r="K67" s="1071">
        <f t="shared" si="23"/>
        <v>0</v>
      </c>
      <c r="L67" s="1060" t="s">
        <v>1045</v>
      </c>
      <c r="M67" s="1072" t="s">
        <v>90</v>
      </c>
      <c r="N67" s="1068" t="s">
        <v>1305</v>
      </c>
    </row>
    <row r="68" spans="1:14">
      <c r="A68" s="1052"/>
      <c r="B68" s="1060" t="s">
        <v>1045</v>
      </c>
      <c r="C68" s="1060" t="s">
        <v>1347</v>
      </c>
      <c r="D68" s="1068"/>
      <c r="E68" s="1068"/>
      <c r="F68" s="1068"/>
      <c r="G68" s="1069">
        <f>D68-E68+F68</f>
        <v>0</v>
      </c>
      <c r="H68" s="1070">
        <f t="shared" si="22"/>
        <v>0</v>
      </c>
      <c r="I68" s="1070"/>
      <c r="J68" s="1070"/>
      <c r="K68" s="1071">
        <f>H68-I68+J68</f>
        <v>0</v>
      </c>
      <c r="L68" s="1060" t="s">
        <v>1045</v>
      </c>
      <c r="M68" s="1072" t="s">
        <v>1338</v>
      </c>
      <c r="N68" s="1068" t="s">
        <v>1348</v>
      </c>
    </row>
    <row r="69" spans="1:14">
      <c r="A69" s="1052"/>
      <c r="B69" s="1060" t="s">
        <v>1257</v>
      </c>
      <c r="C69" s="1060" t="s">
        <v>1349</v>
      </c>
      <c r="D69" s="1068"/>
      <c r="E69" s="1068"/>
      <c r="F69" s="1068"/>
      <c r="G69" s="1069">
        <f t="shared" si="21"/>
        <v>0</v>
      </c>
      <c r="H69" s="1070">
        <f t="shared" si="22"/>
        <v>0</v>
      </c>
      <c r="I69" s="1070"/>
      <c r="J69" s="1070"/>
      <c r="K69" s="1071">
        <f t="shared" si="23"/>
        <v>0</v>
      </c>
      <c r="L69" s="1060" t="str">
        <f t="shared" ref="L69:L74" si="24">B69</f>
        <v>**</v>
      </c>
      <c r="M69" s="1072" t="s">
        <v>90</v>
      </c>
      <c r="N69" s="1068" t="s">
        <v>1306</v>
      </c>
    </row>
    <row r="70" spans="1:14">
      <c r="A70" s="1052"/>
      <c r="B70" s="1060" t="s">
        <v>1319</v>
      </c>
      <c r="C70" s="1060" t="s">
        <v>1307</v>
      </c>
      <c r="D70" s="1054">
        <f t="shared" ref="D70" si="25">SUM(D71:D80)</f>
        <v>25.87</v>
      </c>
      <c r="E70" s="1054"/>
      <c r="F70" s="1054"/>
      <c r="G70" s="1054">
        <f>SUM(G71:G80)</f>
        <v>25.87</v>
      </c>
      <c r="H70" s="1056">
        <f>SUM(H71:H80)</f>
        <v>30026</v>
      </c>
      <c r="I70" s="1056"/>
      <c r="J70" s="1056"/>
      <c r="K70" s="1056">
        <f>SUM(K71:K80)</f>
        <v>30026</v>
      </c>
      <c r="L70" s="1058" t="str">
        <f t="shared" si="24"/>
        <v>*</v>
      </c>
      <c r="M70" s="1059"/>
      <c r="N70" s="1054"/>
    </row>
    <row r="71" spans="1:14">
      <c r="A71" s="1052" t="s">
        <v>802</v>
      </c>
      <c r="B71" s="1060" t="s">
        <v>1257</v>
      </c>
      <c r="C71" s="1060" t="s">
        <v>1308</v>
      </c>
      <c r="D71" s="1068"/>
      <c r="E71" s="1068"/>
      <c r="F71" s="1068"/>
      <c r="G71" s="1069">
        <f>D71+E71-F71</f>
        <v>0</v>
      </c>
      <c r="H71" s="1070">
        <f t="shared" ref="H71:H80" si="26">ROUND(G71*$G$4,)</f>
        <v>0</v>
      </c>
      <c r="I71" s="1070"/>
      <c r="J71" s="1070"/>
      <c r="K71" s="1071">
        <f>H71+I71-J71</f>
        <v>0</v>
      </c>
      <c r="L71" s="1060" t="str">
        <f t="shared" si="24"/>
        <v>**</v>
      </c>
      <c r="M71" s="1072" t="s">
        <v>1350</v>
      </c>
      <c r="N71" s="1068" t="s">
        <v>179</v>
      </c>
    </row>
    <row r="72" spans="1:14">
      <c r="A72" s="1052" t="s">
        <v>803</v>
      </c>
      <c r="B72" s="1060" t="s">
        <v>1257</v>
      </c>
      <c r="C72" s="1060" t="s">
        <v>1351</v>
      </c>
      <c r="D72" s="1068">
        <v>25.87</v>
      </c>
      <c r="E72" s="1068"/>
      <c r="F72" s="1068"/>
      <c r="G72" s="1069">
        <f t="shared" ref="G72:G80" si="27">D72+E72-F72</f>
        <v>25.87</v>
      </c>
      <c r="H72" s="1070">
        <f t="shared" si="26"/>
        <v>30026</v>
      </c>
      <c r="I72" s="1070"/>
      <c r="J72" s="1070"/>
      <c r="K72" s="1071">
        <f t="shared" ref="K72:K80" si="28">H72+I72-J72</f>
        <v>30026</v>
      </c>
      <c r="L72" s="1060" t="str">
        <f t="shared" si="24"/>
        <v>**</v>
      </c>
      <c r="M72" s="1072" t="s">
        <v>91</v>
      </c>
      <c r="N72" s="1068" t="s">
        <v>125</v>
      </c>
    </row>
    <row r="73" spans="1:14">
      <c r="A73" s="1052" t="s">
        <v>805</v>
      </c>
      <c r="B73" s="1060" t="s">
        <v>1257</v>
      </c>
      <c r="C73" s="1060" t="s">
        <v>1352</v>
      </c>
      <c r="D73" s="1068">
        <v>0</v>
      </c>
      <c r="E73" s="1068"/>
      <c r="F73" s="1068"/>
      <c r="G73" s="1069">
        <f t="shared" si="27"/>
        <v>0</v>
      </c>
      <c r="H73" s="1070">
        <f t="shared" si="26"/>
        <v>0</v>
      </c>
      <c r="I73" s="1070"/>
      <c r="J73" s="1070"/>
      <c r="K73" s="1071">
        <f t="shared" si="28"/>
        <v>0</v>
      </c>
      <c r="L73" s="1060" t="str">
        <f t="shared" si="24"/>
        <v>**</v>
      </c>
      <c r="M73" s="1072" t="s">
        <v>91</v>
      </c>
      <c r="N73" s="1068" t="s">
        <v>1353</v>
      </c>
    </row>
    <row r="74" spans="1:14">
      <c r="A74" s="1052"/>
      <c r="B74" s="1060" t="s">
        <v>1257</v>
      </c>
      <c r="C74" s="1060" t="s">
        <v>1354</v>
      </c>
      <c r="D74" s="1068">
        <v>0</v>
      </c>
      <c r="E74" s="1068"/>
      <c r="F74" s="1068"/>
      <c r="G74" s="1069">
        <f t="shared" si="27"/>
        <v>0</v>
      </c>
      <c r="H74" s="1070">
        <f t="shared" si="26"/>
        <v>0</v>
      </c>
      <c r="I74" s="1070"/>
      <c r="J74" s="1070"/>
      <c r="K74" s="1071">
        <f t="shared" si="28"/>
        <v>0</v>
      </c>
      <c r="L74" s="1060" t="str">
        <f t="shared" si="24"/>
        <v>**</v>
      </c>
      <c r="M74" s="1072" t="s">
        <v>88</v>
      </c>
      <c r="N74" s="1068" t="s">
        <v>89</v>
      </c>
    </row>
    <row r="75" spans="1:14">
      <c r="A75" s="1052"/>
      <c r="B75" s="1060" t="s">
        <v>1045</v>
      </c>
      <c r="C75" s="1060" t="s">
        <v>1309</v>
      </c>
      <c r="D75" s="1068"/>
      <c r="E75" s="1068"/>
      <c r="F75" s="1068"/>
      <c r="G75" s="1069">
        <f t="shared" si="27"/>
        <v>0</v>
      </c>
      <c r="H75" s="1070">
        <f t="shared" si="26"/>
        <v>0</v>
      </c>
      <c r="I75" s="1070"/>
      <c r="J75" s="1070"/>
      <c r="K75" s="1071">
        <f t="shared" si="28"/>
        <v>0</v>
      </c>
      <c r="L75" s="1060" t="s">
        <v>1045</v>
      </c>
      <c r="M75" s="1072" t="s">
        <v>91</v>
      </c>
      <c r="N75" s="1068" t="s">
        <v>1310</v>
      </c>
    </row>
    <row r="76" spans="1:14">
      <c r="A76" s="1052" t="s">
        <v>810</v>
      </c>
      <c r="B76" s="1060" t="s">
        <v>1257</v>
      </c>
      <c r="C76" s="1060" t="s">
        <v>1355</v>
      </c>
      <c r="D76" s="1068"/>
      <c r="E76" s="1068"/>
      <c r="F76" s="1068"/>
      <c r="G76" s="1069">
        <f t="shared" si="27"/>
        <v>0</v>
      </c>
      <c r="H76" s="1070">
        <f t="shared" si="26"/>
        <v>0</v>
      </c>
      <c r="I76" s="1070"/>
      <c r="J76" s="1070"/>
      <c r="K76" s="1071">
        <f t="shared" si="28"/>
        <v>0</v>
      </c>
      <c r="L76" s="1060" t="str">
        <f>B76</f>
        <v>**</v>
      </c>
      <c r="M76" s="1072" t="s">
        <v>88</v>
      </c>
      <c r="N76" s="1068" t="s">
        <v>130</v>
      </c>
    </row>
    <row r="77" spans="1:14">
      <c r="A77" s="1052" t="s">
        <v>800</v>
      </c>
      <c r="B77" s="1060"/>
      <c r="C77" s="1083" t="s">
        <v>1356</v>
      </c>
      <c r="D77" s="1068"/>
      <c r="E77" s="1068"/>
      <c r="F77" s="1068"/>
      <c r="G77" s="1069">
        <f t="shared" si="27"/>
        <v>0</v>
      </c>
      <c r="H77" s="1070">
        <f t="shared" si="26"/>
        <v>0</v>
      </c>
      <c r="I77" s="1070"/>
      <c r="J77" s="1070"/>
      <c r="K77" s="1071">
        <f t="shared" si="28"/>
        <v>0</v>
      </c>
      <c r="L77" s="1060"/>
      <c r="M77" s="1072" t="s">
        <v>1350</v>
      </c>
      <c r="N77" s="1068" t="s">
        <v>1311</v>
      </c>
    </row>
    <row r="78" spans="1:14">
      <c r="A78" s="1052"/>
      <c r="B78" s="1060" t="s">
        <v>1257</v>
      </c>
      <c r="C78" s="1060" t="s">
        <v>1357</v>
      </c>
      <c r="D78" s="1068"/>
      <c r="E78" s="1068"/>
      <c r="F78" s="1068"/>
      <c r="G78" s="1069">
        <f t="shared" si="27"/>
        <v>0</v>
      </c>
      <c r="H78" s="1070">
        <f t="shared" si="26"/>
        <v>0</v>
      </c>
      <c r="I78" s="1070"/>
      <c r="J78" s="1070"/>
      <c r="K78" s="1071">
        <f t="shared" si="28"/>
        <v>0</v>
      </c>
      <c r="L78" s="1060" t="str">
        <f>B78</f>
        <v>**</v>
      </c>
      <c r="M78" s="1072" t="s">
        <v>1350</v>
      </c>
      <c r="N78" s="1068" t="s">
        <v>1358</v>
      </c>
    </row>
    <row r="79" spans="1:14">
      <c r="A79" s="1052" t="s">
        <v>808</v>
      </c>
      <c r="B79" s="1060"/>
      <c r="C79" s="1060" t="s">
        <v>1359</v>
      </c>
      <c r="D79" s="1068"/>
      <c r="E79" s="1068"/>
      <c r="F79" s="1068"/>
      <c r="G79" s="1069">
        <f t="shared" si="27"/>
        <v>0</v>
      </c>
      <c r="H79" s="1070">
        <f t="shared" si="26"/>
        <v>0</v>
      </c>
      <c r="I79" s="1070"/>
      <c r="J79" s="1070"/>
      <c r="K79" s="1071">
        <f t="shared" si="28"/>
        <v>0</v>
      </c>
      <c r="L79" s="1060"/>
      <c r="M79" s="1072"/>
      <c r="N79" s="1068"/>
    </row>
    <row r="80" spans="1:14">
      <c r="A80" s="1052"/>
      <c r="B80" s="1060"/>
      <c r="C80" s="1084" t="s">
        <v>1360</v>
      </c>
      <c r="D80" s="1068"/>
      <c r="E80" s="1068"/>
      <c r="F80" s="1068"/>
      <c r="G80" s="1069">
        <f t="shared" si="27"/>
        <v>0</v>
      </c>
      <c r="H80" s="1070">
        <f t="shared" si="26"/>
        <v>0</v>
      </c>
      <c r="I80" s="1070"/>
      <c r="J80" s="1070"/>
      <c r="K80" s="1071">
        <f t="shared" si="28"/>
        <v>0</v>
      </c>
      <c r="L80" s="1060"/>
      <c r="M80" s="1072"/>
      <c r="N80" s="1068"/>
    </row>
    <row r="81" spans="1:14">
      <c r="A81" s="1052"/>
      <c r="B81" s="1060" t="s">
        <v>1319</v>
      </c>
      <c r="C81" s="1060" t="s">
        <v>1312</v>
      </c>
      <c r="D81" s="1054">
        <f t="shared" ref="D81" si="29">D58+D59-D70</f>
        <v>-7483.7000000000007</v>
      </c>
      <c r="E81" s="1054"/>
      <c r="F81" s="1054"/>
      <c r="G81" s="1055">
        <f>G58+G59-G70</f>
        <v>-7483.7000000000007</v>
      </c>
      <c r="H81" s="1056">
        <f>H58+H59-H70</f>
        <v>-8686031</v>
      </c>
      <c r="I81" s="1056"/>
      <c r="J81" s="1056"/>
      <c r="K81" s="1057">
        <f>K58+K59-K70</f>
        <v>-8686031</v>
      </c>
      <c r="L81" s="1058" t="str">
        <f>B81</f>
        <v>*</v>
      </c>
      <c r="M81" s="1059"/>
      <c r="N81" s="1054"/>
    </row>
    <row r="82" spans="1:14">
      <c r="A82" s="1052"/>
      <c r="B82" s="1060" t="s">
        <v>1319</v>
      </c>
      <c r="C82" s="1060" t="s">
        <v>1313</v>
      </c>
      <c r="D82" s="1054">
        <f t="shared" ref="D82" si="30">D83</f>
        <v>0</v>
      </c>
      <c r="E82" s="1054"/>
      <c r="F82" s="1054"/>
      <c r="G82" s="1055">
        <f>G83</f>
        <v>0</v>
      </c>
      <c r="H82" s="1056">
        <f>H83</f>
        <v>0</v>
      </c>
      <c r="I82" s="1056"/>
      <c r="J82" s="1056"/>
      <c r="K82" s="1057">
        <f>K83</f>
        <v>0</v>
      </c>
      <c r="L82" s="1058" t="s">
        <v>1047</v>
      </c>
      <c r="M82" s="1059"/>
      <c r="N82" s="1059"/>
    </row>
    <row r="83" spans="1:14">
      <c r="A83" s="1052" t="s">
        <v>811</v>
      </c>
      <c r="B83" s="1060" t="s">
        <v>1257</v>
      </c>
      <c r="C83" s="1060" t="s">
        <v>1314</v>
      </c>
      <c r="D83" s="1068"/>
      <c r="E83" s="1068"/>
      <c r="F83" s="1068"/>
      <c r="G83" s="1069">
        <f>D83+E83-F83</f>
        <v>0</v>
      </c>
      <c r="H83" s="1070">
        <f t="shared" ref="H83" si="31">ROUND(G83*$G$4,)</f>
        <v>0</v>
      </c>
      <c r="I83" s="1070"/>
      <c r="J83" s="1070"/>
      <c r="K83" s="1071">
        <f>H83+I83-J83</f>
        <v>0</v>
      </c>
      <c r="L83" s="1060" t="str">
        <f>B83</f>
        <v>**</v>
      </c>
      <c r="M83" s="1072" t="s">
        <v>1361</v>
      </c>
      <c r="N83" s="1072" t="s">
        <v>238</v>
      </c>
    </row>
    <row r="84" spans="1:14">
      <c r="A84" s="1052"/>
      <c r="B84" s="1060" t="s">
        <v>1319</v>
      </c>
      <c r="C84" s="1060" t="s">
        <v>1315</v>
      </c>
      <c r="D84" s="1054">
        <f t="shared" ref="D84" si="32">D81-D82</f>
        <v>-7483.7000000000007</v>
      </c>
      <c r="E84" s="1054"/>
      <c r="F84" s="1054"/>
      <c r="G84" s="1055">
        <f>G81-G82</f>
        <v>-7483.7000000000007</v>
      </c>
      <c r="H84" s="1056">
        <f>H81-H82</f>
        <v>-8686031</v>
      </c>
      <c r="I84" s="1056"/>
      <c r="J84" s="1056"/>
      <c r="K84" s="978">
        <f>K81-K82</f>
        <v>-8686031</v>
      </c>
      <c r="L84" s="1058" t="str">
        <f>B84</f>
        <v>*</v>
      </c>
      <c r="M84" s="1059"/>
      <c r="N84" s="1059"/>
    </row>
    <row r="85" spans="1:14">
      <c r="A85" s="1052"/>
      <c r="B85" s="1060" t="s">
        <v>1319</v>
      </c>
      <c r="C85" s="1060" t="s">
        <v>1362</v>
      </c>
      <c r="D85" s="1054">
        <f t="shared" ref="D85" si="33">SUM(D86:D87)</f>
        <v>0</v>
      </c>
      <c r="E85" s="1054"/>
      <c r="F85" s="1054"/>
      <c r="G85" s="1055">
        <f>SUM(G86:G86)</f>
        <v>0</v>
      </c>
      <c r="H85" s="1056">
        <f>SUM(H86:H87)</f>
        <v>1741310</v>
      </c>
      <c r="I85" s="1056"/>
      <c r="J85" s="1056"/>
      <c r="K85" s="975">
        <f>SUM(K86:K87)</f>
        <v>1741310</v>
      </c>
      <c r="L85" s="1058" t="s">
        <v>1047</v>
      </c>
      <c r="M85" s="1059"/>
      <c r="N85" s="1059"/>
    </row>
    <row r="86" spans="1:14">
      <c r="A86" s="1052" t="s">
        <v>1790</v>
      </c>
      <c r="B86" s="1060" t="s">
        <v>1257</v>
      </c>
      <c r="C86" s="1060" t="s">
        <v>78</v>
      </c>
      <c r="D86" s="1068"/>
      <c r="E86" s="1068"/>
      <c r="F86" s="1068"/>
      <c r="G86" s="1069">
        <f>D86+E86-F86</f>
        <v>0</v>
      </c>
      <c r="H86" s="1070">
        <v>0</v>
      </c>
      <c r="I86" s="1070"/>
      <c r="J86" s="1070"/>
      <c r="K86" s="977">
        <f>H86+I86-J86</f>
        <v>0</v>
      </c>
      <c r="L86" s="1060" t="s">
        <v>1043</v>
      </c>
      <c r="M86" s="1072" t="s">
        <v>1363</v>
      </c>
      <c r="N86" s="1072" t="s">
        <v>78</v>
      </c>
    </row>
    <row r="87" spans="1:14">
      <c r="A87" s="1052" t="s">
        <v>1794</v>
      </c>
      <c r="B87" s="1060"/>
      <c r="C87" s="1060" t="s">
        <v>1668</v>
      </c>
      <c r="D87" s="1068"/>
      <c r="E87" s="1068"/>
      <c r="F87" s="1068"/>
      <c r="G87" s="1069">
        <f>D87+E87-F87</f>
        <v>0</v>
      </c>
      <c r="H87" s="1075">
        <f>SG!F62</f>
        <v>1741310</v>
      </c>
      <c r="I87" s="1070"/>
      <c r="J87" s="1085"/>
      <c r="K87" s="977">
        <f>H87+I87-J87</f>
        <v>1741310</v>
      </c>
      <c r="L87" s="1060"/>
      <c r="M87" s="1072"/>
      <c r="N87" s="1072"/>
    </row>
    <row r="88" spans="1:14" ht="14.25" thickBot="1">
      <c r="A88" s="1086"/>
      <c r="B88" s="1060" t="s">
        <v>1319</v>
      </c>
      <c r="C88" s="1060" t="s">
        <v>1364</v>
      </c>
      <c r="D88" s="1054">
        <f t="shared" ref="D88" si="34">D84+D85</f>
        <v>-7483.7000000000007</v>
      </c>
      <c r="E88" s="1054"/>
      <c r="F88" s="1054"/>
      <c r="G88" s="1054">
        <f>G84+G85</f>
        <v>-7483.7000000000007</v>
      </c>
      <c r="H88" s="1056">
        <f>H84+H85</f>
        <v>-6944721</v>
      </c>
      <c r="I88" s="1056"/>
      <c r="J88" s="1056"/>
      <c r="K88" s="975">
        <f>K84+K85</f>
        <v>-6944721</v>
      </c>
      <c r="L88" s="1058" t="s">
        <v>1047</v>
      </c>
      <c r="M88" s="1059"/>
      <c r="N88" s="1059"/>
    </row>
    <row r="89" spans="1:14">
      <c r="A89" s="1039"/>
      <c r="D89" s="1082"/>
      <c r="E89" s="1082"/>
      <c r="F89" s="1082"/>
      <c r="H89" s="1087"/>
      <c r="I89" s="1087"/>
      <c r="J89" s="1087"/>
    </row>
    <row r="90" spans="1:14">
      <c r="A90" s="1039"/>
      <c r="D90" s="1088"/>
      <c r="E90" s="1087">
        <f>SUM(E5:E84)</f>
        <v>0</v>
      </c>
      <c r="F90" s="1087">
        <f>SUM(F5:F84)</f>
        <v>0</v>
      </c>
      <c r="H90" s="1087"/>
      <c r="I90" s="1087">
        <f>SUM(I5:I84)</f>
        <v>0</v>
      </c>
      <c r="J90" s="1087">
        <f>SUM(J5:J84)</f>
        <v>0</v>
      </c>
    </row>
    <row r="91" spans="1:14">
      <c r="C91" s="1089"/>
      <c r="D91" s="1090"/>
      <c r="E91" s="1090"/>
      <c r="F91" s="1090">
        <f>E90-F90</f>
        <v>0</v>
      </c>
      <c r="H91" s="1091"/>
    </row>
    <row r="96" spans="1:14">
      <c r="H96" s="1067"/>
    </row>
  </sheetData>
  <mergeCells count="4">
    <mergeCell ref="B3:C3"/>
    <mergeCell ref="E3:F3"/>
    <mergeCell ref="I3:J3"/>
    <mergeCell ref="L3:M3"/>
  </mergeCells>
  <phoneticPr fontId="3" type="noConversion"/>
  <pageMargins left="0.7" right="0.7" top="0.75" bottom="0.75" header="0.3" footer="0.3"/>
  <legacy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4">
    <tabColor theme="7" tint="0.59999389629810485"/>
  </sheetPr>
  <dimension ref="B1:K100"/>
  <sheetViews>
    <sheetView showGridLines="0" topLeftCell="A42" zoomScale="85" zoomScaleNormal="85" workbookViewId="0">
      <selection activeCell="F76" sqref="F76:F79"/>
    </sheetView>
  </sheetViews>
  <sheetFormatPr defaultColWidth="9" defaultRowHeight="13.5"/>
  <cols>
    <col min="1" max="1" width="2.875" style="97" customWidth="1"/>
    <col min="2" max="2" width="11.375" style="97" customWidth="1"/>
    <col min="3" max="3" width="8.875" style="97" customWidth="1"/>
    <col min="4" max="4" width="18.125" style="97" customWidth="1"/>
    <col min="5" max="5" width="23.5" style="97" customWidth="1"/>
    <col min="6" max="6" width="14.375" style="97" customWidth="1"/>
    <col min="7" max="7" width="18.125" style="97" customWidth="1"/>
    <col min="8" max="8" width="23.5" style="97" customWidth="1"/>
    <col min="9" max="9" width="14.375" style="97" customWidth="1"/>
    <col min="10" max="10" width="34" style="97" customWidth="1"/>
    <col min="11" max="11" width="20.625" style="97" customWidth="1"/>
    <col min="12" max="13" width="14.125" style="97" bestFit="1" customWidth="1"/>
    <col min="14" max="16384" width="9" style="97"/>
  </cols>
  <sheetData>
    <row r="1" spans="2:11">
      <c r="B1" s="435" t="s">
        <v>593</v>
      </c>
    </row>
    <row r="2" spans="2:11" ht="17.25">
      <c r="B2" s="182" t="s">
        <v>471</v>
      </c>
    </row>
    <row r="3" spans="2:11">
      <c r="G3" s="183"/>
      <c r="H3" s="183"/>
    </row>
    <row r="4" spans="2:11">
      <c r="B4" s="185" t="s">
        <v>410</v>
      </c>
      <c r="C4" s="185" t="s">
        <v>1437</v>
      </c>
      <c r="D4" s="185" t="s">
        <v>1444</v>
      </c>
      <c r="E4" s="185" t="s">
        <v>1445</v>
      </c>
      <c r="F4" s="185" t="s">
        <v>1446</v>
      </c>
      <c r="G4" s="675" t="s">
        <v>1447</v>
      </c>
      <c r="H4" s="675" t="s">
        <v>1448</v>
      </c>
      <c r="I4" s="185" t="s">
        <v>1449</v>
      </c>
    </row>
    <row r="5" spans="2:11">
      <c r="B5" s="185">
        <v>2016</v>
      </c>
      <c r="C5" s="185" t="s">
        <v>1433</v>
      </c>
      <c r="D5" s="187" t="s">
        <v>704</v>
      </c>
      <c r="E5" s="524" t="s">
        <v>145</v>
      </c>
      <c r="F5" s="520"/>
      <c r="G5" s="1153" t="s">
        <v>2657</v>
      </c>
      <c r="H5" s="520" t="s">
        <v>904</v>
      </c>
      <c r="I5" s="522"/>
      <c r="J5" s="97" t="s">
        <v>1435</v>
      </c>
      <c r="K5" s="97" t="s">
        <v>2559</v>
      </c>
    </row>
    <row r="6" spans="2:11">
      <c r="B6" s="185">
        <v>2016</v>
      </c>
      <c r="C6" s="185" t="s">
        <v>1433</v>
      </c>
      <c r="D6" s="190" t="s">
        <v>1377</v>
      </c>
      <c r="E6" s="525" t="s">
        <v>68</v>
      </c>
      <c r="F6" s="527"/>
      <c r="G6" s="230" t="s">
        <v>714</v>
      </c>
      <c r="H6" s="527" t="s">
        <v>715</v>
      </c>
      <c r="I6" s="528"/>
      <c r="J6" s="97" t="s">
        <v>1675</v>
      </c>
      <c r="K6" s="97" t="s">
        <v>2558</v>
      </c>
    </row>
    <row r="7" spans="2:11">
      <c r="B7" s="185"/>
      <c r="C7" s="185"/>
      <c r="D7" s="185"/>
      <c r="F7" s="184"/>
      <c r="G7" s="188"/>
      <c r="H7" s="184"/>
      <c r="I7" s="184"/>
    </row>
    <row r="8" spans="2:11">
      <c r="B8" s="185">
        <v>2017</v>
      </c>
      <c r="C8" s="185" t="s">
        <v>1434</v>
      </c>
      <c r="D8" s="187" t="s">
        <v>704</v>
      </c>
      <c r="E8" s="524" t="s">
        <v>145</v>
      </c>
      <c r="F8" s="520">
        <f>HK!D90</f>
        <v>114442800</v>
      </c>
      <c r="G8" s="232" t="s">
        <v>2652</v>
      </c>
      <c r="H8" s="520" t="s">
        <v>904</v>
      </c>
      <c r="I8" s="522">
        <f>F8+F9</f>
        <v>114442800</v>
      </c>
      <c r="J8" s="97" t="s">
        <v>1435</v>
      </c>
    </row>
    <row r="9" spans="2:11">
      <c r="B9" s="185">
        <v>2017</v>
      </c>
      <c r="C9" s="185" t="s">
        <v>1434</v>
      </c>
      <c r="D9" s="190" t="s">
        <v>1377</v>
      </c>
      <c r="E9" s="525" t="s">
        <v>68</v>
      </c>
      <c r="F9" s="527">
        <v>0</v>
      </c>
      <c r="G9" s="230"/>
      <c r="H9" s="527"/>
      <c r="I9" s="528"/>
    </row>
    <row r="10" spans="2:11">
      <c r="B10" s="185"/>
      <c r="C10" s="185"/>
      <c r="D10" s="185"/>
      <c r="F10" s="184"/>
      <c r="G10" s="186"/>
      <c r="H10" s="184"/>
      <c r="I10" s="184"/>
    </row>
    <row r="11" spans="2:11">
      <c r="B11" s="185">
        <v>2018</v>
      </c>
      <c r="C11" s="185" t="s">
        <v>1433</v>
      </c>
      <c r="D11" s="187" t="s">
        <v>704</v>
      </c>
      <c r="E11" s="524" t="s">
        <v>145</v>
      </c>
      <c r="F11" s="520"/>
      <c r="G11" s="232" t="s">
        <v>2652</v>
      </c>
      <c r="H11" s="520" t="s">
        <v>904</v>
      </c>
      <c r="I11" s="522"/>
      <c r="J11" s="97" t="s">
        <v>164</v>
      </c>
      <c r="K11" s="97" t="s">
        <v>2558</v>
      </c>
    </row>
    <row r="12" spans="2:11">
      <c r="B12" s="185">
        <v>2018</v>
      </c>
      <c r="C12" s="185" t="s">
        <v>1433</v>
      </c>
      <c r="D12" s="190" t="s">
        <v>1377</v>
      </c>
      <c r="E12" s="525" t="s">
        <v>68</v>
      </c>
      <c r="F12" s="527"/>
      <c r="G12" s="230" t="s">
        <v>714</v>
      </c>
      <c r="H12" s="527" t="s">
        <v>715</v>
      </c>
      <c r="I12" s="528"/>
      <c r="J12" s="97" t="s">
        <v>1674</v>
      </c>
      <c r="K12" s="97" t="s">
        <v>2558</v>
      </c>
    </row>
    <row r="13" spans="2:11">
      <c r="B13" s="185">
        <v>2018</v>
      </c>
      <c r="C13" s="185" t="s">
        <v>1433</v>
      </c>
      <c r="D13" s="1152" t="s">
        <v>2657</v>
      </c>
      <c r="E13" s="674" t="s">
        <v>904</v>
      </c>
      <c r="F13" s="519"/>
      <c r="G13" s="229" t="s">
        <v>714</v>
      </c>
      <c r="H13" s="519" t="s">
        <v>715</v>
      </c>
      <c r="I13" s="526"/>
      <c r="J13" s="97" t="s">
        <v>1438</v>
      </c>
      <c r="K13" s="97" t="s">
        <v>2558</v>
      </c>
    </row>
    <row r="14" spans="2:11">
      <c r="B14" s="185">
        <v>2018</v>
      </c>
      <c r="C14" s="185" t="s">
        <v>1434</v>
      </c>
      <c r="D14" s="187" t="s">
        <v>704</v>
      </c>
      <c r="E14" s="524" t="s">
        <v>145</v>
      </c>
      <c r="F14" s="520">
        <f>HK!D94</f>
        <v>31153800</v>
      </c>
      <c r="G14" s="232" t="s">
        <v>2652</v>
      </c>
      <c r="H14" s="520" t="s">
        <v>904</v>
      </c>
      <c r="I14" s="522">
        <f>F14+F15</f>
        <v>31153800</v>
      </c>
      <c r="J14" s="97" t="s">
        <v>164</v>
      </c>
    </row>
    <row r="15" spans="2:11">
      <c r="B15" s="185">
        <v>2018</v>
      </c>
      <c r="C15" s="185" t="s">
        <v>1434</v>
      </c>
      <c r="D15" s="190" t="s">
        <v>1377</v>
      </c>
      <c r="E15" s="525" t="s">
        <v>68</v>
      </c>
      <c r="F15" s="527">
        <v>0</v>
      </c>
      <c r="G15" s="230"/>
      <c r="H15" s="527"/>
      <c r="I15" s="528"/>
    </row>
    <row r="16" spans="2:11">
      <c r="B16" s="185">
        <v>2018</v>
      </c>
      <c r="C16" s="185" t="s">
        <v>1434</v>
      </c>
      <c r="D16" s="191" t="s">
        <v>2652</v>
      </c>
      <c r="E16" s="523" t="s">
        <v>904</v>
      </c>
      <c r="F16" s="518">
        <v>145596600</v>
      </c>
      <c r="G16" s="231" t="s">
        <v>714</v>
      </c>
      <c r="H16" s="518" t="s">
        <v>715</v>
      </c>
      <c r="I16" s="521">
        <f>F16</f>
        <v>145596600</v>
      </c>
      <c r="J16" s="97" t="s">
        <v>1438</v>
      </c>
    </row>
    <row r="17" spans="2:11">
      <c r="B17" s="185"/>
      <c r="C17" s="185"/>
      <c r="D17" s="185"/>
      <c r="F17" s="184"/>
      <c r="G17" s="186"/>
      <c r="H17" s="184"/>
      <c r="I17" s="184"/>
    </row>
    <row r="18" spans="2:11">
      <c r="B18" s="185">
        <v>2019</v>
      </c>
      <c r="C18" s="185" t="s">
        <v>1433</v>
      </c>
      <c r="D18" s="187" t="s">
        <v>704</v>
      </c>
      <c r="E18" s="524" t="s">
        <v>145</v>
      </c>
      <c r="F18" s="522"/>
      <c r="G18" s="232" t="s">
        <v>2652</v>
      </c>
      <c r="H18" s="520" t="s">
        <v>904</v>
      </c>
      <c r="I18" s="522"/>
      <c r="J18" s="97" t="s">
        <v>164</v>
      </c>
      <c r="K18" s="97" t="s">
        <v>2558</v>
      </c>
    </row>
    <row r="19" spans="2:11">
      <c r="B19" s="185">
        <v>2019</v>
      </c>
      <c r="C19" s="185" t="s">
        <v>1433</v>
      </c>
      <c r="D19" s="189" t="s">
        <v>1377</v>
      </c>
      <c r="E19" s="674" t="s">
        <v>68</v>
      </c>
      <c r="F19" s="526"/>
      <c r="G19" s="229"/>
      <c r="H19" s="519"/>
      <c r="I19" s="526"/>
      <c r="K19" s="97" t="s">
        <v>2558</v>
      </c>
    </row>
    <row r="20" spans="2:11">
      <c r="B20" s="185">
        <v>2019</v>
      </c>
      <c r="C20" s="185" t="s">
        <v>1433</v>
      </c>
      <c r="D20" s="190" t="s">
        <v>714</v>
      </c>
      <c r="E20" s="525" t="s">
        <v>715</v>
      </c>
      <c r="F20" s="528"/>
      <c r="G20" s="230" t="s">
        <v>704</v>
      </c>
      <c r="H20" s="527" t="s">
        <v>63</v>
      </c>
      <c r="I20" s="528"/>
      <c r="K20" s="97" t="s">
        <v>2558</v>
      </c>
    </row>
    <row r="21" spans="2:11">
      <c r="B21" s="185">
        <v>2019</v>
      </c>
      <c r="C21" s="185" t="s">
        <v>1433</v>
      </c>
      <c r="D21" s="189" t="s">
        <v>2652</v>
      </c>
      <c r="E21" s="674" t="s">
        <v>904</v>
      </c>
      <c r="F21" s="519"/>
      <c r="G21" s="229" t="s">
        <v>714</v>
      </c>
      <c r="H21" s="519" t="s">
        <v>715</v>
      </c>
      <c r="I21" s="526"/>
      <c r="J21" s="97" t="s">
        <v>1439</v>
      </c>
      <c r="K21" s="97" t="s">
        <v>2558</v>
      </c>
    </row>
    <row r="22" spans="2:11">
      <c r="B22" s="185">
        <v>2019</v>
      </c>
      <c r="C22" s="185" t="s">
        <v>1427</v>
      </c>
      <c r="D22" s="187" t="s">
        <v>704</v>
      </c>
      <c r="E22" s="524" t="s">
        <v>145</v>
      </c>
      <c r="F22" s="520">
        <f>상해!D82</f>
        <v>35040000</v>
      </c>
      <c r="G22" s="232" t="s">
        <v>2652</v>
      </c>
      <c r="H22" s="520" t="s">
        <v>904</v>
      </c>
      <c r="I22" s="522">
        <f>F22+F23</f>
        <v>35040000</v>
      </c>
      <c r="J22" s="97" t="s">
        <v>1435</v>
      </c>
    </row>
    <row r="23" spans="2:11">
      <c r="B23" s="185">
        <v>2019</v>
      </c>
      <c r="C23" s="185" t="s">
        <v>1427</v>
      </c>
      <c r="D23" s="190" t="s">
        <v>1377</v>
      </c>
      <c r="E23" s="525" t="s">
        <v>68</v>
      </c>
      <c r="F23" s="527">
        <v>0</v>
      </c>
      <c r="G23" s="230"/>
      <c r="H23" s="527"/>
      <c r="I23" s="528"/>
    </row>
    <row r="24" spans="2:11">
      <c r="B24" s="185">
        <v>2019</v>
      </c>
      <c r="C24" s="185" t="s">
        <v>1427</v>
      </c>
      <c r="D24" s="191" t="s">
        <v>2652</v>
      </c>
      <c r="E24" s="523" t="s">
        <v>904</v>
      </c>
      <c r="F24" s="518">
        <v>32665629</v>
      </c>
      <c r="G24" s="231" t="s">
        <v>714</v>
      </c>
      <c r="H24" s="518" t="s">
        <v>715</v>
      </c>
      <c r="I24" s="521">
        <f>F24</f>
        <v>32665629</v>
      </c>
      <c r="J24" s="97" t="s">
        <v>1439</v>
      </c>
    </row>
    <row r="25" spans="2:11">
      <c r="B25" s="185"/>
      <c r="C25" s="185"/>
      <c r="D25" s="185"/>
      <c r="F25" s="184"/>
      <c r="G25" s="186"/>
      <c r="H25" s="184"/>
      <c r="I25" s="184"/>
    </row>
    <row r="26" spans="2:11">
      <c r="B26" s="185">
        <v>2020</v>
      </c>
      <c r="C26" s="185" t="s">
        <v>1433</v>
      </c>
      <c r="D26" s="187" t="s">
        <v>704</v>
      </c>
      <c r="E26" s="524" t="s">
        <v>145</v>
      </c>
      <c r="F26" s="522"/>
      <c r="G26" s="232" t="s">
        <v>2652</v>
      </c>
      <c r="H26" s="520" t="s">
        <v>904</v>
      </c>
      <c r="I26" s="522"/>
      <c r="J26" s="97" t="s">
        <v>164</v>
      </c>
      <c r="K26" s="97" t="s">
        <v>2558</v>
      </c>
    </row>
    <row r="27" spans="2:11">
      <c r="B27" s="185">
        <v>2020</v>
      </c>
      <c r="C27" s="185" t="s">
        <v>1433</v>
      </c>
      <c r="D27" s="189" t="s">
        <v>1377</v>
      </c>
      <c r="E27" s="674" t="s">
        <v>68</v>
      </c>
      <c r="F27" s="526"/>
      <c r="G27" s="229"/>
      <c r="H27" s="519"/>
      <c r="I27" s="526"/>
      <c r="K27" s="97" t="s">
        <v>2558</v>
      </c>
    </row>
    <row r="28" spans="2:11">
      <c r="B28" s="185">
        <v>2020</v>
      </c>
      <c r="C28" s="185" t="s">
        <v>1433</v>
      </c>
      <c r="D28" s="190" t="s">
        <v>714</v>
      </c>
      <c r="E28" s="525" t="s">
        <v>715</v>
      </c>
      <c r="F28" s="528"/>
      <c r="G28" s="230" t="s">
        <v>704</v>
      </c>
      <c r="H28" s="527" t="s">
        <v>63</v>
      </c>
      <c r="I28" s="528"/>
      <c r="J28" s="97" t="s">
        <v>1436</v>
      </c>
      <c r="K28" s="97" t="s">
        <v>2558</v>
      </c>
    </row>
    <row r="29" spans="2:11">
      <c r="B29" s="185">
        <v>2020</v>
      </c>
      <c r="C29" s="185" t="s">
        <v>1433</v>
      </c>
      <c r="D29" s="189" t="s">
        <v>2652</v>
      </c>
      <c r="E29" s="674" t="s">
        <v>904</v>
      </c>
      <c r="F29" s="519"/>
      <c r="G29" s="229" t="s">
        <v>714</v>
      </c>
      <c r="H29" s="519" t="s">
        <v>715</v>
      </c>
      <c r="I29" s="526"/>
      <c r="J29" s="97" t="s">
        <v>1440</v>
      </c>
      <c r="K29" s="97" t="s">
        <v>2558</v>
      </c>
    </row>
    <row r="30" spans="2:11">
      <c r="B30" s="185">
        <v>2020</v>
      </c>
      <c r="C30" s="185" t="s">
        <v>1427</v>
      </c>
      <c r="D30" s="187" t="s">
        <v>704</v>
      </c>
      <c r="E30" s="524" t="s">
        <v>145</v>
      </c>
      <c r="F30" s="520">
        <f>상해!D86</f>
        <v>67131428</v>
      </c>
      <c r="G30" s="232" t="s">
        <v>2652</v>
      </c>
      <c r="H30" s="520" t="s">
        <v>904</v>
      </c>
      <c r="I30" s="522">
        <f>F30+F31</f>
        <v>67131428</v>
      </c>
      <c r="J30" s="97" t="s">
        <v>164</v>
      </c>
    </row>
    <row r="31" spans="2:11">
      <c r="B31" s="185">
        <v>2020</v>
      </c>
      <c r="C31" s="185" t="s">
        <v>1427</v>
      </c>
      <c r="D31" s="190" t="s">
        <v>1377</v>
      </c>
      <c r="E31" s="525" t="s">
        <v>68</v>
      </c>
      <c r="F31" s="527">
        <v>0</v>
      </c>
      <c r="G31" s="230"/>
      <c r="H31" s="527"/>
      <c r="I31" s="528"/>
    </row>
    <row r="32" spans="2:11">
      <c r="B32" s="185">
        <v>2020</v>
      </c>
      <c r="C32" s="185" t="s">
        <v>1427</v>
      </c>
      <c r="D32" s="191" t="s">
        <v>2652</v>
      </c>
      <c r="E32" s="523" t="s">
        <v>904</v>
      </c>
      <c r="F32" s="518">
        <v>62780042</v>
      </c>
      <c r="G32" s="231" t="s">
        <v>714</v>
      </c>
      <c r="H32" s="518" t="s">
        <v>715</v>
      </c>
      <c r="I32" s="521">
        <f>F32</f>
        <v>62780042</v>
      </c>
      <c r="J32" s="97" t="s">
        <v>1440</v>
      </c>
    </row>
    <row r="33" spans="2:11">
      <c r="B33" s="185"/>
      <c r="C33" s="185"/>
      <c r="D33" s="185"/>
      <c r="F33" s="184"/>
      <c r="G33" s="186"/>
      <c r="H33" s="184"/>
      <c r="I33" s="184"/>
    </row>
    <row r="34" spans="2:11">
      <c r="B34" s="185">
        <v>2021</v>
      </c>
      <c r="C34" s="185" t="s">
        <v>1433</v>
      </c>
      <c r="D34" s="191" t="s">
        <v>2652</v>
      </c>
      <c r="E34" s="523" t="s">
        <v>904</v>
      </c>
      <c r="F34" s="518"/>
      <c r="G34" s="231" t="s">
        <v>714</v>
      </c>
      <c r="H34" s="518" t="s">
        <v>715</v>
      </c>
      <c r="I34" s="521"/>
      <c r="J34" s="97" t="s">
        <v>1441</v>
      </c>
      <c r="K34" s="97" t="s">
        <v>2558</v>
      </c>
    </row>
    <row r="35" spans="2:11">
      <c r="B35" s="185">
        <v>2021</v>
      </c>
      <c r="C35" s="185" t="s">
        <v>1427</v>
      </c>
      <c r="D35" s="187" t="s">
        <v>704</v>
      </c>
      <c r="E35" s="524" t="s">
        <v>145</v>
      </c>
      <c r="F35" s="520">
        <f>상해!D90</f>
        <v>33119564</v>
      </c>
      <c r="G35" s="232" t="s">
        <v>2652</v>
      </c>
      <c r="H35" s="520" t="s">
        <v>904</v>
      </c>
      <c r="I35" s="522">
        <f>F35+F36</f>
        <v>33119564</v>
      </c>
      <c r="J35" s="97" t="s">
        <v>164</v>
      </c>
    </row>
    <row r="36" spans="2:11">
      <c r="B36" s="185">
        <v>2021</v>
      </c>
      <c r="C36" s="185" t="s">
        <v>1427</v>
      </c>
      <c r="D36" s="190" t="s">
        <v>1377</v>
      </c>
      <c r="E36" s="525" t="s">
        <v>68</v>
      </c>
      <c r="F36" s="527">
        <v>0</v>
      </c>
      <c r="G36" s="230"/>
      <c r="H36" s="527"/>
      <c r="I36" s="528"/>
    </row>
    <row r="37" spans="2:11">
      <c r="B37" s="185">
        <v>2021</v>
      </c>
      <c r="C37" s="185" t="s">
        <v>1427</v>
      </c>
      <c r="D37" s="191" t="s">
        <v>2652</v>
      </c>
      <c r="E37" s="523" t="s">
        <v>904</v>
      </c>
      <c r="F37" s="518">
        <v>39845321</v>
      </c>
      <c r="G37" s="231" t="s">
        <v>714</v>
      </c>
      <c r="H37" s="518" t="s">
        <v>715</v>
      </c>
      <c r="I37" s="521">
        <f>F37</f>
        <v>39845321</v>
      </c>
      <c r="J37" s="97" t="s">
        <v>1441</v>
      </c>
    </row>
    <row r="38" spans="2:11">
      <c r="B38" s="185"/>
      <c r="C38" s="185"/>
      <c r="D38" s="185"/>
      <c r="F38" s="184"/>
      <c r="G38" s="186"/>
      <c r="H38" s="184"/>
      <c r="I38" s="184"/>
    </row>
    <row r="39" spans="2:11">
      <c r="B39" s="185">
        <v>2022</v>
      </c>
      <c r="C39" s="185" t="s">
        <v>1433</v>
      </c>
      <c r="D39" s="191" t="s">
        <v>2652</v>
      </c>
      <c r="E39" s="523" t="s">
        <v>904</v>
      </c>
      <c r="F39" s="518"/>
      <c r="G39" s="231" t="s">
        <v>714</v>
      </c>
      <c r="H39" s="518" t="s">
        <v>715</v>
      </c>
      <c r="I39" s="521"/>
      <c r="J39" s="97" t="s">
        <v>1442</v>
      </c>
      <c r="K39" s="97" t="s">
        <v>2558</v>
      </c>
    </row>
    <row r="40" spans="2:11">
      <c r="B40" s="185">
        <v>2022</v>
      </c>
      <c r="C40" s="185" t="s">
        <v>1402</v>
      </c>
      <c r="D40" s="191" t="s">
        <v>714</v>
      </c>
      <c r="E40" s="523" t="s">
        <v>715</v>
      </c>
      <c r="F40" s="518">
        <v>145596600</v>
      </c>
      <c r="G40" s="231" t="s">
        <v>2652</v>
      </c>
      <c r="H40" s="518" t="s">
        <v>904</v>
      </c>
      <c r="I40" s="521">
        <f>F40</f>
        <v>145596600</v>
      </c>
      <c r="J40" s="97" t="s">
        <v>1450</v>
      </c>
    </row>
    <row r="41" spans="2:11">
      <c r="B41" s="185">
        <v>2022</v>
      </c>
      <c r="C41" s="185" t="s">
        <v>1427</v>
      </c>
      <c r="D41" s="187" t="s">
        <v>704</v>
      </c>
      <c r="E41" s="524" t="s">
        <v>145</v>
      </c>
      <c r="F41" s="520">
        <f>상해!D94</f>
        <v>36473808</v>
      </c>
      <c r="G41" s="232" t="s">
        <v>2652</v>
      </c>
      <c r="H41" s="520" t="s">
        <v>904</v>
      </c>
      <c r="I41" s="522">
        <f>F41+F42</f>
        <v>36473808</v>
      </c>
      <c r="J41" s="97" t="s">
        <v>164</v>
      </c>
    </row>
    <row r="42" spans="2:11">
      <c r="B42" s="185">
        <v>2022</v>
      </c>
      <c r="C42" s="185" t="s">
        <v>1427</v>
      </c>
      <c r="D42" s="190" t="s">
        <v>1377</v>
      </c>
      <c r="E42" s="525" t="s">
        <v>68</v>
      </c>
      <c r="F42" s="527">
        <v>0</v>
      </c>
      <c r="G42" s="230"/>
      <c r="H42" s="527"/>
      <c r="I42" s="528"/>
    </row>
    <row r="43" spans="2:11">
      <c r="B43" s="185">
        <v>2022</v>
      </c>
      <c r="C43" s="185" t="s">
        <v>1427</v>
      </c>
      <c r="D43" s="191" t="s">
        <v>2652</v>
      </c>
      <c r="E43" s="523" t="s">
        <v>904</v>
      </c>
      <c r="F43" s="518">
        <v>36473808</v>
      </c>
      <c r="G43" s="231" t="s">
        <v>714</v>
      </c>
      <c r="H43" s="518" t="s">
        <v>715</v>
      </c>
      <c r="I43" s="521">
        <f>F43</f>
        <v>36473808</v>
      </c>
      <c r="J43" s="97" t="s">
        <v>1442</v>
      </c>
    </row>
    <row r="44" spans="2:11">
      <c r="B44" s="185"/>
      <c r="C44" s="185"/>
      <c r="D44" s="185"/>
      <c r="F44" s="184"/>
      <c r="G44" s="186"/>
      <c r="H44" s="184"/>
      <c r="I44" s="184"/>
    </row>
    <row r="45" spans="2:11">
      <c r="B45" s="185">
        <v>2023</v>
      </c>
      <c r="C45" s="185" t="s">
        <v>1433</v>
      </c>
      <c r="D45" s="191" t="s">
        <v>2652</v>
      </c>
      <c r="E45" s="523" t="s">
        <v>904</v>
      </c>
      <c r="F45" s="518"/>
      <c r="G45" s="231" t="s">
        <v>714</v>
      </c>
      <c r="H45" s="518" t="s">
        <v>715</v>
      </c>
      <c r="I45" s="521"/>
      <c r="J45" s="97" t="s">
        <v>1443</v>
      </c>
      <c r="K45" s="97" t="s">
        <v>2558</v>
      </c>
    </row>
    <row r="46" spans="2:11">
      <c r="B46" s="185">
        <v>2023</v>
      </c>
      <c r="C46" s="185" t="s">
        <v>1427</v>
      </c>
      <c r="D46" s="187" t="s">
        <v>704</v>
      </c>
      <c r="E46" s="524" t="s">
        <v>145</v>
      </c>
      <c r="F46" s="520">
        <f>상해!D98</f>
        <v>27077198</v>
      </c>
      <c r="G46" s="232" t="s">
        <v>2652</v>
      </c>
      <c r="H46" s="520" t="s">
        <v>904</v>
      </c>
      <c r="I46" s="522">
        <f>F46+F47</f>
        <v>27077198</v>
      </c>
      <c r="J46" s="97" t="s">
        <v>164</v>
      </c>
    </row>
    <row r="47" spans="2:11">
      <c r="B47" s="185">
        <v>2023</v>
      </c>
      <c r="C47" s="185" t="s">
        <v>1427</v>
      </c>
      <c r="D47" s="190" t="s">
        <v>1377</v>
      </c>
      <c r="E47" s="525" t="s">
        <v>68</v>
      </c>
      <c r="F47" s="527">
        <v>0</v>
      </c>
      <c r="G47" s="230"/>
      <c r="H47" s="527"/>
      <c r="I47" s="528"/>
    </row>
    <row r="48" spans="2:11">
      <c r="B48" s="185">
        <v>2023</v>
      </c>
      <c r="C48" s="185" t="s">
        <v>1427</v>
      </c>
      <c r="D48" s="191" t="s">
        <v>2652</v>
      </c>
      <c r="E48" s="523" t="s">
        <v>904</v>
      </c>
      <c r="F48" s="518">
        <v>27077198</v>
      </c>
      <c r="G48" s="231" t="s">
        <v>714</v>
      </c>
      <c r="H48" s="518" t="s">
        <v>715</v>
      </c>
      <c r="I48" s="521">
        <f>F48</f>
        <v>27077198</v>
      </c>
      <c r="J48" s="97" t="s">
        <v>1443</v>
      </c>
    </row>
    <row r="49" spans="2:10">
      <c r="B49" s="185">
        <v>2023</v>
      </c>
      <c r="C49" s="185" t="s">
        <v>1403</v>
      </c>
      <c r="D49" s="187" t="s">
        <v>704</v>
      </c>
      <c r="E49" s="524" t="s">
        <v>145</v>
      </c>
      <c r="F49" s="520">
        <f>DHK!D62</f>
        <v>172100000</v>
      </c>
      <c r="G49" s="232" t="s">
        <v>2652</v>
      </c>
      <c r="H49" s="520" t="s">
        <v>904</v>
      </c>
      <c r="I49" s="522">
        <f>F49</f>
        <v>172100000</v>
      </c>
      <c r="J49" s="97" t="s">
        <v>1435</v>
      </c>
    </row>
    <row r="50" spans="2:10">
      <c r="B50" s="185">
        <v>2023</v>
      </c>
      <c r="C50" s="185" t="s">
        <v>1403</v>
      </c>
      <c r="D50" s="190">
        <v>17600</v>
      </c>
      <c r="E50" s="525" t="s">
        <v>904</v>
      </c>
      <c r="F50" s="527">
        <v>7040000</v>
      </c>
      <c r="G50" s="230" t="s">
        <v>827</v>
      </c>
      <c r="H50" s="527" t="s">
        <v>375</v>
      </c>
      <c r="I50" s="528">
        <v>7040000</v>
      </c>
    </row>
    <row r="51" spans="2:10">
      <c r="B51" s="185"/>
      <c r="C51" s="185"/>
      <c r="D51" s="185"/>
      <c r="F51" s="184"/>
      <c r="G51" s="186"/>
      <c r="H51" s="184"/>
      <c r="I51" s="184"/>
    </row>
    <row r="52" spans="2:10">
      <c r="B52" s="185">
        <v>2024</v>
      </c>
      <c r="C52" s="185" t="s">
        <v>1427</v>
      </c>
      <c r="D52" s="187" t="s">
        <v>704</v>
      </c>
      <c r="E52" s="524" t="s">
        <v>145</v>
      </c>
      <c r="F52" s="520">
        <v>13800000</v>
      </c>
      <c r="G52" s="232" t="s">
        <v>2652</v>
      </c>
      <c r="H52" s="520" t="s">
        <v>904</v>
      </c>
      <c r="I52" s="522">
        <v>13800000</v>
      </c>
      <c r="J52" s="97" t="s">
        <v>2552</v>
      </c>
    </row>
    <row r="53" spans="2:10">
      <c r="B53" s="185">
        <v>2024</v>
      </c>
      <c r="C53" s="185" t="s">
        <v>1427</v>
      </c>
      <c r="D53" s="190" t="s">
        <v>1377</v>
      </c>
      <c r="E53" s="525" t="s">
        <v>68</v>
      </c>
      <c r="F53" s="527"/>
      <c r="G53" s="230"/>
      <c r="H53" s="527"/>
      <c r="I53" s="528"/>
    </row>
    <row r="54" spans="2:10">
      <c r="B54" s="185">
        <v>2024</v>
      </c>
      <c r="C54" s="185" t="s">
        <v>2556</v>
      </c>
      <c r="D54" s="187" t="s">
        <v>704</v>
      </c>
      <c r="E54" s="524" t="s">
        <v>145</v>
      </c>
      <c r="F54" s="520">
        <v>27600000</v>
      </c>
      <c r="G54" s="232" t="s">
        <v>2652</v>
      </c>
      <c r="H54" s="520" t="s">
        <v>904</v>
      </c>
      <c r="I54" s="522">
        <v>27600000</v>
      </c>
      <c r="J54" s="97" t="s">
        <v>2557</v>
      </c>
    </row>
    <row r="55" spans="2:10">
      <c r="B55" s="185">
        <v>2024</v>
      </c>
      <c r="C55" s="185" t="s">
        <v>2556</v>
      </c>
      <c r="D55" s="190" t="s">
        <v>1377</v>
      </c>
      <c r="E55" s="525" t="s">
        <v>68</v>
      </c>
      <c r="F55" s="527"/>
      <c r="G55" s="230"/>
      <c r="H55" s="527"/>
      <c r="I55" s="528"/>
    </row>
    <row r="56" spans="2:10">
      <c r="B56" s="185">
        <v>2024</v>
      </c>
      <c r="C56" s="185" t="s">
        <v>2560</v>
      </c>
      <c r="D56" s="1094" t="s">
        <v>2652</v>
      </c>
      <c r="E56" s="1095" t="s">
        <v>904</v>
      </c>
      <c r="F56" s="1096">
        <v>-24240000</v>
      </c>
      <c r="G56" s="1097" t="s">
        <v>827</v>
      </c>
      <c r="H56" s="1165" t="s">
        <v>2693</v>
      </c>
      <c r="I56" s="1098">
        <f>F56</f>
        <v>-24240000</v>
      </c>
      <c r="J56" s="97" t="s">
        <v>2561</v>
      </c>
    </row>
    <row r="57" spans="2:10">
      <c r="B57" s="185">
        <v>2024</v>
      </c>
      <c r="C57" s="185" t="s">
        <v>1402</v>
      </c>
      <c r="D57" s="187" t="s">
        <v>704</v>
      </c>
      <c r="E57" s="524" t="s">
        <v>145</v>
      </c>
      <c r="F57" s="520">
        <v>557880000</v>
      </c>
      <c r="G57" s="232" t="s">
        <v>2652</v>
      </c>
      <c r="H57" s="520" t="s">
        <v>904</v>
      </c>
      <c r="I57" s="522">
        <v>557880000</v>
      </c>
      <c r="J57" s="97" t="s">
        <v>2669</v>
      </c>
    </row>
    <row r="58" spans="2:10">
      <c r="B58" s="185">
        <v>2024</v>
      </c>
      <c r="C58" s="185" t="s">
        <v>1402</v>
      </c>
      <c r="D58" s="190" t="s">
        <v>1377</v>
      </c>
      <c r="E58" s="525" t="s">
        <v>68</v>
      </c>
      <c r="F58" s="527"/>
      <c r="G58" s="230"/>
      <c r="H58" s="527"/>
      <c r="I58" s="528"/>
    </row>
    <row r="59" spans="2:10">
      <c r="B59" s="185">
        <v>2024</v>
      </c>
      <c r="C59" s="185" t="s">
        <v>1434</v>
      </c>
      <c r="D59" s="191" t="s">
        <v>2652</v>
      </c>
      <c r="E59" s="523" t="s">
        <v>904</v>
      </c>
      <c r="F59" s="518">
        <f>I59</f>
        <v>64498425</v>
      </c>
      <c r="G59" s="231" t="s">
        <v>714</v>
      </c>
      <c r="H59" s="518" t="s">
        <v>73</v>
      </c>
      <c r="I59" s="521">
        <v>64498425</v>
      </c>
      <c r="J59" s="97" t="s">
        <v>2764</v>
      </c>
    </row>
    <row r="60" spans="2:10">
      <c r="B60" s="185">
        <v>2024</v>
      </c>
      <c r="C60" s="185" t="s">
        <v>2767</v>
      </c>
      <c r="D60" s="191" t="s">
        <v>2652</v>
      </c>
      <c r="E60" s="523" t="s">
        <v>904</v>
      </c>
      <c r="F60" s="518">
        <f>I60</f>
        <v>13800000</v>
      </c>
      <c r="G60" s="231" t="s">
        <v>714</v>
      </c>
      <c r="H60" s="518" t="s">
        <v>73</v>
      </c>
      <c r="I60" s="521">
        <v>13800000</v>
      </c>
      <c r="J60" s="97" t="s">
        <v>2764</v>
      </c>
    </row>
    <row r="61" spans="2:10">
      <c r="B61" s="185"/>
      <c r="C61" s="185"/>
    </row>
    <row r="62" spans="2:10">
      <c r="B62" s="185">
        <v>2025</v>
      </c>
      <c r="C62" s="185" t="s">
        <v>1402</v>
      </c>
      <c r="D62" s="1094" t="s">
        <v>2652</v>
      </c>
      <c r="E62" s="1095" t="s">
        <v>904</v>
      </c>
      <c r="F62" s="1096">
        <f>9150000-4260000</f>
        <v>4890000</v>
      </c>
      <c r="G62" s="1097" t="s">
        <v>827</v>
      </c>
      <c r="H62" s="1165" t="s">
        <v>517</v>
      </c>
      <c r="I62" s="1098">
        <f>F62</f>
        <v>4890000</v>
      </c>
      <c r="J62" s="97" t="s">
        <v>2561</v>
      </c>
    </row>
    <row r="63" spans="2:10">
      <c r="B63" s="185"/>
      <c r="C63" s="185"/>
    </row>
    <row r="64" spans="2:10">
      <c r="B64" s="185">
        <v>2025</v>
      </c>
      <c r="C64" s="185" t="s">
        <v>1427</v>
      </c>
      <c r="D64" s="187" t="s">
        <v>704</v>
      </c>
      <c r="E64" s="524" t="s">
        <v>145</v>
      </c>
      <c r="F64" s="520">
        <v>28400000</v>
      </c>
      <c r="G64" s="232" t="s">
        <v>2652</v>
      </c>
      <c r="H64" s="520" t="s">
        <v>904</v>
      </c>
      <c r="I64" s="522">
        <v>28400000</v>
      </c>
      <c r="J64" s="97" t="s">
        <v>2552</v>
      </c>
    </row>
    <row r="65" spans="2:10">
      <c r="B65" s="185">
        <v>2025</v>
      </c>
      <c r="C65" s="185" t="s">
        <v>1427</v>
      </c>
      <c r="D65" s="190" t="s">
        <v>1377</v>
      </c>
      <c r="E65" s="525" t="s">
        <v>68</v>
      </c>
      <c r="F65" s="527"/>
      <c r="G65" s="230"/>
      <c r="H65" s="527"/>
      <c r="I65" s="528"/>
    </row>
    <row r="66" spans="2:10">
      <c r="B66" s="185">
        <v>2025</v>
      </c>
      <c r="C66" s="185" t="s">
        <v>1398</v>
      </c>
      <c r="D66" s="187" t="s">
        <v>704</v>
      </c>
      <c r="E66" s="524" t="s">
        <v>145</v>
      </c>
      <c r="F66" s="520">
        <v>14730000</v>
      </c>
      <c r="G66" s="232" t="s">
        <v>2652</v>
      </c>
      <c r="H66" s="520" t="s">
        <v>904</v>
      </c>
      <c r="I66" s="522">
        <v>14730000</v>
      </c>
      <c r="J66" s="97" t="s">
        <v>2557</v>
      </c>
    </row>
    <row r="67" spans="2:10">
      <c r="B67" s="185">
        <v>2025</v>
      </c>
      <c r="C67" s="185" t="s">
        <v>1398</v>
      </c>
      <c r="D67" s="190" t="s">
        <v>1377</v>
      </c>
      <c r="E67" s="525" t="s">
        <v>68</v>
      </c>
      <c r="F67" s="527"/>
      <c r="G67" s="230"/>
      <c r="H67" s="527"/>
      <c r="I67" s="528"/>
    </row>
    <row r="68" spans="2:10">
      <c r="B68" s="185"/>
      <c r="C68" s="185"/>
    </row>
    <row r="69" spans="2:10">
      <c r="B69" s="185">
        <v>2026</v>
      </c>
      <c r="C69" s="185" t="s">
        <v>1402</v>
      </c>
      <c r="D69" s="1094" t="s">
        <v>2652</v>
      </c>
      <c r="E69" s="1095" t="s">
        <v>904</v>
      </c>
      <c r="F69" s="1098">
        <v>-12190000</v>
      </c>
      <c r="G69" s="1097" t="s">
        <v>1794</v>
      </c>
      <c r="H69" s="1165" t="s">
        <v>517</v>
      </c>
      <c r="I69" s="1098">
        <f>F69</f>
        <v>-12190000</v>
      </c>
      <c r="J69" s="97" t="s">
        <v>2561</v>
      </c>
    </row>
    <row r="70" spans="2:10">
      <c r="B70" s="185"/>
      <c r="C70" s="185"/>
      <c r="D70" s="185"/>
      <c r="F70" s="1125"/>
      <c r="G70" s="1126"/>
      <c r="H70" s="1799"/>
      <c r="I70" s="1125"/>
    </row>
    <row r="71" spans="2:10">
      <c r="B71" s="185">
        <v>2026</v>
      </c>
      <c r="C71" s="185" t="s">
        <v>3831</v>
      </c>
      <c r="D71" s="1805" t="s">
        <v>704</v>
      </c>
      <c r="E71" s="1806" t="s">
        <v>62</v>
      </c>
      <c r="F71" s="1802">
        <v>16602728500</v>
      </c>
      <c r="G71" s="1800" t="s">
        <v>2652</v>
      </c>
      <c r="H71" s="1801" t="s">
        <v>3820</v>
      </c>
      <c r="I71" s="1802">
        <f>ATGC!E151</f>
        <v>24999999500</v>
      </c>
    </row>
    <row r="72" spans="2:10">
      <c r="B72" s="185">
        <v>2026</v>
      </c>
      <c r="C72" s="185" t="s">
        <v>3801</v>
      </c>
      <c r="D72" s="1807" t="s">
        <v>705</v>
      </c>
      <c r="E72" s="674" t="s">
        <v>62</v>
      </c>
      <c r="F72" s="526">
        <v>52500000</v>
      </c>
      <c r="G72" s="1803"/>
      <c r="H72" s="1798"/>
      <c r="I72" s="526"/>
    </row>
    <row r="73" spans="2:10">
      <c r="B73" s="185">
        <v>2026</v>
      </c>
      <c r="C73" s="185" t="s">
        <v>3801</v>
      </c>
      <c r="D73" s="1807" t="s">
        <v>706</v>
      </c>
      <c r="E73" s="674" t="s">
        <v>3840</v>
      </c>
      <c r="F73" s="526">
        <v>73648978244</v>
      </c>
      <c r="G73" s="1803" t="s">
        <v>1846</v>
      </c>
      <c r="H73" s="1798" t="s">
        <v>1530</v>
      </c>
      <c r="I73" s="526">
        <f>ATGC!E153</f>
        <v>117986065</v>
      </c>
    </row>
    <row r="74" spans="2:10">
      <c r="B74" s="185">
        <v>2026</v>
      </c>
      <c r="C74" s="185" t="s">
        <v>3801</v>
      </c>
      <c r="D74" s="1807" t="s">
        <v>3752</v>
      </c>
      <c r="E74" s="674" t="s">
        <v>3839</v>
      </c>
      <c r="F74" s="526">
        <v>3758717291</v>
      </c>
      <c r="G74" s="1803"/>
      <c r="H74" s="1798"/>
      <c r="I74" s="526"/>
    </row>
    <row r="75" spans="2:10">
      <c r="B75" s="185">
        <v>2026</v>
      </c>
      <c r="C75" s="185" t="s">
        <v>3801</v>
      </c>
      <c r="D75" s="1807" t="s">
        <v>714</v>
      </c>
      <c r="E75" s="674" t="s">
        <v>73</v>
      </c>
      <c r="F75" s="526">
        <f>ATGC!C155</f>
        <v>-93825956641</v>
      </c>
      <c r="G75" s="1803"/>
      <c r="H75" s="1798"/>
      <c r="I75" s="526"/>
    </row>
    <row r="76" spans="2:10">
      <c r="B76" s="185">
        <v>2026</v>
      </c>
      <c r="C76" s="185" t="s">
        <v>3801</v>
      </c>
      <c r="D76" s="1807" t="s">
        <v>3834</v>
      </c>
      <c r="E76" s="674" t="s">
        <v>39</v>
      </c>
      <c r="F76" s="526">
        <f>ATGC!C156</f>
        <v>16195983360</v>
      </c>
      <c r="G76" s="1803"/>
      <c r="H76" s="1798"/>
      <c r="I76" s="526"/>
    </row>
    <row r="77" spans="2:10">
      <c r="B77" s="185">
        <v>2026</v>
      </c>
      <c r="C77" s="185" t="s">
        <v>3801</v>
      </c>
      <c r="D77" s="1807" t="s">
        <v>3837</v>
      </c>
      <c r="E77" s="674" t="s">
        <v>3822</v>
      </c>
      <c r="F77" s="526">
        <f>ATGC!C157</f>
        <v>6097155442</v>
      </c>
      <c r="G77" s="1803" t="s">
        <v>2656</v>
      </c>
      <c r="H77" s="1798" t="s">
        <v>506</v>
      </c>
      <c r="I77" s="526">
        <f>ATGC!E157</f>
        <v>2449625188</v>
      </c>
    </row>
    <row r="78" spans="2:10">
      <c r="B78" s="185">
        <v>2026</v>
      </c>
      <c r="C78" s="185" t="s">
        <v>3801</v>
      </c>
      <c r="D78" s="1807" t="s">
        <v>676</v>
      </c>
      <c r="E78" s="674" t="s">
        <v>38</v>
      </c>
      <c r="F78" s="526">
        <f>ATGC!C158</f>
        <v>384243995</v>
      </c>
      <c r="G78" s="1803"/>
      <c r="H78" s="1798"/>
      <c r="I78" s="526"/>
    </row>
    <row r="79" spans="2:10">
      <c r="B79" s="185">
        <v>2026</v>
      </c>
      <c r="C79" s="185" t="s">
        <v>3801</v>
      </c>
      <c r="D79" s="1807" t="s">
        <v>675</v>
      </c>
      <c r="E79" s="674" t="s">
        <v>3823</v>
      </c>
      <c r="F79" s="526">
        <f>ATGC!C159</f>
        <v>4653260562</v>
      </c>
      <c r="G79" s="1803"/>
      <c r="H79" s="1798"/>
      <c r="I79" s="526"/>
    </row>
    <row r="80" spans="2:10">
      <c r="B80" s="185">
        <v>2026</v>
      </c>
      <c r="C80" s="185" t="s">
        <v>3801</v>
      </c>
      <c r="D80" s="1116" t="s">
        <v>907</v>
      </c>
      <c r="E80" s="525" t="s">
        <v>1582</v>
      </c>
      <c r="F80" s="1113">
        <f>ATGC!C160</f>
        <v>2067945777</v>
      </c>
      <c r="G80" s="1111">
        <v>92200</v>
      </c>
      <c r="H80" s="1804" t="s">
        <v>2679</v>
      </c>
      <c r="I80" s="1113">
        <f>ATGC!E160</f>
        <v>2067945777</v>
      </c>
    </row>
    <row r="81" spans="2:11">
      <c r="B81" s="185"/>
      <c r="C81" s="185"/>
    </row>
    <row r="82" spans="2:11">
      <c r="B82" s="185"/>
      <c r="C82" s="185"/>
    </row>
    <row r="83" spans="2:11">
      <c r="B83" s="185"/>
      <c r="C83" s="185"/>
    </row>
    <row r="84" spans="2:11">
      <c r="B84" s="185"/>
      <c r="C84" s="185"/>
      <c r="K84" s="771"/>
    </row>
    <row r="85" spans="2:11" ht="14.25" thickBot="1">
      <c r="B85" s="185"/>
      <c r="C85" s="185"/>
      <c r="D85" s="287"/>
      <c r="E85" s="287"/>
      <c r="F85" s="313">
        <f>SUM(F5:F84)</f>
        <v>31338338751</v>
      </c>
      <c r="G85" s="287"/>
      <c r="H85" s="287"/>
      <c r="I85" s="313">
        <f>SUM(I5:I84)</f>
        <v>31338338751</v>
      </c>
    </row>
    <row r="86" spans="2:11" ht="14.25" thickTop="1">
      <c r="B86" s="185"/>
      <c r="C86" s="185"/>
      <c r="I86" s="180">
        <f>F85-I85</f>
        <v>0</v>
      </c>
    </row>
    <row r="87" spans="2:11">
      <c r="B87" s="185"/>
      <c r="C87" s="185"/>
    </row>
    <row r="88" spans="2:11">
      <c r="B88" s="185"/>
      <c r="C88" s="185"/>
      <c r="E88" s="97" t="s">
        <v>2692</v>
      </c>
      <c r="F88" s="1164">
        <f>BS!P154+PL!Q114</f>
        <v>31338338751</v>
      </c>
      <c r="I88" s="1164">
        <f>BS!Q154+PL!R114+PL!R115</f>
        <v>31338338751</v>
      </c>
    </row>
    <row r="89" spans="2:11">
      <c r="F89" s="1164">
        <f>F88-F85</f>
        <v>0</v>
      </c>
      <c r="I89" s="1164">
        <f>I88-I85</f>
        <v>0</v>
      </c>
    </row>
    <row r="91" spans="2:11">
      <c r="I91" s="771"/>
      <c r="K91" s="771"/>
    </row>
    <row r="93" spans="2:11">
      <c r="H93" s="507"/>
    </row>
    <row r="96" spans="2:11">
      <c r="F96" s="676"/>
      <c r="I96" s="676"/>
    </row>
    <row r="97" spans="6:10">
      <c r="F97" s="676"/>
      <c r="I97" s="676"/>
    </row>
    <row r="98" spans="6:10">
      <c r="F98" s="676"/>
      <c r="I98" s="676"/>
      <c r="J98" s="677"/>
    </row>
    <row r="99" spans="6:10">
      <c r="F99" s="676"/>
      <c r="I99" s="676"/>
    </row>
    <row r="100" spans="6:10">
      <c r="I100" s="676"/>
    </row>
  </sheetData>
  <autoFilter ref="B4:I86" xr:uid="{00000000-0009-0000-0000-00001C000000}"/>
  <phoneticPr fontId="3" type="noConversion"/>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50F43-6DEB-4CA9-B4EE-D3165ABCE4E1}">
  <sheetPr>
    <tabColor theme="7" tint="0.59999389629810485"/>
  </sheetPr>
  <dimension ref="B2:P164"/>
  <sheetViews>
    <sheetView showGridLines="0" topLeftCell="A163" zoomScale="85" zoomScaleNormal="85" workbookViewId="0">
      <selection activeCell="B157" sqref="B157:B159"/>
    </sheetView>
  </sheetViews>
  <sheetFormatPr defaultRowHeight="16.5" outlineLevelRow="1"/>
  <cols>
    <col min="1" max="1" width="2" style="1656" customWidth="1"/>
    <col min="2" max="2" width="42.625" style="1656" customWidth="1"/>
    <col min="3" max="16" width="15" style="1656" customWidth="1"/>
    <col min="17" max="16384" width="9" style="1656"/>
  </cols>
  <sheetData>
    <row r="2" spans="2:16">
      <c r="B2" s="1656" t="s">
        <v>3423</v>
      </c>
    </row>
    <row r="4" spans="2:16">
      <c r="B4" s="1994" t="s">
        <v>146</v>
      </c>
      <c r="C4" s="1994" t="s">
        <v>3414</v>
      </c>
      <c r="D4" s="1994" t="s">
        <v>407</v>
      </c>
      <c r="E4" s="1994"/>
      <c r="F4" s="1994" t="s">
        <v>3415</v>
      </c>
      <c r="G4" s="1994"/>
      <c r="H4" s="1994"/>
      <c r="I4" s="1994"/>
      <c r="J4" s="1994"/>
      <c r="K4" s="1994"/>
      <c r="L4" s="1994" t="s">
        <v>3416</v>
      </c>
      <c r="M4" s="1994"/>
      <c r="N4" s="1994" t="s">
        <v>3417</v>
      </c>
      <c r="O4" s="1994"/>
      <c r="P4" s="1994"/>
    </row>
    <row r="5" spans="2:16">
      <c r="B5" s="1994"/>
      <c r="C5" s="1994"/>
      <c r="D5" s="1667" t="s">
        <v>3418</v>
      </c>
      <c r="E5" s="1667" t="s">
        <v>3419</v>
      </c>
      <c r="F5" s="1667" t="s">
        <v>141</v>
      </c>
      <c r="G5" s="1667" t="s">
        <v>417</v>
      </c>
      <c r="H5" s="1667" t="s">
        <v>3420</v>
      </c>
      <c r="I5" s="1667" t="s">
        <v>354</v>
      </c>
      <c r="J5" s="1667" t="s">
        <v>421</v>
      </c>
      <c r="K5" s="1668" t="s">
        <v>3024</v>
      </c>
      <c r="L5" s="1667" t="s">
        <v>3418</v>
      </c>
      <c r="M5" s="1667" t="s">
        <v>3419</v>
      </c>
      <c r="N5" s="1667" t="s">
        <v>3424</v>
      </c>
      <c r="O5" s="1667" t="s">
        <v>3025</v>
      </c>
      <c r="P5" s="1667" t="s">
        <v>3421</v>
      </c>
    </row>
    <row r="6" spans="2:16">
      <c r="B6" s="1669" t="s">
        <v>3425</v>
      </c>
      <c r="C6" s="1786">
        <v>46203</v>
      </c>
      <c r="D6" s="1670">
        <f>RoS!Q28</f>
        <v>0.50209999999999999</v>
      </c>
      <c r="E6" s="1670">
        <f>1-D6</f>
        <v>0.49790000000000001</v>
      </c>
      <c r="F6" s="1674">
        <v>16655228500</v>
      </c>
      <c r="G6" s="1674">
        <v>77407695535</v>
      </c>
      <c r="H6" s="1674">
        <v>0</v>
      </c>
      <c r="I6" s="1674">
        <v>0</v>
      </c>
      <c r="J6" s="1674">
        <v>-93825956641</v>
      </c>
      <c r="K6" s="1675">
        <f>SUM(F6:J6)</f>
        <v>236967394</v>
      </c>
      <c r="L6" s="1674">
        <f>ROUND(D6*K6,0)</f>
        <v>118981329</v>
      </c>
      <c r="M6" s="1674">
        <f>K6-L6</f>
        <v>117986065</v>
      </c>
      <c r="N6" s="1674">
        <f>C23</f>
        <v>24999999500</v>
      </c>
      <c r="O6" s="1674">
        <f>L6-N6-P6</f>
        <v>-16195983360</v>
      </c>
      <c r="P6" s="1674">
        <f>-C63+C64</f>
        <v>-8685034811</v>
      </c>
    </row>
    <row r="7" spans="2:16">
      <c r="B7" s="1667" t="s">
        <v>142</v>
      </c>
      <c r="C7" s="1671">
        <v>46203</v>
      </c>
      <c r="D7" s="1672">
        <f>D6</f>
        <v>0.50209999999999999</v>
      </c>
      <c r="E7" s="1672">
        <f>1-D7</f>
        <v>0.49790000000000001</v>
      </c>
      <c r="F7" s="1676">
        <f t="shared" ref="F7:P7" si="0">SUM(F6:F6)</f>
        <v>16655228500</v>
      </c>
      <c r="G7" s="1676">
        <f t="shared" si="0"/>
        <v>77407695535</v>
      </c>
      <c r="H7" s="1676">
        <f t="shared" si="0"/>
        <v>0</v>
      </c>
      <c r="I7" s="1676">
        <f t="shared" si="0"/>
        <v>0</v>
      </c>
      <c r="J7" s="1676">
        <f t="shared" si="0"/>
        <v>-93825956641</v>
      </c>
      <c r="K7" s="1677">
        <f t="shared" si="0"/>
        <v>236967394</v>
      </c>
      <c r="L7" s="1676">
        <f t="shared" si="0"/>
        <v>118981329</v>
      </c>
      <c r="M7" s="1676">
        <f t="shared" si="0"/>
        <v>117986065</v>
      </c>
      <c r="N7" s="1676">
        <f t="shared" si="0"/>
        <v>24999999500</v>
      </c>
      <c r="O7" s="1676">
        <f t="shared" si="0"/>
        <v>-16195983360</v>
      </c>
      <c r="P7" s="1676">
        <f t="shared" si="0"/>
        <v>-8685034811</v>
      </c>
    </row>
    <row r="8" spans="2:16">
      <c r="B8" s="1669"/>
      <c r="C8" s="1669"/>
      <c r="D8" s="1670"/>
      <c r="E8" s="1670"/>
      <c r="F8" s="1674"/>
      <c r="G8" s="1674"/>
      <c r="H8" s="1674"/>
      <c r="I8" s="1674"/>
      <c r="J8" s="1674"/>
      <c r="K8" s="1675"/>
      <c r="L8" s="1674"/>
      <c r="M8" s="1674"/>
      <c r="N8" s="1674"/>
      <c r="O8" s="1674"/>
      <c r="P8" s="1674"/>
    </row>
    <row r="9" spans="2:16">
      <c r="B9" s="1669"/>
      <c r="C9" s="1669"/>
      <c r="D9" s="1670"/>
      <c r="E9" s="1670"/>
      <c r="F9" s="1674"/>
      <c r="G9" s="1674"/>
      <c r="H9" s="1674"/>
      <c r="I9" s="1674"/>
      <c r="J9" s="1674"/>
      <c r="K9" s="1675"/>
      <c r="L9" s="1674"/>
      <c r="M9" s="1674"/>
      <c r="N9" s="1674"/>
      <c r="O9" s="1674"/>
      <c r="P9" s="1674"/>
    </row>
    <row r="10" spans="2:16">
      <c r="B10" s="1669"/>
      <c r="C10" s="1669"/>
      <c r="D10" s="1670"/>
      <c r="E10" s="1670"/>
      <c r="F10" s="1674"/>
      <c r="G10" s="1674"/>
      <c r="H10" s="1674"/>
      <c r="I10" s="1674"/>
      <c r="J10" s="1674"/>
      <c r="K10" s="1675"/>
      <c r="L10" s="1674"/>
      <c r="M10" s="1674"/>
      <c r="N10" s="1674"/>
      <c r="O10" s="1674"/>
      <c r="P10" s="1674"/>
    </row>
    <row r="11" spans="2:16">
      <c r="B11" s="1669"/>
      <c r="C11" s="1669"/>
      <c r="D11" s="1670"/>
      <c r="E11" s="1670"/>
      <c r="F11" s="1674"/>
      <c r="G11" s="1674"/>
      <c r="H11" s="1674"/>
      <c r="I11" s="1674"/>
      <c r="J11" s="1674"/>
      <c r="K11" s="1675"/>
      <c r="L11" s="1674"/>
      <c r="M11" s="1674"/>
      <c r="N11" s="1674"/>
      <c r="O11" s="1674"/>
      <c r="P11" s="1674"/>
    </row>
    <row r="12" spans="2:16">
      <c r="B12" s="1667"/>
      <c r="C12" s="1671"/>
      <c r="D12" s="1672"/>
      <c r="E12" s="1672"/>
      <c r="F12" s="1676"/>
      <c r="G12" s="1676"/>
      <c r="H12" s="1676"/>
      <c r="I12" s="1676"/>
      <c r="J12" s="1676"/>
      <c r="K12" s="1676"/>
      <c r="L12" s="1676"/>
      <c r="M12" s="1676"/>
      <c r="N12" s="1676"/>
      <c r="O12" s="1676"/>
      <c r="P12" s="1676"/>
    </row>
    <row r="14" spans="2:16">
      <c r="E14" s="1673" t="s">
        <v>3432</v>
      </c>
      <c r="F14" s="1685">
        <v>16655228500</v>
      </c>
      <c r="G14" s="1685">
        <v>77407695535</v>
      </c>
      <c r="H14" s="1685">
        <v>0</v>
      </c>
      <c r="I14" s="1685">
        <v>0</v>
      </c>
      <c r="J14" s="1685">
        <v>-93825956641</v>
      </c>
    </row>
    <row r="15" spans="2:16">
      <c r="E15" s="1673" t="s">
        <v>2618</v>
      </c>
      <c r="F15" s="1685">
        <f>F14-SUM(F7)</f>
        <v>0</v>
      </c>
      <c r="G15" s="1685">
        <f t="shared" ref="G15:J15" si="1">G14-SUM(G7)</f>
        <v>0</v>
      </c>
      <c r="H15" s="1685">
        <f t="shared" si="1"/>
        <v>0</v>
      </c>
      <c r="I15" s="1685">
        <f t="shared" si="1"/>
        <v>0</v>
      </c>
      <c r="J15" s="1685">
        <f t="shared" si="1"/>
        <v>0</v>
      </c>
      <c r="K15" s="1684">
        <f>SUM(F15:J15)</f>
        <v>0</v>
      </c>
    </row>
    <row r="16" spans="2:16">
      <c r="E16" s="1704"/>
      <c r="F16" s="1684"/>
      <c r="G16" s="1684"/>
      <c r="H16" s="1684"/>
      <c r="I16" s="1684"/>
      <c r="J16" s="1684"/>
    </row>
    <row r="18" spans="2:11">
      <c r="B18" s="199" t="s">
        <v>3433</v>
      </c>
    </row>
    <row r="19" spans="2:11">
      <c r="B19" s="1669" t="s">
        <v>3428</v>
      </c>
      <c r="C19" s="1706">
        <v>33205457</v>
      </c>
    </row>
    <row r="20" spans="2:11">
      <c r="B20" s="1669" t="s">
        <v>3429</v>
      </c>
      <c r="C20" s="1706">
        <f>11333333+5340000</f>
        <v>16673333</v>
      </c>
      <c r="K20" s="1678"/>
    </row>
    <row r="21" spans="2:11">
      <c r="B21" s="1669" t="s">
        <v>407</v>
      </c>
      <c r="C21" s="1707">
        <f>ROUND(C20/C19,4)</f>
        <v>0.50209999999999999</v>
      </c>
      <c r="D21" s="1656" t="s">
        <v>3818</v>
      </c>
      <c r="J21" s="1683"/>
      <c r="K21" s="1683"/>
    </row>
    <row r="23" spans="2:11">
      <c r="B23" s="1669" t="s">
        <v>3430</v>
      </c>
      <c r="C23" s="1681">
        <f>16999999500+8000000000</f>
        <v>24999999500</v>
      </c>
      <c r="D23" s="1656" t="s">
        <v>3817</v>
      </c>
    </row>
    <row r="25" spans="2:11">
      <c r="B25" s="199" t="s">
        <v>3811</v>
      </c>
    </row>
    <row r="26" spans="2:11">
      <c r="B26" s="1656" t="s">
        <v>3816</v>
      </c>
    </row>
    <row r="27" spans="2:11">
      <c r="B27" s="783" t="s">
        <v>360</v>
      </c>
      <c r="C27" s="870" t="s">
        <v>335</v>
      </c>
      <c r="D27" s="418"/>
      <c r="E27" s="418"/>
      <c r="F27" s="418"/>
    </row>
    <row r="28" spans="2:11">
      <c r="B28" s="774" t="s">
        <v>4</v>
      </c>
      <c r="C28" s="852">
        <v>2658778533</v>
      </c>
      <c r="D28" s="418"/>
      <c r="E28" s="418"/>
      <c r="F28" s="418"/>
    </row>
    <row r="29" spans="2:11">
      <c r="B29" s="774" t="s">
        <v>25</v>
      </c>
      <c r="C29" s="852">
        <v>8080134954</v>
      </c>
      <c r="D29" s="418"/>
      <c r="E29" s="418"/>
      <c r="F29" s="418"/>
    </row>
    <row r="30" spans="2:11">
      <c r="B30" s="774" t="s">
        <v>267</v>
      </c>
      <c r="C30" s="852">
        <f>C28+C29</f>
        <v>10738913487</v>
      </c>
      <c r="D30" s="418"/>
      <c r="E30" s="418"/>
      <c r="F30" s="418"/>
    </row>
    <row r="31" spans="2:11">
      <c r="B31" s="774" t="s">
        <v>47</v>
      </c>
      <c r="C31" s="852">
        <v>9388591014</v>
      </c>
      <c r="D31" s="418"/>
      <c r="E31" s="418"/>
      <c r="F31" s="418"/>
    </row>
    <row r="32" spans="2:11">
      <c r="B32" s="774" t="s">
        <v>56</v>
      </c>
      <c r="C32" s="852">
        <v>1113355079</v>
      </c>
      <c r="D32" s="418"/>
      <c r="E32" s="418"/>
      <c r="F32" s="418"/>
    </row>
    <row r="33" spans="2:6">
      <c r="B33" s="774" t="s">
        <v>268</v>
      </c>
      <c r="C33" s="852">
        <f>C31+C32</f>
        <v>10501946093</v>
      </c>
      <c r="D33" s="418"/>
      <c r="E33" s="418"/>
      <c r="F33" s="418"/>
    </row>
    <row r="34" spans="2:6">
      <c r="B34" s="774" t="s">
        <v>61</v>
      </c>
      <c r="C34" s="852">
        <f>C30-C33</f>
        <v>236967394</v>
      </c>
      <c r="D34" s="886"/>
      <c r="E34" s="418"/>
      <c r="F34" s="1607"/>
    </row>
    <row r="35" spans="2:6">
      <c r="B35" s="778" t="s">
        <v>1131</v>
      </c>
      <c r="C35" s="853">
        <f>C34+C33</f>
        <v>10738913487</v>
      </c>
      <c r="D35" s="886"/>
      <c r="E35" s="418"/>
      <c r="F35" s="418"/>
    </row>
    <row r="36" spans="2:6">
      <c r="B36" s="418"/>
      <c r="C36" s="418"/>
      <c r="D36" s="418"/>
      <c r="E36" s="418"/>
      <c r="F36" s="418"/>
    </row>
    <row r="37" spans="2:6">
      <c r="B37" s="1652" t="s">
        <v>407</v>
      </c>
      <c r="C37" s="1682">
        <f>C21</f>
        <v>0.50209999999999999</v>
      </c>
      <c r="D37" s="418"/>
      <c r="E37" s="418"/>
      <c r="F37" s="418"/>
    </row>
    <row r="38" spans="2:6">
      <c r="B38" s="418"/>
      <c r="C38" s="418"/>
      <c r="D38" s="418"/>
      <c r="E38" s="418"/>
      <c r="F38" s="418"/>
    </row>
    <row r="39" spans="2:6">
      <c r="B39" s="1652" t="s">
        <v>3016</v>
      </c>
      <c r="C39" s="1653">
        <f>ROUND(C37*C34,)</f>
        <v>118981329</v>
      </c>
      <c r="D39" s="418"/>
      <c r="E39" s="418"/>
      <c r="F39" s="418"/>
    </row>
    <row r="40" spans="2:6">
      <c r="B40" s="1652" t="s">
        <v>3017</v>
      </c>
      <c r="C40" s="1653">
        <f>C23-C39</f>
        <v>24881018171</v>
      </c>
      <c r="D40" s="418"/>
      <c r="E40" s="1609"/>
      <c r="F40" s="418"/>
    </row>
    <row r="41" spans="2:6">
      <c r="B41" s="898"/>
      <c r="C41" s="1609"/>
      <c r="D41" s="418"/>
      <c r="E41" s="1609"/>
      <c r="F41" s="418"/>
    </row>
    <row r="42" spans="2:6">
      <c r="B42" s="898" t="s">
        <v>3812</v>
      </c>
      <c r="C42" s="1610" t="s">
        <v>3806</v>
      </c>
      <c r="D42" s="859"/>
      <c r="E42" s="1609"/>
      <c r="F42" s="418"/>
    </row>
    <row r="43" spans="2:6">
      <c r="B43" s="1652" t="s">
        <v>3019</v>
      </c>
      <c r="C43" s="1653">
        <f>ROUND(지분법계산_에이티지씨!C83/$C$51,)</f>
        <v>12562043780</v>
      </c>
      <c r="D43" s="418" t="s">
        <v>3022</v>
      </c>
      <c r="E43" s="1609"/>
      <c r="F43" s="418"/>
    </row>
    <row r="44" spans="2:6">
      <c r="B44" s="1652" t="s">
        <v>3020</v>
      </c>
      <c r="C44" s="1653">
        <f>ROUND(지분법계산_에이티지씨!C84/$C$51,)</f>
        <v>791662593</v>
      </c>
      <c r="D44" s="418" t="s">
        <v>3021</v>
      </c>
      <c r="E44" s="1609"/>
      <c r="F44" s="418"/>
    </row>
    <row r="45" spans="2:6">
      <c r="B45" s="1652" t="s">
        <v>3023</v>
      </c>
      <c r="C45" s="1653">
        <f>ROUND(지분법계산_에이티지씨!C85/$C$51,)</f>
        <v>9587169533</v>
      </c>
      <c r="D45" s="418" t="s">
        <v>3021</v>
      </c>
      <c r="E45" s="1609"/>
      <c r="F45" s="418"/>
    </row>
    <row r="46" spans="2:6">
      <c r="B46" s="1652" t="s">
        <v>3024</v>
      </c>
      <c r="C46" s="1653">
        <f>SUM(C43:C45)</f>
        <v>22940875906</v>
      </c>
      <c r="D46" s="1609"/>
      <c r="E46" s="1609"/>
      <c r="F46" s="418"/>
    </row>
    <row r="47" spans="2:6">
      <c r="B47" s="898"/>
      <c r="C47" s="1609"/>
      <c r="D47" s="418"/>
      <c r="E47" s="1609"/>
      <c r="F47" s="418"/>
    </row>
    <row r="48" spans="2:6">
      <c r="B48" s="898"/>
      <c r="C48" s="1609"/>
      <c r="D48" s="418"/>
      <c r="E48" s="1609"/>
      <c r="F48" s="418"/>
    </row>
    <row r="49" spans="2:6">
      <c r="B49" s="1669" t="s">
        <v>3428</v>
      </c>
      <c r="C49" s="1706">
        <f>33205457+105000</f>
        <v>33310457</v>
      </c>
      <c r="D49" s="418" t="s">
        <v>3807</v>
      </c>
      <c r="E49" s="1609"/>
      <c r="F49" s="418"/>
    </row>
    <row r="50" spans="2:6">
      <c r="B50" s="1669" t="s">
        <v>3429</v>
      </c>
      <c r="C50" s="1706">
        <v>11333333</v>
      </c>
      <c r="D50" s="418"/>
      <c r="E50" s="1609"/>
      <c r="F50" s="418"/>
    </row>
    <row r="51" spans="2:6">
      <c r="B51" s="1669" t="s">
        <v>407</v>
      </c>
      <c r="C51" s="1707">
        <f>ROUND(C50/C49,4)</f>
        <v>0.3402</v>
      </c>
      <c r="D51" s="418"/>
      <c r="E51" s="1609"/>
      <c r="F51" s="418"/>
    </row>
    <row r="52" spans="2:6">
      <c r="B52" s="898"/>
      <c r="C52" s="1609"/>
      <c r="D52" s="418"/>
      <c r="E52" s="1609"/>
      <c r="F52" s="418"/>
    </row>
    <row r="53" spans="2:6">
      <c r="B53" s="898" t="s">
        <v>3813</v>
      </c>
      <c r="C53" s="1610" t="s">
        <v>3806</v>
      </c>
      <c r="D53" s="859"/>
      <c r="E53" s="1609"/>
      <c r="F53" s="418"/>
    </row>
    <row r="54" spans="2:6">
      <c r="B54" s="1652" t="s">
        <v>3019</v>
      </c>
      <c r="C54" s="1653">
        <f>ROUND(C43/15*14.5,)</f>
        <v>12143308987</v>
      </c>
      <c r="D54" s="418" t="s">
        <v>3809</v>
      </c>
      <c r="E54" s="1609"/>
      <c r="F54" s="418"/>
    </row>
    <row r="55" spans="2:6">
      <c r="B55" s="1652" t="s">
        <v>3020</v>
      </c>
      <c r="C55" s="1653">
        <f>ROUND(C44/15*14.5,)</f>
        <v>765273840</v>
      </c>
      <c r="D55" s="418" t="s">
        <v>3809</v>
      </c>
      <c r="E55" s="1609"/>
      <c r="F55" s="418"/>
    </row>
    <row r="56" spans="2:6">
      <c r="B56" s="1652" t="s">
        <v>3023</v>
      </c>
      <c r="C56" s="1653">
        <f>ROUND(C45/15*14.5,)</f>
        <v>9267597215</v>
      </c>
      <c r="D56" s="418" t="s">
        <v>3809</v>
      </c>
      <c r="E56" s="1609"/>
      <c r="F56" s="418"/>
    </row>
    <row r="57" spans="2:6">
      <c r="B57" s="1652" t="s">
        <v>3024</v>
      </c>
      <c r="C57" s="1653">
        <f>SUM(C54:C56)</f>
        <v>22176180042</v>
      </c>
      <c r="D57" s="1609"/>
      <c r="E57" s="1609"/>
      <c r="F57" s="418"/>
    </row>
    <row r="58" spans="2:6">
      <c r="B58" s="898"/>
      <c r="C58" s="1609"/>
      <c r="D58" s="418"/>
      <c r="E58" s="1609"/>
      <c r="F58" s="418"/>
    </row>
    <row r="59" spans="2:6">
      <c r="B59" s="898" t="s">
        <v>3814</v>
      </c>
      <c r="C59" s="1610" t="s">
        <v>3808</v>
      </c>
      <c r="D59" s="859"/>
      <c r="E59" s="418"/>
      <c r="F59" s="418"/>
    </row>
    <row r="60" spans="2:6">
      <c r="B60" s="1652" t="s">
        <v>3019</v>
      </c>
      <c r="C60" s="1653">
        <f>ROUND(C54*$C$21,)</f>
        <v>6097155442</v>
      </c>
      <c r="D60" s="418" t="s">
        <v>3810</v>
      </c>
      <c r="E60" s="881"/>
      <c r="F60" s="418"/>
    </row>
    <row r="61" spans="2:6">
      <c r="B61" s="1652" t="s">
        <v>3020</v>
      </c>
      <c r="C61" s="1653">
        <f t="shared" ref="C61:C62" si="2">ROUND(C55*$C$21,)</f>
        <v>384243995</v>
      </c>
      <c r="D61" s="418" t="s">
        <v>3809</v>
      </c>
      <c r="E61" s="881"/>
      <c r="F61" s="418"/>
    </row>
    <row r="62" spans="2:6">
      <c r="B62" s="1652" t="s">
        <v>3023</v>
      </c>
      <c r="C62" s="1653">
        <f t="shared" si="2"/>
        <v>4653260562</v>
      </c>
      <c r="D62" s="418" t="s">
        <v>3809</v>
      </c>
      <c r="E62" s="881"/>
      <c r="F62" s="418"/>
    </row>
    <row r="63" spans="2:6">
      <c r="B63" s="1652" t="s">
        <v>3024</v>
      </c>
      <c r="C63" s="1653">
        <f>SUM(C60:C62)</f>
        <v>11134659999</v>
      </c>
      <c r="D63" s="1609"/>
      <c r="E63" s="418"/>
      <c r="F63" s="418"/>
    </row>
    <row r="64" spans="2:6">
      <c r="B64" s="1652" t="s">
        <v>3441</v>
      </c>
      <c r="C64" s="1653">
        <f>G81</f>
        <v>2449625188</v>
      </c>
      <c r="D64" s="1609"/>
      <c r="E64" s="418"/>
      <c r="F64" s="418"/>
    </row>
    <row r="65" spans="2:9">
      <c r="B65" s="1652" t="s">
        <v>3025</v>
      </c>
      <c r="C65" s="1653">
        <f>C40-C63+C64</f>
        <v>16195983360</v>
      </c>
      <c r="D65" s="1609">
        <f>C65+O6</f>
        <v>0</v>
      </c>
      <c r="E65" s="418"/>
      <c r="F65" s="418"/>
    </row>
    <row r="66" spans="2:9">
      <c r="B66" s="898"/>
      <c r="C66" s="1609"/>
      <c r="D66" s="1609"/>
      <c r="E66" s="418"/>
      <c r="F66" s="418"/>
    </row>
    <row r="67" spans="2:9">
      <c r="B67" s="898" t="s">
        <v>3815</v>
      </c>
      <c r="C67" s="1609"/>
      <c r="D67" s="1609"/>
      <c r="E67" s="418"/>
      <c r="F67" s="418"/>
    </row>
    <row r="68" spans="2:9">
      <c r="B68" s="1686" t="s">
        <v>3437</v>
      </c>
      <c r="C68" s="1687"/>
      <c r="D68" s="1717"/>
      <c r="E68"/>
      <c r="F68"/>
      <c r="G68"/>
      <c r="H68"/>
      <c r="I68"/>
    </row>
    <row r="69" spans="2:9">
      <c r="B69" t="s">
        <v>3438</v>
      </c>
      <c r="C69" s="1687">
        <f>C40</f>
        <v>24881018171</v>
      </c>
      <c r="D69"/>
      <c r="E69"/>
      <c r="F69"/>
      <c r="G69"/>
      <c r="H69"/>
      <c r="I69"/>
    </row>
    <row r="70" spans="2:9">
      <c r="B70" s="97" t="s">
        <v>3439</v>
      </c>
      <c r="C70" s="1688">
        <f>C63</f>
        <v>11134659999</v>
      </c>
      <c r="D70" s="1688" t="s">
        <v>3440</v>
      </c>
      <c r="E70"/>
      <c r="F70"/>
      <c r="G70"/>
      <c r="H70"/>
      <c r="I70" s="1689"/>
    </row>
    <row r="71" spans="2:9">
      <c r="B71" s="97" t="s">
        <v>3441</v>
      </c>
      <c r="C71" s="1688">
        <f>SUM(F81:F139)</f>
        <v>2449625188</v>
      </c>
      <c r="D71" s="1688"/>
      <c r="E71"/>
      <c r="F71"/>
      <c r="G71"/>
      <c r="H71"/>
      <c r="I71" s="1689"/>
    </row>
    <row r="72" spans="2:9">
      <c r="B72" s="97" t="s">
        <v>3025</v>
      </c>
      <c r="C72" s="1688">
        <f>C69-C70+C71</f>
        <v>16195983360</v>
      </c>
      <c r="D72" s="1688" t="b">
        <f>C72=C65</f>
        <v>1</v>
      </c>
      <c r="E72"/>
      <c r="F72"/>
      <c r="G72"/>
      <c r="H72"/>
      <c r="I72" s="1689"/>
    </row>
    <row r="73" spans="2:9">
      <c r="B73" s="97"/>
      <c r="C73" s="1688"/>
      <c r="D73" s="1688"/>
      <c r="E73"/>
      <c r="F73"/>
      <c r="G73"/>
      <c r="H73"/>
      <c r="I73" s="1689"/>
    </row>
    <row r="74" spans="2:9">
      <c r="B74" s="97" t="s">
        <v>3442</v>
      </c>
      <c r="C74" s="974">
        <f>EOMONTH(C75,14.5*12)</f>
        <v>51501</v>
      </c>
      <c r="D74" s="974"/>
      <c r="E74"/>
      <c r="F74"/>
      <c r="G74"/>
      <c r="H74"/>
      <c r="I74" s="1689"/>
    </row>
    <row r="75" spans="2:9">
      <c r="B75" s="97" t="s">
        <v>3443</v>
      </c>
      <c r="C75" s="974">
        <v>46203</v>
      </c>
      <c r="D75" s="1688"/>
      <c r="E75"/>
      <c r="F75"/>
      <c r="G75"/>
      <c r="H75"/>
      <c r="I75" s="1689"/>
    </row>
    <row r="76" spans="2:9">
      <c r="B76" s="97" t="s">
        <v>3444</v>
      </c>
      <c r="C76" s="1690">
        <v>14.5</v>
      </c>
      <c r="D76" s="1688"/>
      <c r="E76"/>
      <c r="F76"/>
      <c r="G76"/>
      <c r="H76"/>
      <c r="I76" s="1689"/>
    </row>
    <row r="77" spans="2:9">
      <c r="B77" s="97" t="s">
        <v>3445</v>
      </c>
      <c r="C77" s="1688">
        <f>ROUND(C70/C76/4,)</f>
        <v>191976897</v>
      </c>
      <c r="D77" s="1688"/>
      <c r="E77"/>
      <c r="F77"/>
      <c r="G77"/>
      <c r="H77"/>
      <c r="I77" s="1689"/>
    </row>
    <row r="78" spans="2:9">
      <c r="B78" s="97"/>
      <c r="C78" s="1688"/>
      <c r="D78" s="1688"/>
      <c r="E78"/>
      <c r="F78"/>
      <c r="G78"/>
      <c r="H78"/>
      <c r="I78" s="1689"/>
    </row>
    <row r="79" spans="2:9">
      <c r="B79" s="97" t="s">
        <v>3446</v>
      </c>
      <c r="C79" s="1688"/>
      <c r="D79" s="1688"/>
      <c r="E79"/>
      <c r="F79"/>
      <c r="G79"/>
      <c r="H79"/>
      <c r="I79" s="1689"/>
    </row>
    <row r="80" spans="2:9">
      <c r="B80" s="1666" t="s">
        <v>3447</v>
      </c>
      <c r="C80" s="1691" t="s">
        <v>3448</v>
      </c>
      <c r="D80" s="1692" t="s">
        <v>3449</v>
      </c>
      <c r="E80" s="1692" t="s">
        <v>2949</v>
      </c>
      <c r="F80" s="1692" t="s">
        <v>3450</v>
      </c>
      <c r="G80" s="1692" t="s">
        <v>2439</v>
      </c>
      <c r="H80" s="1692" t="s">
        <v>276</v>
      </c>
      <c r="I80" s="1692" t="s">
        <v>3451</v>
      </c>
    </row>
    <row r="81" spans="2:9">
      <c r="B81" s="1693">
        <v>46203</v>
      </c>
      <c r="C81" s="1694">
        <v>0</v>
      </c>
      <c r="D81" s="1694">
        <v>0</v>
      </c>
      <c r="E81" s="1694">
        <f>C70</f>
        <v>11134659999</v>
      </c>
      <c r="F81" s="1694">
        <f>ROUND(C81*20.9%,)</f>
        <v>0</v>
      </c>
      <c r="G81" s="1694">
        <f>SUM(F81:F139)</f>
        <v>2449625188</v>
      </c>
      <c r="H81" s="1694">
        <f t="shared" ref="H81:H139" si="3">C81-F81</f>
        <v>0</v>
      </c>
      <c r="I81" s="1694">
        <f>E81-G81</f>
        <v>8685034811</v>
      </c>
    </row>
    <row r="82" spans="2:9">
      <c r="B82" s="1693">
        <f>EOMONTH(B81,3)</f>
        <v>46295</v>
      </c>
      <c r="C82" s="1694">
        <f>C77</f>
        <v>191976897</v>
      </c>
      <c r="D82" s="1694">
        <f>C82+D81</f>
        <v>191976897</v>
      </c>
      <c r="E82" s="1694">
        <f t="shared" ref="E82:E113" si="4">$E$81-D82</f>
        <v>10942683102</v>
      </c>
      <c r="F82" s="1694">
        <f>ROUND(C82*22%,)</f>
        <v>42234917</v>
      </c>
      <c r="G82" s="1694">
        <f>G81-F82</f>
        <v>2407390271</v>
      </c>
      <c r="H82" s="1694">
        <f t="shared" si="3"/>
        <v>149741980</v>
      </c>
      <c r="I82" s="1694">
        <f t="shared" ref="I82:I139" si="5">E82-G82</f>
        <v>8535292831</v>
      </c>
    </row>
    <row r="83" spans="2:9">
      <c r="B83" s="1693">
        <f>EOMONTH(B82,3)</f>
        <v>46387</v>
      </c>
      <c r="C83" s="1694">
        <f t="shared" ref="C83:C114" si="6">$C$82</f>
        <v>191976897</v>
      </c>
      <c r="D83" s="1694">
        <f>C83+D82</f>
        <v>383953794</v>
      </c>
      <c r="E83" s="1694">
        <f t="shared" si="4"/>
        <v>10750706205</v>
      </c>
      <c r="F83" s="1694">
        <f t="shared" ref="F83:F139" si="7">ROUND(C83*22%,)</f>
        <v>42234917</v>
      </c>
      <c r="G83" s="1694">
        <f>G82-F83</f>
        <v>2365155354</v>
      </c>
      <c r="H83" s="1694">
        <f t="shared" si="3"/>
        <v>149741980</v>
      </c>
      <c r="I83" s="1694">
        <f t="shared" si="5"/>
        <v>8385550851</v>
      </c>
    </row>
    <row r="84" spans="2:9">
      <c r="B84" s="1693">
        <f t="shared" ref="B84:B139" si="8">EOMONTH(B83,3)</f>
        <v>46477</v>
      </c>
      <c r="C84" s="1694">
        <f t="shared" si="6"/>
        <v>191976897</v>
      </c>
      <c r="D84" s="1694">
        <f t="shared" ref="D84:D139" si="9">C84+D83</f>
        <v>575930691</v>
      </c>
      <c r="E84" s="1694">
        <f t="shared" si="4"/>
        <v>10558729308</v>
      </c>
      <c r="F84" s="1694">
        <f t="shared" si="7"/>
        <v>42234917</v>
      </c>
      <c r="G84" s="1694">
        <f t="shared" ref="G84:G139" si="10">G83-F84</f>
        <v>2322920437</v>
      </c>
      <c r="H84" s="1694">
        <f t="shared" si="3"/>
        <v>149741980</v>
      </c>
      <c r="I84" s="1694">
        <f t="shared" si="5"/>
        <v>8235808871</v>
      </c>
    </row>
    <row r="85" spans="2:9">
      <c r="B85" s="1693">
        <f t="shared" si="8"/>
        <v>46568</v>
      </c>
      <c r="C85" s="1694">
        <f t="shared" si="6"/>
        <v>191976897</v>
      </c>
      <c r="D85" s="1694">
        <f t="shared" si="9"/>
        <v>767907588</v>
      </c>
      <c r="E85" s="1694">
        <f t="shared" si="4"/>
        <v>10366752411</v>
      </c>
      <c r="F85" s="1694">
        <f t="shared" si="7"/>
        <v>42234917</v>
      </c>
      <c r="G85" s="1694">
        <f t="shared" si="10"/>
        <v>2280685520</v>
      </c>
      <c r="H85" s="1694">
        <f t="shared" si="3"/>
        <v>149741980</v>
      </c>
      <c r="I85" s="1694">
        <f t="shared" si="5"/>
        <v>8086066891</v>
      </c>
    </row>
    <row r="86" spans="2:9">
      <c r="B86" s="1693">
        <f t="shared" si="8"/>
        <v>46660</v>
      </c>
      <c r="C86" s="1694">
        <f t="shared" si="6"/>
        <v>191976897</v>
      </c>
      <c r="D86" s="1694">
        <f t="shared" si="9"/>
        <v>959884485</v>
      </c>
      <c r="E86" s="1694">
        <f t="shared" si="4"/>
        <v>10174775514</v>
      </c>
      <c r="F86" s="1694">
        <f t="shared" si="7"/>
        <v>42234917</v>
      </c>
      <c r="G86" s="1694">
        <f t="shared" si="10"/>
        <v>2238450603</v>
      </c>
      <c r="H86" s="1694">
        <f t="shared" si="3"/>
        <v>149741980</v>
      </c>
      <c r="I86" s="1694">
        <f t="shared" si="5"/>
        <v>7936324911</v>
      </c>
    </row>
    <row r="87" spans="2:9">
      <c r="B87" s="1693">
        <f t="shared" si="8"/>
        <v>46752</v>
      </c>
      <c r="C87" s="1694">
        <f t="shared" si="6"/>
        <v>191976897</v>
      </c>
      <c r="D87" s="1694">
        <f t="shared" si="9"/>
        <v>1151861382</v>
      </c>
      <c r="E87" s="1694">
        <f t="shared" si="4"/>
        <v>9982798617</v>
      </c>
      <c r="F87" s="1694">
        <f t="shared" si="7"/>
        <v>42234917</v>
      </c>
      <c r="G87" s="1694">
        <f t="shared" si="10"/>
        <v>2196215686</v>
      </c>
      <c r="H87" s="1694">
        <f t="shared" si="3"/>
        <v>149741980</v>
      </c>
      <c r="I87" s="1694">
        <f t="shared" si="5"/>
        <v>7786582931</v>
      </c>
    </row>
    <row r="88" spans="2:9" hidden="1" outlineLevel="1">
      <c r="B88" s="1693">
        <f t="shared" si="8"/>
        <v>46843</v>
      </c>
      <c r="C88" s="1694">
        <f t="shared" si="6"/>
        <v>191976897</v>
      </c>
      <c r="D88" s="1694">
        <f t="shared" si="9"/>
        <v>1343838279</v>
      </c>
      <c r="E88" s="1694">
        <f t="shared" si="4"/>
        <v>9790821720</v>
      </c>
      <c r="F88" s="1694">
        <f t="shared" si="7"/>
        <v>42234917</v>
      </c>
      <c r="G88" s="1694">
        <f t="shared" si="10"/>
        <v>2153980769</v>
      </c>
      <c r="H88" s="1694">
        <f t="shared" si="3"/>
        <v>149741980</v>
      </c>
      <c r="I88" s="1694">
        <f t="shared" si="5"/>
        <v>7636840951</v>
      </c>
    </row>
    <row r="89" spans="2:9" hidden="1" outlineLevel="1">
      <c r="B89" s="1693">
        <f t="shared" si="8"/>
        <v>46934</v>
      </c>
      <c r="C89" s="1694">
        <f t="shared" si="6"/>
        <v>191976897</v>
      </c>
      <c r="D89" s="1694">
        <f t="shared" si="9"/>
        <v>1535815176</v>
      </c>
      <c r="E89" s="1694">
        <f t="shared" si="4"/>
        <v>9598844823</v>
      </c>
      <c r="F89" s="1694">
        <f t="shared" si="7"/>
        <v>42234917</v>
      </c>
      <c r="G89" s="1694">
        <f t="shared" si="10"/>
        <v>2111745852</v>
      </c>
      <c r="H89" s="1694">
        <f t="shared" si="3"/>
        <v>149741980</v>
      </c>
      <c r="I89" s="1694">
        <f t="shared" si="5"/>
        <v>7487098971</v>
      </c>
    </row>
    <row r="90" spans="2:9" hidden="1" outlineLevel="1">
      <c r="B90" s="1693">
        <f t="shared" si="8"/>
        <v>47026</v>
      </c>
      <c r="C90" s="1694">
        <f t="shared" si="6"/>
        <v>191976897</v>
      </c>
      <c r="D90" s="1694">
        <f t="shared" si="9"/>
        <v>1727792073</v>
      </c>
      <c r="E90" s="1694">
        <f t="shared" si="4"/>
        <v>9406867926</v>
      </c>
      <c r="F90" s="1694">
        <f t="shared" si="7"/>
        <v>42234917</v>
      </c>
      <c r="G90" s="1694">
        <f t="shared" si="10"/>
        <v>2069510935</v>
      </c>
      <c r="H90" s="1694">
        <f t="shared" si="3"/>
        <v>149741980</v>
      </c>
      <c r="I90" s="1694">
        <f t="shared" si="5"/>
        <v>7337356991</v>
      </c>
    </row>
    <row r="91" spans="2:9" hidden="1" outlineLevel="1">
      <c r="B91" s="1693">
        <f t="shared" si="8"/>
        <v>47118</v>
      </c>
      <c r="C91" s="1694">
        <f t="shared" si="6"/>
        <v>191976897</v>
      </c>
      <c r="D91" s="1694">
        <f t="shared" si="9"/>
        <v>1919768970</v>
      </c>
      <c r="E91" s="1694">
        <f t="shared" si="4"/>
        <v>9214891029</v>
      </c>
      <c r="F91" s="1694">
        <f t="shared" si="7"/>
        <v>42234917</v>
      </c>
      <c r="G91" s="1694">
        <f t="shared" si="10"/>
        <v>2027276018</v>
      </c>
      <c r="H91" s="1694">
        <f t="shared" si="3"/>
        <v>149741980</v>
      </c>
      <c r="I91" s="1694">
        <f t="shared" si="5"/>
        <v>7187615011</v>
      </c>
    </row>
    <row r="92" spans="2:9" hidden="1" outlineLevel="1">
      <c r="B92" s="1693">
        <f t="shared" si="8"/>
        <v>47208</v>
      </c>
      <c r="C92" s="1694">
        <f t="shared" si="6"/>
        <v>191976897</v>
      </c>
      <c r="D92" s="1694">
        <f t="shared" si="9"/>
        <v>2111745867</v>
      </c>
      <c r="E92" s="1694">
        <f t="shared" si="4"/>
        <v>9022914132</v>
      </c>
      <c r="F92" s="1694">
        <f t="shared" si="7"/>
        <v>42234917</v>
      </c>
      <c r="G92" s="1694">
        <f t="shared" si="10"/>
        <v>1985041101</v>
      </c>
      <c r="H92" s="1694">
        <f t="shared" si="3"/>
        <v>149741980</v>
      </c>
      <c r="I92" s="1694">
        <f t="shared" si="5"/>
        <v>7037873031</v>
      </c>
    </row>
    <row r="93" spans="2:9" hidden="1" outlineLevel="1">
      <c r="B93" s="1693">
        <f t="shared" si="8"/>
        <v>47299</v>
      </c>
      <c r="C93" s="1694">
        <f t="shared" si="6"/>
        <v>191976897</v>
      </c>
      <c r="D93" s="1694">
        <f t="shared" si="9"/>
        <v>2303722764</v>
      </c>
      <c r="E93" s="1694">
        <f t="shared" si="4"/>
        <v>8830937235</v>
      </c>
      <c r="F93" s="1694">
        <f t="shared" si="7"/>
        <v>42234917</v>
      </c>
      <c r="G93" s="1694">
        <f t="shared" si="10"/>
        <v>1942806184</v>
      </c>
      <c r="H93" s="1694">
        <f t="shared" si="3"/>
        <v>149741980</v>
      </c>
      <c r="I93" s="1694">
        <f t="shared" si="5"/>
        <v>6888131051</v>
      </c>
    </row>
    <row r="94" spans="2:9" hidden="1" outlineLevel="1">
      <c r="B94" s="1693">
        <f t="shared" si="8"/>
        <v>47391</v>
      </c>
      <c r="C94" s="1694">
        <f t="shared" si="6"/>
        <v>191976897</v>
      </c>
      <c r="D94" s="1694">
        <f t="shared" si="9"/>
        <v>2495699661</v>
      </c>
      <c r="E94" s="1694">
        <f t="shared" si="4"/>
        <v>8638960338</v>
      </c>
      <c r="F94" s="1694">
        <f t="shared" si="7"/>
        <v>42234917</v>
      </c>
      <c r="G94" s="1694">
        <f t="shared" si="10"/>
        <v>1900571267</v>
      </c>
      <c r="H94" s="1694">
        <f t="shared" si="3"/>
        <v>149741980</v>
      </c>
      <c r="I94" s="1694">
        <f t="shared" si="5"/>
        <v>6738389071</v>
      </c>
    </row>
    <row r="95" spans="2:9" hidden="1" outlineLevel="1">
      <c r="B95" s="1693">
        <f t="shared" si="8"/>
        <v>47483</v>
      </c>
      <c r="C95" s="1694">
        <f t="shared" si="6"/>
        <v>191976897</v>
      </c>
      <c r="D95" s="1694">
        <f t="shared" si="9"/>
        <v>2687676558</v>
      </c>
      <c r="E95" s="1694">
        <f t="shared" si="4"/>
        <v>8446983441</v>
      </c>
      <c r="F95" s="1694">
        <f t="shared" si="7"/>
        <v>42234917</v>
      </c>
      <c r="G95" s="1694">
        <f t="shared" si="10"/>
        <v>1858336350</v>
      </c>
      <c r="H95" s="1694">
        <f t="shared" si="3"/>
        <v>149741980</v>
      </c>
      <c r="I95" s="1694">
        <f t="shared" si="5"/>
        <v>6588647091</v>
      </c>
    </row>
    <row r="96" spans="2:9" hidden="1" outlineLevel="1">
      <c r="B96" s="1693">
        <f t="shared" si="8"/>
        <v>47573</v>
      </c>
      <c r="C96" s="1694">
        <f t="shared" si="6"/>
        <v>191976897</v>
      </c>
      <c r="D96" s="1694">
        <f t="shared" si="9"/>
        <v>2879653455</v>
      </c>
      <c r="E96" s="1694">
        <f t="shared" si="4"/>
        <v>8255006544</v>
      </c>
      <c r="F96" s="1694">
        <f t="shared" si="7"/>
        <v>42234917</v>
      </c>
      <c r="G96" s="1694">
        <f t="shared" si="10"/>
        <v>1816101433</v>
      </c>
      <c r="H96" s="1694">
        <f t="shared" si="3"/>
        <v>149741980</v>
      </c>
      <c r="I96" s="1694">
        <f t="shared" si="5"/>
        <v>6438905111</v>
      </c>
    </row>
    <row r="97" spans="2:9" hidden="1" outlineLevel="1">
      <c r="B97" s="1693">
        <f t="shared" si="8"/>
        <v>47664</v>
      </c>
      <c r="C97" s="1694">
        <f t="shared" si="6"/>
        <v>191976897</v>
      </c>
      <c r="D97" s="1694">
        <f t="shared" si="9"/>
        <v>3071630352</v>
      </c>
      <c r="E97" s="1694">
        <f t="shared" si="4"/>
        <v>8063029647</v>
      </c>
      <c r="F97" s="1694">
        <f t="shared" si="7"/>
        <v>42234917</v>
      </c>
      <c r="G97" s="1694">
        <f t="shared" si="10"/>
        <v>1773866516</v>
      </c>
      <c r="H97" s="1694">
        <f t="shared" si="3"/>
        <v>149741980</v>
      </c>
      <c r="I97" s="1694">
        <f t="shared" si="5"/>
        <v>6289163131</v>
      </c>
    </row>
    <row r="98" spans="2:9" hidden="1" outlineLevel="1">
      <c r="B98" s="1693">
        <f t="shared" si="8"/>
        <v>47756</v>
      </c>
      <c r="C98" s="1694">
        <f t="shared" si="6"/>
        <v>191976897</v>
      </c>
      <c r="D98" s="1694">
        <f t="shared" si="9"/>
        <v>3263607249</v>
      </c>
      <c r="E98" s="1694">
        <f t="shared" si="4"/>
        <v>7871052750</v>
      </c>
      <c r="F98" s="1694">
        <f t="shared" si="7"/>
        <v>42234917</v>
      </c>
      <c r="G98" s="1694">
        <f t="shared" si="10"/>
        <v>1731631599</v>
      </c>
      <c r="H98" s="1694">
        <f t="shared" si="3"/>
        <v>149741980</v>
      </c>
      <c r="I98" s="1694">
        <f t="shared" si="5"/>
        <v>6139421151</v>
      </c>
    </row>
    <row r="99" spans="2:9" hidden="1" outlineLevel="1">
      <c r="B99" s="1693">
        <f t="shared" si="8"/>
        <v>47848</v>
      </c>
      <c r="C99" s="1694">
        <f t="shared" si="6"/>
        <v>191976897</v>
      </c>
      <c r="D99" s="1694">
        <f t="shared" si="9"/>
        <v>3455584146</v>
      </c>
      <c r="E99" s="1694">
        <f t="shared" si="4"/>
        <v>7679075853</v>
      </c>
      <c r="F99" s="1694">
        <f t="shared" si="7"/>
        <v>42234917</v>
      </c>
      <c r="G99" s="1694">
        <f t="shared" si="10"/>
        <v>1689396682</v>
      </c>
      <c r="H99" s="1694">
        <f t="shared" si="3"/>
        <v>149741980</v>
      </c>
      <c r="I99" s="1694">
        <f t="shared" si="5"/>
        <v>5989679171</v>
      </c>
    </row>
    <row r="100" spans="2:9" hidden="1" outlineLevel="1">
      <c r="B100" s="1693">
        <f t="shared" si="8"/>
        <v>47938</v>
      </c>
      <c r="C100" s="1694">
        <f t="shared" si="6"/>
        <v>191976897</v>
      </c>
      <c r="D100" s="1694">
        <f t="shared" si="9"/>
        <v>3647561043</v>
      </c>
      <c r="E100" s="1694">
        <f t="shared" si="4"/>
        <v>7487098956</v>
      </c>
      <c r="F100" s="1694">
        <f t="shared" si="7"/>
        <v>42234917</v>
      </c>
      <c r="G100" s="1694">
        <f t="shared" si="10"/>
        <v>1647161765</v>
      </c>
      <c r="H100" s="1694">
        <f t="shared" si="3"/>
        <v>149741980</v>
      </c>
      <c r="I100" s="1694">
        <f t="shared" si="5"/>
        <v>5839937191</v>
      </c>
    </row>
    <row r="101" spans="2:9" hidden="1" outlineLevel="1">
      <c r="B101" s="1693">
        <f t="shared" si="8"/>
        <v>48029</v>
      </c>
      <c r="C101" s="1694">
        <f t="shared" si="6"/>
        <v>191976897</v>
      </c>
      <c r="D101" s="1694">
        <f t="shared" si="9"/>
        <v>3839537940</v>
      </c>
      <c r="E101" s="1694">
        <f t="shared" si="4"/>
        <v>7295122059</v>
      </c>
      <c r="F101" s="1694">
        <f t="shared" si="7"/>
        <v>42234917</v>
      </c>
      <c r="G101" s="1694">
        <f t="shared" si="10"/>
        <v>1604926848</v>
      </c>
      <c r="H101" s="1694">
        <f t="shared" si="3"/>
        <v>149741980</v>
      </c>
      <c r="I101" s="1694">
        <f t="shared" si="5"/>
        <v>5690195211</v>
      </c>
    </row>
    <row r="102" spans="2:9" hidden="1" outlineLevel="1">
      <c r="B102" s="1693">
        <f t="shared" si="8"/>
        <v>48121</v>
      </c>
      <c r="C102" s="1694">
        <f t="shared" si="6"/>
        <v>191976897</v>
      </c>
      <c r="D102" s="1694">
        <f t="shared" si="9"/>
        <v>4031514837</v>
      </c>
      <c r="E102" s="1694">
        <f t="shared" si="4"/>
        <v>7103145162</v>
      </c>
      <c r="F102" s="1694">
        <f t="shared" si="7"/>
        <v>42234917</v>
      </c>
      <c r="G102" s="1694">
        <f t="shared" si="10"/>
        <v>1562691931</v>
      </c>
      <c r="H102" s="1694">
        <f t="shared" si="3"/>
        <v>149741980</v>
      </c>
      <c r="I102" s="1694">
        <f t="shared" si="5"/>
        <v>5540453231</v>
      </c>
    </row>
    <row r="103" spans="2:9" hidden="1" outlineLevel="1">
      <c r="B103" s="1693">
        <f t="shared" si="8"/>
        <v>48213</v>
      </c>
      <c r="C103" s="1694">
        <f t="shared" si="6"/>
        <v>191976897</v>
      </c>
      <c r="D103" s="1694">
        <f t="shared" si="9"/>
        <v>4223491734</v>
      </c>
      <c r="E103" s="1694">
        <f t="shared" si="4"/>
        <v>6911168265</v>
      </c>
      <c r="F103" s="1694">
        <f t="shared" si="7"/>
        <v>42234917</v>
      </c>
      <c r="G103" s="1694">
        <f t="shared" si="10"/>
        <v>1520457014</v>
      </c>
      <c r="H103" s="1694">
        <f t="shared" si="3"/>
        <v>149741980</v>
      </c>
      <c r="I103" s="1694">
        <f t="shared" si="5"/>
        <v>5390711251</v>
      </c>
    </row>
    <row r="104" spans="2:9" hidden="1" outlineLevel="1">
      <c r="B104" s="1693">
        <f t="shared" si="8"/>
        <v>48304</v>
      </c>
      <c r="C104" s="1694">
        <f t="shared" si="6"/>
        <v>191976897</v>
      </c>
      <c r="D104" s="1694">
        <f t="shared" si="9"/>
        <v>4415468631</v>
      </c>
      <c r="E104" s="1694">
        <f t="shared" si="4"/>
        <v>6719191368</v>
      </c>
      <c r="F104" s="1694">
        <f t="shared" si="7"/>
        <v>42234917</v>
      </c>
      <c r="G104" s="1694">
        <f t="shared" si="10"/>
        <v>1478222097</v>
      </c>
      <c r="H104" s="1694">
        <f t="shared" si="3"/>
        <v>149741980</v>
      </c>
      <c r="I104" s="1694">
        <f t="shared" si="5"/>
        <v>5240969271</v>
      </c>
    </row>
    <row r="105" spans="2:9" hidden="1" outlineLevel="1">
      <c r="B105" s="1693">
        <f t="shared" si="8"/>
        <v>48395</v>
      </c>
      <c r="C105" s="1694">
        <f t="shared" si="6"/>
        <v>191976897</v>
      </c>
      <c r="D105" s="1694">
        <f t="shared" si="9"/>
        <v>4607445528</v>
      </c>
      <c r="E105" s="1694">
        <f t="shared" si="4"/>
        <v>6527214471</v>
      </c>
      <c r="F105" s="1694">
        <f t="shared" si="7"/>
        <v>42234917</v>
      </c>
      <c r="G105" s="1694">
        <f t="shared" si="10"/>
        <v>1435987180</v>
      </c>
      <c r="H105" s="1694">
        <f t="shared" si="3"/>
        <v>149741980</v>
      </c>
      <c r="I105" s="1694">
        <f t="shared" si="5"/>
        <v>5091227291</v>
      </c>
    </row>
    <row r="106" spans="2:9" hidden="1" outlineLevel="1">
      <c r="B106" s="1693">
        <f t="shared" si="8"/>
        <v>48487</v>
      </c>
      <c r="C106" s="1694">
        <f t="shared" si="6"/>
        <v>191976897</v>
      </c>
      <c r="D106" s="1694">
        <f t="shared" si="9"/>
        <v>4799422425</v>
      </c>
      <c r="E106" s="1694">
        <f t="shared" si="4"/>
        <v>6335237574</v>
      </c>
      <c r="F106" s="1694">
        <f t="shared" si="7"/>
        <v>42234917</v>
      </c>
      <c r="G106" s="1694">
        <f t="shared" si="10"/>
        <v>1393752263</v>
      </c>
      <c r="H106" s="1694">
        <f t="shared" si="3"/>
        <v>149741980</v>
      </c>
      <c r="I106" s="1694">
        <f t="shared" si="5"/>
        <v>4941485311</v>
      </c>
    </row>
    <row r="107" spans="2:9" hidden="1" outlineLevel="1">
      <c r="B107" s="1693">
        <f t="shared" si="8"/>
        <v>48579</v>
      </c>
      <c r="C107" s="1694">
        <f t="shared" si="6"/>
        <v>191976897</v>
      </c>
      <c r="D107" s="1694">
        <f t="shared" si="9"/>
        <v>4991399322</v>
      </c>
      <c r="E107" s="1694">
        <f t="shared" si="4"/>
        <v>6143260677</v>
      </c>
      <c r="F107" s="1694">
        <f t="shared" si="7"/>
        <v>42234917</v>
      </c>
      <c r="G107" s="1694">
        <f t="shared" si="10"/>
        <v>1351517346</v>
      </c>
      <c r="H107" s="1694">
        <f t="shared" si="3"/>
        <v>149741980</v>
      </c>
      <c r="I107" s="1694">
        <f t="shared" si="5"/>
        <v>4791743331</v>
      </c>
    </row>
    <row r="108" spans="2:9" hidden="1" outlineLevel="1">
      <c r="B108" s="1693">
        <f t="shared" si="8"/>
        <v>48669</v>
      </c>
      <c r="C108" s="1694">
        <f t="shared" si="6"/>
        <v>191976897</v>
      </c>
      <c r="D108" s="1694">
        <f t="shared" si="9"/>
        <v>5183376219</v>
      </c>
      <c r="E108" s="1694">
        <f t="shared" si="4"/>
        <v>5951283780</v>
      </c>
      <c r="F108" s="1694">
        <f t="shared" si="7"/>
        <v>42234917</v>
      </c>
      <c r="G108" s="1694">
        <f t="shared" si="10"/>
        <v>1309282429</v>
      </c>
      <c r="H108" s="1694">
        <f t="shared" si="3"/>
        <v>149741980</v>
      </c>
      <c r="I108" s="1694">
        <f t="shared" si="5"/>
        <v>4642001351</v>
      </c>
    </row>
    <row r="109" spans="2:9" hidden="1" outlineLevel="1">
      <c r="B109" s="1693">
        <f t="shared" si="8"/>
        <v>48760</v>
      </c>
      <c r="C109" s="1694">
        <f t="shared" si="6"/>
        <v>191976897</v>
      </c>
      <c r="D109" s="1694">
        <f t="shared" si="9"/>
        <v>5375353116</v>
      </c>
      <c r="E109" s="1694">
        <f t="shared" si="4"/>
        <v>5759306883</v>
      </c>
      <c r="F109" s="1694">
        <f t="shared" si="7"/>
        <v>42234917</v>
      </c>
      <c r="G109" s="1694">
        <f t="shared" si="10"/>
        <v>1267047512</v>
      </c>
      <c r="H109" s="1694">
        <f t="shared" si="3"/>
        <v>149741980</v>
      </c>
      <c r="I109" s="1694">
        <f t="shared" si="5"/>
        <v>4492259371</v>
      </c>
    </row>
    <row r="110" spans="2:9" hidden="1" outlineLevel="1">
      <c r="B110" s="1693">
        <f t="shared" si="8"/>
        <v>48852</v>
      </c>
      <c r="C110" s="1694">
        <f t="shared" si="6"/>
        <v>191976897</v>
      </c>
      <c r="D110" s="1694">
        <f t="shared" si="9"/>
        <v>5567330013</v>
      </c>
      <c r="E110" s="1694">
        <f t="shared" si="4"/>
        <v>5567329986</v>
      </c>
      <c r="F110" s="1694">
        <f t="shared" si="7"/>
        <v>42234917</v>
      </c>
      <c r="G110" s="1694">
        <f t="shared" si="10"/>
        <v>1224812595</v>
      </c>
      <c r="H110" s="1694">
        <f t="shared" si="3"/>
        <v>149741980</v>
      </c>
      <c r="I110" s="1694">
        <f t="shared" si="5"/>
        <v>4342517391</v>
      </c>
    </row>
    <row r="111" spans="2:9" hidden="1" outlineLevel="1">
      <c r="B111" s="1693">
        <f t="shared" si="8"/>
        <v>48944</v>
      </c>
      <c r="C111" s="1694">
        <f t="shared" si="6"/>
        <v>191976897</v>
      </c>
      <c r="D111" s="1694">
        <f t="shared" si="9"/>
        <v>5759306910</v>
      </c>
      <c r="E111" s="1694">
        <f t="shared" si="4"/>
        <v>5375353089</v>
      </c>
      <c r="F111" s="1694">
        <f t="shared" si="7"/>
        <v>42234917</v>
      </c>
      <c r="G111" s="1694">
        <f t="shared" si="10"/>
        <v>1182577678</v>
      </c>
      <c r="H111" s="1694">
        <f t="shared" si="3"/>
        <v>149741980</v>
      </c>
      <c r="I111" s="1694">
        <f t="shared" si="5"/>
        <v>4192775411</v>
      </c>
    </row>
    <row r="112" spans="2:9" hidden="1" outlineLevel="1">
      <c r="B112" s="1693">
        <f t="shared" si="8"/>
        <v>49034</v>
      </c>
      <c r="C112" s="1694">
        <f t="shared" si="6"/>
        <v>191976897</v>
      </c>
      <c r="D112" s="1694">
        <f t="shared" si="9"/>
        <v>5951283807</v>
      </c>
      <c r="E112" s="1694">
        <f t="shared" si="4"/>
        <v>5183376192</v>
      </c>
      <c r="F112" s="1694">
        <f t="shared" si="7"/>
        <v>42234917</v>
      </c>
      <c r="G112" s="1694">
        <f t="shared" si="10"/>
        <v>1140342761</v>
      </c>
      <c r="H112" s="1694">
        <f t="shared" si="3"/>
        <v>149741980</v>
      </c>
      <c r="I112" s="1694">
        <f t="shared" si="5"/>
        <v>4043033431</v>
      </c>
    </row>
    <row r="113" spans="2:9" hidden="1" outlineLevel="1">
      <c r="B113" s="1693">
        <f t="shared" si="8"/>
        <v>49125</v>
      </c>
      <c r="C113" s="1694">
        <f t="shared" si="6"/>
        <v>191976897</v>
      </c>
      <c r="D113" s="1694">
        <f t="shared" si="9"/>
        <v>6143260704</v>
      </c>
      <c r="E113" s="1694">
        <f t="shared" si="4"/>
        <v>4991399295</v>
      </c>
      <c r="F113" s="1694">
        <f t="shared" si="7"/>
        <v>42234917</v>
      </c>
      <c r="G113" s="1694">
        <f t="shared" si="10"/>
        <v>1098107844</v>
      </c>
      <c r="H113" s="1694">
        <f t="shared" si="3"/>
        <v>149741980</v>
      </c>
      <c r="I113" s="1694">
        <f t="shared" si="5"/>
        <v>3893291451</v>
      </c>
    </row>
    <row r="114" spans="2:9" hidden="1" outlineLevel="1">
      <c r="B114" s="1693">
        <f t="shared" si="8"/>
        <v>49217</v>
      </c>
      <c r="C114" s="1694">
        <f t="shared" si="6"/>
        <v>191976897</v>
      </c>
      <c r="D114" s="1694">
        <f t="shared" si="9"/>
        <v>6335237601</v>
      </c>
      <c r="E114" s="1694">
        <f t="shared" ref="E114:E130" si="11">$E$81-D114</f>
        <v>4799422398</v>
      </c>
      <c r="F114" s="1694">
        <f t="shared" si="7"/>
        <v>42234917</v>
      </c>
      <c r="G114" s="1694">
        <f t="shared" si="10"/>
        <v>1055872927</v>
      </c>
      <c r="H114" s="1694">
        <f t="shared" si="3"/>
        <v>149741980</v>
      </c>
      <c r="I114" s="1694">
        <f t="shared" si="5"/>
        <v>3743549471</v>
      </c>
    </row>
    <row r="115" spans="2:9" hidden="1" outlineLevel="1">
      <c r="B115" s="1693">
        <f t="shared" si="8"/>
        <v>49309</v>
      </c>
      <c r="C115" s="1694">
        <f t="shared" ref="C115:C138" si="12">$C$82</f>
        <v>191976897</v>
      </c>
      <c r="D115" s="1694">
        <f t="shared" si="9"/>
        <v>6527214498</v>
      </c>
      <c r="E115" s="1694">
        <f t="shared" si="11"/>
        <v>4607445501</v>
      </c>
      <c r="F115" s="1694">
        <f t="shared" si="7"/>
        <v>42234917</v>
      </c>
      <c r="G115" s="1694">
        <f t="shared" si="10"/>
        <v>1013638010</v>
      </c>
      <c r="H115" s="1694">
        <f t="shared" si="3"/>
        <v>149741980</v>
      </c>
      <c r="I115" s="1694">
        <f t="shared" si="5"/>
        <v>3593807491</v>
      </c>
    </row>
    <row r="116" spans="2:9" hidden="1" outlineLevel="1">
      <c r="B116" s="1693">
        <f t="shared" si="8"/>
        <v>49399</v>
      </c>
      <c r="C116" s="1694">
        <f t="shared" si="12"/>
        <v>191976897</v>
      </c>
      <c r="D116" s="1694">
        <f t="shared" si="9"/>
        <v>6719191395</v>
      </c>
      <c r="E116" s="1694">
        <f t="shared" si="11"/>
        <v>4415468604</v>
      </c>
      <c r="F116" s="1694">
        <f t="shared" si="7"/>
        <v>42234917</v>
      </c>
      <c r="G116" s="1694">
        <f t="shared" si="10"/>
        <v>971403093</v>
      </c>
      <c r="H116" s="1694">
        <f t="shared" si="3"/>
        <v>149741980</v>
      </c>
      <c r="I116" s="1694">
        <f t="shared" si="5"/>
        <v>3444065511</v>
      </c>
    </row>
    <row r="117" spans="2:9" hidden="1" outlineLevel="1">
      <c r="B117" s="1693">
        <f t="shared" si="8"/>
        <v>49490</v>
      </c>
      <c r="C117" s="1694">
        <f t="shared" si="12"/>
        <v>191976897</v>
      </c>
      <c r="D117" s="1694">
        <f t="shared" si="9"/>
        <v>6911168292</v>
      </c>
      <c r="E117" s="1694">
        <f t="shared" si="11"/>
        <v>4223491707</v>
      </c>
      <c r="F117" s="1694">
        <f t="shared" si="7"/>
        <v>42234917</v>
      </c>
      <c r="G117" s="1694">
        <f t="shared" si="10"/>
        <v>929168176</v>
      </c>
      <c r="H117" s="1694">
        <f t="shared" si="3"/>
        <v>149741980</v>
      </c>
      <c r="I117" s="1694">
        <f t="shared" si="5"/>
        <v>3294323531</v>
      </c>
    </row>
    <row r="118" spans="2:9" hidden="1" outlineLevel="1">
      <c r="B118" s="1693">
        <f t="shared" si="8"/>
        <v>49582</v>
      </c>
      <c r="C118" s="1694">
        <f t="shared" si="12"/>
        <v>191976897</v>
      </c>
      <c r="D118" s="1694">
        <f t="shared" si="9"/>
        <v>7103145189</v>
      </c>
      <c r="E118" s="1694">
        <f t="shared" si="11"/>
        <v>4031514810</v>
      </c>
      <c r="F118" s="1694">
        <f t="shared" si="7"/>
        <v>42234917</v>
      </c>
      <c r="G118" s="1694">
        <f t="shared" si="10"/>
        <v>886933259</v>
      </c>
      <c r="H118" s="1694">
        <f t="shared" si="3"/>
        <v>149741980</v>
      </c>
      <c r="I118" s="1694">
        <f t="shared" si="5"/>
        <v>3144581551</v>
      </c>
    </row>
    <row r="119" spans="2:9" hidden="1" outlineLevel="1">
      <c r="B119" s="1693">
        <f t="shared" si="8"/>
        <v>49674</v>
      </c>
      <c r="C119" s="1694">
        <f t="shared" si="12"/>
        <v>191976897</v>
      </c>
      <c r="D119" s="1694">
        <f t="shared" si="9"/>
        <v>7295122086</v>
      </c>
      <c r="E119" s="1694">
        <f t="shared" si="11"/>
        <v>3839537913</v>
      </c>
      <c r="F119" s="1694">
        <f t="shared" si="7"/>
        <v>42234917</v>
      </c>
      <c r="G119" s="1694">
        <f t="shared" si="10"/>
        <v>844698342</v>
      </c>
      <c r="H119" s="1694">
        <f t="shared" si="3"/>
        <v>149741980</v>
      </c>
      <c r="I119" s="1694">
        <f t="shared" si="5"/>
        <v>2994839571</v>
      </c>
    </row>
    <row r="120" spans="2:9" hidden="1" outlineLevel="1">
      <c r="B120" s="1693">
        <f t="shared" si="8"/>
        <v>49765</v>
      </c>
      <c r="C120" s="1694">
        <f t="shared" si="12"/>
        <v>191976897</v>
      </c>
      <c r="D120" s="1694">
        <f t="shared" si="9"/>
        <v>7487098983</v>
      </c>
      <c r="E120" s="1694">
        <f t="shared" si="11"/>
        <v>3647561016</v>
      </c>
      <c r="F120" s="1694">
        <f t="shared" si="7"/>
        <v>42234917</v>
      </c>
      <c r="G120" s="1694">
        <f t="shared" si="10"/>
        <v>802463425</v>
      </c>
      <c r="H120" s="1694">
        <f t="shared" si="3"/>
        <v>149741980</v>
      </c>
      <c r="I120" s="1694">
        <f t="shared" si="5"/>
        <v>2845097591</v>
      </c>
    </row>
    <row r="121" spans="2:9" hidden="1" outlineLevel="1">
      <c r="B121" s="1693">
        <f t="shared" si="8"/>
        <v>49856</v>
      </c>
      <c r="C121" s="1694">
        <f t="shared" si="12"/>
        <v>191976897</v>
      </c>
      <c r="D121" s="1694">
        <f t="shared" si="9"/>
        <v>7679075880</v>
      </c>
      <c r="E121" s="1694">
        <f t="shared" si="11"/>
        <v>3455584119</v>
      </c>
      <c r="F121" s="1694">
        <f t="shared" si="7"/>
        <v>42234917</v>
      </c>
      <c r="G121" s="1694">
        <f t="shared" si="10"/>
        <v>760228508</v>
      </c>
      <c r="H121" s="1694">
        <f t="shared" si="3"/>
        <v>149741980</v>
      </c>
      <c r="I121" s="1694">
        <f t="shared" si="5"/>
        <v>2695355611</v>
      </c>
    </row>
    <row r="122" spans="2:9" hidden="1" outlineLevel="1">
      <c r="B122" s="1693">
        <f t="shared" si="8"/>
        <v>49948</v>
      </c>
      <c r="C122" s="1694">
        <f t="shared" si="12"/>
        <v>191976897</v>
      </c>
      <c r="D122" s="1694">
        <f t="shared" si="9"/>
        <v>7871052777</v>
      </c>
      <c r="E122" s="1694">
        <f t="shared" si="11"/>
        <v>3263607222</v>
      </c>
      <c r="F122" s="1694">
        <f t="shared" si="7"/>
        <v>42234917</v>
      </c>
      <c r="G122" s="1694">
        <f t="shared" si="10"/>
        <v>717993591</v>
      </c>
      <c r="H122" s="1694">
        <f t="shared" si="3"/>
        <v>149741980</v>
      </c>
      <c r="I122" s="1694">
        <f t="shared" si="5"/>
        <v>2545613631</v>
      </c>
    </row>
    <row r="123" spans="2:9" hidden="1" outlineLevel="1">
      <c r="B123" s="1693">
        <f t="shared" si="8"/>
        <v>50040</v>
      </c>
      <c r="C123" s="1694">
        <f t="shared" si="12"/>
        <v>191976897</v>
      </c>
      <c r="D123" s="1694">
        <f t="shared" si="9"/>
        <v>8063029674</v>
      </c>
      <c r="E123" s="1694">
        <f t="shared" si="11"/>
        <v>3071630325</v>
      </c>
      <c r="F123" s="1694">
        <f t="shared" si="7"/>
        <v>42234917</v>
      </c>
      <c r="G123" s="1694">
        <f t="shared" si="10"/>
        <v>675758674</v>
      </c>
      <c r="H123" s="1694">
        <f t="shared" si="3"/>
        <v>149741980</v>
      </c>
      <c r="I123" s="1694">
        <f t="shared" si="5"/>
        <v>2395871651</v>
      </c>
    </row>
    <row r="124" spans="2:9" hidden="1" outlineLevel="1">
      <c r="B124" s="1693">
        <f t="shared" si="8"/>
        <v>50130</v>
      </c>
      <c r="C124" s="1694">
        <f t="shared" si="12"/>
        <v>191976897</v>
      </c>
      <c r="D124" s="1694">
        <f t="shared" si="9"/>
        <v>8255006571</v>
      </c>
      <c r="E124" s="1694">
        <f t="shared" si="11"/>
        <v>2879653428</v>
      </c>
      <c r="F124" s="1694">
        <f t="shared" si="7"/>
        <v>42234917</v>
      </c>
      <c r="G124" s="1694">
        <f t="shared" si="10"/>
        <v>633523757</v>
      </c>
      <c r="H124" s="1694">
        <f t="shared" si="3"/>
        <v>149741980</v>
      </c>
      <c r="I124" s="1694">
        <f t="shared" si="5"/>
        <v>2246129671</v>
      </c>
    </row>
    <row r="125" spans="2:9" hidden="1" outlineLevel="1">
      <c r="B125" s="1693">
        <f t="shared" si="8"/>
        <v>50221</v>
      </c>
      <c r="C125" s="1694">
        <f t="shared" si="12"/>
        <v>191976897</v>
      </c>
      <c r="D125" s="1694">
        <f t="shared" si="9"/>
        <v>8446983468</v>
      </c>
      <c r="E125" s="1694">
        <f t="shared" si="11"/>
        <v>2687676531</v>
      </c>
      <c r="F125" s="1694">
        <f t="shared" si="7"/>
        <v>42234917</v>
      </c>
      <c r="G125" s="1694">
        <f t="shared" si="10"/>
        <v>591288840</v>
      </c>
      <c r="H125" s="1694">
        <f t="shared" si="3"/>
        <v>149741980</v>
      </c>
      <c r="I125" s="1694">
        <f t="shared" si="5"/>
        <v>2096387691</v>
      </c>
    </row>
    <row r="126" spans="2:9" hidden="1" outlineLevel="1">
      <c r="B126" s="1693">
        <f t="shared" si="8"/>
        <v>50313</v>
      </c>
      <c r="C126" s="1694">
        <f t="shared" si="12"/>
        <v>191976897</v>
      </c>
      <c r="D126" s="1694">
        <f t="shared" si="9"/>
        <v>8638960365</v>
      </c>
      <c r="E126" s="1694">
        <f t="shared" si="11"/>
        <v>2495699634</v>
      </c>
      <c r="F126" s="1694">
        <f t="shared" si="7"/>
        <v>42234917</v>
      </c>
      <c r="G126" s="1694">
        <f t="shared" si="10"/>
        <v>549053923</v>
      </c>
      <c r="H126" s="1694">
        <f t="shared" si="3"/>
        <v>149741980</v>
      </c>
      <c r="I126" s="1694">
        <f t="shared" si="5"/>
        <v>1946645711</v>
      </c>
    </row>
    <row r="127" spans="2:9" hidden="1" outlineLevel="1">
      <c r="B127" s="1693">
        <f t="shared" si="8"/>
        <v>50405</v>
      </c>
      <c r="C127" s="1694">
        <f t="shared" si="12"/>
        <v>191976897</v>
      </c>
      <c r="D127" s="1694">
        <f t="shared" si="9"/>
        <v>8830937262</v>
      </c>
      <c r="E127" s="1694">
        <f t="shared" si="11"/>
        <v>2303722737</v>
      </c>
      <c r="F127" s="1694">
        <f t="shared" si="7"/>
        <v>42234917</v>
      </c>
      <c r="G127" s="1694">
        <f t="shared" si="10"/>
        <v>506819006</v>
      </c>
      <c r="H127" s="1694">
        <f t="shared" si="3"/>
        <v>149741980</v>
      </c>
      <c r="I127" s="1694">
        <f t="shared" si="5"/>
        <v>1796903731</v>
      </c>
    </row>
    <row r="128" spans="2:9" hidden="1" outlineLevel="1">
      <c r="B128" s="1693">
        <f t="shared" si="8"/>
        <v>50495</v>
      </c>
      <c r="C128" s="1694">
        <f t="shared" si="12"/>
        <v>191976897</v>
      </c>
      <c r="D128" s="1694">
        <f t="shared" si="9"/>
        <v>9022914159</v>
      </c>
      <c r="E128" s="1694">
        <f t="shared" si="11"/>
        <v>2111745840</v>
      </c>
      <c r="F128" s="1694">
        <f t="shared" si="7"/>
        <v>42234917</v>
      </c>
      <c r="G128" s="1694">
        <f t="shared" si="10"/>
        <v>464584089</v>
      </c>
      <c r="H128" s="1694">
        <f t="shared" si="3"/>
        <v>149741980</v>
      </c>
      <c r="I128" s="1694">
        <f t="shared" si="5"/>
        <v>1647161751</v>
      </c>
    </row>
    <row r="129" spans="2:9" hidden="1" outlineLevel="1">
      <c r="B129" s="1693">
        <f t="shared" si="8"/>
        <v>50586</v>
      </c>
      <c r="C129" s="1694">
        <f t="shared" si="12"/>
        <v>191976897</v>
      </c>
      <c r="D129" s="1694">
        <f t="shared" si="9"/>
        <v>9214891056</v>
      </c>
      <c r="E129" s="1694">
        <f t="shared" si="11"/>
        <v>1919768943</v>
      </c>
      <c r="F129" s="1694">
        <f t="shared" si="7"/>
        <v>42234917</v>
      </c>
      <c r="G129" s="1694">
        <f t="shared" si="10"/>
        <v>422349172</v>
      </c>
      <c r="H129" s="1694">
        <f t="shared" si="3"/>
        <v>149741980</v>
      </c>
      <c r="I129" s="1694">
        <f t="shared" si="5"/>
        <v>1497419771</v>
      </c>
    </row>
    <row r="130" spans="2:9" hidden="1" outlineLevel="1">
      <c r="B130" s="1693">
        <f t="shared" si="8"/>
        <v>50678</v>
      </c>
      <c r="C130" s="1694">
        <f t="shared" si="12"/>
        <v>191976897</v>
      </c>
      <c r="D130" s="1694">
        <f t="shared" si="9"/>
        <v>9406867953</v>
      </c>
      <c r="E130" s="1694">
        <f t="shared" si="11"/>
        <v>1727792046</v>
      </c>
      <c r="F130" s="1694">
        <f t="shared" si="7"/>
        <v>42234917</v>
      </c>
      <c r="G130" s="1694">
        <f t="shared" si="10"/>
        <v>380114255</v>
      </c>
      <c r="H130" s="1694">
        <f t="shared" si="3"/>
        <v>149741980</v>
      </c>
      <c r="I130" s="1694">
        <f t="shared" si="5"/>
        <v>1347677791</v>
      </c>
    </row>
    <row r="131" spans="2:9" hidden="1" outlineLevel="1">
      <c r="B131" s="1693">
        <f t="shared" si="8"/>
        <v>50770</v>
      </c>
      <c r="C131" s="1694">
        <f t="shared" si="12"/>
        <v>191976897</v>
      </c>
      <c r="D131" s="1694">
        <f t="shared" ref="D131:D138" si="13">C131+D130</f>
        <v>9598844850</v>
      </c>
      <c r="E131" s="1694">
        <f t="shared" ref="E131:E138" si="14">$E$81-D131</f>
        <v>1535815149</v>
      </c>
      <c r="F131" s="1694">
        <f t="shared" ref="F131:F138" si="15">ROUND(C131*22%,)</f>
        <v>42234917</v>
      </c>
      <c r="G131" s="1694">
        <f t="shared" ref="G131:G138" si="16">G130-F131</f>
        <v>337879338</v>
      </c>
      <c r="H131" s="1694">
        <f t="shared" ref="H131:H138" si="17">C131-F131</f>
        <v>149741980</v>
      </c>
      <c r="I131" s="1694">
        <f t="shared" ref="I131:I138" si="18">E131-G131</f>
        <v>1197935811</v>
      </c>
    </row>
    <row r="132" spans="2:9" hidden="1" outlineLevel="1">
      <c r="B132" s="1693">
        <f t="shared" si="8"/>
        <v>50860</v>
      </c>
      <c r="C132" s="1694">
        <f t="shared" si="12"/>
        <v>191976897</v>
      </c>
      <c r="D132" s="1694">
        <f t="shared" si="13"/>
        <v>9790821747</v>
      </c>
      <c r="E132" s="1694">
        <f t="shared" si="14"/>
        <v>1343838252</v>
      </c>
      <c r="F132" s="1694">
        <f t="shared" si="15"/>
        <v>42234917</v>
      </c>
      <c r="G132" s="1694">
        <f t="shared" si="16"/>
        <v>295644421</v>
      </c>
      <c r="H132" s="1694">
        <f t="shared" si="17"/>
        <v>149741980</v>
      </c>
      <c r="I132" s="1694">
        <f t="shared" si="18"/>
        <v>1048193831</v>
      </c>
    </row>
    <row r="133" spans="2:9" hidden="1" outlineLevel="1">
      <c r="B133" s="1693">
        <f t="shared" si="8"/>
        <v>50951</v>
      </c>
      <c r="C133" s="1694">
        <f t="shared" si="12"/>
        <v>191976897</v>
      </c>
      <c r="D133" s="1694">
        <f t="shared" si="13"/>
        <v>9982798644</v>
      </c>
      <c r="E133" s="1694">
        <f t="shared" si="14"/>
        <v>1151861355</v>
      </c>
      <c r="F133" s="1694">
        <f t="shared" si="15"/>
        <v>42234917</v>
      </c>
      <c r="G133" s="1694">
        <f t="shared" si="16"/>
        <v>253409504</v>
      </c>
      <c r="H133" s="1694">
        <f t="shared" si="17"/>
        <v>149741980</v>
      </c>
      <c r="I133" s="1694">
        <f t="shared" si="18"/>
        <v>898451851</v>
      </c>
    </row>
    <row r="134" spans="2:9" hidden="1" outlineLevel="1">
      <c r="B134" s="1693">
        <f t="shared" si="8"/>
        <v>51043</v>
      </c>
      <c r="C134" s="1694">
        <f t="shared" si="12"/>
        <v>191976897</v>
      </c>
      <c r="D134" s="1694">
        <f t="shared" si="13"/>
        <v>10174775541</v>
      </c>
      <c r="E134" s="1694">
        <f t="shared" si="14"/>
        <v>959884458</v>
      </c>
      <c r="F134" s="1694">
        <f t="shared" si="15"/>
        <v>42234917</v>
      </c>
      <c r="G134" s="1694">
        <f t="shared" si="16"/>
        <v>211174587</v>
      </c>
      <c r="H134" s="1694">
        <f t="shared" si="17"/>
        <v>149741980</v>
      </c>
      <c r="I134" s="1694">
        <f t="shared" si="18"/>
        <v>748709871</v>
      </c>
    </row>
    <row r="135" spans="2:9" hidden="1" outlineLevel="1">
      <c r="B135" s="1693">
        <f t="shared" si="8"/>
        <v>51135</v>
      </c>
      <c r="C135" s="1694">
        <f t="shared" si="12"/>
        <v>191976897</v>
      </c>
      <c r="D135" s="1694">
        <f t="shared" si="13"/>
        <v>10366752438</v>
      </c>
      <c r="E135" s="1694">
        <f t="shared" si="14"/>
        <v>767907561</v>
      </c>
      <c r="F135" s="1694">
        <f t="shared" si="15"/>
        <v>42234917</v>
      </c>
      <c r="G135" s="1694">
        <f t="shared" si="16"/>
        <v>168939670</v>
      </c>
      <c r="H135" s="1694">
        <f t="shared" si="17"/>
        <v>149741980</v>
      </c>
      <c r="I135" s="1694">
        <f t="shared" si="18"/>
        <v>598967891</v>
      </c>
    </row>
    <row r="136" spans="2:9" hidden="1" outlineLevel="1">
      <c r="B136" s="1693">
        <f t="shared" si="8"/>
        <v>51226</v>
      </c>
      <c r="C136" s="1694">
        <f t="shared" si="12"/>
        <v>191976897</v>
      </c>
      <c r="D136" s="1694">
        <f t="shared" si="13"/>
        <v>10558729335</v>
      </c>
      <c r="E136" s="1694">
        <f t="shared" si="14"/>
        <v>575930664</v>
      </c>
      <c r="F136" s="1694">
        <f t="shared" si="15"/>
        <v>42234917</v>
      </c>
      <c r="G136" s="1694">
        <f t="shared" si="16"/>
        <v>126704753</v>
      </c>
      <c r="H136" s="1694">
        <f t="shared" si="17"/>
        <v>149741980</v>
      </c>
      <c r="I136" s="1694">
        <f t="shared" si="18"/>
        <v>449225911</v>
      </c>
    </row>
    <row r="137" spans="2:9" hidden="1" outlineLevel="1">
      <c r="B137" s="1693">
        <f t="shared" si="8"/>
        <v>51317</v>
      </c>
      <c r="C137" s="1694">
        <f t="shared" si="12"/>
        <v>191976897</v>
      </c>
      <c r="D137" s="1694">
        <f t="shared" si="13"/>
        <v>10750706232</v>
      </c>
      <c r="E137" s="1694">
        <f t="shared" si="14"/>
        <v>383953767</v>
      </c>
      <c r="F137" s="1694">
        <f t="shared" si="15"/>
        <v>42234917</v>
      </c>
      <c r="G137" s="1694">
        <f t="shared" si="16"/>
        <v>84469836</v>
      </c>
      <c r="H137" s="1694">
        <f t="shared" si="17"/>
        <v>149741980</v>
      </c>
      <c r="I137" s="1694">
        <f t="shared" si="18"/>
        <v>299483931</v>
      </c>
    </row>
    <row r="138" spans="2:9" hidden="1" outlineLevel="1">
      <c r="B138" s="1693">
        <f t="shared" si="8"/>
        <v>51409</v>
      </c>
      <c r="C138" s="1694">
        <f t="shared" si="12"/>
        <v>191976897</v>
      </c>
      <c r="D138" s="1694">
        <f t="shared" si="13"/>
        <v>10942683129</v>
      </c>
      <c r="E138" s="1694">
        <f t="shared" si="14"/>
        <v>191976870</v>
      </c>
      <c r="F138" s="1694">
        <f t="shared" si="15"/>
        <v>42234917</v>
      </c>
      <c r="G138" s="1694">
        <f t="shared" si="16"/>
        <v>42234919</v>
      </c>
      <c r="H138" s="1694">
        <f t="shared" si="17"/>
        <v>149741980</v>
      </c>
      <c r="I138" s="1694">
        <f t="shared" si="18"/>
        <v>149741951</v>
      </c>
    </row>
    <row r="139" spans="2:9" hidden="1" outlineLevel="1">
      <c r="B139" s="1693">
        <f t="shared" si="8"/>
        <v>51501</v>
      </c>
      <c r="C139" s="1695">
        <f>$C$82+9</f>
        <v>191976906</v>
      </c>
      <c r="D139" s="1694">
        <f t="shared" si="9"/>
        <v>11134660035</v>
      </c>
      <c r="E139" s="1694">
        <f>$E$81-D139</f>
        <v>-36</v>
      </c>
      <c r="F139" s="1694">
        <f t="shared" si="7"/>
        <v>42234919</v>
      </c>
      <c r="G139" s="1694">
        <f t="shared" si="10"/>
        <v>0</v>
      </c>
      <c r="H139" s="1694">
        <f t="shared" si="3"/>
        <v>149741987</v>
      </c>
      <c r="I139" s="1694">
        <f t="shared" si="5"/>
        <v>-36</v>
      </c>
    </row>
    <row r="140" spans="2:9" collapsed="1"/>
    <row r="142" spans="2:9">
      <c r="B142" s="1656" t="s">
        <v>3824</v>
      </c>
    </row>
    <row r="143" spans="2:9">
      <c r="B143" s="1656" t="s">
        <v>403</v>
      </c>
      <c r="C143" s="1684">
        <v>24999999500</v>
      </c>
    </row>
    <row r="144" spans="2:9">
      <c r="B144" s="1656" t="s">
        <v>3825</v>
      </c>
      <c r="C144" s="1684">
        <f>지분법계산_에이티지씨!C174</f>
        <v>22932053723</v>
      </c>
    </row>
    <row r="145" spans="2:5">
      <c r="B145" s="1656" t="s">
        <v>2618</v>
      </c>
      <c r="C145" s="1684">
        <f>C143-C144</f>
        <v>2067945777</v>
      </c>
      <c r="D145" s="1656" t="s">
        <v>3830</v>
      </c>
    </row>
    <row r="147" spans="2:5">
      <c r="B147" s="199" t="s">
        <v>3819</v>
      </c>
    </row>
    <row r="149" spans="2:5">
      <c r="B149" s="1696">
        <v>45838</v>
      </c>
    </row>
    <row r="150" spans="2:5" ht="17.25" thickBot="1"/>
    <row r="151" spans="2:5">
      <c r="B151" s="1787" t="s">
        <v>3832</v>
      </c>
      <c r="C151" s="1788">
        <v>16602728500</v>
      </c>
      <c r="D151" s="1789" t="s">
        <v>3821</v>
      </c>
      <c r="E151" s="1790">
        <f>C23</f>
        <v>24999999500</v>
      </c>
    </row>
    <row r="152" spans="2:5">
      <c r="B152" s="1791" t="s">
        <v>3833</v>
      </c>
      <c r="C152" s="1683">
        <v>52500000</v>
      </c>
      <c r="E152" s="1808"/>
    </row>
    <row r="153" spans="2:5">
      <c r="B153" s="1791" t="s">
        <v>417</v>
      </c>
      <c r="C153" s="1683">
        <v>73648978244</v>
      </c>
      <c r="D153" s="1656" t="s">
        <v>109</v>
      </c>
      <c r="E153" s="1792">
        <f>M6</f>
        <v>117986065</v>
      </c>
    </row>
    <row r="154" spans="2:5">
      <c r="B154" s="1791" t="s">
        <v>65</v>
      </c>
      <c r="C154" s="1683">
        <v>3758717291</v>
      </c>
      <c r="E154" s="1792"/>
    </row>
    <row r="155" spans="2:5">
      <c r="B155" s="1791" t="s">
        <v>421</v>
      </c>
      <c r="C155" s="1683">
        <f>J6</f>
        <v>-93825956641</v>
      </c>
      <c r="E155" s="1793"/>
    </row>
    <row r="156" spans="2:5">
      <c r="B156" s="1791" t="s">
        <v>39</v>
      </c>
      <c r="C156" s="1683">
        <f>C65</f>
        <v>16195983360</v>
      </c>
      <c r="E156" s="1793"/>
    </row>
    <row r="157" spans="2:5">
      <c r="B157" s="1791" t="s">
        <v>3822</v>
      </c>
      <c r="C157" s="1683">
        <f>C60</f>
        <v>6097155442</v>
      </c>
      <c r="D157" s="1656" t="s">
        <v>506</v>
      </c>
      <c r="E157" s="1792">
        <f>C64</f>
        <v>2449625188</v>
      </c>
    </row>
    <row r="158" spans="2:5">
      <c r="B158" s="1791" t="s">
        <v>38</v>
      </c>
      <c r="C158" s="1683">
        <f t="shared" ref="C158:C159" si="19">C61</f>
        <v>384243995</v>
      </c>
      <c r="E158" s="1793"/>
    </row>
    <row r="159" spans="2:5">
      <c r="B159" s="1791" t="s">
        <v>3823</v>
      </c>
      <c r="C159" s="1683">
        <f t="shared" si="19"/>
        <v>4653260562</v>
      </c>
      <c r="E159" s="1793"/>
    </row>
    <row r="160" spans="2:5" ht="17.25" thickBot="1">
      <c r="B160" s="1794" t="s">
        <v>3453</v>
      </c>
      <c r="C160" s="1795">
        <f>C145</f>
        <v>2067945777</v>
      </c>
      <c r="D160" s="1796" t="s">
        <v>2680</v>
      </c>
      <c r="E160" s="1797">
        <f>C160</f>
        <v>2067945777</v>
      </c>
    </row>
    <row r="164" spans="3:6">
      <c r="C164" s="1683">
        <f>SUM(C151:C163)</f>
        <v>29635556530</v>
      </c>
      <c r="E164" s="1683">
        <f>SUM(E151:E163)</f>
        <v>29635556530</v>
      </c>
      <c r="F164" s="1683">
        <f>C164-E164</f>
        <v>0</v>
      </c>
    </row>
  </sheetData>
  <mergeCells count="6">
    <mergeCell ref="N4:P4"/>
    <mergeCell ref="B4:B5"/>
    <mergeCell ref="C4:C5"/>
    <mergeCell ref="D4:E4"/>
    <mergeCell ref="F4:K4"/>
    <mergeCell ref="L4:M4"/>
  </mergeCells>
  <phoneticPr fontId="3" type="noConversion"/>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15">
    <tabColor theme="7" tint="0.59999389629810485"/>
  </sheetPr>
  <dimension ref="A1:S650"/>
  <sheetViews>
    <sheetView showGridLines="0" zoomScale="115" zoomScaleNormal="115" zoomScaleSheetLayoutView="85" workbookViewId="0">
      <selection activeCell="E26" sqref="E26"/>
    </sheetView>
  </sheetViews>
  <sheetFormatPr defaultRowHeight="13.5" outlineLevelRow="1"/>
  <cols>
    <col min="1" max="1" width="3.125" style="5" customWidth="1"/>
    <col min="2" max="2" width="16.125" style="7" customWidth="1"/>
    <col min="3" max="3" width="18.125" style="5" customWidth="1"/>
    <col min="4" max="4" width="16" style="5" customWidth="1"/>
    <col min="5" max="5" width="17.625" style="5" customWidth="1"/>
    <col min="6" max="6" width="18" style="5" customWidth="1"/>
    <col min="7" max="7" width="18.625" style="5" customWidth="1"/>
    <col min="8" max="8" width="19.375" style="5" customWidth="1"/>
    <col min="9" max="9" width="19.125" style="5" customWidth="1"/>
    <col min="10" max="10" width="23" style="5" customWidth="1"/>
    <col min="11" max="11" width="19" style="5" customWidth="1"/>
    <col min="12" max="12" width="20" style="5" customWidth="1"/>
    <col min="13" max="14" width="16.625" style="5" bestFit="1" customWidth="1"/>
    <col min="15" max="15" width="17.625" style="5" bestFit="1" customWidth="1"/>
    <col min="16" max="16" width="16.625" style="5" bestFit="1" customWidth="1"/>
    <col min="17" max="17" width="21.5" style="5" bestFit="1" customWidth="1"/>
    <col min="18" max="18" width="11.5" style="6" bestFit="1" customWidth="1"/>
    <col min="19" max="19" width="11.125" style="5" bestFit="1" customWidth="1"/>
    <col min="20" max="20" width="8.5" style="5" bestFit="1" customWidth="1"/>
    <col min="21" max="257" width="9" style="5"/>
    <col min="258" max="258" width="3.125" style="5" customWidth="1"/>
    <col min="259" max="259" width="7.5" style="5" customWidth="1"/>
    <col min="260" max="260" width="22" style="5" bestFit="1" customWidth="1"/>
    <col min="261" max="261" width="18.625" style="5" customWidth="1"/>
    <col min="262" max="262" width="17" style="5" customWidth="1"/>
    <col min="263" max="263" width="18.125" style="5" customWidth="1"/>
    <col min="264" max="264" width="14.625" style="5" customWidth="1"/>
    <col min="265" max="265" width="18" style="5" customWidth="1"/>
    <col min="266" max="267" width="19.125" style="5" customWidth="1"/>
    <col min="268" max="268" width="17.125" style="5" bestFit="1" customWidth="1"/>
    <col min="269" max="269" width="12.875" style="5" bestFit="1" customWidth="1"/>
    <col min="270" max="270" width="7.5" style="5" bestFit="1" customWidth="1"/>
    <col min="271" max="271" width="14.375" style="5" customWidth="1"/>
    <col min="272" max="272" width="17" style="5" customWidth="1"/>
    <col min="273" max="273" width="15.125" style="5" customWidth="1"/>
    <col min="274" max="274" width="9" style="5" bestFit="1" customWidth="1"/>
    <col min="275" max="275" width="9.125" style="5" bestFit="1" customWidth="1"/>
    <col min="276" max="513" width="9" style="5"/>
    <col min="514" max="514" width="3.125" style="5" customWidth="1"/>
    <col min="515" max="515" width="7.5" style="5" customWidth="1"/>
    <col min="516" max="516" width="22" style="5" bestFit="1" customWidth="1"/>
    <col min="517" max="517" width="18.625" style="5" customWidth="1"/>
    <col min="518" max="518" width="17" style="5" customWidth="1"/>
    <col min="519" max="519" width="18.125" style="5" customWidth="1"/>
    <col min="520" max="520" width="14.625" style="5" customWidth="1"/>
    <col min="521" max="521" width="18" style="5" customWidth="1"/>
    <col min="522" max="523" width="19.125" style="5" customWidth="1"/>
    <col min="524" max="524" width="17.125" style="5" bestFit="1" customWidth="1"/>
    <col min="525" max="525" width="12.875" style="5" bestFit="1" customWidth="1"/>
    <col min="526" max="526" width="7.5" style="5" bestFit="1" customWidth="1"/>
    <col min="527" max="527" width="14.375" style="5" customWidth="1"/>
    <col min="528" max="528" width="17" style="5" customWidth="1"/>
    <col min="529" max="529" width="15.125" style="5" customWidth="1"/>
    <col min="530" max="530" width="9" style="5" bestFit="1" customWidth="1"/>
    <col min="531" max="531" width="9.125" style="5" bestFit="1" customWidth="1"/>
    <col min="532" max="769" width="9" style="5"/>
    <col min="770" max="770" width="3.125" style="5" customWidth="1"/>
    <col min="771" max="771" width="7.5" style="5" customWidth="1"/>
    <col min="772" max="772" width="22" style="5" bestFit="1" customWidth="1"/>
    <col min="773" max="773" width="18.625" style="5" customWidth="1"/>
    <col min="774" max="774" width="17" style="5" customWidth="1"/>
    <col min="775" max="775" width="18.125" style="5" customWidth="1"/>
    <col min="776" max="776" width="14.625" style="5" customWidth="1"/>
    <col min="777" max="777" width="18" style="5" customWidth="1"/>
    <col min="778" max="779" width="19.125" style="5" customWidth="1"/>
    <col min="780" max="780" width="17.125" style="5" bestFit="1" customWidth="1"/>
    <col min="781" max="781" width="12.875" style="5" bestFit="1" customWidth="1"/>
    <col min="782" max="782" width="7.5" style="5" bestFit="1" customWidth="1"/>
    <col min="783" max="783" width="14.375" style="5" customWidth="1"/>
    <col min="784" max="784" width="17" style="5" customWidth="1"/>
    <col min="785" max="785" width="15.125" style="5" customWidth="1"/>
    <col min="786" max="786" width="9" style="5" bestFit="1" customWidth="1"/>
    <col min="787" max="787" width="9.125" style="5" bestFit="1" customWidth="1"/>
    <col min="788" max="1025" width="9" style="5"/>
    <col min="1026" max="1026" width="3.125" style="5" customWidth="1"/>
    <col min="1027" max="1027" width="7.5" style="5" customWidth="1"/>
    <col min="1028" max="1028" width="22" style="5" bestFit="1" customWidth="1"/>
    <col min="1029" max="1029" width="18.625" style="5" customWidth="1"/>
    <col min="1030" max="1030" width="17" style="5" customWidth="1"/>
    <col min="1031" max="1031" width="18.125" style="5" customWidth="1"/>
    <col min="1032" max="1032" width="14.625" style="5" customWidth="1"/>
    <col min="1033" max="1033" width="18" style="5" customWidth="1"/>
    <col min="1034" max="1035" width="19.125" style="5" customWidth="1"/>
    <col min="1036" max="1036" width="17.125" style="5" bestFit="1" customWidth="1"/>
    <col min="1037" max="1037" width="12.875" style="5" bestFit="1" customWidth="1"/>
    <col min="1038" max="1038" width="7.5" style="5" bestFit="1" customWidth="1"/>
    <col min="1039" max="1039" width="14.375" style="5" customWidth="1"/>
    <col min="1040" max="1040" width="17" style="5" customWidth="1"/>
    <col min="1041" max="1041" width="15.125" style="5" customWidth="1"/>
    <col min="1042" max="1042" width="9" style="5" bestFit="1" customWidth="1"/>
    <col min="1043" max="1043" width="9.125" style="5" bestFit="1" customWidth="1"/>
    <col min="1044" max="1281" width="9" style="5"/>
    <col min="1282" max="1282" width="3.125" style="5" customWidth="1"/>
    <col min="1283" max="1283" width="7.5" style="5" customWidth="1"/>
    <col min="1284" max="1284" width="22" style="5" bestFit="1" customWidth="1"/>
    <col min="1285" max="1285" width="18.625" style="5" customWidth="1"/>
    <col min="1286" max="1286" width="17" style="5" customWidth="1"/>
    <col min="1287" max="1287" width="18.125" style="5" customWidth="1"/>
    <col min="1288" max="1288" width="14.625" style="5" customWidth="1"/>
    <col min="1289" max="1289" width="18" style="5" customWidth="1"/>
    <col min="1290" max="1291" width="19.125" style="5" customWidth="1"/>
    <col min="1292" max="1292" width="17.125" style="5" bestFit="1" customWidth="1"/>
    <col min="1293" max="1293" width="12.875" style="5" bestFit="1" customWidth="1"/>
    <col min="1294" max="1294" width="7.5" style="5" bestFit="1" customWidth="1"/>
    <col min="1295" max="1295" width="14.375" style="5" customWidth="1"/>
    <col min="1296" max="1296" width="17" style="5" customWidth="1"/>
    <col min="1297" max="1297" width="15.125" style="5" customWidth="1"/>
    <col min="1298" max="1298" width="9" style="5" bestFit="1" customWidth="1"/>
    <col min="1299" max="1299" width="9.125" style="5" bestFit="1" customWidth="1"/>
    <col min="1300" max="1537" width="9" style="5"/>
    <col min="1538" max="1538" width="3.125" style="5" customWidth="1"/>
    <col min="1539" max="1539" width="7.5" style="5" customWidth="1"/>
    <col min="1540" max="1540" width="22" style="5" bestFit="1" customWidth="1"/>
    <col min="1541" max="1541" width="18.625" style="5" customWidth="1"/>
    <col min="1542" max="1542" width="17" style="5" customWidth="1"/>
    <col min="1543" max="1543" width="18.125" style="5" customWidth="1"/>
    <col min="1544" max="1544" width="14.625" style="5" customWidth="1"/>
    <col min="1545" max="1545" width="18" style="5" customWidth="1"/>
    <col min="1546" max="1547" width="19.125" style="5" customWidth="1"/>
    <col min="1548" max="1548" width="17.125" style="5" bestFit="1" customWidth="1"/>
    <col min="1549" max="1549" width="12.875" style="5" bestFit="1" customWidth="1"/>
    <col min="1550" max="1550" width="7.5" style="5" bestFit="1" customWidth="1"/>
    <col min="1551" max="1551" width="14.375" style="5" customWidth="1"/>
    <col min="1552" max="1552" width="17" style="5" customWidth="1"/>
    <col min="1553" max="1553" width="15.125" style="5" customWidth="1"/>
    <col min="1554" max="1554" width="9" style="5" bestFit="1" customWidth="1"/>
    <col min="1555" max="1555" width="9.125" style="5" bestFit="1" customWidth="1"/>
    <col min="1556" max="1793" width="9" style="5"/>
    <col min="1794" max="1794" width="3.125" style="5" customWidth="1"/>
    <col min="1795" max="1795" width="7.5" style="5" customWidth="1"/>
    <col min="1796" max="1796" width="22" style="5" bestFit="1" customWidth="1"/>
    <col min="1797" max="1797" width="18.625" style="5" customWidth="1"/>
    <col min="1798" max="1798" width="17" style="5" customWidth="1"/>
    <col min="1799" max="1799" width="18.125" style="5" customWidth="1"/>
    <col min="1800" max="1800" width="14.625" style="5" customWidth="1"/>
    <col min="1801" max="1801" width="18" style="5" customWidth="1"/>
    <col min="1802" max="1803" width="19.125" style="5" customWidth="1"/>
    <col min="1804" max="1804" width="17.125" style="5" bestFit="1" customWidth="1"/>
    <col min="1805" max="1805" width="12.875" style="5" bestFit="1" customWidth="1"/>
    <col min="1806" max="1806" width="7.5" style="5" bestFit="1" customWidth="1"/>
    <col min="1807" max="1807" width="14.375" style="5" customWidth="1"/>
    <col min="1808" max="1808" width="17" style="5" customWidth="1"/>
    <col min="1809" max="1809" width="15.125" style="5" customWidth="1"/>
    <col min="1810" max="1810" width="9" style="5" bestFit="1" customWidth="1"/>
    <col min="1811" max="1811" width="9.125" style="5" bestFit="1" customWidth="1"/>
    <col min="1812" max="2049" width="9" style="5"/>
    <col min="2050" max="2050" width="3.125" style="5" customWidth="1"/>
    <col min="2051" max="2051" width="7.5" style="5" customWidth="1"/>
    <col min="2052" max="2052" width="22" style="5" bestFit="1" customWidth="1"/>
    <col min="2053" max="2053" width="18.625" style="5" customWidth="1"/>
    <col min="2054" max="2054" width="17" style="5" customWidth="1"/>
    <col min="2055" max="2055" width="18.125" style="5" customWidth="1"/>
    <col min="2056" max="2056" width="14.625" style="5" customWidth="1"/>
    <col min="2057" max="2057" width="18" style="5" customWidth="1"/>
    <col min="2058" max="2059" width="19.125" style="5" customWidth="1"/>
    <col min="2060" max="2060" width="17.125" style="5" bestFit="1" customWidth="1"/>
    <col min="2061" max="2061" width="12.875" style="5" bestFit="1" customWidth="1"/>
    <col min="2062" max="2062" width="7.5" style="5" bestFit="1" customWidth="1"/>
    <col min="2063" max="2063" width="14.375" style="5" customWidth="1"/>
    <col min="2064" max="2064" width="17" style="5" customWidth="1"/>
    <col min="2065" max="2065" width="15.125" style="5" customWidth="1"/>
    <col min="2066" max="2066" width="9" style="5" bestFit="1" customWidth="1"/>
    <col min="2067" max="2067" width="9.125" style="5" bestFit="1" customWidth="1"/>
    <col min="2068" max="2305" width="9" style="5"/>
    <col min="2306" max="2306" width="3.125" style="5" customWidth="1"/>
    <col min="2307" max="2307" width="7.5" style="5" customWidth="1"/>
    <col min="2308" max="2308" width="22" style="5" bestFit="1" customWidth="1"/>
    <col min="2309" max="2309" width="18.625" style="5" customWidth="1"/>
    <col min="2310" max="2310" width="17" style="5" customWidth="1"/>
    <col min="2311" max="2311" width="18.125" style="5" customWidth="1"/>
    <col min="2312" max="2312" width="14.625" style="5" customWidth="1"/>
    <col min="2313" max="2313" width="18" style="5" customWidth="1"/>
    <col min="2314" max="2315" width="19.125" style="5" customWidth="1"/>
    <col min="2316" max="2316" width="17.125" style="5" bestFit="1" customWidth="1"/>
    <col min="2317" max="2317" width="12.875" style="5" bestFit="1" customWidth="1"/>
    <col min="2318" max="2318" width="7.5" style="5" bestFit="1" customWidth="1"/>
    <col min="2319" max="2319" width="14.375" style="5" customWidth="1"/>
    <col min="2320" max="2320" width="17" style="5" customWidth="1"/>
    <col min="2321" max="2321" width="15.125" style="5" customWidth="1"/>
    <col min="2322" max="2322" width="9" style="5" bestFit="1" customWidth="1"/>
    <col min="2323" max="2323" width="9.125" style="5" bestFit="1" customWidth="1"/>
    <col min="2324" max="2561" width="9" style="5"/>
    <col min="2562" max="2562" width="3.125" style="5" customWidth="1"/>
    <col min="2563" max="2563" width="7.5" style="5" customWidth="1"/>
    <col min="2564" max="2564" width="22" style="5" bestFit="1" customWidth="1"/>
    <col min="2565" max="2565" width="18.625" style="5" customWidth="1"/>
    <col min="2566" max="2566" width="17" style="5" customWidth="1"/>
    <col min="2567" max="2567" width="18.125" style="5" customWidth="1"/>
    <col min="2568" max="2568" width="14.625" style="5" customWidth="1"/>
    <col min="2569" max="2569" width="18" style="5" customWidth="1"/>
    <col min="2570" max="2571" width="19.125" style="5" customWidth="1"/>
    <col min="2572" max="2572" width="17.125" style="5" bestFit="1" customWidth="1"/>
    <col min="2573" max="2573" width="12.875" style="5" bestFit="1" customWidth="1"/>
    <col min="2574" max="2574" width="7.5" style="5" bestFit="1" customWidth="1"/>
    <col min="2575" max="2575" width="14.375" style="5" customWidth="1"/>
    <col min="2576" max="2576" width="17" style="5" customWidth="1"/>
    <col min="2577" max="2577" width="15.125" style="5" customWidth="1"/>
    <col min="2578" max="2578" width="9" style="5" bestFit="1" customWidth="1"/>
    <col min="2579" max="2579" width="9.125" style="5" bestFit="1" customWidth="1"/>
    <col min="2580" max="2817" width="9" style="5"/>
    <col min="2818" max="2818" width="3.125" style="5" customWidth="1"/>
    <col min="2819" max="2819" width="7.5" style="5" customWidth="1"/>
    <col min="2820" max="2820" width="22" style="5" bestFit="1" customWidth="1"/>
    <col min="2821" max="2821" width="18.625" style="5" customWidth="1"/>
    <col min="2822" max="2822" width="17" style="5" customWidth="1"/>
    <col min="2823" max="2823" width="18.125" style="5" customWidth="1"/>
    <col min="2824" max="2824" width="14.625" style="5" customWidth="1"/>
    <col min="2825" max="2825" width="18" style="5" customWidth="1"/>
    <col min="2826" max="2827" width="19.125" style="5" customWidth="1"/>
    <col min="2828" max="2828" width="17.125" style="5" bestFit="1" customWidth="1"/>
    <col min="2829" max="2829" width="12.875" style="5" bestFit="1" customWidth="1"/>
    <col min="2830" max="2830" width="7.5" style="5" bestFit="1" customWidth="1"/>
    <col min="2831" max="2831" width="14.375" style="5" customWidth="1"/>
    <col min="2832" max="2832" width="17" style="5" customWidth="1"/>
    <col min="2833" max="2833" width="15.125" style="5" customWidth="1"/>
    <col min="2834" max="2834" width="9" style="5" bestFit="1" customWidth="1"/>
    <col min="2835" max="2835" width="9.125" style="5" bestFit="1" customWidth="1"/>
    <col min="2836" max="3073" width="9" style="5"/>
    <col min="3074" max="3074" width="3.125" style="5" customWidth="1"/>
    <col min="3075" max="3075" width="7.5" style="5" customWidth="1"/>
    <col min="3076" max="3076" width="22" style="5" bestFit="1" customWidth="1"/>
    <col min="3077" max="3077" width="18.625" style="5" customWidth="1"/>
    <col min="3078" max="3078" width="17" style="5" customWidth="1"/>
    <col min="3079" max="3079" width="18.125" style="5" customWidth="1"/>
    <col min="3080" max="3080" width="14.625" style="5" customWidth="1"/>
    <col min="3081" max="3081" width="18" style="5" customWidth="1"/>
    <col min="3082" max="3083" width="19.125" style="5" customWidth="1"/>
    <col min="3084" max="3084" width="17.125" style="5" bestFit="1" customWidth="1"/>
    <col min="3085" max="3085" width="12.875" style="5" bestFit="1" customWidth="1"/>
    <col min="3086" max="3086" width="7.5" style="5" bestFit="1" customWidth="1"/>
    <col min="3087" max="3087" width="14.375" style="5" customWidth="1"/>
    <col min="3088" max="3088" width="17" style="5" customWidth="1"/>
    <col min="3089" max="3089" width="15.125" style="5" customWidth="1"/>
    <col min="3090" max="3090" width="9" style="5" bestFit="1" customWidth="1"/>
    <col min="3091" max="3091" width="9.125" style="5" bestFit="1" customWidth="1"/>
    <col min="3092" max="3329" width="9" style="5"/>
    <col min="3330" max="3330" width="3.125" style="5" customWidth="1"/>
    <col min="3331" max="3331" width="7.5" style="5" customWidth="1"/>
    <col min="3332" max="3332" width="22" style="5" bestFit="1" customWidth="1"/>
    <col min="3333" max="3333" width="18.625" style="5" customWidth="1"/>
    <col min="3334" max="3334" width="17" style="5" customWidth="1"/>
    <col min="3335" max="3335" width="18.125" style="5" customWidth="1"/>
    <col min="3336" max="3336" width="14.625" style="5" customWidth="1"/>
    <col min="3337" max="3337" width="18" style="5" customWidth="1"/>
    <col min="3338" max="3339" width="19.125" style="5" customWidth="1"/>
    <col min="3340" max="3340" width="17.125" style="5" bestFit="1" customWidth="1"/>
    <col min="3341" max="3341" width="12.875" style="5" bestFit="1" customWidth="1"/>
    <col min="3342" max="3342" width="7.5" style="5" bestFit="1" customWidth="1"/>
    <col min="3343" max="3343" width="14.375" style="5" customWidth="1"/>
    <col min="3344" max="3344" width="17" style="5" customWidth="1"/>
    <col min="3345" max="3345" width="15.125" style="5" customWidth="1"/>
    <col min="3346" max="3346" width="9" style="5" bestFit="1" customWidth="1"/>
    <col min="3347" max="3347" width="9.125" style="5" bestFit="1" customWidth="1"/>
    <col min="3348" max="3585" width="9" style="5"/>
    <col min="3586" max="3586" width="3.125" style="5" customWidth="1"/>
    <col min="3587" max="3587" width="7.5" style="5" customWidth="1"/>
    <col min="3588" max="3588" width="22" style="5" bestFit="1" customWidth="1"/>
    <col min="3589" max="3589" width="18.625" style="5" customWidth="1"/>
    <col min="3590" max="3590" width="17" style="5" customWidth="1"/>
    <col min="3591" max="3591" width="18.125" style="5" customWidth="1"/>
    <col min="3592" max="3592" width="14.625" style="5" customWidth="1"/>
    <col min="3593" max="3593" width="18" style="5" customWidth="1"/>
    <col min="3594" max="3595" width="19.125" style="5" customWidth="1"/>
    <col min="3596" max="3596" width="17.125" style="5" bestFit="1" customWidth="1"/>
    <col min="3597" max="3597" width="12.875" style="5" bestFit="1" customWidth="1"/>
    <col min="3598" max="3598" width="7.5" style="5" bestFit="1" customWidth="1"/>
    <col min="3599" max="3599" width="14.375" style="5" customWidth="1"/>
    <col min="3600" max="3600" width="17" style="5" customWidth="1"/>
    <col min="3601" max="3601" width="15.125" style="5" customWidth="1"/>
    <col min="3602" max="3602" width="9" style="5" bestFit="1" customWidth="1"/>
    <col min="3603" max="3603" width="9.125" style="5" bestFit="1" customWidth="1"/>
    <col min="3604" max="3841" width="9" style="5"/>
    <col min="3842" max="3842" width="3.125" style="5" customWidth="1"/>
    <col min="3843" max="3843" width="7.5" style="5" customWidth="1"/>
    <col min="3844" max="3844" width="22" style="5" bestFit="1" customWidth="1"/>
    <col min="3845" max="3845" width="18.625" style="5" customWidth="1"/>
    <col min="3846" max="3846" width="17" style="5" customWidth="1"/>
    <col min="3847" max="3847" width="18.125" style="5" customWidth="1"/>
    <col min="3848" max="3848" width="14.625" style="5" customWidth="1"/>
    <col min="3849" max="3849" width="18" style="5" customWidth="1"/>
    <col min="3850" max="3851" width="19.125" style="5" customWidth="1"/>
    <col min="3852" max="3852" width="17.125" style="5" bestFit="1" customWidth="1"/>
    <col min="3853" max="3853" width="12.875" style="5" bestFit="1" customWidth="1"/>
    <col min="3854" max="3854" width="7.5" style="5" bestFit="1" customWidth="1"/>
    <col min="3855" max="3855" width="14.375" style="5" customWidth="1"/>
    <col min="3856" max="3856" width="17" style="5" customWidth="1"/>
    <col min="3857" max="3857" width="15.125" style="5" customWidth="1"/>
    <col min="3858" max="3858" width="9" style="5" bestFit="1" customWidth="1"/>
    <col min="3859" max="3859" width="9.125" style="5" bestFit="1" customWidth="1"/>
    <col min="3860" max="4097" width="9" style="5"/>
    <col min="4098" max="4098" width="3.125" style="5" customWidth="1"/>
    <col min="4099" max="4099" width="7.5" style="5" customWidth="1"/>
    <col min="4100" max="4100" width="22" style="5" bestFit="1" customWidth="1"/>
    <col min="4101" max="4101" width="18.625" style="5" customWidth="1"/>
    <col min="4102" max="4102" width="17" style="5" customWidth="1"/>
    <col min="4103" max="4103" width="18.125" style="5" customWidth="1"/>
    <col min="4104" max="4104" width="14.625" style="5" customWidth="1"/>
    <col min="4105" max="4105" width="18" style="5" customWidth="1"/>
    <col min="4106" max="4107" width="19.125" style="5" customWidth="1"/>
    <col min="4108" max="4108" width="17.125" style="5" bestFit="1" customWidth="1"/>
    <col min="4109" max="4109" width="12.875" style="5" bestFit="1" customWidth="1"/>
    <col min="4110" max="4110" width="7.5" style="5" bestFit="1" customWidth="1"/>
    <col min="4111" max="4111" width="14.375" style="5" customWidth="1"/>
    <col min="4112" max="4112" width="17" style="5" customWidth="1"/>
    <col min="4113" max="4113" width="15.125" style="5" customWidth="1"/>
    <col min="4114" max="4114" width="9" style="5" bestFit="1" customWidth="1"/>
    <col min="4115" max="4115" width="9.125" style="5" bestFit="1" customWidth="1"/>
    <col min="4116" max="4353" width="9" style="5"/>
    <col min="4354" max="4354" width="3.125" style="5" customWidth="1"/>
    <col min="4355" max="4355" width="7.5" style="5" customWidth="1"/>
    <col min="4356" max="4356" width="22" style="5" bestFit="1" customWidth="1"/>
    <col min="4357" max="4357" width="18.625" style="5" customWidth="1"/>
    <col min="4358" max="4358" width="17" style="5" customWidth="1"/>
    <col min="4359" max="4359" width="18.125" style="5" customWidth="1"/>
    <col min="4360" max="4360" width="14.625" style="5" customWidth="1"/>
    <col min="4361" max="4361" width="18" style="5" customWidth="1"/>
    <col min="4362" max="4363" width="19.125" style="5" customWidth="1"/>
    <col min="4364" max="4364" width="17.125" style="5" bestFit="1" customWidth="1"/>
    <col min="4365" max="4365" width="12.875" style="5" bestFit="1" customWidth="1"/>
    <col min="4366" max="4366" width="7.5" style="5" bestFit="1" customWidth="1"/>
    <col min="4367" max="4367" width="14.375" style="5" customWidth="1"/>
    <col min="4368" max="4368" width="17" style="5" customWidth="1"/>
    <col min="4369" max="4369" width="15.125" style="5" customWidth="1"/>
    <col min="4370" max="4370" width="9" style="5" bestFit="1" customWidth="1"/>
    <col min="4371" max="4371" width="9.125" style="5" bestFit="1" customWidth="1"/>
    <col min="4372" max="4609" width="9" style="5"/>
    <col min="4610" max="4610" width="3.125" style="5" customWidth="1"/>
    <col min="4611" max="4611" width="7.5" style="5" customWidth="1"/>
    <col min="4612" max="4612" width="22" style="5" bestFit="1" customWidth="1"/>
    <col min="4613" max="4613" width="18.625" style="5" customWidth="1"/>
    <col min="4614" max="4614" width="17" style="5" customWidth="1"/>
    <col min="4615" max="4615" width="18.125" style="5" customWidth="1"/>
    <col min="4616" max="4616" width="14.625" style="5" customWidth="1"/>
    <col min="4617" max="4617" width="18" style="5" customWidth="1"/>
    <col min="4618" max="4619" width="19.125" style="5" customWidth="1"/>
    <col min="4620" max="4620" width="17.125" style="5" bestFit="1" customWidth="1"/>
    <col min="4621" max="4621" width="12.875" style="5" bestFit="1" customWidth="1"/>
    <col min="4622" max="4622" width="7.5" style="5" bestFit="1" customWidth="1"/>
    <col min="4623" max="4623" width="14.375" style="5" customWidth="1"/>
    <col min="4624" max="4624" width="17" style="5" customWidth="1"/>
    <col min="4625" max="4625" width="15.125" style="5" customWidth="1"/>
    <col min="4626" max="4626" width="9" style="5" bestFit="1" customWidth="1"/>
    <col min="4627" max="4627" width="9.125" style="5" bestFit="1" customWidth="1"/>
    <col min="4628" max="4865" width="9" style="5"/>
    <col min="4866" max="4866" width="3.125" style="5" customWidth="1"/>
    <col min="4867" max="4867" width="7.5" style="5" customWidth="1"/>
    <col min="4868" max="4868" width="22" style="5" bestFit="1" customWidth="1"/>
    <col min="4869" max="4869" width="18.625" style="5" customWidth="1"/>
    <col min="4870" max="4870" width="17" style="5" customWidth="1"/>
    <col min="4871" max="4871" width="18.125" style="5" customWidth="1"/>
    <col min="4872" max="4872" width="14.625" style="5" customWidth="1"/>
    <col min="4873" max="4873" width="18" style="5" customWidth="1"/>
    <col min="4874" max="4875" width="19.125" style="5" customWidth="1"/>
    <col min="4876" max="4876" width="17.125" style="5" bestFit="1" customWidth="1"/>
    <col min="4877" max="4877" width="12.875" style="5" bestFit="1" customWidth="1"/>
    <col min="4878" max="4878" width="7.5" style="5" bestFit="1" customWidth="1"/>
    <col min="4879" max="4879" width="14.375" style="5" customWidth="1"/>
    <col min="4880" max="4880" width="17" style="5" customWidth="1"/>
    <col min="4881" max="4881" width="15.125" style="5" customWidth="1"/>
    <col min="4882" max="4882" width="9" style="5" bestFit="1" customWidth="1"/>
    <col min="4883" max="4883" width="9.125" style="5" bestFit="1" customWidth="1"/>
    <col min="4884" max="5121" width="9" style="5"/>
    <col min="5122" max="5122" width="3.125" style="5" customWidth="1"/>
    <col min="5123" max="5123" width="7.5" style="5" customWidth="1"/>
    <col min="5124" max="5124" width="22" style="5" bestFit="1" customWidth="1"/>
    <col min="5125" max="5125" width="18.625" style="5" customWidth="1"/>
    <col min="5126" max="5126" width="17" style="5" customWidth="1"/>
    <col min="5127" max="5127" width="18.125" style="5" customWidth="1"/>
    <col min="5128" max="5128" width="14.625" style="5" customWidth="1"/>
    <col min="5129" max="5129" width="18" style="5" customWidth="1"/>
    <col min="5130" max="5131" width="19.125" style="5" customWidth="1"/>
    <col min="5132" max="5132" width="17.125" style="5" bestFit="1" customWidth="1"/>
    <col min="5133" max="5133" width="12.875" style="5" bestFit="1" customWidth="1"/>
    <col min="5134" max="5134" width="7.5" style="5" bestFit="1" customWidth="1"/>
    <col min="5135" max="5135" width="14.375" style="5" customWidth="1"/>
    <col min="5136" max="5136" width="17" style="5" customWidth="1"/>
    <col min="5137" max="5137" width="15.125" style="5" customWidth="1"/>
    <col min="5138" max="5138" width="9" style="5" bestFit="1" customWidth="1"/>
    <col min="5139" max="5139" width="9.125" style="5" bestFit="1" customWidth="1"/>
    <col min="5140" max="5377" width="9" style="5"/>
    <col min="5378" max="5378" width="3.125" style="5" customWidth="1"/>
    <col min="5379" max="5379" width="7.5" style="5" customWidth="1"/>
    <col min="5380" max="5380" width="22" style="5" bestFit="1" customWidth="1"/>
    <col min="5381" max="5381" width="18.625" style="5" customWidth="1"/>
    <col min="5382" max="5382" width="17" style="5" customWidth="1"/>
    <col min="5383" max="5383" width="18.125" style="5" customWidth="1"/>
    <col min="5384" max="5384" width="14.625" style="5" customWidth="1"/>
    <col min="5385" max="5385" width="18" style="5" customWidth="1"/>
    <col min="5386" max="5387" width="19.125" style="5" customWidth="1"/>
    <col min="5388" max="5388" width="17.125" style="5" bestFit="1" customWidth="1"/>
    <col min="5389" max="5389" width="12.875" style="5" bestFit="1" customWidth="1"/>
    <col min="5390" max="5390" width="7.5" style="5" bestFit="1" customWidth="1"/>
    <col min="5391" max="5391" width="14.375" style="5" customWidth="1"/>
    <col min="5392" max="5392" width="17" style="5" customWidth="1"/>
    <col min="5393" max="5393" width="15.125" style="5" customWidth="1"/>
    <col min="5394" max="5394" width="9" style="5" bestFit="1" customWidth="1"/>
    <col min="5395" max="5395" width="9.125" style="5" bestFit="1" customWidth="1"/>
    <col min="5396" max="5633" width="9" style="5"/>
    <col min="5634" max="5634" width="3.125" style="5" customWidth="1"/>
    <col min="5635" max="5635" width="7.5" style="5" customWidth="1"/>
    <col min="5636" max="5636" width="22" style="5" bestFit="1" customWidth="1"/>
    <col min="5637" max="5637" width="18.625" style="5" customWidth="1"/>
    <col min="5638" max="5638" width="17" style="5" customWidth="1"/>
    <col min="5639" max="5639" width="18.125" style="5" customWidth="1"/>
    <col min="5640" max="5640" width="14.625" style="5" customWidth="1"/>
    <col min="5641" max="5641" width="18" style="5" customWidth="1"/>
    <col min="5642" max="5643" width="19.125" style="5" customWidth="1"/>
    <col min="5644" max="5644" width="17.125" style="5" bestFit="1" customWidth="1"/>
    <col min="5645" max="5645" width="12.875" style="5" bestFit="1" customWidth="1"/>
    <col min="5646" max="5646" width="7.5" style="5" bestFit="1" customWidth="1"/>
    <col min="5647" max="5647" width="14.375" style="5" customWidth="1"/>
    <col min="5648" max="5648" width="17" style="5" customWidth="1"/>
    <col min="5649" max="5649" width="15.125" style="5" customWidth="1"/>
    <col min="5650" max="5650" width="9" style="5" bestFit="1" customWidth="1"/>
    <col min="5651" max="5651" width="9.125" style="5" bestFit="1" customWidth="1"/>
    <col min="5652" max="5889" width="9" style="5"/>
    <col min="5890" max="5890" width="3.125" style="5" customWidth="1"/>
    <col min="5891" max="5891" width="7.5" style="5" customWidth="1"/>
    <col min="5892" max="5892" width="22" style="5" bestFit="1" customWidth="1"/>
    <col min="5893" max="5893" width="18.625" style="5" customWidth="1"/>
    <col min="5894" max="5894" width="17" style="5" customWidth="1"/>
    <col min="5895" max="5895" width="18.125" style="5" customWidth="1"/>
    <col min="5896" max="5896" width="14.625" style="5" customWidth="1"/>
    <col min="5897" max="5897" width="18" style="5" customWidth="1"/>
    <col min="5898" max="5899" width="19.125" style="5" customWidth="1"/>
    <col min="5900" max="5900" width="17.125" style="5" bestFit="1" customWidth="1"/>
    <col min="5901" max="5901" width="12.875" style="5" bestFit="1" customWidth="1"/>
    <col min="5902" max="5902" width="7.5" style="5" bestFit="1" customWidth="1"/>
    <col min="5903" max="5903" width="14.375" style="5" customWidth="1"/>
    <col min="5904" max="5904" width="17" style="5" customWidth="1"/>
    <col min="5905" max="5905" width="15.125" style="5" customWidth="1"/>
    <col min="5906" max="5906" width="9" style="5" bestFit="1" customWidth="1"/>
    <col min="5907" max="5907" width="9.125" style="5" bestFit="1" customWidth="1"/>
    <col min="5908" max="6145" width="9" style="5"/>
    <col min="6146" max="6146" width="3.125" style="5" customWidth="1"/>
    <col min="6147" max="6147" width="7.5" style="5" customWidth="1"/>
    <col min="6148" max="6148" width="22" style="5" bestFit="1" customWidth="1"/>
    <col min="6149" max="6149" width="18.625" style="5" customWidth="1"/>
    <col min="6150" max="6150" width="17" style="5" customWidth="1"/>
    <col min="6151" max="6151" width="18.125" style="5" customWidth="1"/>
    <col min="6152" max="6152" width="14.625" style="5" customWidth="1"/>
    <col min="6153" max="6153" width="18" style="5" customWidth="1"/>
    <col min="6154" max="6155" width="19.125" style="5" customWidth="1"/>
    <col min="6156" max="6156" width="17.125" style="5" bestFit="1" customWidth="1"/>
    <col min="6157" max="6157" width="12.875" style="5" bestFit="1" customWidth="1"/>
    <col min="6158" max="6158" width="7.5" style="5" bestFit="1" customWidth="1"/>
    <col min="6159" max="6159" width="14.375" style="5" customWidth="1"/>
    <col min="6160" max="6160" width="17" style="5" customWidth="1"/>
    <col min="6161" max="6161" width="15.125" style="5" customWidth="1"/>
    <col min="6162" max="6162" width="9" style="5" bestFit="1" customWidth="1"/>
    <col min="6163" max="6163" width="9.125" style="5" bestFit="1" customWidth="1"/>
    <col min="6164" max="6401" width="9" style="5"/>
    <col min="6402" max="6402" width="3.125" style="5" customWidth="1"/>
    <col min="6403" max="6403" width="7.5" style="5" customWidth="1"/>
    <col min="6404" max="6404" width="22" style="5" bestFit="1" customWidth="1"/>
    <col min="6405" max="6405" width="18.625" style="5" customWidth="1"/>
    <col min="6406" max="6406" width="17" style="5" customWidth="1"/>
    <col min="6407" max="6407" width="18.125" style="5" customWidth="1"/>
    <col min="6408" max="6408" width="14.625" style="5" customWidth="1"/>
    <col min="6409" max="6409" width="18" style="5" customWidth="1"/>
    <col min="6410" max="6411" width="19.125" style="5" customWidth="1"/>
    <col min="6412" max="6412" width="17.125" style="5" bestFit="1" customWidth="1"/>
    <col min="6413" max="6413" width="12.875" style="5" bestFit="1" customWidth="1"/>
    <col min="6414" max="6414" width="7.5" style="5" bestFit="1" customWidth="1"/>
    <col min="6415" max="6415" width="14.375" style="5" customWidth="1"/>
    <col min="6416" max="6416" width="17" style="5" customWidth="1"/>
    <col min="6417" max="6417" width="15.125" style="5" customWidth="1"/>
    <col min="6418" max="6418" width="9" style="5" bestFit="1" customWidth="1"/>
    <col min="6419" max="6419" width="9.125" style="5" bestFit="1" customWidth="1"/>
    <col min="6420" max="6657" width="9" style="5"/>
    <col min="6658" max="6658" width="3.125" style="5" customWidth="1"/>
    <col min="6659" max="6659" width="7.5" style="5" customWidth="1"/>
    <col min="6660" max="6660" width="22" style="5" bestFit="1" customWidth="1"/>
    <col min="6661" max="6661" width="18.625" style="5" customWidth="1"/>
    <col min="6662" max="6662" width="17" style="5" customWidth="1"/>
    <col min="6663" max="6663" width="18.125" style="5" customWidth="1"/>
    <col min="6664" max="6664" width="14.625" style="5" customWidth="1"/>
    <col min="6665" max="6665" width="18" style="5" customWidth="1"/>
    <col min="6666" max="6667" width="19.125" style="5" customWidth="1"/>
    <col min="6668" max="6668" width="17.125" style="5" bestFit="1" customWidth="1"/>
    <col min="6669" max="6669" width="12.875" style="5" bestFit="1" customWidth="1"/>
    <col min="6670" max="6670" width="7.5" style="5" bestFit="1" customWidth="1"/>
    <col min="6671" max="6671" width="14.375" style="5" customWidth="1"/>
    <col min="6672" max="6672" width="17" style="5" customWidth="1"/>
    <col min="6673" max="6673" width="15.125" style="5" customWidth="1"/>
    <col min="6674" max="6674" width="9" style="5" bestFit="1" customWidth="1"/>
    <col min="6675" max="6675" width="9.125" style="5" bestFit="1" customWidth="1"/>
    <col min="6676" max="6913" width="9" style="5"/>
    <col min="6914" max="6914" width="3.125" style="5" customWidth="1"/>
    <col min="6915" max="6915" width="7.5" style="5" customWidth="1"/>
    <col min="6916" max="6916" width="22" style="5" bestFit="1" customWidth="1"/>
    <col min="6917" max="6917" width="18.625" style="5" customWidth="1"/>
    <col min="6918" max="6918" width="17" style="5" customWidth="1"/>
    <col min="6919" max="6919" width="18.125" style="5" customWidth="1"/>
    <col min="6920" max="6920" width="14.625" style="5" customWidth="1"/>
    <col min="6921" max="6921" width="18" style="5" customWidth="1"/>
    <col min="6922" max="6923" width="19.125" style="5" customWidth="1"/>
    <col min="6924" max="6924" width="17.125" style="5" bestFit="1" customWidth="1"/>
    <col min="6925" max="6925" width="12.875" style="5" bestFit="1" customWidth="1"/>
    <col min="6926" max="6926" width="7.5" style="5" bestFit="1" customWidth="1"/>
    <col min="6927" max="6927" width="14.375" style="5" customWidth="1"/>
    <col min="6928" max="6928" width="17" style="5" customWidth="1"/>
    <col min="6929" max="6929" width="15.125" style="5" customWidth="1"/>
    <col min="6930" max="6930" width="9" style="5" bestFit="1" customWidth="1"/>
    <col min="6931" max="6931" width="9.125" style="5" bestFit="1" customWidth="1"/>
    <col min="6932" max="7169" width="9" style="5"/>
    <col min="7170" max="7170" width="3.125" style="5" customWidth="1"/>
    <col min="7171" max="7171" width="7.5" style="5" customWidth="1"/>
    <col min="7172" max="7172" width="22" style="5" bestFit="1" customWidth="1"/>
    <col min="7173" max="7173" width="18.625" style="5" customWidth="1"/>
    <col min="7174" max="7174" width="17" style="5" customWidth="1"/>
    <col min="7175" max="7175" width="18.125" style="5" customWidth="1"/>
    <col min="7176" max="7176" width="14.625" style="5" customWidth="1"/>
    <col min="7177" max="7177" width="18" style="5" customWidth="1"/>
    <col min="7178" max="7179" width="19.125" style="5" customWidth="1"/>
    <col min="7180" max="7180" width="17.125" style="5" bestFit="1" customWidth="1"/>
    <col min="7181" max="7181" width="12.875" style="5" bestFit="1" customWidth="1"/>
    <col min="7182" max="7182" width="7.5" style="5" bestFit="1" customWidth="1"/>
    <col min="7183" max="7183" width="14.375" style="5" customWidth="1"/>
    <col min="7184" max="7184" width="17" style="5" customWidth="1"/>
    <col min="7185" max="7185" width="15.125" style="5" customWidth="1"/>
    <col min="7186" max="7186" width="9" style="5" bestFit="1" customWidth="1"/>
    <col min="7187" max="7187" width="9.125" style="5" bestFit="1" customWidth="1"/>
    <col min="7188" max="7425" width="9" style="5"/>
    <col min="7426" max="7426" width="3.125" style="5" customWidth="1"/>
    <col min="7427" max="7427" width="7.5" style="5" customWidth="1"/>
    <col min="7428" max="7428" width="22" style="5" bestFit="1" customWidth="1"/>
    <col min="7429" max="7429" width="18.625" style="5" customWidth="1"/>
    <col min="7430" max="7430" width="17" style="5" customWidth="1"/>
    <col min="7431" max="7431" width="18.125" style="5" customWidth="1"/>
    <col min="7432" max="7432" width="14.625" style="5" customWidth="1"/>
    <col min="7433" max="7433" width="18" style="5" customWidth="1"/>
    <col min="7434" max="7435" width="19.125" style="5" customWidth="1"/>
    <col min="7436" max="7436" width="17.125" style="5" bestFit="1" customWidth="1"/>
    <col min="7437" max="7437" width="12.875" style="5" bestFit="1" customWidth="1"/>
    <col min="7438" max="7438" width="7.5" style="5" bestFit="1" customWidth="1"/>
    <col min="7439" max="7439" width="14.375" style="5" customWidth="1"/>
    <col min="7440" max="7440" width="17" style="5" customWidth="1"/>
    <col min="7441" max="7441" width="15.125" style="5" customWidth="1"/>
    <col min="7442" max="7442" width="9" style="5" bestFit="1" customWidth="1"/>
    <col min="7443" max="7443" width="9.125" style="5" bestFit="1" customWidth="1"/>
    <col min="7444" max="7681" width="9" style="5"/>
    <col min="7682" max="7682" width="3.125" style="5" customWidth="1"/>
    <col min="7683" max="7683" width="7.5" style="5" customWidth="1"/>
    <col min="7684" max="7684" width="22" style="5" bestFit="1" customWidth="1"/>
    <col min="7685" max="7685" width="18.625" style="5" customWidth="1"/>
    <col min="7686" max="7686" width="17" style="5" customWidth="1"/>
    <col min="7687" max="7687" width="18.125" style="5" customWidth="1"/>
    <col min="7688" max="7688" width="14.625" style="5" customWidth="1"/>
    <col min="7689" max="7689" width="18" style="5" customWidth="1"/>
    <col min="7690" max="7691" width="19.125" style="5" customWidth="1"/>
    <col min="7692" max="7692" width="17.125" style="5" bestFit="1" customWidth="1"/>
    <col min="7693" max="7693" width="12.875" style="5" bestFit="1" customWidth="1"/>
    <col min="7694" max="7694" width="7.5" style="5" bestFit="1" customWidth="1"/>
    <col min="7695" max="7695" width="14.375" style="5" customWidth="1"/>
    <col min="7696" max="7696" width="17" style="5" customWidth="1"/>
    <col min="7697" max="7697" width="15.125" style="5" customWidth="1"/>
    <col min="7698" max="7698" width="9" style="5" bestFit="1" customWidth="1"/>
    <col min="7699" max="7699" width="9.125" style="5" bestFit="1" customWidth="1"/>
    <col min="7700" max="7937" width="9" style="5"/>
    <col min="7938" max="7938" width="3.125" style="5" customWidth="1"/>
    <col min="7939" max="7939" width="7.5" style="5" customWidth="1"/>
    <col min="7940" max="7940" width="22" style="5" bestFit="1" customWidth="1"/>
    <col min="7941" max="7941" width="18.625" style="5" customWidth="1"/>
    <col min="7942" max="7942" width="17" style="5" customWidth="1"/>
    <col min="7943" max="7943" width="18.125" style="5" customWidth="1"/>
    <col min="7944" max="7944" width="14.625" style="5" customWidth="1"/>
    <col min="7945" max="7945" width="18" style="5" customWidth="1"/>
    <col min="7946" max="7947" width="19.125" style="5" customWidth="1"/>
    <col min="7948" max="7948" width="17.125" style="5" bestFit="1" customWidth="1"/>
    <col min="7949" max="7949" width="12.875" style="5" bestFit="1" customWidth="1"/>
    <col min="7950" max="7950" width="7.5" style="5" bestFit="1" customWidth="1"/>
    <col min="7951" max="7951" width="14.375" style="5" customWidth="1"/>
    <col min="7952" max="7952" width="17" style="5" customWidth="1"/>
    <col min="7953" max="7953" width="15.125" style="5" customWidth="1"/>
    <col min="7954" max="7954" width="9" style="5" bestFit="1" customWidth="1"/>
    <col min="7955" max="7955" width="9.125" style="5" bestFit="1" customWidth="1"/>
    <col min="7956" max="8193" width="9" style="5"/>
    <col min="8194" max="8194" width="3.125" style="5" customWidth="1"/>
    <col min="8195" max="8195" width="7.5" style="5" customWidth="1"/>
    <col min="8196" max="8196" width="22" style="5" bestFit="1" customWidth="1"/>
    <col min="8197" max="8197" width="18.625" style="5" customWidth="1"/>
    <col min="8198" max="8198" width="17" style="5" customWidth="1"/>
    <col min="8199" max="8199" width="18.125" style="5" customWidth="1"/>
    <col min="8200" max="8200" width="14.625" style="5" customWidth="1"/>
    <col min="8201" max="8201" width="18" style="5" customWidth="1"/>
    <col min="8202" max="8203" width="19.125" style="5" customWidth="1"/>
    <col min="8204" max="8204" width="17.125" style="5" bestFit="1" customWidth="1"/>
    <col min="8205" max="8205" width="12.875" style="5" bestFit="1" customWidth="1"/>
    <col min="8206" max="8206" width="7.5" style="5" bestFit="1" customWidth="1"/>
    <col min="8207" max="8207" width="14.375" style="5" customWidth="1"/>
    <col min="8208" max="8208" width="17" style="5" customWidth="1"/>
    <col min="8209" max="8209" width="15.125" style="5" customWidth="1"/>
    <col min="8210" max="8210" width="9" style="5" bestFit="1" customWidth="1"/>
    <col min="8211" max="8211" width="9.125" style="5" bestFit="1" customWidth="1"/>
    <col min="8212" max="8449" width="9" style="5"/>
    <col min="8450" max="8450" width="3.125" style="5" customWidth="1"/>
    <col min="8451" max="8451" width="7.5" style="5" customWidth="1"/>
    <col min="8452" max="8452" width="22" style="5" bestFit="1" customWidth="1"/>
    <col min="8453" max="8453" width="18.625" style="5" customWidth="1"/>
    <col min="8454" max="8454" width="17" style="5" customWidth="1"/>
    <col min="8455" max="8455" width="18.125" style="5" customWidth="1"/>
    <col min="8456" max="8456" width="14.625" style="5" customWidth="1"/>
    <col min="8457" max="8457" width="18" style="5" customWidth="1"/>
    <col min="8458" max="8459" width="19.125" style="5" customWidth="1"/>
    <col min="8460" max="8460" width="17.125" style="5" bestFit="1" customWidth="1"/>
    <col min="8461" max="8461" width="12.875" style="5" bestFit="1" customWidth="1"/>
    <col min="8462" max="8462" width="7.5" style="5" bestFit="1" customWidth="1"/>
    <col min="8463" max="8463" width="14.375" style="5" customWidth="1"/>
    <col min="8464" max="8464" width="17" style="5" customWidth="1"/>
    <col min="8465" max="8465" width="15.125" style="5" customWidth="1"/>
    <col min="8466" max="8466" width="9" style="5" bestFit="1" customWidth="1"/>
    <col min="8467" max="8467" width="9.125" style="5" bestFit="1" customWidth="1"/>
    <col min="8468" max="8705" width="9" style="5"/>
    <col min="8706" max="8706" width="3.125" style="5" customWidth="1"/>
    <col min="8707" max="8707" width="7.5" style="5" customWidth="1"/>
    <col min="8708" max="8708" width="22" style="5" bestFit="1" customWidth="1"/>
    <col min="8709" max="8709" width="18.625" style="5" customWidth="1"/>
    <col min="8710" max="8710" width="17" style="5" customWidth="1"/>
    <col min="8711" max="8711" width="18.125" style="5" customWidth="1"/>
    <col min="8712" max="8712" width="14.625" style="5" customWidth="1"/>
    <col min="8713" max="8713" width="18" style="5" customWidth="1"/>
    <col min="8714" max="8715" width="19.125" style="5" customWidth="1"/>
    <col min="8716" max="8716" width="17.125" style="5" bestFit="1" customWidth="1"/>
    <col min="8717" max="8717" width="12.875" style="5" bestFit="1" customWidth="1"/>
    <col min="8718" max="8718" width="7.5" style="5" bestFit="1" customWidth="1"/>
    <col min="8719" max="8719" width="14.375" style="5" customWidth="1"/>
    <col min="8720" max="8720" width="17" style="5" customWidth="1"/>
    <col min="8721" max="8721" width="15.125" style="5" customWidth="1"/>
    <col min="8722" max="8722" width="9" style="5" bestFit="1" customWidth="1"/>
    <col min="8723" max="8723" width="9.125" style="5" bestFit="1" customWidth="1"/>
    <col min="8724" max="8961" width="9" style="5"/>
    <col min="8962" max="8962" width="3.125" style="5" customWidth="1"/>
    <col min="8963" max="8963" width="7.5" style="5" customWidth="1"/>
    <col min="8964" max="8964" width="22" style="5" bestFit="1" customWidth="1"/>
    <col min="8965" max="8965" width="18.625" style="5" customWidth="1"/>
    <col min="8966" max="8966" width="17" style="5" customWidth="1"/>
    <col min="8967" max="8967" width="18.125" style="5" customWidth="1"/>
    <col min="8968" max="8968" width="14.625" style="5" customWidth="1"/>
    <col min="8969" max="8969" width="18" style="5" customWidth="1"/>
    <col min="8970" max="8971" width="19.125" style="5" customWidth="1"/>
    <col min="8972" max="8972" width="17.125" style="5" bestFit="1" customWidth="1"/>
    <col min="8973" max="8973" width="12.875" style="5" bestFit="1" customWidth="1"/>
    <col min="8974" max="8974" width="7.5" style="5" bestFit="1" customWidth="1"/>
    <col min="8975" max="8975" width="14.375" style="5" customWidth="1"/>
    <col min="8976" max="8976" width="17" style="5" customWidth="1"/>
    <col min="8977" max="8977" width="15.125" style="5" customWidth="1"/>
    <col min="8978" max="8978" width="9" style="5" bestFit="1" customWidth="1"/>
    <col min="8979" max="8979" width="9.125" style="5" bestFit="1" customWidth="1"/>
    <col min="8980" max="9217" width="9" style="5"/>
    <col min="9218" max="9218" width="3.125" style="5" customWidth="1"/>
    <col min="9219" max="9219" width="7.5" style="5" customWidth="1"/>
    <col min="9220" max="9220" width="22" style="5" bestFit="1" customWidth="1"/>
    <col min="9221" max="9221" width="18.625" style="5" customWidth="1"/>
    <col min="9222" max="9222" width="17" style="5" customWidth="1"/>
    <col min="9223" max="9223" width="18.125" style="5" customWidth="1"/>
    <col min="9224" max="9224" width="14.625" style="5" customWidth="1"/>
    <col min="9225" max="9225" width="18" style="5" customWidth="1"/>
    <col min="9226" max="9227" width="19.125" style="5" customWidth="1"/>
    <col min="9228" max="9228" width="17.125" style="5" bestFit="1" customWidth="1"/>
    <col min="9229" max="9229" width="12.875" style="5" bestFit="1" customWidth="1"/>
    <col min="9230" max="9230" width="7.5" style="5" bestFit="1" customWidth="1"/>
    <col min="9231" max="9231" width="14.375" style="5" customWidth="1"/>
    <col min="9232" max="9232" width="17" style="5" customWidth="1"/>
    <col min="9233" max="9233" width="15.125" style="5" customWidth="1"/>
    <col min="9234" max="9234" width="9" style="5" bestFit="1" customWidth="1"/>
    <col min="9235" max="9235" width="9.125" style="5" bestFit="1" customWidth="1"/>
    <col min="9236" max="9473" width="9" style="5"/>
    <col min="9474" max="9474" width="3.125" style="5" customWidth="1"/>
    <col min="9475" max="9475" width="7.5" style="5" customWidth="1"/>
    <col min="9476" max="9476" width="22" style="5" bestFit="1" customWidth="1"/>
    <col min="9477" max="9477" width="18.625" style="5" customWidth="1"/>
    <col min="9478" max="9478" width="17" style="5" customWidth="1"/>
    <col min="9479" max="9479" width="18.125" style="5" customWidth="1"/>
    <col min="9480" max="9480" width="14.625" style="5" customWidth="1"/>
    <col min="9481" max="9481" width="18" style="5" customWidth="1"/>
    <col min="9482" max="9483" width="19.125" style="5" customWidth="1"/>
    <col min="9484" max="9484" width="17.125" style="5" bestFit="1" customWidth="1"/>
    <col min="9485" max="9485" width="12.875" style="5" bestFit="1" customWidth="1"/>
    <col min="9486" max="9486" width="7.5" style="5" bestFit="1" customWidth="1"/>
    <col min="9487" max="9487" width="14.375" style="5" customWidth="1"/>
    <col min="9488" max="9488" width="17" style="5" customWidth="1"/>
    <col min="9489" max="9489" width="15.125" style="5" customWidth="1"/>
    <col min="9490" max="9490" width="9" style="5" bestFit="1" customWidth="1"/>
    <col min="9491" max="9491" width="9.125" style="5" bestFit="1" customWidth="1"/>
    <col min="9492" max="9729" width="9" style="5"/>
    <col min="9730" max="9730" width="3.125" style="5" customWidth="1"/>
    <col min="9731" max="9731" width="7.5" style="5" customWidth="1"/>
    <col min="9732" max="9732" width="22" style="5" bestFit="1" customWidth="1"/>
    <col min="9733" max="9733" width="18.625" style="5" customWidth="1"/>
    <col min="9734" max="9734" width="17" style="5" customWidth="1"/>
    <col min="9735" max="9735" width="18.125" style="5" customWidth="1"/>
    <col min="9736" max="9736" width="14.625" style="5" customWidth="1"/>
    <col min="9737" max="9737" width="18" style="5" customWidth="1"/>
    <col min="9738" max="9739" width="19.125" style="5" customWidth="1"/>
    <col min="9740" max="9740" width="17.125" style="5" bestFit="1" customWidth="1"/>
    <col min="9741" max="9741" width="12.875" style="5" bestFit="1" customWidth="1"/>
    <col min="9742" max="9742" width="7.5" style="5" bestFit="1" customWidth="1"/>
    <col min="9743" max="9743" width="14.375" style="5" customWidth="1"/>
    <col min="9744" max="9744" width="17" style="5" customWidth="1"/>
    <col min="9745" max="9745" width="15.125" style="5" customWidth="1"/>
    <col min="9746" max="9746" width="9" style="5" bestFit="1" customWidth="1"/>
    <col min="9747" max="9747" width="9.125" style="5" bestFit="1" customWidth="1"/>
    <col min="9748" max="9985" width="9" style="5"/>
    <col min="9986" max="9986" width="3.125" style="5" customWidth="1"/>
    <col min="9987" max="9987" width="7.5" style="5" customWidth="1"/>
    <col min="9988" max="9988" width="22" style="5" bestFit="1" customWidth="1"/>
    <col min="9989" max="9989" width="18.625" style="5" customWidth="1"/>
    <col min="9990" max="9990" width="17" style="5" customWidth="1"/>
    <col min="9991" max="9991" width="18.125" style="5" customWidth="1"/>
    <col min="9992" max="9992" width="14.625" style="5" customWidth="1"/>
    <col min="9993" max="9993" width="18" style="5" customWidth="1"/>
    <col min="9994" max="9995" width="19.125" style="5" customWidth="1"/>
    <col min="9996" max="9996" width="17.125" style="5" bestFit="1" customWidth="1"/>
    <col min="9997" max="9997" width="12.875" style="5" bestFit="1" customWidth="1"/>
    <col min="9998" max="9998" width="7.5" style="5" bestFit="1" customWidth="1"/>
    <col min="9999" max="9999" width="14.375" style="5" customWidth="1"/>
    <col min="10000" max="10000" width="17" style="5" customWidth="1"/>
    <col min="10001" max="10001" width="15.125" style="5" customWidth="1"/>
    <col min="10002" max="10002" width="9" style="5" bestFit="1" customWidth="1"/>
    <col min="10003" max="10003" width="9.125" style="5" bestFit="1" customWidth="1"/>
    <col min="10004" max="10241" width="9" style="5"/>
    <col min="10242" max="10242" width="3.125" style="5" customWidth="1"/>
    <col min="10243" max="10243" width="7.5" style="5" customWidth="1"/>
    <col min="10244" max="10244" width="22" style="5" bestFit="1" customWidth="1"/>
    <col min="10245" max="10245" width="18.625" style="5" customWidth="1"/>
    <col min="10246" max="10246" width="17" style="5" customWidth="1"/>
    <col min="10247" max="10247" width="18.125" style="5" customWidth="1"/>
    <col min="10248" max="10248" width="14.625" style="5" customWidth="1"/>
    <col min="10249" max="10249" width="18" style="5" customWidth="1"/>
    <col min="10250" max="10251" width="19.125" style="5" customWidth="1"/>
    <col min="10252" max="10252" width="17.125" style="5" bestFit="1" customWidth="1"/>
    <col min="10253" max="10253" width="12.875" style="5" bestFit="1" customWidth="1"/>
    <col min="10254" max="10254" width="7.5" style="5" bestFit="1" customWidth="1"/>
    <col min="10255" max="10255" width="14.375" style="5" customWidth="1"/>
    <col min="10256" max="10256" width="17" style="5" customWidth="1"/>
    <col min="10257" max="10257" width="15.125" style="5" customWidth="1"/>
    <col min="10258" max="10258" width="9" style="5" bestFit="1" customWidth="1"/>
    <col min="10259" max="10259" width="9.125" style="5" bestFit="1" customWidth="1"/>
    <col min="10260" max="10497" width="9" style="5"/>
    <col min="10498" max="10498" width="3.125" style="5" customWidth="1"/>
    <col min="10499" max="10499" width="7.5" style="5" customWidth="1"/>
    <col min="10500" max="10500" width="22" style="5" bestFit="1" customWidth="1"/>
    <col min="10501" max="10501" width="18.625" style="5" customWidth="1"/>
    <col min="10502" max="10502" width="17" style="5" customWidth="1"/>
    <col min="10503" max="10503" width="18.125" style="5" customWidth="1"/>
    <col min="10504" max="10504" width="14.625" style="5" customWidth="1"/>
    <col min="10505" max="10505" width="18" style="5" customWidth="1"/>
    <col min="10506" max="10507" width="19.125" style="5" customWidth="1"/>
    <col min="10508" max="10508" width="17.125" style="5" bestFit="1" customWidth="1"/>
    <col min="10509" max="10509" width="12.875" style="5" bestFit="1" customWidth="1"/>
    <col min="10510" max="10510" width="7.5" style="5" bestFit="1" customWidth="1"/>
    <col min="10511" max="10511" width="14.375" style="5" customWidth="1"/>
    <col min="10512" max="10512" width="17" style="5" customWidth="1"/>
    <col min="10513" max="10513" width="15.125" style="5" customWidth="1"/>
    <col min="10514" max="10514" width="9" style="5" bestFit="1" customWidth="1"/>
    <col min="10515" max="10515" width="9.125" style="5" bestFit="1" customWidth="1"/>
    <col min="10516" max="10753" width="9" style="5"/>
    <col min="10754" max="10754" width="3.125" style="5" customWidth="1"/>
    <col min="10755" max="10755" width="7.5" style="5" customWidth="1"/>
    <col min="10756" max="10756" width="22" style="5" bestFit="1" customWidth="1"/>
    <col min="10757" max="10757" width="18.625" style="5" customWidth="1"/>
    <col min="10758" max="10758" width="17" style="5" customWidth="1"/>
    <col min="10759" max="10759" width="18.125" style="5" customWidth="1"/>
    <col min="10760" max="10760" width="14.625" style="5" customWidth="1"/>
    <col min="10761" max="10761" width="18" style="5" customWidth="1"/>
    <col min="10762" max="10763" width="19.125" style="5" customWidth="1"/>
    <col min="10764" max="10764" width="17.125" style="5" bestFit="1" customWidth="1"/>
    <col min="10765" max="10765" width="12.875" style="5" bestFit="1" customWidth="1"/>
    <col min="10766" max="10766" width="7.5" style="5" bestFit="1" customWidth="1"/>
    <col min="10767" max="10767" width="14.375" style="5" customWidth="1"/>
    <col min="10768" max="10768" width="17" style="5" customWidth="1"/>
    <col min="10769" max="10769" width="15.125" style="5" customWidth="1"/>
    <col min="10770" max="10770" width="9" style="5" bestFit="1" customWidth="1"/>
    <col min="10771" max="10771" width="9.125" style="5" bestFit="1" customWidth="1"/>
    <col min="10772" max="11009" width="9" style="5"/>
    <col min="11010" max="11010" width="3.125" style="5" customWidth="1"/>
    <col min="11011" max="11011" width="7.5" style="5" customWidth="1"/>
    <col min="11012" max="11012" width="22" style="5" bestFit="1" customWidth="1"/>
    <col min="11013" max="11013" width="18.625" style="5" customWidth="1"/>
    <col min="11014" max="11014" width="17" style="5" customWidth="1"/>
    <col min="11015" max="11015" width="18.125" style="5" customWidth="1"/>
    <col min="11016" max="11016" width="14.625" style="5" customWidth="1"/>
    <col min="11017" max="11017" width="18" style="5" customWidth="1"/>
    <col min="11018" max="11019" width="19.125" style="5" customWidth="1"/>
    <col min="11020" max="11020" width="17.125" style="5" bestFit="1" customWidth="1"/>
    <col min="11021" max="11021" width="12.875" style="5" bestFit="1" customWidth="1"/>
    <col min="11022" max="11022" width="7.5" style="5" bestFit="1" customWidth="1"/>
    <col min="11023" max="11023" width="14.375" style="5" customWidth="1"/>
    <col min="11024" max="11024" width="17" style="5" customWidth="1"/>
    <col min="11025" max="11025" width="15.125" style="5" customWidth="1"/>
    <col min="11026" max="11026" width="9" style="5" bestFit="1" customWidth="1"/>
    <col min="11027" max="11027" width="9.125" style="5" bestFit="1" customWidth="1"/>
    <col min="11028" max="11265" width="9" style="5"/>
    <col min="11266" max="11266" width="3.125" style="5" customWidth="1"/>
    <col min="11267" max="11267" width="7.5" style="5" customWidth="1"/>
    <col min="11268" max="11268" width="22" style="5" bestFit="1" customWidth="1"/>
    <col min="11269" max="11269" width="18.625" style="5" customWidth="1"/>
    <col min="11270" max="11270" width="17" style="5" customWidth="1"/>
    <col min="11271" max="11271" width="18.125" style="5" customWidth="1"/>
    <col min="11272" max="11272" width="14.625" style="5" customWidth="1"/>
    <col min="11273" max="11273" width="18" style="5" customWidth="1"/>
    <col min="11274" max="11275" width="19.125" style="5" customWidth="1"/>
    <col min="11276" max="11276" width="17.125" style="5" bestFit="1" customWidth="1"/>
    <col min="11277" max="11277" width="12.875" style="5" bestFit="1" customWidth="1"/>
    <col min="11278" max="11278" width="7.5" style="5" bestFit="1" customWidth="1"/>
    <col min="11279" max="11279" width="14.375" style="5" customWidth="1"/>
    <col min="11280" max="11280" width="17" style="5" customWidth="1"/>
    <col min="11281" max="11281" width="15.125" style="5" customWidth="1"/>
    <col min="11282" max="11282" width="9" style="5" bestFit="1" customWidth="1"/>
    <col min="11283" max="11283" width="9.125" style="5" bestFit="1" customWidth="1"/>
    <col min="11284" max="11521" width="9" style="5"/>
    <col min="11522" max="11522" width="3.125" style="5" customWidth="1"/>
    <col min="11523" max="11523" width="7.5" style="5" customWidth="1"/>
    <col min="11524" max="11524" width="22" style="5" bestFit="1" customWidth="1"/>
    <col min="11525" max="11525" width="18.625" style="5" customWidth="1"/>
    <col min="11526" max="11526" width="17" style="5" customWidth="1"/>
    <col min="11527" max="11527" width="18.125" style="5" customWidth="1"/>
    <col min="11528" max="11528" width="14.625" style="5" customWidth="1"/>
    <col min="11529" max="11529" width="18" style="5" customWidth="1"/>
    <col min="11530" max="11531" width="19.125" style="5" customWidth="1"/>
    <col min="11532" max="11532" width="17.125" style="5" bestFit="1" customWidth="1"/>
    <col min="11533" max="11533" width="12.875" style="5" bestFit="1" customWidth="1"/>
    <col min="11534" max="11534" width="7.5" style="5" bestFit="1" customWidth="1"/>
    <col min="11535" max="11535" width="14.375" style="5" customWidth="1"/>
    <col min="11536" max="11536" width="17" style="5" customWidth="1"/>
    <col min="11537" max="11537" width="15.125" style="5" customWidth="1"/>
    <col min="11538" max="11538" width="9" style="5" bestFit="1" customWidth="1"/>
    <col min="11539" max="11539" width="9.125" style="5" bestFit="1" customWidth="1"/>
    <col min="11540" max="11777" width="9" style="5"/>
    <col min="11778" max="11778" width="3.125" style="5" customWidth="1"/>
    <col min="11779" max="11779" width="7.5" style="5" customWidth="1"/>
    <col min="11780" max="11780" width="22" style="5" bestFit="1" customWidth="1"/>
    <col min="11781" max="11781" width="18.625" style="5" customWidth="1"/>
    <col min="11782" max="11782" width="17" style="5" customWidth="1"/>
    <col min="11783" max="11783" width="18.125" style="5" customWidth="1"/>
    <col min="11784" max="11784" width="14.625" style="5" customWidth="1"/>
    <col min="11785" max="11785" width="18" style="5" customWidth="1"/>
    <col min="11786" max="11787" width="19.125" style="5" customWidth="1"/>
    <col min="11788" max="11788" width="17.125" style="5" bestFit="1" customWidth="1"/>
    <col min="11789" max="11789" width="12.875" style="5" bestFit="1" customWidth="1"/>
    <col min="11790" max="11790" width="7.5" style="5" bestFit="1" customWidth="1"/>
    <col min="11791" max="11791" width="14.375" style="5" customWidth="1"/>
    <col min="11792" max="11792" width="17" style="5" customWidth="1"/>
    <col min="11793" max="11793" width="15.125" style="5" customWidth="1"/>
    <col min="11794" max="11794" width="9" style="5" bestFit="1" customWidth="1"/>
    <col min="11795" max="11795" width="9.125" style="5" bestFit="1" customWidth="1"/>
    <col min="11796" max="12033" width="9" style="5"/>
    <col min="12034" max="12034" width="3.125" style="5" customWidth="1"/>
    <col min="12035" max="12035" width="7.5" style="5" customWidth="1"/>
    <col min="12036" max="12036" width="22" style="5" bestFit="1" customWidth="1"/>
    <col min="12037" max="12037" width="18.625" style="5" customWidth="1"/>
    <col min="12038" max="12038" width="17" style="5" customWidth="1"/>
    <col min="12039" max="12039" width="18.125" style="5" customWidth="1"/>
    <col min="12040" max="12040" width="14.625" style="5" customWidth="1"/>
    <col min="12041" max="12041" width="18" style="5" customWidth="1"/>
    <col min="12042" max="12043" width="19.125" style="5" customWidth="1"/>
    <col min="12044" max="12044" width="17.125" style="5" bestFit="1" customWidth="1"/>
    <col min="12045" max="12045" width="12.875" style="5" bestFit="1" customWidth="1"/>
    <col min="12046" max="12046" width="7.5" style="5" bestFit="1" customWidth="1"/>
    <col min="12047" max="12047" width="14.375" style="5" customWidth="1"/>
    <col min="12048" max="12048" width="17" style="5" customWidth="1"/>
    <col min="12049" max="12049" width="15.125" style="5" customWidth="1"/>
    <col min="12050" max="12050" width="9" style="5" bestFit="1" customWidth="1"/>
    <col min="12051" max="12051" width="9.125" style="5" bestFit="1" customWidth="1"/>
    <col min="12052" max="12289" width="9" style="5"/>
    <col min="12290" max="12290" width="3.125" style="5" customWidth="1"/>
    <col min="12291" max="12291" width="7.5" style="5" customWidth="1"/>
    <col min="12292" max="12292" width="22" style="5" bestFit="1" customWidth="1"/>
    <col min="12293" max="12293" width="18.625" style="5" customWidth="1"/>
    <col min="12294" max="12294" width="17" style="5" customWidth="1"/>
    <col min="12295" max="12295" width="18.125" style="5" customWidth="1"/>
    <col min="12296" max="12296" width="14.625" style="5" customWidth="1"/>
    <col min="12297" max="12297" width="18" style="5" customWidth="1"/>
    <col min="12298" max="12299" width="19.125" style="5" customWidth="1"/>
    <col min="12300" max="12300" width="17.125" style="5" bestFit="1" customWidth="1"/>
    <col min="12301" max="12301" width="12.875" style="5" bestFit="1" customWidth="1"/>
    <col min="12302" max="12302" width="7.5" style="5" bestFit="1" customWidth="1"/>
    <col min="12303" max="12303" width="14.375" style="5" customWidth="1"/>
    <col min="12304" max="12304" width="17" style="5" customWidth="1"/>
    <col min="12305" max="12305" width="15.125" style="5" customWidth="1"/>
    <col min="12306" max="12306" width="9" style="5" bestFit="1" customWidth="1"/>
    <col min="12307" max="12307" width="9.125" style="5" bestFit="1" customWidth="1"/>
    <col min="12308" max="12545" width="9" style="5"/>
    <col min="12546" max="12546" width="3.125" style="5" customWidth="1"/>
    <col min="12547" max="12547" width="7.5" style="5" customWidth="1"/>
    <col min="12548" max="12548" width="22" style="5" bestFit="1" customWidth="1"/>
    <col min="12549" max="12549" width="18.625" style="5" customWidth="1"/>
    <col min="12550" max="12550" width="17" style="5" customWidth="1"/>
    <col min="12551" max="12551" width="18.125" style="5" customWidth="1"/>
    <col min="12552" max="12552" width="14.625" style="5" customWidth="1"/>
    <col min="12553" max="12553" width="18" style="5" customWidth="1"/>
    <col min="12554" max="12555" width="19.125" style="5" customWidth="1"/>
    <col min="12556" max="12556" width="17.125" style="5" bestFit="1" customWidth="1"/>
    <col min="12557" max="12557" width="12.875" style="5" bestFit="1" customWidth="1"/>
    <col min="12558" max="12558" width="7.5" style="5" bestFit="1" customWidth="1"/>
    <col min="12559" max="12559" width="14.375" style="5" customWidth="1"/>
    <col min="12560" max="12560" width="17" style="5" customWidth="1"/>
    <col min="12561" max="12561" width="15.125" style="5" customWidth="1"/>
    <col min="12562" max="12562" width="9" style="5" bestFit="1" customWidth="1"/>
    <col min="12563" max="12563" width="9.125" style="5" bestFit="1" customWidth="1"/>
    <col min="12564" max="12801" width="9" style="5"/>
    <col min="12802" max="12802" width="3.125" style="5" customWidth="1"/>
    <col min="12803" max="12803" width="7.5" style="5" customWidth="1"/>
    <col min="12804" max="12804" width="22" style="5" bestFit="1" customWidth="1"/>
    <col min="12805" max="12805" width="18.625" style="5" customWidth="1"/>
    <col min="12806" max="12806" width="17" style="5" customWidth="1"/>
    <col min="12807" max="12807" width="18.125" style="5" customWidth="1"/>
    <col min="12808" max="12808" width="14.625" style="5" customWidth="1"/>
    <col min="12809" max="12809" width="18" style="5" customWidth="1"/>
    <col min="12810" max="12811" width="19.125" style="5" customWidth="1"/>
    <col min="12812" max="12812" width="17.125" style="5" bestFit="1" customWidth="1"/>
    <col min="12813" max="12813" width="12.875" style="5" bestFit="1" customWidth="1"/>
    <col min="12814" max="12814" width="7.5" style="5" bestFit="1" customWidth="1"/>
    <col min="12815" max="12815" width="14.375" style="5" customWidth="1"/>
    <col min="12816" max="12816" width="17" style="5" customWidth="1"/>
    <col min="12817" max="12817" width="15.125" style="5" customWidth="1"/>
    <col min="12818" max="12818" width="9" style="5" bestFit="1" customWidth="1"/>
    <col min="12819" max="12819" width="9.125" style="5" bestFit="1" customWidth="1"/>
    <col min="12820" max="13057" width="9" style="5"/>
    <col min="13058" max="13058" width="3.125" style="5" customWidth="1"/>
    <col min="13059" max="13059" width="7.5" style="5" customWidth="1"/>
    <col min="13060" max="13060" width="22" style="5" bestFit="1" customWidth="1"/>
    <col min="13061" max="13061" width="18.625" style="5" customWidth="1"/>
    <col min="13062" max="13062" width="17" style="5" customWidth="1"/>
    <col min="13063" max="13063" width="18.125" style="5" customWidth="1"/>
    <col min="13064" max="13064" width="14.625" style="5" customWidth="1"/>
    <col min="13065" max="13065" width="18" style="5" customWidth="1"/>
    <col min="13066" max="13067" width="19.125" style="5" customWidth="1"/>
    <col min="13068" max="13068" width="17.125" style="5" bestFit="1" customWidth="1"/>
    <col min="13069" max="13069" width="12.875" style="5" bestFit="1" customWidth="1"/>
    <col min="13070" max="13070" width="7.5" style="5" bestFit="1" customWidth="1"/>
    <col min="13071" max="13071" width="14.375" style="5" customWidth="1"/>
    <col min="13072" max="13072" width="17" style="5" customWidth="1"/>
    <col min="13073" max="13073" width="15.125" style="5" customWidth="1"/>
    <col min="13074" max="13074" width="9" style="5" bestFit="1" customWidth="1"/>
    <col min="13075" max="13075" width="9.125" style="5" bestFit="1" customWidth="1"/>
    <col min="13076" max="13313" width="9" style="5"/>
    <col min="13314" max="13314" width="3.125" style="5" customWidth="1"/>
    <col min="13315" max="13315" width="7.5" style="5" customWidth="1"/>
    <col min="13316" max="13316" width="22" style="5" bestFit="1" customWidth="1"/>
    <col min="13317" max="13317" width="18.625" style="5" customWidth="1"/>
    <col min="13318" max="13318" width="17" style="5" customWidth="1"/>
    <col min="13319" max="13319" width="18.125" style="5" customWidth="1"/>
    <col min="13320" max="13320" width="14.625" style="5" customWidth="1"/>
    <col min="13321" max="13321" width="18" style="5" customWidth="1"/>
    <col min="13322" max="13323" width="19.125" style="5" customWidth="1"/>
    <col min="13324" max="13324" width="17.125" style="5" bestFit="1" customWidth="1"/>
    <col min="13325" max="13325" width="12.875" style="5" bestFit="1" customWidth="1"/>
    <col min="13326" max="13326" width="7.5" style="5" bestFit="1" customWidth="1"/>
    <col min="13327" max="13327" width="14.375" style="5" customWidth="1"/>
    <col min="13328" max="13328" width="17" style="5" customWidth="1"/>
    <col min="13329" max="13329" width="15.125" style="5" customWidth="1"/>
    <col min="13330" max="13330" width="9" style="5" bestFit="1" customWidth="1"/>
    <col min="13331" max="13331" width="9.125" style="5" bestFit="1" customWidth="1"/>
    <col min="13332" max="13569" width="9" style="5"/>
    <col min="13570" max="13570" width="3.125" style="5" customWidth="1"/>
    <col min="13571" max="13571" width="7.5" style="5" customWidth="1"/>
    <col min="13572" max="13572" width="22" style="5" bestFit="1" customWidth="1"/>
    <col min="13573" max="13573" width="18.625" style="5" customWidth="1"/>
    <col min="13574" max="13574" width="17" style="5" customWidth="1"/>
    <col min="13575" max="13575" width="18.125" style="5" customWidth="1"/>
    <col min="13576" max="13576" width="14.625" style="5" customWidth="1"/>
    <col min="13577" max="13577" width="18" style="5" customWidth="1"/>
    <col min="13578" max="13579" width="19.125" style="5" customWidth="1"/>
    <col min="13580" max="13580" width="17.125" style="5" bestFit="1" customWidth="1"/>
    <col min="13581" max="13581" width="12.875" style="5" bestFit="1" customWidth="1"/>
    <col min="13582" max="13582" width="7.5" style="5" bestFit="1" customWidth="1"/>
    <col min="13583" max="13583" width="14.375" style="5" customWidth="1"/>
    <col min="13584" max="13584" width="17" style="5" customWidth="1"/>
    <col min="13585" max="13585" width="15.125" style="5" customWidth="1"/>
    <col min="13586" max="13586" width="9" style="5" bestFit="1" customWidth="1"/>
    <col min="13587" max="13587" width="9.125" style="5" bestFit="1" customWidth="1"/>
    <col min="13588" max="13825" width="9" style="5"/>
    <col min="13826" max="13826" width="3.125" style="5" customWidth="1"/>
    <col min="13827" max="13827" width="7.5" style="5" customWidth="1"/>
    <col min="13828" max="13828" width="22" style="5" bestFit="1" customWidth="1"/>
    <col min="13829" max="13829" width="18.625" style="5" customWidth="1"/>
    <col min="13830" max="13830" width="17" style="5" customWidth="1"/>
    <col min="13831" max="13831" width="18.125" style="5" customWidth="1"/>
    <col min="13832" max="13832" width="14.625" style="5" customWidth="1"/>
    <col min="13833" max="13833" width="18" style="5" customWidth="1"/>
    <col min="13834" max="13835" width="19.125" style="5" customWidth="1"/>
    <col min="13836" max="13836" width="17.125" style="5" bestFit="1" customWidth="1"/>
    <col min="13837" max="13837" width="12.875" style="5" bestFit="1" customWidth="1"/>
    <col min="13838" max="13838" width="7.5" style="5" bestFit="1" customWidth="1"/>
    <col min="13839" max="13839" width="14.375" style="5" customWidth="1"/>
    <col min="13840" max="13840" width="17" style="5" customWidth="1"/>
    <col min="13841" max="13841" width="15.125" style="5" customWidth="1"/>
    <col min="13842" max="13842" width="9" style="5" bestFit="1" customWidth="1"/>
    <col min="13843" max="13843" width="9.125" style="5" bestFit="1" customWidth="1"/>
    <col min="13844" max="14081" width="9" style="5"/>
    <col min="14082" max="14082" width="3.125" style="5" customWidth="1"/>
    <col min="14083" max="14083" width="7.5" style="5" customWidth="1"/>
    <col min="14084" max="14084" width="22" style="5" bestFit="1" customWidth="1"/>
    <col min="14085" max="14085" width="18.625" style="5" customWidth="1"/>
    <col min="14086" max="14086" width="17" style="5" customWidth="1"/>
    <col min="14087" max="14087" width="18.125" style="5" customWidth="1"/>
    <col min="14088" max="14088" width="14.625" style="5" customWidth="1"/>
    <col min="14089" max="14089" width="18" style="5" customWidth="1"/>
    <col min="14090" max="14091" width="19.125" style="5" customWidth="1"/>
    <col min="14092" max="14092" width="17.125" style="5" bestFit="1" customWidth="1"/>
    <col min="14093" max="14093" width="12.875" style="5" bestFit="1" customWidth="1"/>
    <col min="14094" max="14094" width="7.5" style="5" bestFit="1" customWidth="1"/>
    <col min="14095" max="14095" width="14.375" style="5" customWidth="1"/>
    <col min="14096" max="14096" width="17" style="5" customWidth="1"/>
    <col min="14097" max="14097" width="15.125" style="5" customWidth="1"/>
    <col min="14098" max="14098" width="9" style="5" bestFit="1" customWidth="1"/>
    <col min="14099" max="14099" width="9.125" style="5" bestFit="1" customWidth="1"/>
    <col min="14100" max="14337" width="9" style="5"/>
    <col min="14338" max="14338" width="3.125" style="5" customWidth="1"/>
    <col min="14339" max="14339" width="7.5" style="5" customWidth="1"/>
    <col min="14340" max="14340" width="22" style="5" bestFit="1" customWidth="1"/>
    <col min="14341" max="14341" width="18.625" style="5" customWidth="1"/>
    <col min="14342" max="14342" width="17" style="5" customWidth="1"/>
    <col min="14343" max="14343" width="18.125" style="5" customWidth="1"/>
    <col min="14344" max="14344" width="14.625" style="5" customWidth="1"/>
    <col min="14345" max="14345" width="18" style="5" customWidth="1"/>
    <col min="14346" max="14347" width="19.125" style="5" customWidth="1"/>
    <col min="14348" max="14348" width="17.125" style="5" bestFit="1" customWidth="1"/>
    <col min="14349" max="14349" width="12.875" style="5" bestFit="1" customWidth="1"/>
    <col min="14350" max="14350" width="7.5" style="5" bestFit="1" customWidth="1"/>
    <col min="14351" max="14351" width="14.375" style="5" customWidth="1"/>
    <col min="14352" max="14352" width="17" style="5" customWidth="1"/>
    <col min="14353" max="14353" width="15.125" style="5" customWidth="1"/>
    <col min="14354" max="14354" width="9" style="5" bestFit="1" customWidth="1"/>
    <col min="14355" max="14355" width="9.125" style="5" bestFit="1" customWidth="1"/>
    <col min="14356" max="14593" width="9" style="5"/>
    <col min="14594" max="14594" width="3.125" style="5" customWidth="1"/>
    <col min="14595" max="14595" width="7.5" style="5" customWidth="1"/>
    <col min="14596" max="14596" width="22" style="5" bestFit="1" customWidth="1"/>
    <col min="14597" max="14597" width="18.625" style="5" customWidth="1"/>
    <col min="14598" max="14598" width="17" style="5" customWidth="1"/>
    <col min="14599" max="14599" width="18.125" style="5" customWidth="1"/>
    <col min="14600" max="14600" width="14.625" style="5" customWidth="1"/>
    <col min="14601" max="14601" width="18" style="5" customWidth="1"/>
    <col min="14602" max="14603" width="19.125" style="5" customWidth="1"/>
    <col min="14604" max="14604" width="17.125" style="5" bestFit="1" customWidth="1"/>
    <col min="14605" max="14605" width="12.875" style="5" bestFit="1" customWidth="1"/>
    <col min="14606" max="14606" width="7.5" style="5" bestFit="1" customWidth="1"/>
    <col min="14607" max="14607" width="14.375" style="5" customWidth="1"/>
    <col min="14608" max="14608" width="17" style="5" customWidth="1"/>
    <col min="14609" max="14609" width="15.125" style="5" customWidth="1"/>
    <col min="14610" max="14610" width="9" style="5" bestFit="1" customWidth="1"/>
    <col min="14611" max="14611" width="9.125" style="5" bestFit="1" customWidth="1"/>
    <col min="14612" max="14849" width="9" style="5"/>
    <col min="14850" max="14850" width="3.125" style="5" customWidth="1"/>
    <col min="14851" max="14851" width="7.5" style="5" customWidth="1"/>
    <col min="14852" max="14852" width="22" style="5" bestFit="1" customWidth="1"/>
    <col min="14853" max="14853" width="18.625" style="5" customWidth="1"/>
    <col min="14854" max="14854" width="17" style="5" customWidth="1"/>
    <col min="14855" max="14855" width="18.125" style="5" customWidth="1"/>
    <col min="14856" max="14856" width="14.625" style="5" customWidth="1"/>
    <col min="14857" max="14857" width="18" style="5" customWidth="1"/>
    <col min="14858" max="14859" width="19.125" style="5" customWidth="1"/>
    <col min="14860" max="14860" width="17.125" style="5" bestFit="1" customWidth="1"/>
    <col min="14861" max="14861" width="12.875" style="5" bestFit="1" customWidth="1"/>
    <col min="14862" max="14862" width="7.5" style="5" bestFit="1" customWidth="1"/>
    <col min="14863" max="14863" width="14.375" style="5" customWidth="1"/>
    <col min="14864" max="14864" width="17" style="5" customWidth="1"/>
    <col min="14865" max="14865" width="15.125" style="5" customWidth="1"/>
    <col min="14866" max="14866" width="9" style="5" bestFit="1" customWidth="1"/>
    <col min="14867" max="14867" width="9.125" style="5" bestFit="1" customWidth="1"/>
    <col min="14868" max="15105" width="9" style="5"/>
    <col min="15106" max="15106" width="3.125" style="5" customWidth="1"/>
    <col min="15107" max="15107" width="7.5" style="5" customWidth="1"/>
    <col min="15108" max="15108" width="22" style="5" bestFit="1" customWidth="1"/>
    <col min="15109" max="15109" width="18.625" style="5" customWidth="1"/>
    <col min="15110" max="15110" width="17" style="5" customWidth="1"/>
    <col min="15111" max="15111" width="18.125" style="5" customWidth="1"/>
    <col min="15112" max="15112" width="14.625" style="5" customWidth="1"/>
    <col min="15113" max="15113" width="18" style="5" customWidth="1"/>
    <col min="15114" max="15115" width="19.125" style="5" customWidth="1"/>
    <col min="15116" max="15116" width="17.125" style="5" bestFit="1" customWidth="1"/>
    <col min="15117" max="15117" width="12.875" style="5" bestFit="1" customWidth="1"/>
    <col min="15118" max="15118" width="7.5" style="5" bestFit="1" customWidth="1"/>
    <col min="15119" max="15119" width="14.375" style="5" customWidth="1"/>
    <col min="15120" max="15120" width="17" style="5" customWidth="1"/>
    <col min="15121" max="15121" width="15.125" style="5" customWidth="1"/>
    <col min="15122" max="15122" width="9" style="5" bestFit="1" customWidth="1"/>
    <col min="15123" max="15123" width="9.125" style="5" bestFit="1" customWidth="1"/>
    <col min="15124" max="15361" width="9" style="5"/>
    <col min="15362" max="15362" width="3.125" style="5" customWidth="1"/>
    <col min="15363" max="15363" width="7.5" style="5" customWidth="1"/>
    <col min="15364" max="15364" width="22" style="5" bestFit="1" customWidth="1"/>
    <col min="15365" max="15365" width="18.625" style="5" customWidth="1"/>
    <col min="15366" max="15366" width="17" style="5" customWidth="1"/>
    <col min="15367" max="15367" width="18.125" style="5" customWidth="1"/>
    <col min="15368" max="15368" width="14.625" style="5" customWidth="1"/>
    <col min="15369" max="15369" width="18" style="5" customWidth="1"/>
    <col min="15370" max="15371" width="19.125" style="5" customWidth="1"/>
    <col min="15372" max="15372" width="17.125" style="5" bestFit="1" customWidth="1"/>
    <col min="15373" max="15373" width="12.875" style="5" bestFit="1" customWidth="1"/>
    <col min="15374" max="15374" width="7.5" style="5" bestFit="1" customWidth="1"/>
    <col min="15375" max="15375" width="14.375" style="5" customWidth="1"/>
    <col min="15376" max="15376" width="17" style="5" customWidth="1"/>
    <col min="15377" max="15377" width="15.125" style="5" customWidth="1"/>
    <col min="15378" max="15378" width="9" style="5" bestFit="1" customWidth="1"/>
    <col min="15379" max="15379" width="9.125" style="5" bestFit="1" customWidth="1"/>
    <col min="15380" max="15617" width="9" style="5"/>
    <col min="15618" max="15618" width="3.125" style="5" customWidth="1"/>
    <col min="15619" max="15619" width="7.5" style="5" customWidth="1"/>
    <col min="15620" max="15620" width="22" style="5" bestFit="1" customWidth="1"/>
    <col min="15621" max="15621" width="18.625" style="5" customWidth="1"/>
    <col min="15622" max="15622" width="17" style="5" customWidth="1"/>
    <col min="15623" max="15623" width="18.125" style="5" customWidth="1"/>
    <col min="15624" max="15624" width="14.625" style="5" customWidth="1"/>
    <col min="15625" max="15625" width="18" style="5" customWidth="1"/>
    <col min="15626" max="15627" width="19.125" style="5" customWidth="1"/>
    <col min="15628" max="15628" width="17.125" style="5" bestFit="1" customWidth="1"/>
    <col min="15629" max="15629" width="12.875" style="5" bestFit="1" customWidth="1"/>
    <col min="15630" max="15630" width="7.5" style="5" bestFit="1" customWidth="1"/>
    <col min="15631" max="15631" width="14.375" style="5" customWidth="1"/>
    <col min="15632" max="15632" width="17" style="5" customWidth="1"/>
    <col min="15633" max="15633" width="15.125" style="5" customWidth="1"/>
    <col min="15634" max="15634" width="9" style="5" bestFit="1" customWidth="1"/>
    <col min="15635" max="15635" width="9.125" style="5" bestFit="1" customWidth="1"/>
    <col min="15636" max="15873" width="9" style="5"/>
    <col min="15874" max="15874" width="3.125" style="5" customWidth="1"/>
    <col min="15875" max="15875" width="7.5" style="5" customWidth="1"/>
    <col min="15876" max="15876" width="22" style="5" bestFit="1" customWidth="1"/>
    <col min="15877" max="15877" width="18.625" style="5" customWidth="1"/>
    <col min="15878" max="15878" width="17" style="5" customWidth="1"/>
    <col min="15879" max="15879" width="18.125" style="5" customWidth="1"/>
    <col min="15880" max="15880" width="14.625" style="5" customWidth="1"/>
    <col min="15881" max="15881" width="18" style="5" customWidth="1"/>
    <col min="15882" max="15883" width="19.125" style="5" customWidth="1"/>
    <col min="15884" max="15884" width="17.125" style="5" bestFit="1" customWidth="1"/>
    <col min="15885" max="15885" width="12.875" style="5" bestFit="1" customWidth="1"/>
    <col min="15886" max="15886" width="7.5" style="5" bestFit="1" customWidth="1"/>
    <col min="15887" max="15887" width="14.375" style="5" customWidth="1"/>
    <col min="15888" max="15888" width="17" style="5" customWidth="1"/>
    <col min="15889" max="15889" width="15.125" style="5" customWidth="1"/>
    <col min="15890" max="15890" width="9" style="5" bestFit="1" customWidth="1"/>
    <col min="15891" max="15891" width="9.125" style="5" bestFit="1" customWidth="1"/>
    <col min="15892" max="16129" width="9" style="5"/>
    <col min="16130" max="16130" width="3.125" style="5" customWidth="1"/>
    <col min="16131" max="16131" width="7.5" style="5" customWidth="1"/>
    <col min="16132" max="16132" width="22" style="5" bestFit="1" customWidth="1"/>
    <col min="16133" max="16133" width="18.625" style="5" customWidth="1"/>
    <col min="16134" max="16134" width="17" style="5" customWidth="1"/>
    <col min="16135" max="16135" width="18.125" style="5" customWidth="1"/>
    <col min="16136" max="16136" width="14.625" style="5" customWidth="1"/>
    <col min="16137" max="16137" width="18" style="5" customWidth="1"/>
    <col min="16138" max="16139" width="19.125" style="5" customWidth="1"/>
    <col min="16140" max="16140" width="17.125" style="5" bestFit="1" customWidth="1"/>
    <col min="16141" max="16141" width="12.875" style="5" bestFit="1" customWidth="1"/>
    <col min="16142" max="16142" width="7.5" style="5" bestFit="1" customWidth="1"/>
    <col min="16143" max="16143" width="14.375" style="5" customWidth="1"/>
    <col min="16144" max="16144" width="17" style="5" customWidth="1"/>
    <col min="16145" max="16145" width="15.125" style="5" customWidth="1"/>
    <col min="16146" max="16146" width="9" style="5" bestFit="1" customWidth="1"/>
    <col min="16147" max="16147" width="9.125" style="5" bestFit="1" customWidth="1"/>
    <col min="16148" max="16384" width="9" style="5"/>
  </cols>
  <sheetData>
    <row r="1" spans="1:19" ht="14.25" thickBot="1">
      <c r="A1" s="14"/>
      <c r="B1" s="13"/>
    </row>
    <row r="2" spans="1:19" s="11" customFormat="1" ht="27" thickBot="1">
      <c r="A2" s="12"/>
      <c r="B2" s="134" t="s">
        <v>1402</v>
      </c>
      <c r="C2" s="135" t="s">
        <v>619</v>
      </c>
      <c r="F2" s="122" t="s">
        <v>1401</v>
      </c>
      <c r="R2" s="2"/>
    </row>
    <row r="4" spans="1:19">
      <c r="B4" s="13" t="s">
        <v>427</v>
      </c>
    </row>
    <row r="5" spans="1:19" s="95" customFormat="1" ht="14.25" thickBot="1">
      <c r="B5" s="127" t="s">
        <v>410</v>
      </c>
      <c r="C5" s="127" t="s">
        <v>405</v>
      </c>
      <c r="D5" s="127"/>
      <c r="E5" s="127" t="s">
        <v>406</v>
      </c>
      <c r="F5" s="127" t="s">
        <v>407</v>
      </c>
      <c r="G5" s="127" t="s">
        <v>62</v>
      </c>
      <c r="H5" s="127" t="s">
        <v>409</v>
      </c>
      <c r="S5" s="111"/>
    </row>
    <row r="6" spans="1:19" s="95" customFormat="1">
      <c r="B6" s="126">
        <f>RoS!B17</f>
        <v>42889</v>
      </c>
      <c r="C6" s="95" t="str">
        <f>RoS!C17</f>
        <v>울트라브이</v>
      </c>
      <c r="E6" s="95">
        <f>RoS!D17</f>
        <v>1007400</v>
      </c>
      <c r="F6" s="2003">
        <f>(E6+E7)/$E$10</f>
        <v>1</v>
      </c>
      <c r="G6" s="2005">
        <f>ROUND($G$10*F6,)</f>
        <v>703476600</v>
      </c>
      <c r="H6" s="117"/>
      <c r="S6" s="111"/>
    </row>
    <row r="7" spans="1:19" s="95" customFormat="1">
      <c r="B7" s="126">
        <f>RoS!B18</f>
        <v>45626</v>
      </c>
      <c r="C7" s="95" t="str">
        <f>RoS!C18</f>
        <v>울트라브이</v>
      </c>
      <c r="E7" s="95">
        <f>RoS!D18</f>
        <v>3120000</v>
      </c>
      <c r="F7" s="2004"/>
      <c r="G7" s="2006"/>
      <c r="H7" s="117"/>
      <c r="S7" s="111"/>
    </row>
    <row r="8" spans="1:19" s="95" customFormat="1">
      <c r="C8" s="95">
        <f>RoS!C28</f>
        <v>0</v>
      </c>
      <c r="E8" s="95">
        <f>RoS!D28</f>
        <v>0</v>
      </c>
      <c r="F8" s="411">
        <f>E8/$E$10</f>
        <v>0</v>
      </c>
      <c r="G8" s="98">
        <f>ROUND($G$10*F8,)</f>
        <v>0</v>
      </c>
      <c r="H8" s="112"/>
      <c r="S8" s="111"/>
    </row>
    <row r="9" spans="1:19" s="95" customFormat="1">
      <c r="C9" s="95">
        <f>RoS!C29</f>
        <v>0</v>
      </c>
      <c r="E9" s="95">
        <f>RoS!D29</f>
        <v>0</v>
      </c>
      <c r="F9" s="411">
        <f>E9/$E$10</f>
        <v>0</v>
      </c>
      <c r="G9" s="98">
        <f>ROUND($G$10*F9,)</f>
        <v>0</v>
      </c>
      <c r="H9" s="112"/>
      <c r="S9" s="111"/>
    </row>
    <row r="10" spans="1:19" s="95" customFormat="1" ht="14.25" thickBot="1">
      <c r="B10" s="2007" t="s">
        <v>408</v>
      </c>
      <c r="C10" s="2007"/>
      <c r="D10" s="2007"/>
      <c r="E10" s="115">
        <f>SUM(E6:E9)</f>
        <v>4127400</v>
      </c>
      <c r="F10" s="116">
        <f>SUM(F6:F9)</f>
        <v>1</v>
      </c>
      <c r="G10" s="115">
        <f>BS!J123</f>
        <v>703476600</v>
      </c>
      <c r="H10" s="116"/>
      <c r="S10" s="111"/>
    </row>
    <row r="11" spans="1:19" s="95" customFormat="1" ht="14.25" thickTop="1">
      <c r="B11" s="118"/>
      <c r="C11" s="118"/>
      <c r="D11" s="118"/>
      <c r="E11" s="119"/>
      <c r="F11" s="120"/>
      <c r="G11" s="120"/>
      <c r="R11" s="111"/>
    </row>
    <row r="12" spans="1:19" s="95" customFormat="1" ht="14.25" thickBot="1">
      <c r="B12" s="127"/>
      <c r="C12" s="127" t="s">
        <v>1410</v>
      </c>
      <c r="D12" s="127" t="s">
        <v>426</v>
      </c>
      <c r="R12" s="111"/>
    </row>
    <row r="13" spans="1:19" s="95" customFormat="1">
      <c r="B13" s="138" t="s">
        <v>407</v>
      </c>
      <c r="C13" s="402">
        <f>RoS!N28</f>
        <v>1</v>
      </c>
      <c r="D13" s="137">
        <f>1-C13</f>
        <v>0</v>
      </c>
      <c r="R13" s="111"/>
    </row>
    <row r="14" spans="1:19" s="95" customFormat="1">
      <c r="R14" s="111"/>
    </row>
    <row r="15" spans="1:19" s="95" customFormat="1">
      <c r="R15" s="111"/>
    </row>
    <row r="16" spans="1:19" s="95" customFormat="1">
      <c r="B16" s="119" t="s">
        <v>428</v>
      </c>
      <c r="R16" s="111"/>
    </row>
    <row r="17" spans="2:18" s="95" customFormat="1" ht="14.25" thickBot="1">
      <c r="B17" s="128" t="s">
        <v>1415</v>
      </c>
      <c r="C17" s="128" t="s">
        <v>414</v>
      </c>
      <c r="D17" s="128" t="s">
        <v>413</v>
      </c>
      <c r="R17" s="111"/>
    </row>
    <row r="18" spans="2:18" s="95" customFormat="1">
      <c r="B18" s="123">
        <v>43100</v>
      </c>
      <c r="C18" s="312">
        <v>145.13</v>
      </c>
      <c r="D18" s="312">
        <v>137.07</v>
      </c>
      <c r="E18" s="1005"/>
      <c r="R18" s="111"/>
    </row>
    <row r="19" spans="2:18" s="95" customFormat="1">
      <c r="B19" s="123">
        <v>43465</v>
      </c>
      <c r="C19" s="312">
        <v>140.38</v>
      </c>
      <c r="D19" s="312">
        <v>142.77000000000001</v>
      </c>
      <c r="E19" s="1005"/>
      <c r="R19" s="111"/>
    </row>
    <row r="20" spans="2:18" s="95" customFormat="1">
      <c r="B20" s="123">
        <v>43830</v>
      </c>
      <c r="C20" s="312">
        <v>148.78</v>
      </c>
      <c r="D20" s="312">
        <v>148.66</v>
      </c>
      <c r="E20" s="1005"/>
      <c r="R20" s="111"/>
    </row>
    <row r="21" spans="2:18" s="95" customFormat="1">
      <c r="B21" s="123">
        <v>44196</v>
      </c>
      <c r="C21" s="312">
        <v>152.13999999999999</v>
      </c>
      <c r="D21" s="312">
        <v>140.35</v>
      </c>
      <c r="E21" s="1005"/>
      <c r="R21" s="111"/>
    </row>
    <row r="22" spans="2:18" s="95" customFormat="1">
      <c r="B22" s="123">
        <v>44561</v>
      </c>
      <c r="C22" s="312">
        <v>147.22999999999999</v>
      </c>
      <c r="D22" s="312">
        <v>152.03</v>
      </c>
      <c r="E22" s="1005"/>
      <c r="R22" s="111"/>
    </row>
    <row r="23" spans="2:18" s="95" customFormat="1">
      <c r="B23" s="123">
        <v>44926</v>
      </c>
      <c r="C23" s="312">
        <v>164.98</v>
      </c>
      <c r="D23" s="312">
        <v>162.55000000000001</v>
      </c>
      <c r="E23" s="1005"/>
      <c r="R23" s="111"/>
    </row>
    <row r="24" spans="2:18" s="95" customFormat="1">
      <c r="B24" s="123">
        <v>45291</v>
      </c>
      <c r="C24" s="312">
        <v>166.75</v>
      </c>
      <c r="D24" s="312">
        <v>165.06</v>
      </c>
      <c r="E24" s="1005"/>
      <c r="R24" s="111"/>
    </row>
    <row r="25" spans="2:18" s="95" customFormat="1">
      <c r="B25" s="123">
        <v>45657</v>
      </c>
      <c r="C25" s="312">
        <v>174.81</v>
      </c>
      <c r="D25" s="312">
        <v>189.3</v>
      </c>
      <c r="E25" s="1005"/>
      <c r="R25" s="111"/>
    </row>
    <row r="26" spans="2:18" s="95" customFormat="1">
      <c r="B26" s="123">
        <v>46022</v>
      </c>
      <c r="C26" s="312">
        <v>182.44</v>
      </c>
      <c r="D26" s="312">
        <v>184.41</v>
      </c>
      <c r="R26" s="111"/>
    </row>
    <row r="27" spans="2:18" s="95" customFormat="1">
      <c r="B27" s="123">
        <v>46203</v>
      </c>
      <c r="C27" s="312">
        <f>환율!C6</f>
        <v>189.66</v>
      </c>
      <c r="D27" s="312">
        <f>환율!C7</f>
        <v>196.6</v>
      </c>
      <c r="R27" s="111"/>
    </row>
    <row r="28" spans="2:18" s="95" customFormat="1">
      <c r="R28" s="111"/>
    </row>
    <row r="29" spans="2:18" s="95" customFormat="1">
      <c r="R29" s="111"/>
    </row>
    <row r="30" spans="2:18" s="95" customFormat="1">
      <c r="B30" s="119" t="s">
        <v>429</v>
      </c>
      <c r="R30" s="111"/>
    </row>
    <row r="31" spans="2:18" s="95" customFormat="1">
      <c r="B31" s="119"/>
      <c r="R31" s="111"/>
    </row>
    <row r="32" spans="2:18" s="95" customFormat="1">
      <c r="B32" s="119" t="s">
        <v>1416</v>
      </c>
      <c r="R32" s="111"/>
    </row>
    <row r="33" spans="2:18" s="113" customFormat="1" ht="14.25" thickBot="1">
      <c r="B33" s="128" t="s">
        <v>410</v>
      </c>
      <c r="C33" s="128" t="s">
        <v>423</v>
      </c>
      <c r="D33" s="128" t="s">
        <v>415</v>
      </c>
      <c r="E33" s="128" t="s">
        <v>417</v>
      </c>
      <c r="F33" s="128" t="s">
        <v>424</v>
      </c>
      <c r="G33" s="128" t="s">
        <v>421</v>
      </c>
      <c r="H33" s="128" t="s">
        <v>411</v>
      </c>
      <c r="I33" s="128" t="s">
        <v>412</v>
      </c>
      <c r="J33" s="128" t="s">
        <v>416</v>
      </c>
      <c r="K33" s="128" t="s">
        <v>419</v>
      </c>
      <c r="L33" s="95"/>
      <c r="M33" s="95"/>
    </row>
    <row r="34" spans="2:18" s="113" customFormat="1">
      <c r="B34" s="130" t="s">
        <v>1421</v>
      </c>
      <c r="C34" s="130"/>
      <c r="D34" s="131">
        <v>780000</v>
      </c>
      <c r="E34" s="131">
        <v>0</v>
      </c>
      <c r="F34" s="131"/>
      <c r="G34" s="131">
        <v>0</v>
      </c>
      <c r="H34" s="131"/>
      <c r="I34" s="131"/>
      <c r="J34" s="131"/>
      <c r="K34" s="130"/>
      <c r="L34" s="95"/>
      <c r="M34" s="95"/>
    </row>
    <row r="35" spans="2:18" s="113" customFormat="1">
      <c r="C35" s="113" t="s">
        <v>148</v>
      </c>
      <c r="D35" s="124"/>
      <c r="E35" s="124"/>
      <c r="F35" s="124"/>
      <c r="G35" s="124">
        <v>-445100.804</v>
      </c>
      <c r="H35" s="124"/>
      <c r="I35" s="124"/>
      <c r="J35" s="124"/>
      <c r="L35" s="95"/>
      <c r="M35" s="95"/>
    </row>
    <row r="36" spans="2:18" s="113" customFormat="1">
      <c r="C36" s="113" t="s">
        <v>375</v>
      </c>
      <c r="D36" s="124"/>
      <c r="E36" s="124"/>
      <c r="F36" s="124"/>
      <c r="G36" s="124"/>
      <c r="H36" s="124"/>
      <c r="I36" s="124"/>
      <c r="J36" s="124"/>
      <c r="L36" s="95"/>
      <c r="M36" s="95"/>
    </row>
    <row r="37" spans="2:18" s="95" customFormat="1">
      <c r="B37" s="132">
        <v>43100</v>
      </c>
      <c r="C37" s="133"/>
      <c r="D37" s="133">
        <f>SUM(D34:D36)</f>
        <v>780000</v>
      </c>
      <c r="E37" s="133">
        <f t="shared" ref="E37:G37" si="0">SUM(E34:E36)</f>
        <v>0</v>
      </c>
      <c r="F37" s="133">
        <f t="shared" si="0"/>
        <v>0</v>
      </c>
      <c r="G37" s="133">
        <f t="shared" si="0"/>
        <v>-445100.804</v>
      </c>
      <c r="H37" s="131">
        <v>1819474.1840000004</v>
      </c>
      <c r="I37" s="131">
        <v>1484574.9880000001</v>
      </c>
      <c r="J37" s="131">
        <f>H37-I37</f>
        <v>334899.19600000023</v>
      </c>
      <c r="K37" s="401">
        <f>SUM(D37:G37)-J37</f>
        <v>0</v>
      </c>
    </row>
    <row r="38" spans="2:18" s="95" customFormat="1">
      <c r="B38" s="126"/>
      <c r="C38" s="113" t="s">
        <v>164</v>
      </c>
      <c r="D38" s="124">
        <v>227400</v>
      </c>
      <c r="E38" s="124">
        <f>-E37</f>
        <v>0</v>
      </c>
      <c r="F38" s="124"/>
      <c r="G38" s="124"/>
      <c r="H38" s="124"/>
      <c r="I38" s="124"/>
      <c r="J38" s="124"/>
    </row>
    <row r="39" spans="2:18" s="95" customFormat="1">
      <c r="B39" s="126"/>
      <c r="C39" s="113" t="s">
        <v>148</v>
      </c>
      <c r="D39" s="124"/>
      <c r="E39" s="124"/>
      <c r="F39" s="124"/>
      <c r="G39" s="124">
        <v>-770418.4463333335</v>
      </c>
      <c r="H39" s="124"/>
      <c r="I39" s="124"/>
      <c r="J39" s="124"/>
    </row>
    <row r="40" spans="2:18" s="95" customFormat="1">
      <c r="B40" s="126"/>
      <c r="C40" s="113" t="s">
        <v>375</v>
      </c>
      <c r="D40" s="124"/>
      <c r="E40" s="124"/>
      <c r="F40" s="124"/>
      <c r="G40" s="124"/>
      <c r="H40" s="124"/>
      <c r="I40" s="124"/>
      <c r="J40" s="124"/>
    </row>
    <row r="41" spans="2:18" s="95" customFormat="1">
      <c r="B41" s="132">
        <v>43465</v>
      </c>
      <c r="C41" s="133"/>
      <c r="D41" s="133">
        <f>SUM(D37:D40)</f>
        <v>1007400</v>
      </c>
      <c r="E41" s="133">
        <f>SUM(E37:E40)</f>
        <v>0</v>
      </c>
      <c r="F41" s="133">
        <f>SUM(F37:F40)</f>
        <v>0</v>
      </c>
      <c r="G41" s="133">
        <f>SUM(G37:G40)</f>
        <v>-1215519.2503333334</v>
      </c>
      <c r="H41" s="131">
        <v>3309984.411666668</v>
      </c>
      <c r="I41" s="131">
        <v>3518103.6700000004</v>
      </c>
      <c r="J41" s="131">
        <f>H41-I41</f>
        <v>-208119.25833333237</v>
      </c>
      <c r="K41" s="401">
        <f>SUM(D41:G41)-J41</f>
        <v>7.9999989829957485E-3</v>
      </c>
    </row>
    <row r="42" spans="2:18" s="95" customFormat="1">
      <c r="C42" s="113" t="s">
        <v>148</v>
      </c>
      <c r="D42" s="124"/>
      <c r="E42" s="124"/>
      <c r="F42" s="124"/>
      <c r="G42" s="124">
        <v>-1402936.0937000006</v>
      </c>
      <c r="H42" s="124"/>
      <c r="I42" s="124"/>
      <c r="J42" s="124"/>
      <c r="K42" s="124"/>
    </row>
    <row r="43" spans="2:18" s="95" customFormat="1">
      <c r="B43" s="126"/>
      <c r="C43" s="113" t="s">
        <v>375</v>
      </c>
      <c r="D43" s="124"/>
      <c r="E43" s="124"/>
      <c r="F43" s="124"/>
      <c r="G43" s="124"/>
      <c r="H43" s="124"/>
      <c r="I43" s="124"/>
      <c r="J43" s="124"/>
      <c r="K43" s="124"/>
      <c r="N43" s="124"/>
      <c r="O43" s="124"/>
      <c r="P43" s="124"/>
      <c r="Q43" s="124"/>
      <c r="R43" s="125"/>
    </row>
    <row r="44" spans="2:18" s="95" customFormat="1">
      <c r="B44" s="132">
        <v>43830</v>
      </c>
      <c r="C44" s="133"/>
      <c r="D44" s="133">
        <f>SUM(D41:D43)</f>
        <v>1007400</v>
      </c>
      <c r="E44" s="133">
        <f>SUM(E41:E43)</f>
        <v>0</v>
      </c>
      <c r="F44" s="133">
        <f>SUM(F41:F43)</f>
        <v>0</v>
      </c>
      <c r="G44" s="133">
        <f>SUM(G41:G43)</f>
        <v>-2618455.3440333339</v>
      </c>
      <c r="H44" s="131">
        <v>3527528.1069666659</v>
      </c>
      <c r="I44" s="131">
        <v>5138115.4639999997</v>
      </c>
      <c r="J44" s="131">
        <f>H44-I44</f>
        <v>-1610587.3570333337</v>
      </c>
      <c r="K44" s="133">
        <f>SUM(D44:G44)-J44</f>
        <v>-467.98700000019744</v>
      </c>
      <c r="N44" s="124"/>
      <c r="O44" s="124"/>
      <c r="P44" s="124"/>
      <c r="Q44" s="124"/>
      <c r="R44" s="125"/>
    </row>
    <row r="45" spans="2:18" s="95" customFormat="1">
      <c r="C45" s="113" t="s">
        <v>148</v>
      </c>
      <c r="D45" s="124"/>
      <c r="E45" s="124"/>
      <c r="F45" s="124"/>
      <c r="G45" s="124">
        <f>838707.384933335</f>
        <v>838707.38493333501</v>
      </c>
      <c r="H45" s="124"/>
      <c r="I45" s="124"/>
      <c r="J45" s="124"/>
      <c r="K45" s="124"/>
      <c r="N45" s="124"/>
      <c r="O45" s="124"/>
      <c r="P45" s="124"/>
      <c r="Q45" s="124"/>
      <c r="R45" s="125"/>
    </row>
    <row r="46" spans="2:18" s="95" customFormat="1">
      <c r="B46" s="126"/>
      <c r="C46" s="113" t="s">
        <v>375</v>
      </c>
      <c r="D46" s="124"/>
      <c r="E46" s="124"/>
      <c r="F46" s="124"/>
      <c r="G46" s="124"/>
      <c r="H46" s="124"/>
      <c r="I46" s="124"/>
      <c r="J46" s="124"/>
      <c r="K46" s="124"/>
      <c r="N46" s="124"/>
      <c r="O46" s="124"/>
      <c r="P46" s="124"/>
      <c r="Q46" s="124"/>
      <c r="R46" s="125"/>
    </row>
    <row r="47" spans="2:18" s="95" customFormat="1">
      <c r="B47" s="132">
        <v>44196</v>
      </c>
      <c r="C47" s="133"/>
      <c r="D47" s="133">
        <f>SUM(D44:D46)</f>
        <v>1007400</v>
      </c>
      <c r="E47" s="133">
        <f>SUM(E44:E46)</f>
        <v>0</v>
      </c>
      <c r="F47" s="133">
        <f>SUM(F44:F46)</f>
        <v>0</v>
      </c>
      <c r="G47" s="133">
        <f>SUM(G44:G46)</f>
        <v>-1779747.9590999989</v>
      </c>
      <c r="H47" s="131">
        <v>2876121.9605</v>
      </c>
      <c r="I47" s="131">
        <v>3648001.9299999997</v>
      </c>
      <c r="J47" s="131">
        <f>H47-I47</f>
        <v>-771879.96949999966</v>
      </c>
      <c r="K47" s="133">
        <f>SUM(D47:G47)-J47</f>
        <v>-467.9895999992732</v>
      </c>
      <c r="N47" s="124"/>
      <c r="O47" s="124"/>
      <c r="P47" s="124"/>
      <c r="Q47" s="124"/>
      <c r="R47" s="125"/>
    </row>
    <row r="48" spans="2:18" s="95" customFormat="1">
      <c r="C48" s="113" t="s">
        <v>148</v>
      </c>
      <c r="D48" s="124"/>
      <c r="E48" s="124"/>
      <c r="F48" s="124"/>
      <c r="G48" s="124">
        <f>1310047.030168</f>
        <v>1310047.0301679999</v>
      </c>
      <c r="H48" s="124"/>
      <c r="I48" s="124"/>
      <c r="J48" s="124"/>
      <c r="K48" s="124"/>
      <c r="N48" s="124"/>
      <c r="O48" s="124"/>
      <c r="P48" s="124"/>
      <c r="Q48" s="124"/>
      <c r="R48" s="125"/>
    </row>
    <row r="49" spans="2:18" s="95" customFormat="1">
      <c r="B49" s="126"/>
      <c r="C49" s="113" t="s">
        <v>375</v>
      </c>
      <c r="D49" s="124"/>
      <c r="E49" s="124"/>
      <c r="F49" s="124"/>
      <c r="G49" s="124"/>
      <c r="H49" s="124"/>
      <c r="I49" s="124"/>
      <c r="J49" s="124"/>
      <c r="K49" s="124"/>
      <c r="N49" s="124"/>
      <c r="O49" s="124"/>
      <c r="P49" s="124"/>
      <c r="Q49" s="124"/>
      <c r="R49" s="125"/>
    </row>
    <row r="50" spans="2:18" s="95" customFormat="1">
      <c r="B50" s="132">
        <v>44561</v>
      </c>
      <c r="C50" s="133"/>
      <c r="D50" s="133">
        <f>SUM(D47:D49)</f>
        <v>1007400</v>
      </c>
      <c r="E50" s="133">
        <f>SUM(E47:E49)</f>
        <v>0</v>
      </c>
      <c r="F50" s="133">
        <f>SUM(F47:F49)</f>
        <v>0</v>
      </c>
      <c r="G50" s="133">
        <f>SUM(G47:G49)</f>
        <v>-469700.92893199902</v>
      </c>
      <c r="H50" s="131">
        <v>2429522.9881679988</v>
      </c>
      <c r="I50" s="131">
        <v>1891355.9300000006</v>
      </c>
      <c r="J50" s="131">
        <f>H50-I50</f>
        <v>538167.05816799821</v>
      </c>
      <c r="K50" s="133">
        <f>SUM(D50:G50)-J50</f>
        <v>-467.9870999972336</v>
      </c>
      <c r="N50" s="124"/>
      <c r="O50" s="124"/>
      <c r="P50" s="124"/>
      <c r="Q50" s="124"/>
      <c r="R50" s="125"/>
    </row>
    <row r="51" spans="2:18" s="95" customFormat="1">
      <c r="C51" s="113" t="s">
        <v>148</v>
      </c>
      <c r="D51" s="124"/>
      <c r="E51" s="124"/>
      <c r="F51" s="124"/>
      <c r="G51" s="124">
        <f>1514466.522153</f>
        <v>1514466.5221530001</v>
      </c>
      <c r="H51" s="124"/>
      <c r="I51" s="124"/>
      <c r="J51" s="124"/>
      <c r="K51" s="124"/>
      <c r="N51" s="124"/>
      <c r="O51" s="124"/>
      <c r="P51" s="124"/>
      <c r="Q51" s="124"/>
      <c r="R51" s="125"/>
    </row>
    <row r="52" spans="2:18" s="95" customFormat="1">
      <c r="B52" s="126"/>
      <c r="C52" s="113" t="s">
        <v>375</v>
      </c>
      <c r="D52" s="124"/>
      <c r="E52" s="124"/>
      <c r="F52" s="124"/>
      <c r="G52" s="124"/>
      <c r="H52" s="124"/>
      <c r="I52" s="124"/>
      <c r="J52" s="124"/>
      <c r="K52" s="124"/>
      <c r="N52" s="124"/>
      <c r="O52" s="124"/>
      <c r="P52" s="124"/>
      <c r="Q52" s="124"/>
      <c r="R52" s="125"/>
    </row>
    <row r="53" spans="2:18" s="95" customFormat="1">
      <c r="B53" s="132">
        <v>44926</v>
      </c>
      <c r="C53" s="133"/>
      <c r="D53" s="133">
        <f>SUM(D50:D52)</f>
        <v>1007400</v>
      </c>
      <c r="E53" s="133">
        <f>SUM(E50:E52)</f>
        <v>0</v>
      </c>
      <c r="F53" s="133">
        <f>SUM(F50:F52)</f>
        <v>0</v>
      </c>
      <c r="G53" s="133">
        <f>SUM(G50:G52)</f>
        <v>1044765.5932210011</v>
      </c>
      <c r="H53" s="131">
        <v>2689429.6543210004</v>
      </c>
      <c r="I53" s="131">
        <v>632629.272</v>
      </c>
      <c r="J53" s="131">
        <f>H53-I53</f>
        <v>2056800.3823210006</v>
      </c>
      <c r="K53" s="133">
        <f>SUM(D53:G53)-J53</f>
        <v>-4634.7890999994706</v>
      </c>
      <c r="N53" s="124"/>
      <c r="O53" s="124"/>
      <c r="P53" s="124"/>
      <c r="Q53" s="124"/>
      <c r="R53" s="125"/>
    </row>
    <row r="54" spans="2:18" s="95" customFormat="1">
      <c r="C54" s="113" t="s">
        <v>148</v>
      </c>
      <c r="D54" s="124"/>
      <c r="E54" s="124"/>
      <c r="F54" s="124"/>
      <c r="G54" s="124">
        <v>2285271.29</v>
      </c>
      <c r="H54" s="124"/>
      <c r="I54" s="124"/>
      <c r="J54" s="124"/>
      <c r="K54" s="124"/>
      <c r="N54" s="124"/>
      <c r="O54" s="124"/>
      <c r="P54" s="124"/>
      <c r="Q54" s="124"/>
      <c r="R54" s="125"/>
    </row>
    <row r="55" spans="2:18" s="95" customFormat="1">
      <c r="C55" s="113" t="s">
        <v>2670</v>
      </c>
      <c r="D55" s="124"/>
      <c r="E55" s="124"/>
      <c r="F55" s="124"/>
      <c r="G55" s="124">
        <v>-10921.213221001401</v>
      </c>
      <c r="H55" s="124"/>
      <c r="I55" s="124"/>
      <c r="J55" s="124"/>
      <c r="K55" s="124"/>
      <c r="N55" s="124"/>
      <c r="O55" s="124"/>
      <c r="P55" s="124"/>
      <c r="Q55" s="124"/>
      <c r="R55" s="125"/>
    </row>
    <row r="56" spans="2:18" s="95" customFormat="1">
      <c r="B56" s="126"/>
      <c r="C56" s="113" t="s">
        <v>375</v>
      </c>
      <c r="D56" s="124"/>
      <c r="E56" s="124"/>
      <c r="F56" s="124"/>
      <c r="G56" s="124"/>
      <c r="H56" s="124"/>
      <c r="I56" s="124"/>
      <c r="J56" s="124"/>
      <c r="K56" s="124"/>
      <c r="N56" s="124"/>
      <c r="O56" s="124"/>
      <c r="P56" s="124"/>
      <c r="Q56" s="124"/>
      <c r="R56" s="125"/>
    </row>
    <row r="57" spans="2:18" s="95" customFormat="1">
      <c r="B57" s="132">
        <v>45291</v>
      </c>
      <c r="C57" s="133"/>
      <c r="D57" s="133">
        <f>SUM(D53:D56)</f>
        <v>1007400</v>
      </c>
      <c r="E57" s="133">
        <f>SUM(E53:E56)</f>
        <v>0</v>
      </c>
      <c r="F57" s="133">
        <f>SUM(F53:F56)</f>
        <v>0</v>
      </c>
      <c r="G57" s="133">
        <f>SUM(G53:G56)</f>
        <v>3319115.67</v>
      </c>
      <c r="H57" s="131">
        <v>7074099.2799999993</v>
      </c>
      <c r="I57" s="131">
        <v>2747583.61</v>
      </c>
      <c r="J57" s="131">
        <f>H57-I57</f>
        <v>4326515.67</v>
      </c>
      <c r="K57" s="133">
        <f>SUM(D57:G57)-J57</f>
        <v>0</v>
      </c>
      <c r="N57" s="124"/>
      <c r="O57" s="124"/>
      <c r="P57" s="124"/>
      <c r="Q57" s="124"/>
      <c r="R57" s="125"/>
    </row>
    <row r="58" spans="2:18" s="95" customFormat="1">
      <c r="C58" s="113" t="s">
        <v>148</v>
      </c>
      <c r="D58" s="124"/>
      <c r="E58" s="124"/>
      <c r="F58" s="124"/>
      <c r="G58" s="124">
        <v>726762.78999999992</v>
      </c>
      <c r="H58" s="124"/>
      <c r="I58" s="124"/>
      <c r="J58" s="124"/>
      <c r="K58" s="124"/>
      <c r="N58" s="124"/>
      <c r="O58" s="124"/>
      <c r="P58" s="124"/>
      <c r="Q58" s="124"/>
      <c r="R58" s="125"/>
    </row>
    <row r="59" spans="2:18" s="95" customFormat="1">
      <c r="C59" s="113" t="s">
        <v>2584</v>
      </c>
      <c r="D59" s="124"/>
      <c r="E59" s="124"/>
      <c r="F59" s="124"/>
      <c r="G59" s="124">
        <v>-3446.9000000003698</v>
      </c>
      <c r="H59" s="124"/>
      <c r="I59" s="124"/>
      <c r="J59" s="124"/>
      <c r="K59" s="124"/>
      <c r="N59" s="124"/>
      <c r="O59" s="124"/>
      <c r="P59" s="124"/>
      <c r="Q59" s="124"/>
      <c r="R59" s="125"/>
    </row>
    <row r="60" spans="2:18" s="95" customFormat="1">
      <c r="C60" s="113" t="s">
        <v>598</v>
      </c>
      <c r="D60" s="124">
        <v>3120000</v>
      </c>
      <c r="E60" s="124"/>
      <c r="F60" s="124"/>
      <c r="G60" s="124"/>
      <c r="H60" s="124"/>
      <c r="I60" s="124"/>
      <c r="J60" s="124"/>
      <c r="K60" s="124"/>
      <c r="N60" s="124"/>
      <c r="O60" s="124"/>
      <c r="P60" s="124"/>
      <c r="Q60" s="124"/>
      <c r="R60" s="125"/>
    </row>
    <row r="61" spans="2:18" s="95" customFormat="1">
      <c r="B61" s="126"/>
      <c r="C61" s="113" t="s">
        <v>375</v>
      </c>
      <c r="D61" s="124"/>
      <c r="E61" s="124"/>
      <c r="F61" s="124"/>
      <c r="G61" s="124"/>
      <c r="H61" s="124"/>
      <c r="I61" s="124"/>
      <c r="J61" s="124"/>
      <c r="K61" s="124"/>
      <c r="N61" s="124"/>
      <c r="O61" s="124"/>
      <c r="P61" s="124"/>
      <c r="Q61" s="124"/>
      <c r="R61" s="125"/>
    </row>
    <row r="62" spans="2:18" s="95" customFormat="1">
      <c r="B62" s="132">
        <f>B25</f>
        <v>45657</v>
      </c>
      <c r="C62" s="133"/>
      <c r="D62" s="133">
        <f>SUM(D57:D61)</f>
        <v>4127400</v>
      </c>
      <c r="E62" s="133">
        <f>SUM(E57:E61)</f>
        <v>0</v>
      </c>
      <c r="F62" s="133">
        <f>SUM(F57:F61)</f>
        <v>0</v>
      </c>
      <c r="G62" s="133">
        <f>SUM(G57:G61)</f>
        <v>4042431.5599999996</v>
      </c>
      <c r="H62" s="131">
        <v>9854046.2899999991</v>
      </c>
      <c r="I62" s="131">
        <v>1684214.73</v>
      </c>
      <c r="J62" s="131">
        <f>H62-I62</f>
        <v>8169831.5599999987</v>
      </c>
      <c r="K62" s="133">
        <f>SUM(D62:G62)-J62</f>
        <v>0</v>
      </c>
      <c r="L62" s="95" t="s">
        <v>2702</v>
      </c>
      <c r="N62" s="124"/>
      <c r="O62" s="124"/>
      <c r="P62" s="124"/>
      <c r="Q62" s="124"/>
      <c r="R62" s="125"/>
    </row>
    <row r="63" spans="2:18" s="95" customFormat="1">
      <c r="C63" s="113" t="s">
        <v>148</v>
      </c>
      <c r="D63" s="124"/>
      <c r="E63" s="124"/>
      <c r="F63" s="124"/>
      <c r="G63" s="124">
        <v>548954.84999999835</v>
      </c>
      <c r="H63" s="124"/>
      <c r="I63" s="124"/>
      <c r="J63" s="124"/>
      <c r="K63" s="124"/>
      <c r="N63" s="124"/>
      <c r="O63" s="124"/>
      <c r="P63" s="124"/>
      <c r="Q63" s="124"/>
      <c r="R63" s="125"/>
    </row>
    <row r="64" spans="2:18" s="95" customFormat="1">
      <c r="C64" s="113" t="s">
        <v>2670</v>
      </c>
      <c r="D64" s="124"/>
      <c r="E64" s="124"/>
      <c r="F64" s="124"/>
      <c r="G64" s="124">
        <v>0</v>
      </c>
      <c r="H64" s="124"/>
      <c r="I64" s="124"/>
      <c r="J64" s="124"/>
      <c r="K64" s="124"/>
      <c r="N64" s="124"/>
      <c r="O64" s="124"/>
      <c r="P64" s="124"/>
      <c r="Q64" s="124"/>
      <c r="R64" s="125"/>
    </row>
    <row r="65" spans="2:18" s="95" customFormat="1">
      <c r="B65" s="126"/>
      <c r="C65" s="113" t="s">
        <v>375</v>
      </c>
      <c r="D65" s="124"/>
      <c r="E65" s="124"/>
      <c r="F65" s="124"/>
      <c r="G65" s="124"/>
      <c r="H65" s="124"/>
      <c r="I65" s="124"/>
      <c r="J65" s="124"/>
      <c r="K65" s="124"/>
      <c r="N65" s="124"/>
      <c r="O65" s="124"/>
      <c r="P65" s="124"/>
      <c r="Q65" s="124"/>
      <c r="R65" s="125"/>
    </row>
    <row r="66" spans="2:18" s="95" customFormat="1">
      <c r="B66" s="132">
        <f>B26</f>
        <v>46022</v>
      </c>
      <c r="C66" s="133"/>
      <c r="D66" s="133">
        <f>SUM(D62:D65)</f>
        <v>4127400</v>
      </c>
      <c r="E66" s="133">
        <f>SUM(E62:E65)</f>
        <v>0</v>
      </c>
      <c r="F66" s="133">
        <f>SUM(F62:F65)</f>
        <v>0</v>
      </c>
      <c r="G66" s="133">
        <f>SUM(G62:G65)</f>
        <v>4591386.4099999983</v>
      </c>
      <c r="H66" s="131">
        <v>11031525.577098001</v>
      </c>
      <c r="I66" s="131">
        <v>2312738.87</v>
      </c>
      <c r="J66" s="131">
        <f>H66-I66</f>
        <v>8718786.7070979998</v>
      </c>
      <c r="K66" s="133">
        <f>SUM(D66:G66)-J66</f>
        <v>-0.29709800146520138</v>
      </c>
      <c r="N66" s="124"/>
      <c r="O66" s="124"/>
      <c r="P66" s="124"/>
      <c r="Q66" s="124"/>
      <c r="R66" s="125"/>
    </row>
    <row r="67" spans="2:18" s="95" customFormat="1">
      <c r="C67" s="113" t="s">
        <v>148</v>
      </c>
      <c r="D67" s="124"/>
      <c r="E67" s="124"/>
      <c r="F67" s="124"/>
      <c r="G67" s="124">
        <f>HK_PL!G88</f>
        <v>192748.75999999975</v>
      </c>
      <c r="H67" s="124"/>
      <c r="I67" s="124"/>
      <c r="J67" s="124"/>
      <c r="K67" s="124"/>
      <c r="N67" s="124"/>
      <c r="O67" s="124"/>
      <c r="P67" s="124"/>
      <c r="Q67" s="124"/>
      <c r="R67" s="125"/>
    </row>
    <row r="68" spans="2:18" s="95" customFormat="1">
      <c r="C68" s="113" t="s">
        <v>2670</v>
      </c>
      <c r="D68" s="124"/>
      <c r="E68" s="124"/>
      <c r="F68" s="124"/>
      <c r="G68" s="124">
        <v>0</v>
      </c>
      <c r="H68" s="124"/>
      <c r="I68" s="124"/>
      <c r="J68" s="124"/>
      <c r="K68" s="124"/>
      <c r="N68" s="124"/>
      <c r="O68" s="124"/>
      <c r="P68" s="124"/>
      <c r="Q68" s="124"/>
      <c r="R68" s="125"/>
    </row>
    <row r="69" spans="2:18" s="95" customFormat="1">
      <c r="B69" s="126"/>
      <c r="C69" s="113" t="s">
        <v>375</v>
      </c>
      <c r="D69" s="124"/>
      <c r="E69" s="124"/>
      <c r="F69" s="124"/>
      <c r="G69" s="124"/>
      <c r="H69" s="124"/>
      <c r="I69" s="124"/>
      <c r="J69" s="124"/>
      <c r="K69" s="124"/>
      <c r="N69" s="124"/>
      <c r="O69" s="124"/>
      <c r="P69" s="124"/>
      <c r="Q69" s="124"/>
      <c r="R69" s="125"/>
    </row>
    <row r="70" spans="2:18" s="95" customFormat="1">
      <c r="B70" s="132">
        <f>B27</f>
        <v>46203</v>
      </c>
      <c r="C70" s="133"/>
      <c r="D70" s="133">
        <f>SUM(D66:D69)</f>
        <v>4127400</v>
      </c>
      <c r="E70" s="133">
        <f>SUM(E66:E69)</f>
        <v>0</v>
      </c>
      <c r="F70" s="133">
        <f>SUM(F66:F69)</f>
        <v>0</v>
      </c>
      <c r="G70" s="133">
        <f>SUM(G66:G69)</f>
        <v>4784135.1699999981</v>
      </c>
      <c r="H70" s="131">
        <f>HK_BS!G5</f>
        <v>11536445.009999998</v>
      </c>
      <c r="I70" s="131">
        <f>HK_BS!G75</f>
        <v>2624909.54</v>
      </c>
      <c r="J70" s="131">
        <f>H70-I70</f>
        <v>8911535.4699999988</v>
      </c>
      <c r="K70" s="133">
        <f>SUM(D70:G70)-J70</f>
        <v>-0.30000000074505806</v>
      </c>
      <c r="N70" s="124"/>
      <c r="O70" s="124"/>
      <c r="P70" s="124"/>
      <c r="Q70" s="124"/>
      <c r="R70" s="125"/>
    </row>
    <row r="71" spans="2:18" s="95" customFormat="1">
      <c r="B71" s="123"/>
      <c r="C71" s="124"/>
      <c r="D71" s="124"/>
      <c r="E71" s="124"/>
      <c r="F71" s="124"/>
      <c r="G71" s="124"/>
      <c r="H71" s="124"/>
      <c r="I71" s="124"/>
      <c r="J71" s="124"/>
      <c r="K71" s="124"/>
      <c r="N71" s="124"/>
      <c r="O71" s="124"/>
      <c r="P71" s="124"/>
      <c r="Q71" s="124"/>
      <c r="R71" s="125"/>
    </row>
    <row r="72" spans="2:18" s="95" customFormat="1">
      <c r="B72" s="123"/>
      <c r="C72" s="124"/>
      <c r="D72" s="124"/>
      <c r="E72" s="124"/>
      <c r="F72" s="124"/>
      <c r="G72" s="124"/>
      <c r="H72" s="124"/>
      <c r="I72" s="124"/>
      <c r="J72" s="124"/>
      <c r="K72" s="124"/>
      <c r="N72" s="124"/>
      <c r="O72" s="124"/>
      <c r="P72" s="124"/>
      <c r="Q72" s="124"/>
      <c r="R72" s="125"/>
    </row>
    <row r="73" spans="2:18" s="95" customFormat="1">
      <c r="B73" s="136" t="s">
        <v>437</v>
      </c>
      <c r="C73" s="124"/>
      <c r="D73" s="124"/>
      <c r="E73" s="124"/>
      <c r="F73" s="124"/>
      <c r="G73" s="124"/>
      <c r="H73" s="124"/>
      <c r="I73" s="124"/>
      <c r="J73" s="124"/>
      <c r="K73" s="124"/>
      <c r="N73" s="124"/>
      <c r="O73" s="124"/>
      <c r="P73" s="124"/>
      <c r="Q73" s="124"/>
      <c r="R73" s="125"/>
    </row>
    <row r="74" spans="2:18" s="95" customFormat="1" ht="27.75" thickBot="1">
      <c r="B74" s="128" t="s">
        <v>452</v>
      </c>
      <c r="C74" s="128" t="s">
        <v>439</v>
      </c>
      <c r="D74" s="128" t="s">
        <v>440</v>
      </c>
      <c r="E74" s="128" t="s">
        <v>441</v>
      </c>
      <c r="F74" s="128" t="s">
        <v>445</v>
      </c>
      <c r="G74" s="147" t="s">
        <v>443</v>
      </c>
      <c r="H74" s="128" t="s">
        <v>418</v>
      </c>
      <c r="I74" s="128" t="s">
        <v>438</v>
      </c>
      <c r="J74" s="129" t="s">
        <v>425</v>
      </c>
      <c r="K74" s="129" t="s">
        <v>419</v>
      </c>
      <c r="N74" s="124"/>
      <c r="O74" s="124"/>
      <c r="P74" s="124"/>
      <c r="Q74" s="124"/>
      <c r="R74" s="125"/>
    </row>
    <row r="75" spans="2:18" s="95" customFormat="1">
      <c r="B75" s="126">
        <v>43100</v>
      </c>
      <c r="C75" s="124">
        <f>ROUND(H37*VLOOKUP(B75,$B$18:$D$26,3,0),)</f>
        <v>249395326</v>
      </c>
      <c r="D75" s="124">
        <f>ROUND(I37*VLOOKUP(B75,$B$18:$D$26,3,0),)</f>
        <v>203490694</v>
      </c>
      <c r="E75" s="124">
        <f>C75-D75</f>
        <v>45904632</v>
      </c>
      <c r="F75" s="124">
        <f>D93+E93</f>
        <v>114442800</v>
      </c>
      <c r="G75" s="124">
        <f>G90</f>
        <v>0</v>
      </c>
      <c r="H75" s="124">
        <f>ROUND(G35*VLOOKUP(B75,$B$18:$D$29,2,0),)</f>
        <v>-64597480</v>
      </c>
      <c r="I75" s="124">
        <f>SUM(F75:H75)</f>
        <v>49845320</v>
      </c>
      <c r="J75" s="124">
        <f>E75-I75</f>
        <v>-3940688</v>
      </c>
      <c r="K75" s="111">
        <f>C75-D75-(I75+J75)</f>
        <v>0</v>
      </c>
      <c r="L75" s="124"/>
      <c r="M75" s="124"/>
      <c r="N75" s="124"/>
      <c r="O75" s="124"/>
      <c r="P75" s="124"/>
      <c r="Q75" s="124"/>
      <c r="R75" s="125"/>
    </row>
    <row r="76" spans="2:18" s="95" customFormat="1">
      <c r="B76" s="126">
        <v>43465</v>
      </c>
      <c r="C76" s="124">
        <f>ROUND(H41*VLOOKUP(B76,$B$18:$D$26,3,0),)</f>
        <v>472566474</v>
      </c>
      <c r="D76" s="124">
        <f>ROUND(I41*VLOOKUP(B76,$B$18:$D$26,3,0),)</f>
        <v>502279661</v>
      </c>
      <c r="E76" s="124">
        <f>C76-D76</f>
        <v>-29713187</v>
      </c>
      <c r="F76" s="124">
        <f>D97+E97</f>
        <v>145596600</v>
      </c>
      <c r="G76" s="124">
        <f>G93</f>
        <v>-64597480</v>
      </c>
      <c r="H76" s="124">
        <f>ROUND(G39*VLOOKUP(B76,$B$18:$D$29,2,0),)</f>
        <v>-108151341</v>
      </c>
      <c r="I76" s="124">
        <f>SUM(F76:H76)</f>
        <v>-27152221</v>
      </c>
      <c r="J76" s="124">
        <f>E76-I76</f>
        <v>-2560966</v>
      </c>
      <c r="K76" s="111">
        <f>C76-D76-(I76+J76)</f>
        <v>0</v>
      </c>
      <c r="L76" s="124"/>
      <c r="M76" s="124"/>
      <c r="N76" s="124"/>
      <c r="O76" s="124"/>
      <c r="P76" s="124"/>
      <c r="Q76" s="124"/>
      <c r="R76" s="125"/>
    </row>
    <row r="77" spans="2:18" s="95" customFormat="1">
      <c r="B77" s="126">
        <v>43830</v>
      </c>
      <c r="C77" s="124">
        <f>ROUND(H44*VLOOKUP(B77,$B$18:$D$26,3,0),)</f>
        <v>524402328</v>
      </c>
      <c r="D77" s="124">
        <f>ROUND(I44*VLOOKUP(B77,$B$18:$D$26,3,0),)</f>
        <v>763832245</v>
      </c>
      <c r="E77" s="124">
        <f>C77-D77</f>
        <v>-239429917</v>
      </c>
      <c r="F77" s="124">
        <f>D100+E100</f>
        <v>145596600</v>
      </c>
      <c r="G77" s="124">
        <f>G97</f>
        <v>-172748821</v>
      </c>
      <c r="H77" s="124">
        <f>ROUND(G42*VLOOKUP(B77,$B$18:$D$29,2,0),)</f>
        <v>-208728832</v>
      </c>
      <c r="I77" s="124">
        <f>SUM(F77:H77)</f>
        <v>-235881053</v>
      </c>
      <c r="J77" s="124">
        <f>E77-I77</f>
        <v>-3548864</v>
      </c>
      <c r="K77" s="111">
        <f>C77-D77-(I77+J77)</f>
        <v>0</v>
      </c>
      <c r="L77" s="124"/>
      <c r="M77" s="124"/>
      <c r="N77" s="124"/>
      <c r="O77" s="124"/>
      <c r="P77" s="124"/>
      <c r="Q77" s="124"/>
      <c r="R77" s="125"/>
    </row>
    <row r="78" spans="2:18" s="95" customFormat="1">
      <c r="B78" s="126">
        <v>44196</v>
      </c>
      <c r="C78" s="124">
        <f>ROUND(H47*VLOOKUP(B78,$B$18:$D$26,3,0),)</f>
        <v>403663717</v>
      </c>
      <c r="D78" s="124">
        <f>ROUND(I47*VLOOKUP(B78,$B$18:$D$26,3,0),)</f>
        <v>511997071</v>
      </c>
      <c r="E78" s="124">
        <f t="shared" ref="E78:E83" si="1">C78-D78</f>
        <v>-108333354</v>
      </c>
      <c r="F78" s="124">
        <f>D103+E103</f>
        <v>145596600</v>
      </c>
      <c r="G78" s="124">
        <f>G100</f>
        <v>-381477653</v>
      </c>
      <c r="H78" s="124">
        <f>ROUND(G45*VLOOKUP(B78,$B$18:$D$29,2,0),)</f>
        <v>127600942</v>
      </c>
      <c r="I78" s="124">
        <f t="shared" ref="I78:I83" si="2">SUM(F78:H78)</f>
        <v>-108280111</v>
      </c>
      <c r="J78" s="124">
        <f t="shared" ref="J78:J83" si="3">E78-I78</f>
        <v>-53243</v>
      </c>
      <c r="K78" s="111">
        <f t="shared" ref="K78:K83" si="4">C78-D78-(I78+J78)</f>
        <v>0</v>
      </c>
      <c r="L78" s="124"/>
      <c r="M78" s="124"/>
      <c r="N78" s="124"/>
      <c r="O78" s="124"/>
      <c r="P78" s="124"/>
      <c r="Q78" s="124"/>
      <c r="R78" s="125"/>
    </row>
    <row r="79" spans="2:18" s="95" customFormat="1">
      <c r="B79" s="126">
        <v>44561</v>
      </c>
      <c r="C79" s="124">
        <f>ROUND(H50*VLOOKUP(B79,$B$18:$D$26,3,0),)</f>
        <v>369360380</v>
      </c>
      <c r="D79" s="124">
        <f>ROUND(I50*VLOOKUP(B79,$B$18:$D$26,3,0),)</f>
        <v>287542842</v>
      </c>
      <c r="E79" s="124">
        <f t="shared" si="1"/>
        <v>81817538</v>
      </c>
      <c r="F79" s="124">
        <f>D106+E106</f>
        <v>145596600</v>
      </c>
      <c r="G79" s="124">
        <f>G103</f>
        <v>-253876711</v>
      </c>
      <c r="H79" s="124">
        <f>ROUND(G48*VLOOKUP(B79,$B$18:$D$29,2,0),)</f>
        <v>192878224</v>
      </c>
      <c r="I79" s="124">
        <f t="shared" si="2"/>
        <v>84598113</v>
      </c>
      <c r="J79" s="124">
        <f t="shared" si="3"/>
        <v>-2780575</v>
      </c>
      <c r="K79" s="111">
        <f t="shared" si="4"/>
        <v>0</v>
      </c>
      <c r="L79" s="124"/>
      <c r="M79" s="124"/>
      <c r="N79" s="124"/>
      <c r="O79" s="124"/>
      <c r="P79" s="124"/>
      <c r="Q79" s="124"/>
      <c r="R79" s="125"/>
    </row>
    <row r="80" spans="2:18" s="95" customFormat="1">
      <c r="B80" s="126">
        <v>44926</v>
      </c>
      <c r="C80" s="124">
        <f>ROUND(H53*VLOOKUP(B80,$B$18:$D$26,3,0),)</f>
        <v>437166790</v>
      </c>
      <c r="D80" s="124">
        <f>ROUND(I53*VLOOKUP(B80,$B$18:$D$26,3,0),)</f>
        <v>102833888</v>
      </c>
      <c r="E80" s="124">
        <f t="shared" si="1"/>
        <v>334332902</v>
      </c>
      <c r="F80" s="124">
        <f>D109+E109</f>
        <v>145596600</v>
      </c>
      <c r="G80" s="124">
        <f>G106</f>
        <v>-60998487</v>
      </c>
      <c r="H80" s="124">
        <f>ROUND(G51*VLOOKUP(B80,$B$18:$D$29,2,0),)</f>
        <v>249856687</v>
      </c>
      <c r="I80" s="124">
        <f t="shared" si="2"/>
        <v>334454800</v>
      </c>
      <c r="J80" s="124">
        <f t="shared" si="3"/>
        <v>-121898</v>
      </c>
      <c r="K80" s="111">
        <f t="shared" si="4"/>
        <v>0</v>
      </c>
      <c r="L80" s="124"/>
      <c r="M80" s="124"/>
      <c r="N80" s="124"/>
      <c r="O80" s="124"/>
      <c r="P80" s="124"/>
      <c r="Q80" s="124"/>
      <c r="R80" s="125"/>
    </row>
    <row r="81" spans="2:18" s="95" customFormat="1">
      <c r="B81" s="126">
        <v>45291</v>
      </c>
      <c r="C81" s="124">
        <f>ROUND(H57*VLOOKUP(B81,$B$18:$D$26,3,0),)</f>
        <v>1167650827</v>
      </c>
      <c r="D81" s="124">
        <f>ROUND(I57*VLOOKUP(B81,$B$18:$D$26,3,0),)</f>
        <v>453516151</v>
      </c>
      <c r="E81" s="124">
        <f t="shared" si="1"/>
        <v>714134676</v>
      </c>
      <c r="F81" s="124">
        <f>D112+E112</f>
        <v>145596600</v>
      </c>
      <c r="G81" s="124">
        <f>G109</f>
        <v>188858200</v>
      </c>
      <c r="H81" s="124">
        <f>ROUND(G54*VLOOKUP(B81,$B$18:$D$29,2,0),)</f>
        <v>381068988</v>
      </c>
      <c r="I81" s="124">
        <f t="shared" si="2"/>
        <v>715523788</v>
      </c>
      <c r="J81" s="124">
        <f t="shared" si="3"/>
        <v>-1389112</v>
      </c>
      <c r="K81" s="111">
        <f t="shared" si="4"/>
        <v>0</v>
      </c>
      <c r="L81" s="124"/>
      <c r="M81" s="124"/>
      <c r="N81" s="124"/>
      <c r="O81" s="124"/>
      <c r="P81" s="124"/>
      <c r="Q81" s="124"/>
      <c r="R81" s="125"/>
    </row>
    <row r="82" spans="2:18" s="95" customFormat="1">
      <c r="B82" s="126">
        <f>B62</f>
        <v>45657</v>
      </c>
      <c r="C82" s="124">
        <f>ROUND(H62*VLOOKUP(B82,$B$18:$D$26,3,0),)</f>
        <v>1865370963</v>
      </c>
      <c r="D82" s="124">
        <f>ROUND(I62*VLOOKUP(B82,$B$18:$D$26,3,0),)</f>
        <v>318821848</v>
      </c>
      <c r="E82" s="124">
        <f t="shared" si="1"/>
        <v>1546549115</v>
      </c>
      <c r="F82" s="124">
        <f>D117+E117</f>
        <v>703476600</v>
      </c>
      <c r="G82" s="124">
        <f>G112</f>
        <v>569927188</v>
      </c>
      <c r="H82" s="124">
        <f>G113</f>
        <v>140763890</v>
      </c>
      <c r="I82" s="124">
        <f t="shared" si="2"/>
        <v>1414167678</v>
      </c>
      <c r="J82" s="124">
        <f t="shared" si="3"/>
        <v>132381437</v>
      </c>
      <c r="K82" s="111">
        <f t="shared" si="4"/>
        <v>0</v>
      </c>
      <c r="L82" s="124"/>
      <c r="M82" s="124"/>
      <c r="N82" s="124"/>
      <c r="O82" s="124"/>
      <c r="P82" s="124"/>
      <c r="Q82" s="124"/>
      <c r="R82" s="125"/>
    </row>
    <row r="83" spans="2:18" s="95" customFormat="1">
      <c r="B83" s="126">
        <f>B66</f>
        <v>46022</v>
      </c>
      <c r="C83" s="124">
        <f>ROUND(H66*VLOOKUP(B83,$B$18:$D$28,3,0),)</f>
        <v>2034323632</v>
      </c>
      <c r="D83" s="124">
        <f>ROUND(I66*VLOOKUP(B83,$B$18:$D$26,3,0),)</f>
        <v>426492175</v>
      </c>
      <c r="E83" s="124">
        <f t="shared" si="1"/>
        <v>1607831457</v>
      </c>
      <c r="F83" s="124">
        <f>D120+E120</f>
        <v>703476600</v>
      </c>
      <c r="G83" s="124">
        <f>G117</f>
        <v>710691078</v>
      </c>
      <c r="H83" s="124">
        <f>G118</f>
        <v>97886587</v>
      </c>
      <c r="I83" s="124">
        <f t="shared" si="2"/>
        <v>1512054265</v>
      </c>
      <c r="J83" s="124">
        <f t="shared" si="3"/>
        <v>95777192</v>
      </c>
      <c r="K83" s="111">
        <f t="shared" si="4"/>
        <v>0</v>
      </c>
      <c r="L83" s="124"/>
      <c r="M83" s="124"/>
      <c r="N83" s="124"/>
      <c r="O83" s="124"/>
      <c r="P83" s="124"/>
      <c r="Q83" s="124"/>
      <c r="R83" s="125"/>
    </row>
    <row r="84" spans="2:18" s="95" customFormat="1">
      <c r="B84" s="126">
        <f>B70</f>
        <v>46203</v>
      </c>
      <c r="C84" s="124">
        <f>ROUND(H70*VLOOKUP(B84,$B$18:$D$28,3,0),)</f>
        <v>2268065089</v>
      </c>
      <c r="D84" s="124">
        <f>ROUND(I70*VLOOKUP(B84,$B$18:$D$28,3,0),)</f>
        <v>516057216</v>
      </c>
      <c r="E84" s="124">
        <f t="shared" ref="E84" si="5">C84-D84</f>
        <v>1752007873</v>
      </c>
      <c r="F84" s="124">
        <f>D123+E123</f>
        <v>703476600</v>
      </c>
      <c r="G84" s="124">
        <f>G120</f>
        <v>808577665</v>
      </c>
      <c r="H84" s="124">
        <f>G121</f>
        <v>44207891</v>
      </c>
      <c r="I84" s="124">
        <f t="shared" ref="I84" si="6">SUM(F84:H84)</f>
        <v>1556262156</v>
      </c>
      <c r="J84" s="124">
        <f t="shared" ref="J84" si="7">E84-I84</f>
        <v>195745717</v>
      </c>
      <c r="K84" s="111">
        <f t="shared" ref="K84" si="8">C84-D84-(I84+J84)</f>
        <v>0</v>
      </c>
      <c r="L84" s="124"/>
      <c r="M84" s="124"/>
      <c r="N84" s="124"/>
      <c r="O84" s="124"/>
      <c r="P84" s="124"/>
      <c r="Q84" s="124"/>
      <c r="R84" s="125"/>
    </row>
    <row r="85" spans="2:18" s="95" customFormat="1">
      <c r="B85" s="126"/>
      <c r="C85" s="124">
        <f>HK_BS!K5</f>
        <v>2268065089</v>
      </c>
      <c r="D85" s="124">
        <f>HK_BS!K75</f>
        <v>516057216</v>
      </c>
      <c r="E85" s="124"/>
      <c r="F85" s="124"/>
      <c r="G85" s="124"/>
      <c r="H85" s="124"/>
      <c r="I85" s="124"/>
      <c r="J85" s="124"/>
      <c r="K85" s="111"/>
      <c r="L85" s="124"/>
      <c r="M85" s="124"/>
      <c r="N85" s="124"/>
      <c r="O85" s="124"/>
      <c r="P85" s="124"/>
      <c r="Q85" s="124"/>
      <c r="R85" s="125"/>
    </row>
    <row r="86" spans="2:18" s="95" customFormat="1">
      <c r="B86" s="126"/>
      <c r="C86" s="124">
        <f>C85-C84</f>
        <v>0</v>
      </c>
      <c r="D86" s="124">
        <f>D85-D84</f>
        <v>0</v>
      </c>
      <c r="E86" s="124"/>
      <c r="F86" s="124"/>
      <c r="G86" s="124"/>
      <c r="H86" s="124"/>
      <c r="I86" s="124"/>
      <c r="J86" s="124"/>
      <c r="K86" s="111"/>
      <c r="L86" s="124"/>
      <c r="M86" s="124"/>
      <c r="N86" s="124"/>
      <c r="O86" s="124"/>
      <c r="P86" s="124"/>
      <c r="Q86" s="124"/>
      <c r="R86" s="125"/>
    </row>
    <row r="87" spans="2:18" s="95" customFormat="1">
      <c r="B87" s="123"/>
      <c r="C87" s="124"/>
      <c r="D87" s="124"/>
      <c r="E87" s="124"/>
      <c r="F87" s="124"/>
      <c r="G87" s="124"/>
      <c r="H87" s="124"/>
      <c r="I87" s="124"/>
      <c r="J87" s="124"/>
      <c r="K87" s="124"/>
      <c r="L87" s="124"/>
      <c r="M87" s="124"/>
      <c r="N87" s="124"/>
      <c r="O87" s="124"/>
      <c r="P87" s="124"/>
      <c r="Q87" s="124"/>
      <c r="R87" s="125"/>
    </row>
    <row r="88" spans="2:18" s="95" customFormat="1">
      <c r="B88" s="136" t="s">
        <v>442</v>
      </c>
      <c r="C88" s="124"/>
      <c r="D88" s="124"/>
      <c r="E88" s="124"/>
      <c r="F88" s="124"/>
      <c r="G88" s="124"/>
      <c r="H88" s="124"/>
      <c r="I88" s="124"/>
      <c r="J88" s="124"/>
      <c r="K88" s="124"/>
      <c r="L88" s="124"/>
      <c r="M88" s="124"/>
      <c r="N88" s="124"/>
      <c r="O88" s="124"/>
      <c r="P88" s="124"/>
      <c r="Q88" s="124"/>
      <c r="R88" s="125"/>
    </row>
    <row r="89" spans="2:18" s="95" customFormat="1" ht="14.25" thickBot="1">
      <c r="B89" s="128" t="s">
        <v>410</v>
      </c>
      <c r="C89" s="128" t="s">
        <v>422</v>
      </c>
      <c r="D89" s="128" t="s">
        <v>415</v>
      </c>
      <c r="E89" s="128" t="s">
        <v>417</v>
      </c>
      <c r="F89" s="128" t="s">
        <v>424</v>
      </c>
      <c r="G89" s="128" t="s">
        <v>73</v>
      </c>
      <c r="H89" s="128" t="s">
        <v>416</v>
      </c>
      <c r="I89" s="128" t="s">
        <v>240</v>
      </c>
      <c r="J89" s="111"/>
      <c r="K89" s="124"/>
      <c r="L89" s="124"/>
      <c r="M89" s="124"/>
      <c r="N89" s="124"/>
      <c r="O89" s="124"/>
      <c r="P89" s="125"/>
    </row>
    <row r="90" spans="2:18" s="95" customFormat="1">
      <c r="B90" s="130" t="s">
        <v>1422</v>
      </c>
      <c r="C90" s="130"/>
      <c r="D90" s="131">
        <v>114442800</v>
      </c>
      <c r="E90" s="131">
        <v>0</v>
      </c>
      <c r="F90" s="131">
        <v>0</v>
      </c>
      <c r="G90" s="131">
        <v>0</v>
      </c>
      <c r="H90" s="131">
        <f>SUM(D90:G90)</f>
        <v>114442800</v>
      </c>
      <c r="I90" s="130"/>
      <c r="J90" s="125"/>
      <c r="K90" s="124"/>
      <c r="L90" s="124"/>
      <c r="M90" s="124"/>
      <c r="N90" s="124"/>
      <c r="O90" s="124"/>
      <c r="P90" s="125"/>
    </row>
    <row r="91" spans="2:18" s="95" customFormat="1">
      <c r="B91" s="113"/>
      <c r="C91" s="113" t="s">
        <v>148</v>
      </c>
      <c r="D91" s="124"/>
      <c r="E91" s="124"/>
      <c r="F91" s="124"/>
      <c r="G91" s="124">
        <f>H75</f>
        <v>-64597480</v>
      </c>
      <c r="H91" s="124"/>
      <c r="I91" s="113"/>
      <c r="J91" s="125"/>
      <c r="K91" s="124"/>
      <c r="L91" s="124"/>
      <c r="M91" s="124"/>
      <c r="N91" s="124"/>
      <c r="O91" s="124"/>
      <c r="P91" s="125"/>
    </row>
    <row r="92" spans="2:18" s="95" customFormat="1">
      <c r="B92" s="113"/>
      <c r="C92" s="113" t="s">
        <v>375</v>
      </c>
      <c r="D92" s="124"/>
      <c r="E92" s="124"/>
      <c r="F92" s="124">
        <f>J75-F90</f>
        <v>-3940688</v>
      </c>
      <c r="G92" s="124"/>
      <c r="H92" s="124"/>
      <c r="I92" s="113"/>
      <c r="J92" s="125"/>
      <c r="K92" s="124"/>
      <c r="L92" s="124"/>
      <c r="M92" s="124"/>
      <c r="N92" s="124"/>
      <c r="O92" s="124"/>
      <c r="P92" s="125"/>
    </row>
    <row r="93" spans="2:18" s="95" customFormat="1">
      <c r="B93" s="132">
        <v>43100</v>
      </c>
      <c r="C93" s="133"/>
      <c r="D93" s="133">
        <f>SUM(D90:D92)</f>
        <v>114442800</v>
      </c>
      <c r="E93" s="133">
        <f t="shared" ref="E93:G93" si="9">SUM(E90:E92)</f>
        <v>0</v>
      </c>
      <c r="F93" s="133">
        <f t="shared" si="9"/>
        <v>-3940688</v>
      </c>
      <c r="G93" s="133">
        <f t="shared" si="9"/>
        <v>-64597480</v>
      </c>
      <c r="H93" s="131">
        <f>E75</f>
        <v>45904632</v>
      </c>
      <c r="I93" s="133">
        <f>SUM(D93:G93)-SUM(H93)</f>
        <v>0</v>
      </c>
      <c r="K93" s="124"/>
      <c r="L93" s="124"/>
      <c r="M93" s="124"/>
      <c r="N93" s="124"/>
      <c r="O93" s="124"/>
      <c r="P93" s="125"/>
    </row>
    <row r="94" spans="2:18" s="95" customFormat="1">
      <c r="B94" s="126"/>
      <c r="C94" s="113" t="s">
        <v>164</v>
      </c>
      <c r="D94" s="124">
        <v>31153800</v>
      </c>
      <c r="E94" s="124"/>
      <c r="G94" s="124"/>
      <c r="H94" s="124"/>
      <c r="J94" s="125"/>
      <c r="K94" s="124"/>
      <c r="L94" s="124"/>
      <c r="M94" s="124"/>
      <c r="N94" s="124"/>
      <c r="O94" s="124"/>
      <c r="P94" s="125"/>
    </row>
    <row r="95" spans="2:18" s="95" customFormat="1">
      <c r="B95" s="126"/>
      <c r="C95" s="113" t="s">
        <v>148</v>
      </c>
      <c r="D95" s="124"/>
      <c r="E95" s="124"/>
      <c r="G95" s="124">
        <f>H76</f>
        <v>-108151341</v>
      </c>
      <c r="H95" s="124"/>
      <c r="J95" s="125"/>
      <c r="K95" s="124"/>
      <c r="L95" s="124"/>
      <c r="M95" s="124"/>
      <c r="N95" s="124"/>
      <c r="O95" s="124"/>
      <c r="P95" s="125"/>
    </row>
    <row r="96" spans="2:18" s="95" customFormat="1">
      <c r="B96" s="126"/>
      <c r="C96" s="113" t="s">
        <v>375</v>
      </c>
      <c r="D96" s="124"/>
      <c r="E96" s="124"/>
      <c r="F96" s="124">
        <f>J76-F93</f>
        <v>1379722</v>
      </c>
      <c r="G96" s="124"/>
      <c r="H96" s="124"/>
      <c r="J96" s="125"/>
      <c r="K96" s="124"/>
      <c r="L96" s="124"/>
      <c r="M96" s="124"/>
      <c r="N96" s="124"/>
      <c r="O96" s="124"/>
      <c r="P96" s="125"/>
    </row>
    <row r="97" spans="2:18" s="95" customFormat="1">
      <c r="B97" s="132">
        <v>43465</v>
      </c>
      <c r="C97" s="133"/>
      <c r="D97" s="133">
        <f>SUM(D93:D96)</f>
        <v>145596600</v>
      </c>
      <c r="E97" s="133">
        <f>SUM(E93:E96)</f>
        <v>0</v>
      </c>
      <c r="F97" s="133">
        <f>SUM(F93:F96)</f>
        <v>-2560966</v>
      </c>
      <c r="G97" s="133">
        <f>SUM(G93:G96)</f>
        <v>-172748821</v>
      </c>
      <c r="H97" s="131">
        <f>E76</f>
        <v>-29713187</v>
      </c>
      <c r="I97" s="133">
        <f>SUM(D97:G97)-SUM(H97)</f>
        <v>0</v>
      </c>
      <c r="K97" s="124"/>
      <c r="L97" s="124"/>
      <c r="M97" s="124"/>
      <c r="N97" s="124"/>
      <c r="O97" s="124"/>
      <c r="P97" s="125"/>
    </row>
    <row r="98" spans="2:18" s="95" customFormat="1">
      <c r="C98" s="113" t="s">
        <v>148</v>
      </c>
      <c r="D98" s="124"/>
      <c r="E98" s="124"/>
      <c r="F98" s="124"/>
      <c r="G98" s="124">
        <f>H77</f>
        <v>-208728832</v>
      </c>
      <c r="H98" s="124"/>
      <c r="I98" s="124"/>
      <c r="J98" s="124"/>
      <c r="K98" s="124"/>
      <c r="L98" s="124"/>
      <c r="M98" s="124"/>
      <c r="N98" s="124"/>
      <c r="O98" s="124"/>
      <c r="P98" s="124"/>
      <c r="Q98" s="124"/>
      <c r="R98" s="125"/>
    </row>
    <row r="99" spans="2:18" s="95" customFormat="1">
      <c r="B99" s="126"/>
      <c r="C99" s="113" t="s">
        <v>375</v>
      </c>
      <c r="D99" s="124"/>
      <c r="E99" s="124"/>
      <c r="F99" s="124">
        <f>J77-F97</f>
        <v>-987898</v>
      </c>
      <c r="G99" s="124"/>
      <c r="H99" s="124"/>
      <c r="I99" s="124"/>
      <c r="J99" s="124"/>
      <c r="K99" s="124"/>
      <c r="L99" s="124"/>
      <c r="M99" s="124"/>
      <c r="N99" s="124"/>
      <c r="O99" s="124"/>
      <c r="P99" s="124"/>
      <c r="Q99" s="124"/>
      <c r="R99" s="125"/>
    </row>
    <row r="100" spans="2:18" s="95" customFormat="1">
      <c r="B100" s="132">
        <v>43830</v>
      </c>
      <c r="C100" s="133"/>
      <c r="D100" s="133">
        <f>SUM(D97:D99)</f>
        <v>145596600</v>
      </c>
      <c r="E100" s="133">
        <f>SUM(E97:E99)</f>
        <v>0</v>
      </c>
      <c r="F100" s="133">
        <f>SUM(F97:F99)</f>
        <v>-3548864</v>
      </c>
      <c r="G100" s="133">
        <f>SUM(G97:G99)</f>
        <v>-381477653</v>
      </c>
      <c r="H100" s="131">
        <f>E77</f>
        <v>-239429917</v>
      </c>
      <c r="I100" s="133">
        <f>SUM(D100:G100)-SUM(H100)</f>
        <v>0</v>
      </c>
      <c r="J100" s="124"/>
      <c r="K100" s="124"/>
      <c r="L100" s="124"/>
      <c r="M100" s="124"/>
      <c r="N100" s="124"/>
      <c r="O100" s="124"/>
      <c r="P100" s="124"/>
      <c r="Q100" s="124"/>
      <c r="R100" s="125"/>
    </row>
    <row r="101" spans="2:18" s="95" customFormat="1">
      <c r="C101" s="113" t="s">
        <v>148</v>
      </c>
      <c r="D101" s="124"/>
      <c r="E101" s="124"/>
      <c r="F101" s="124"/>
      <c r="G101" s="124">
        <f>H78</f>
        <v>127600942</v>
      </c>
      <c r="H101" s="124"/>
      <c r="I101" s="124"/>
      <c r="J101" s="124"/>
      <c r="K101" s="124"/>
      <c r="L101" s="124"/>
      <c r="M101" s="124"/>
      <c r="N101" s="124"/>
      <c r="O101" s="124"/>
      <c r="P101" s="124"/>
      <c r="Q101" s="124"/>
      <c r="R101" s="125"/>
    </row>
    <row r="102" spans="2:18" s="95" customFormat="1">
      <c r="B102" s="126"/>
      <c r="C102" s="113" t="s">
        <v>375</v>
      </c>
      <c r="D102" s="124"/>
      <c r="E102" s="124"/>
      <c r="F102" s="124">
        <f>J78-F100</f>
        <v>3495621</v>
      </c>
      <c r="G102" s="124"/>
      <c r="H102" s="124"/>
      <c r="I102" s="124"/>
      <c r="J102" s="124"/>
      <c r="K102" s="124"/>
      <c r="L102" s="124"/>
      <c r="M102" s="124"/>
      <c r="N102" s="124"/>
      <c r="O102" s="124"/>
      <c r="P102" s="124"/>
      <c r="Q102" s="124"/>
      <c r="R102" s="125"/>
    </row>
    <row r="103" spans="2:18" s="95" customFormat="1">
      <c r="B103" s="132">
        <v>44196</v>
      </c>
      <c r="C103" s="133"/>
      <c r="D103" s="133">
        <f>SUM(D100:D102)</f>
        <v>145596600</v>
      </c>
      <c r="E103" s="133">
        <f>SUM(E100:E102)</f>
        <v>0</v>
      </c>
      <c r="F103" s="133">
        <f>SUM(F100:F102)</f>
        <v>-53243</v>
      </c>
      <c r="G103" s="133">
        <f>SUM(G100:G102)</f>
        <v>-253876711</v>
      </c>
      <c r="H103" s="131">
        <f>E78</f>
        <v>-108333354</v>
      </c>
      <c r="I103" s="133">
        <f>SUM(D103:G103)-SUM(H103)</f>
        <v>0</v>
      </c>
      <c r="J103" s="124"/>
      <c r="K103" s="124"/>
      <c r="L103" s="124"/>
      <c r="M103" s="124"/>
      <c r="N103" s="124"/>
      <c r="O103" s="124"/>
      <c r="P103" s="124"/>
      <c r="Q103" s="124"/>
      <c r="R103" s="125"/>
    </row>
    <row r="104" spans="2:18" s="95" customFormat="1">
      <c r="C104" s="113" t="s">
        <v>148</v>
      </c>
      <c r="D104" s="124"/>
      <c r="E104" s="124"/>
      <c r="F104" s="124"/>
      <c r="G104" s="124">
        <f>H79</f>
        <v>192878224</v>
      </c>
      <c r="H104" s="124"/>
      <c r="I104" s="124"/>
      <c r="J104" s="124"/>
      <c r="K104" s="124"/>
      <c r="L104" s="124"/>
      <c r="M104" s="124"/>
      <c r="N104" s="124"/>
      <c r="O104" s="124"/>
      <c r="P104" s="124"/>
      <c r="Q104" s="124"/>
      <c r="R104" s="125"/>
    </row>
    <row r="105" spans="2:18" s="95" customFormat="1">
      <c r="B105" s="126"/>
      <c r="C105" s="113" t="s">
        <v>375</v>
      </c>
      <c r="D105" s="124"/>
      <c r="E105" s="124"/>
      <c r="F105" s="124">
        <f>J79-F103</f>
        <v>-2727332</v>
      </c>
      <c r="G105" s="124"/>
      <c r="H105" s="124"/>
      <c r="I105" s="124"/>
      <c r="J105" s="124"/>
      <c r="K105" s="124"/>
      <c r="L105" s="124"/>
      <c r="M105" s="124"/>
      <c r="N105" s="124"/>
      <c r="O105" s="124"/>
      <c r="P105" s="124"/>
      <c r="Q105" s="124"/>
      <c r="R105" s="125"/>
    </row>
    <row r="106" spans="2:18" s="95" customFormat="1">
      <c r="B106" s="132">
        <v>44561</v>
      </c>
      <c r="C106" s="133"/>
      <c r="D106" s="133">
        <f>SUM(D103:D105)</f>
        <v>145596600</v>
      </c>
      <c r="E106" s="133">
        <f>SUM(E103:E105)</f>
        <v>0</v>
      </c>
      <c r="F106" s="133">
        <f>SUM(F103:F105)</f>
        <v>-2780575</v>
      </c>
      <c r="G106" s="133">
        <f>SUM(G103:G105)</f>
        <v>-60998487</v>
      </c>
      <c r="H106" s="131">
        <f>E79</f>
        <v>81817538</v>
      </c>
      <c r="I106" s="133">
        <f>SUM(D106:G106)-SUM(H106)</f>
        <v>0</v>
      </c>
      <c r="J106" s="124"/>
      <c r="K106" s="124"/>
      <c r="L106" s="124"/>
      <c r="M106" s="124"/>
      <c r="N106" s="124"/>
      <c r="O106" s="124"/>
      <c r="P106" s="124"/>
      <c r="Q106" s="124"/>
      <c r="R106" s="125"/>
    </row>
    <row r="107" spans="2:18" s="95" customFormat="1">
      <c r="C107" s="113" t="s">
        <v>148</v>
      </c>
      <c r="D107" s="124"/>
      <c r="E107" s="124"/>
      <c r="F107" s="124"/>
      <c r="G107" s="124">
        <f>H80</f>
        <v>249856687</v>
      </c>
      <c r="H107" s="124"/>
      <c r="I107" s="124"/>
      <c r="J107" s="124"/>
      <c r="K107" s="124"/>
      <c r="L107" s="124"/>
      <c r="M107" s="124"/>
      <c r="N107" s="124"/>
      <c r="O107" s="124"/>
      <c r="P107" s="124"/>
      <c r="Q107" s="124"/>
      <c r="R107" s="125"/>
    </row>
    <row r="108" spans="2:18" s="95" customFormat="1">
      <c r="B108" s="126"/>
      <c r="C108" s="113" t="s">
        <v>375</v>
      </c>
      <c r="D108" s="124"/>
      <c r="E108" s="124"/>
      <c r="F108" s="124">
        <f>J80-F106</f>
        <v>2658677</v>
      </c>
      <c r="G108" s="124"/>
      <c r="H108" s="124"/>
      <c r="I108" s="124"/>
      <c r="J108" s="124"/>
      <c r="K108" s="124"/>
      <c r="L108" s="124"/>
      <c r="M108" s="124"/>
      <c r="N108" s="124"/>
      <c r="O108" s="124"/>
      <c r="P108" s="124"/>
      <c r="Q108" s="124"/>
      <c r="R108" s="125"/>
    </row>
    <row r="109" spans="2:18" s="95" customFormat="1">
      <c r="B109" s="132">
        <v>44926</v>
      </c>
      <c r="C109" s="133"/>
      <c r="D109" s="133">
        <f>SUM(D106:D108)</f>
        <v>145596600</v>
      </c>
      <c r="E109" s="133">
        <f>SUM(E106:E108)</f>
        <v>0</v>
      </c>
      <c r="F109" s="133">
        <f>SUM(F106:F108)</f>
        <v>-121898</v>
      </c>
      <c r="G109" s="133">
        <f>SUM(G106:G108)</f>
        <v>188858200</v>
      </c>
      <c r="H109" s="131">
        <f>E80</f>
        <v>334332902</v>
      </c>
      <c r="I109" s="133">
        <f>SUM(D109:G109)-SUM(H109)</f>
        <v>0</v>
      </c>
      <c r="J109" s="124"/>
      <c r="K109" s="124"/>
      <c r="L109" s="124"/>
      <c r="M109" s="124"/>
      <c r="N109" s="124"/>
      <c r="O109" s="124"/>
      <c r="P109" s="124"/>
      <c r="Q109" s="124"/>
      <c r="R109" s="125"/>
    </row>
    <row r="110" spans="2:18" s="95" customFormat="1">
      <c r="C110" s="113" t="s">
        <v>148</v>
      </c>
      <c r="D110" s="124"/>
      <c r="E110" s="124"/>
      <c r="F110" s="124"/>
      <c r="G110" s="124">
        <f>H81</f>
        <v>381068988</v>
      </c>
      <c r="H110" s="124"/>
      <c r="I110" s="124"/>
      <c r="J110" s="124"/>
      <c r="K110" s="124"/>
      <c r="L110" s="124"/>
      <c r="M110" s="124"/>
      <c r="N110" s="124"/>
      <c r="O110" s="124"/>
      <c r="P110" s="124"/>
      <c r="Q110" s="124"/>
      <c r="R110" s="125"/>
    </row>
    <row r="111" spans="2:18" s="95" customFormat="1">
      <c r="B111" s="126"/>
      <c r="C111" s="113" t="s">
        <v>375</v>
      </c>
      <c r="D111" s="124"/>
      <c r="E111" s="124"/>
      <c r="F111" s="124">
        <f>J81-F109</f>
        <v>-1267214</v>
      </c>
      <c r="G111" s="124"/>
      <c r="H111" s="124"/>
      <c r="I111" s="124"/>
      <c r="J111" s="124"/>
      <c r="K111" s="124"/>
      <c r="L111" s="124"/>
      <c r="M111" s="124"/>
      <c r="N111" s="124"/>
      <c r="O111" s="124"/>
      <c r="P111" s="124"/>
      <c r="Q111" s="124"/>
      <c r="R111" s="125"/>
    </row>
    <row r="112" spans="2:18" s="95" customFormat="1">
      <c r="B112" s="132">
        <v>45291</v>
      </c>
      <c r="C112" s="133"/>
      <c r="D112" s="133">
        <f>SUM(D109:D111)</f>
        <v>145596600</v>
      </c>
      <c r="E112" s="133">
        <f>SUM(E109:E111)</f>
        <v>0</v>
      </c>
      <c r="F112" s="133">
        <f>SUM(F109:F111)</f>
        <v>-1389112</v>
      </c>
      <c r="G112" s="133">
        <f>SUM(G109:G111)</f>
        <v>569927188</v>
      </c>
      <c r="H112" s="131">
        <f>E81</f>
        <v>714134676</v>
      </c>
      <c r="I112" s="133">
        <f>SUM(D112:G112)-SUM(H112)</f>
        <v>0</v>
      </c>
      <c r="J112" s="124"/>
      <c r="K112" s="124"/>
      <c r="L112" s="124"/>
      <c r="M112" s="124"/>
      <c r="N112" s="124"/>
      <c r="O112" s="124"/>
      <c r="P112" s="124"/>
      <c r="Q112" s="124"/>
      <c r="R112" s="125"/>
    </row>
    <row r="113" spans="2:18" s="95" customFormat="1">
      <c r="C113" s="113" t="s">
        <v>148</v>
      </c>
      <c r="D113" s="124"/>
      <c r="E113" s="124"/>
      <c r="F113" s="124"/>
      <c r="G113" s="124">
        <v>140763890</v>
      </c>
      <c r="H113" s="124"/>
      <c r="I113" s="124"/>
      <c r="J113" s="124"/>
      <c r="K113" s="124"/>
      <c r="L113" s="124"/>
      <c r="M113" s="124"/>
      <c r="N113" s="124"/>
      <c r="O113" s="124"/>
      <c r="P113" s="124"/>
      <c r="Q113" s="124"/>
      <c r="R113" s="125"/>
    </row>
    <row r="114" spans="2:18" s="95" customFormat="1">
      <c r="C114" s="113" t="s">
        <v>2583</v>
      </c>
      <c r="D114" s="124"/>
      <c r="E114" s="124"/>
      <c r="F114" s="124"/>
      <c r="G114" s="124"/>
      <c r="H114" s="124"/>
      <c r="I114" s="124"/>
      <c r="J114" s="124"/>
      <c r="K114" s="124"/>
      <c r="L114" s="124"/>
      <c r="M114" s="124"/>
      <c r="N114" s="124"/>
      <c r="O114" s="124"/>
      <c r="P114" s="124"/>
      <c r="Q114" s="124"/>
      <c r="R114" s="125"/>
    </row>
    <row r="115" spans="2:18" s="95" customFormat="1">
      <c r="C115" s="113" t="s">
        <v>164</v>
      </c>
      <c r="D115" s="124">
        <v>557880000</v>
      </c>
      <c r="E115" s="124"/>
      <c r="F115" s="124"/>
      <c r="G115" s="124"/>
      <c r="H115" s="124"/>
      <c r="I115" s="124"/>
      <c r="J115" s="124"/>
      <c r="K115" s="124"/>
      <c r="L115" s="124"/>
      <c r="M115" s="124"/>
      <c r="N115" s="124"/>
      <c r="O115" s="124"/>
      <c r="P115" s="124"/>
      <c r="Q115" s="124"/>
      <c r="R115" s="125"/>
    </row>
    <row r="116" spans="2:18" s="95" customFormat="1">
      <c r="B116" s="126"/>
      <c r="C116" s="113" t="s">
        <v>375</v>
      </c>
      <c r="D116" s="124"/>
      <c r="E116" s="124"/>
      <c r="F116" s="124">
        <f>J82-F112</f>
        <v>133770549</v>
      </c>
      <c r="G116" s="124"/>
      <c r="H116" s="124"/>
      <c r="I116" s="124"/>
      <c r="J116" s="124"/>
      <c r="K116" s="124"/>
      <c r="L116" s="124"/>
      <c r="M116" s="124"/>
      <c r="N116" s="124"/>
      <c r="O116" s="124"/>
      <c r="P116" s="124"/>
      <c r="Q116" s="124"/>
      <c r="R116" s="125"/>
    </row>
    <row r="117" spans="2:18" s="95" customFormat="1">
      <c r="B117" s="132">
        <v>45657</v>
      </c>
      <c r="C117" s="133"/>
      <c r="D117" s="133">
        <f>SUM(D112:D116)</f>
        <v>703476600</v>
      </c>
      <c r="E117" s="133">
        <f>SUM(E112:E116)</f>
        <v>0</v>
      </c>
      <c r="F117" s="133">
        <f>SUM(F112:F116)</f>
        <v>132381437</v>
      </c>
      <c r="G117" s="133">
        <f>SUM(G112:G116)</f>
        <v>710691078</v>
      </c>
      <c r="H117" s="131">
        <f>E82</f>
        <v>1546549115</v>
      </c>
      <c r="I117" s="133">
        <f>SUM(D117:G117)-SUM(H117)</f>
        <v>0</v>
      </c>
      <c r="J117" s="124"/>
      <c r="K117" s="124"/>
      <c r="L117" s="124"/>
      <c r="M117" s="124"/>
      <c r="N117" s="124"/>
      <c r="O117" s="124"/>
      <c r="P117" s="124"/>
      <c r="Q117" s="124"/>
      <c r="R117" s="125"/>
    </row>
    <row r="118" spans="2:18" s="95" customFormat="1">
      <c r="C118" s="113" t="s">
        <v>148</v>
      </c>
      <c r="D118" s="124"/>
      <c r="E118" s="124"/>
      <c r="F118" s="124"/>
      <c r="G118" s="124">
        <v>97886587</v>
      </c>
      <c r="H118" s="124"/>
      <c r="I118" s="124"/>
      <c r="J118" s="124"/>
      <c r="K118" s="124"/>
      <c r="L118" s="124"/>
      <c r="M118" s="124"/>
      <c r="N118" s="124"/>
      <c r="O118" s="124"/>
      <c r="P118" s="124"/>
      <c r="Q118" s="124"/>
      <c r="R118" s="125"/>
    </row>
    <row r="119" spans="2:18" s="95" customFormat="1">
      <c r="B119" s="126"/>
      <c r="C119" s="113" t="s">
        <v>375</v>
      </c>
      <c r="D119" s="124"/>
      <c r="E119" s="124"/>
      <c r="F119" s="124">
        <f>J83-F117</f>
        <v>-36604245</v>
      </c>
      <c r="G119" s="124"/>
      <c r="H119" s="124"/>
      <c r="I119" s="124"/>
      <c r="J119" s="124"/>
      <c r="K119" s="124"/>
      <c r="L119" s="124"/>
      <c r="M119" s="124"/>
      <c r="N119" s="124"/>
      <c r="O119" s="124"/>
      <c r="P119" s="124"/>
      <c r="Q119" s="124"/>
      <c r="R119" s="125"/>
    </row>
    <row r="120" spans="2:18" s="95" customFormat="1">
      <c r="B120" s="132">
        <f>B83</f>
        <v>46022</v>
      </c>
      <c r="C120" s="133"/>
      <c r="D120" s="133">
        <f>SUM(D117:D119)</f>
        <v>703476600</v>
      </c>
      <c r="E120" s="133">
        <f>SUM(E117:E119)</f>
        <v>0</v>
      </c>
      <c r="F120" s="133">
        <f>SUM(F117:F119)</f>
        <v>95777192</v>
      </c>
      <c r="G120" s="133">
        <f>SUM(G117:G119)</f>
        <v>808577665</v>
      </c>
      <c r="H120" s="131">
        <f>E83</f>
        <v>1607831457</v>
      </c>
      <c r="I120" s="133">
        <f>SUM(D120:G120)-SUM(H120)</f>
        <v>0</v>
      </c>
      <c r="J120" s="124"/>
      <c r="K120" s="124"/>
      <c r="L120" s="124"/>
      <c r="M120" s="124"/>
      <c r="N120" s="124"/>
      <c r="O120" s="124"/>
      <c r="P120" s="124"/>
      <c r="Q120" s="124"/>
      <c r="R120" s="125"/>
    </row>
    <row r="121" spans="2:18" s="95" customFormat="1">
      <c r="C121" s="113" t="s">
        <v>148</v>
      </c>
      <c r="D121" s="124"/>
      <c r="E121" s="124"/>
      <c r="F121" s="124"/>
      <c r="G121" s="124">
        <f>HK_PL!K84</f>
        <v>44207891</v>
      </c>
      <c r="H121" s="124"/>
      <c r="I121" s="124"/>
      <c r="J121" s="124"/>
      <c r="K121" s="124"/>
      <c r="L121" s="124"/>
      <c r="M121" s="124"/>
      <c r="N121" s="124"/>
      <c r="O121" s="124"/>
      <c r="P121" s="124"/>
      <c r="Q121" s="124"/>
      <c r="R121" s="125"/>
    </row>
    <row r="122" spans="2:18" s="95" customFormat="1">
      <c r="B122" s="126"/>
      <c r="C122" s="113" t="s">
        <v>375</v>
      </c>
      <c r="D122" s="124"/>
      <c r="E122" s="124"/>
      <c r="F122" s="124">
        <f>J84-F120</f>
        <v>99968525</v>
      </c>
      <c r="G122" s="124"/>
      <c r="H122" s="124"/>
      <c r="I122" s="124"/>
      <c r="J122" s="124"/>
      <c r="K122" s="124"/>
      <c r="L122" s="124"/>
      <c r="M122" s="124"/>
      <c r="N122" s="124"/>
      <c r="O122" s="124"/>
      <c r="P122" s="124"/>
      <c r="Q122" s="124"/>
      <c r="R122" s="125"/>
    </row>
    <row r="123" spans="2:18" s="95" customFormat="1">
      <c r="B123" s="132">
        <f>B84</f>
        <v>46203</v>
      </c>
      <c r="C123" s="133"/>
      <c r="D123" s="133">
        <f>SUM(D120:D122)</f>
        <v>703476600</v>
      </c>
      <c r="E123" s="133">
        <f>SUM(E120:E122)</f>
        <v>0</v>
      </c>
      <c r="F123" s="133">
        <f>SUM(F120:F122)</f>
        <v>195745717</v>
      </c>
      <c r="G123" s="133">
        <f>SUM(G120:G122)</f>
        <v>852785556</v>
      </c>
      <c r="H123" s="131">
        <f>E84</f>
        <v>1752007873</v>
      </c>
      <c r="I123" s="133">
        <f>SUM(D123:G123)-SUM(H123)</f>
        <v>0</v>
      </c>
      <c r="J123" s="124"/>
      <c r="K123" s="124"/>
      <c r="L123" s="124"/>
      <c r="M123" s="124"/>
      <c r="N123" s="124"/>
      <c r="O123" s="124"/>
      <c r="P123" s="124"/>
      <c r="Q123" s="124"/>
      <c r="R123" s="125"/>
    </row>
    <row r="124" spans="2:18" s="95" customFormat="1">
      <c r="C124" s="124"/>
      <c r="D124" s="124">
        <f>D123-BS!J123</f>
        <v>0</v>
      </c>
      <c r="E124" s="124">
        <f>E123-BS!J125</f>
        <v>0</v>
      </c>
      <c r="F124" s="124">
        <f>F123-BS!J135</f>
        <v>0</v>
      </c>
      <c r="G124" s="124">
        <f>G123-BS!J143</f>
        <v>0</v>
      </c>
      <c r="H124" s="124">
        <f>SUM(D124:G124)</f>
        <v>0</v>
      </c>
      <c r="I124" s="124"/>
      <c r="J124" s="124"/>
      <c r="K124" s="124"/>
      <c r="L124" s="124"/>
      <c r="M124" s="124"/>
      <c r="N124" s="124"/>
      <c r="O124" s="124"/>
      <c r="P124" s="124"/>
      <c r="Q124" s="124"/>
      <c r="R124" s="125"/>
    </row>
    <row r="125" spans="2:18" s="95" customFormat="1">
      <c r="C125" s="124"/>
      <c r="D125" s="124"/>
      <c r="E125" s="124"/>
      <c r="F125" s="124"/>
      <c r="G125" s="124"/>
      <c r="H125" s="124"/>
      <c r="I125" s="124"/>
      <c r="J125" s="124"/>
      <c r="K125" s="124"/>
      <c r="L125" s="124"/>
      <c r="M125" s="124"/>
      <c r="N125" s="124"/>
      <c r="O125" s="124"/>
      <c r="P125" s="124"/>
      <c r="Q125" s="124"/>
      <c r="R125" s="125"/>
    </row>
    <row r="126" spans="2:18" s="95" customFormat="1">
      <c r="C126" s="124"/>
      <c r="D126" s="1167"/>
      <c r="E126" s="124"/>
      <c r="F126" s="124"/>
      <c r="G126" s="124"/>
      <c r="H126" s="124"/>
      <c r="I126" s="124"/>
      <c r="J126" s="124"/>
      <c r="K126" s="124"/>
      <c r="L126" s="124"/>
      <c r="M126" s="124"/>
      <c r="N126" s="124"/>
      <c r="O126" s="124"/>
      <c r="P126" s="124"/>
      <c r="Q126" s="124"/>
      <c r="R126" s="125"/>
    </row>
    <row r="127" spans="2:18" s="95" customFormat="1">
      <c r="C127" s="124"/>
      <c r="D127" s="124"/>
      <c r="E127" s="124"/>
      <c r="F127" s="124"/>
      <c r="G127" s="124"/>
      <c r="H127" s="124"/>
      <c r="I127" s="124"/>
      <c r="J127" s="124"/>
      <c r="K127" s="124"/>
      <c r="L127" s="124"/>
      <c r="M127" s="124"/>
      <c r="N127" s="124"/>
      <c r="O127" s="124"/>
      <c r="P127" s="124"/>
      <c r="Q127" s="124"/>
      <c r="R127" s="125"/>
    </row>
    <row r="128" spans="2:18" s="95" customFormat="1">
      <c r="B128" s="119" t="s">
        <v>430</v>
      </c>
      <c r="C128" s="124"/>
      <c r="D128" s="124"/>
      <c r="E128" s="124"/>
      <c r="F128" s="124"/>
      <c r="G128" s="124"/>
      <c r="H128" s="124"/>
      <c r="I128" s="124"/>
      <c r="J128" s="124"/>
      <c r="K128" s="124"/>
      <c r="L128" s="124"/>
      <c r="M128" s="124"/>
      <c r="N128" s="124"/>
      <c r="O128" s="124"/>
      <c r="P128" s="124"/>
      <c r="Q128" s="124"/>
      <c r="R128" s="125"/>
    </row>
    <row r="129" spans="2:18" s="95" customFormat="1">
      <c r="C129" s="124"/>
      <c r="D129" s="124"/>
      <c r="E129" s="124"/>
      <c r="F129" s="124"/>
      <c r="G129" s="124"/>
      <c r="H129" s="124"/>
      <c r="I129" s="124"/>
      <c r="J129" s="124"/>
      <c r="K129" s="124"/>
      <c r="L129" s="124"/>
      <c r="M129" s="124"/>
      <c r="N129" s="124"/>
      <c r="O129" s="124"/>
      <c r="P129" s="124"/>
      <c r="Q129" s="124"/>
      <c r="R129" s="125"/>
    </row>
    <row r="130" spans="2:18" s="95" customFormat="1">
      <c r="B130" s="139" t="s">
        <v>173</v>
      </c>
      <c r="C130" s="142" t="s">
        <v>431</v>
      </c>
      <c r="D130" s="124"/>
      <c r="E130" s="124"/>
      <c r="F130" s="124"/>
      <c r="G130" s="124"/>
      <c r="H130" s="124"/>
      <c r="I130" s="124"/>
      <c r="J130" s="124"/>
      <c r="K130" s="124"/>
      <c r="L130" s="124"/>
      <c r="M130" s="124"/>
      <c r="N130" s="124"/>
      <c r="O130" s="124"/>
      <c r="P130" s="124"/>
      <c r="Q130" s="124"/>
      <c r="R130" s="125"/>
    </row>
    <row r="131" spans="2:18" s="95" customFormat="1" hidden="1" outlineLevel="1">
      <c r="C131" s="140"/>
      <c r="D131" s="124"/>
      <c r="E131" s="124"/>
      <c r="F131" s="124"/>
      <c r="G131" s="124"/>
      <c r="H131" s="124"/>
      <c r="I131" s="124"/>
      <c r="J131" s="124"/>
      <c r="K131" s="124"/>
      <c r="L131" s="124"/>
      <c r="M131" s="124"/>
      <c r="N131" s="124"/>
      <c r="O131" s="124"/>
      <c r="P131" s="124"/>
      <c r="Q131" s="124"/>
      <c r="R131" s="125"/>
    </row>
    <row r="132" spans="2:18" s="95" customFormat="1" hidden="1" outlineLevel="1">
      <c r="C132" s="1997" t="s">
        <v>617</v>
      </c>
      <c r="D132" s="1998" t="s">
        <v>448</v>
      </c>
      <c r="E132" s="1998"/>
      <c r="F132" s="1997" t="s">
        <v>1402</v>
      </c>
      <c r="G132" s="124"/>
      <c r="H132" s="124"/>
      <c r="I132" s="124"/>
      <c r="J132" s="124"/>
      <c r="K132" s="124"/>
      <c r="L132" s="124"/>
      <c r="M132" s="124"/>
      <c r="N132" s="124"/>
      <c r="O132" s="124"/>
      <c r="P132" s="124"/>
      <c r="Q132" s="124"/>
      <c r="R132" s="125"/>
    </row>
    <row r="133" spans="2:18" s="95" customFormat="1" hidden="1" outlineLevel="1">
      <c r="C133" s="1997"/>
      <c r="F133" s="1997"/>
      <c r="G133" s="124"/>
      <c r="H133" s="124"/>
      <c r="I133" s="124"/>
      <c r="J133" s="124"/>
      <c r="K133" s="124"/>
      <c r="L133" s="124"/>
      <c r="M133" s="124"/>
      <c r="N133" s="124"/>
      <c r="O133" s="124"/>
      <c r="P133" s="124"/>
      <c r="Q133" s="124"/>
      <c r="R133" s="125"/>
    </row>
    <row r="134" spans="2:18" s="95" customFormat="1" hidden="1" outlineLevel="1">
      <c r="C134" s="140"/>
      <c r="D134" s="113" t="s">
        <v>446</v>
      </c>
      <c r="E134" s="155">
        <v>307992988</v>
      </c>
      <c r="F134" s="124"/>
      <c r="G134" s="124"/>
      <c r="H134" s="124"/>
      <c r="I134" s="124"/>
      <c r="J134" s="124"/>
      <c r="K134" s="124"/>
      <c r="L134" s="124"/>
      <c r="M134" s="124"/>
      <c r="N134" s="124"/>
      <c r="O134" s="124"/>
      <c r="P134" s="124"/>
      <c r="Q134" s="124"/>
      <c r="R134" s="125"/>
    </row>
    <row r="135" spans="2:18" s="95" customFormat="1" hidden="1" outlineLevel="1">
      <c r="C135" s="140"/>
      <c r="D135" s="113" t="s">
        <v>447</v>
      </c>
      <c r="E135" s="155">
        <v>51989975</v>
      </c>
      <c r="F135" s="124"/>
      <c r="G135" s="124"/>
      <c r="H135" s="124"/>
      <c r="I135" s="124"/>
      <c r="J135" s="124"/>
      <c r="K135" s="124"/>
      <c r="L135" s="124"/>
      <c r="M135" s="124"/>
      <c r="N135" s="124"/>
      <c r="O135" s="124"/>
      <c r="P135" s="124"/>
      <c r="Q135" s="124"/>
      <c r="R135" s="125"/>
    </row>
    <row r="136" spans="2:18" s="95" customFormat="1" hidden="1" outlineLevel="1">
      <c r="C136" s="140"/>
      <c r="F136" s="124"/>
      <c r="G136" s="124"/>
      <c r="H136" s="124"/>
      <c r="I136" s="124"/>
      <c r="J136" s="124"/>
      <c r="K136" s="124"/>
      <c r="L136" s="124"/>
      <c r="M136" s="124"/>
      <c r="N136" s="124"/>
      <c r="O136" s="124"/>
      <c r="P136" s="124"/>
      <c r="Q136" s="124"/>
      <c r="R136" s="125"/>
    </row>
    <row r="137" spans="2:18" s="95" customFormat="1" hidden="1" outlineLevel="1">
      <c r="C137" s="1999" t="s">
        <v>146</v>
      </c>
      <c r="D137" s="1999" t="s">
        <v>153</v>
      </c>
      <c r="E137" s="1999" t="s">
        <v>152</v>
      </c>
      <c r="F137" s="2008" t="s">
        <v>151</v>
      </c>
      <c r="G137" s="2008"/>
      <c r="H137" s="2008"/>
      <c r="I137" s="2008"/>
      <c r="J137" s="2008"/>
      <c r="K137" s="124"/>
      <c r="L137" s="124"/>
      <c r="M137" s="124"/>
      <c r="N137" s="124"/>
      <c r="O137" s="124"/>
      <c r="P137" s="124"/>
      <c r="Q137" s="124"/>
      <c r="R137" s="125"/>
    </row>
    <row r="138" spans="2:18" s="95" customFormat="1" hidden="1" outlineLevel="1">
      <c r="C138" s="2000"/>
      <c r="D138" s="2000"/>
      <c r="E138" s="2000"/>
      <c r="F138" s="153" t="s">
        <v>277</v>
      </c>
      <c r="G138" s="153" t="s">
        <v>343</v>
      </c>
      <c r="H138" s="153" t="s">
        <v>1542</v>
      </c>
      <c r="I138" s="153" t="s">
        <v>1544</v>
      </c>
      <c r="J138" s="153" t="s">
        <v>1546</v>
      </c>
      <c r="K138" s="124"/>
      <c r="L138" s="124"/>
      <c r="M138" s="124"/>
      <c r="N138" s="124"/>
      <c r="O138" s="124"/>
      <c r="P138" s="124"/>
      <c r="Q138" s="124"/>
      <c r="R138" s="125"/>
    </row>
    <row r="139" spans="2:18" s="95" customFormat="1" hidden="1" outlineLevel="1">
      <c r="C139" s="149" t="s">
        <v>150</v>
      </c>
      <c r="D139" s="154">
        <f>E135+E134</f>
        <v>359982963</v>
      </c>
      <c r="E139" s="150">
        <f t="shared" ref="E139:J139" si="10">SUM(E140:E140)</f>
        <v>6809927</v>
      </c>
      <c r="F139" s="150">
        <f t="shared" si="10"/>
        <v>6809927</v>
      </c>
      <c r="G139" s="150">
        <f t="shared" si="10"/>
        <v>0</v>
      </c>
      <c r="H139" s="150">
        <f t="shared" si="10"/>
        <v>0</v>
      </c>
      <c r="I139" s="150">
        <f t="shared" si="10"/>
        <v>0</v>
      </c>
      <c r="J139" s="150">
        <f t="shared" si="10"/>
        <v>0</v>
      </c>
      <c r="K139" s="124"/>
      <c r="L139" s="124"/>
      <c r="M139" s="124"/>
      <c r="N139" s="124"/>
      <c r="O139" s="124"/>
      <c r="P139" s="124"/>
      <c r="Q139" s="124"/>
      <c r="R139" s="125"/>
    </row>
    <row r="140" spans="2:18" s="95" customFormat="1" hidden="1" outlineLevel="1">
      <c r="C140" s="149" t="s">
        <v>1554</v>
      </c>
      <c r="D140" s="150">
        <v>359982963</v>
      </c>
      <c r="E140" s="150">
        <v>6809927</v>
      </c>
      <c r="F140" s="150">
        <f>E140</f>
        <v>6809927</v>
      </c>
      <c r="G140" s="150"/>
      <c r="H140" s="150"/>
      <c r="I140" s="150"/>
      <c r="J140" s="150"/>
      <c r="K140" s="124"/>
      <c r="L140" s="124"/>
      <c r="M140" s="124"/>
      <c r="N140" s="124"/>
      <c r="O140" s="124"/>
      <c r="P140" s="124"/>
      <c r="Q140" s="124"/>
      <c r="R140" s="125"/>
    </row>
    <row r="141" spans="2:18" s="95" customFormat="1" hidden="1" outlineLevel="1">
      <c r="C141" s="151" t="s">
        <v>1556</v>
      </c>
      <c r="D141" s="150">
        <f>E140</f>
        <v>6809927</v>
      </c>
      <c r="E141" s="148"/>
      <c r="F141" s="5"/>
      <c r="G141" s="5"/>
      <c r="H141" s="5"/>
      <c r="I141" s="5"/>
      <c r="J141" s="5"/>
      <c r="R141" s="111"/>
    </row>
    <row r="142" spans="2:18" s="95" customFormat="1" hidden="1" outlineLevel="1">
      <c r="C142" s="152"/>
      <c r="D142" s="2"/>
      <c r="E142" s="148"/>
      <c r="F142" s="5"/>
      <c r="G142" s="5"/>
      <c r="H142" s="5"/>
      <c r="I142" s="5"/>
      <c r="J142" s="5"/>
      <c r="R142" s="111"/>
    </row>
    <row r="143" spans="2:18" s="95" customFormat="1" hidden="1" outlineLevel="1">
      <c r="C143" s="5" t="s">
        <v>1552</v>
      </c>
      <c r="D143" s="5"/>
      <c r="E143" s="5"/>
      <c r="F143" s="5"/>
      <c r="G143" s="5"/>
      <c r="H143" s="5"/>
      <c r="I143" s="5"/>
      <c r="J143" s="5"/>
      <c r="R143" s="111"/>
    </row>
    <row r="144" spans="2:18" s="95" customFormat="1" hidden="1" outlineLevel="1">
      <c r="C144" s="5" t="s">
        <v>1548</v>
      </c>
      <c r="D144" s="5"/>
      <c r="E144" s="5"/>
      <c r="F144" s="5"/>
      <c r="G144" s="5"/>
      <c r="H144" s="5"/>
      <c r="I144" s="5"/>
      <c r="J144" s="5"/>
      <c r="R144" s="111"/>
    </row>
    <row r="145" spans="3:19" s="95" customFormat="1" hidden="1" outlineLevel="1">
      <c r="C145" s="95" t="s">
        <v>1677</v>
      </c>
      <c r="E145" s="765">
        <v>115769431</v>
      </c>
      <c r="F145" s="5"/>
      <c r="G145" s="5"/>
      <c r="H145" s="5"/>
      <c r="I145" s="5"/>
      <c r="J145" s="5"/>
      <c r="R145" s="111"/>
    </row>
    <row r="146" spans="3:19" s="95" customFormat="1" hidden="1" outlineLevel="1">
      <c r="C146" s="95" t="s">
        <v>1678</v>
      </c>
      <c r="E146" s="765">
        <v>72627778</v>
      </c>
      <c r="F146" s="5"/>
      <c r="G146" s="5"/>
      <c r="H146" s="5"/>
      <c r="I146" s="5"/>
      <c r="J146" s="5"/>
      <c r="R146" s="111"/>
    </row>
    <row r="147" spans="3:19" s="95" customFormat="1" hidden="1" outlineLevel="1">
      <c r="C147" s="5" t="s">
        <v>1550</v>
      </c>
      <c r="D147" s="5"/>
      <c r="E147" s="5"/>
      <c r="F147" s="5"/>
      <c r="G147" s="5"/>
      <c r="H147" s="5"/>
      <c r="I147" s="5"/>
      <c r="J147" s="5"/>
      <c r="R147" s="111"/>
    </row>
    <row r="148" spans="3:19" s="95" customFormat="1" hidden="1" outlineLevel="1">
      <c r="R148" s="111"/>
    </row>
    <row r="149" spans="3:19" s="95" customFormat="1" hidden="1" outlineLevel="1">
      <c r="C149" s="119" t="s">
        <v>432</v>
      </c>
      <c r="R149" s="111"/>
    </row>
    <row r="150" spans="3:19" s="95" customFormat="1" ht="14.25" hidden="1" outlineLevel="1" thickBot="1">
      <c r="D150" s="1996" t="s">
        <v>436</v>
      </c>
      <c r="E150" s="1996"/>
      <c r="F150" s="114" t="s">
        <v>435</v>
      </c>
      <c r="G150" s="114" t="s">
        <v>434</v>
      </c>
      <c r="H150" s="114" t="s">
        <v>426</v>
      </c>
      <c r="S150" s="111"/>
    </row>
    <row r="151" spans="3:19" s="95" customFormat="1" hidden="1" outlineLevel="1">
      <c r="D151" s="95" t="s">
        <v>418</v>
      </c>
      <c r="F151" s="95">
        <f>G107</f>
        <v>249856687</v>
      </c>
      <c r="G151" s="95">
        <f>ROUND(F151*$C$13,)</f>
        <v>249856687</v>
      </c>
      <c r="H151" s="95">
        <f>F151-G151</f>
        <v>0</v>
      </c>
      <c r="S151" s="111"/>
    </row>
    <row r="152" spans="3:19" s="95" customFormat="1" hidden="1" outlineLevel="1">
      <c r="D152" s="95" t="s">
        <v>453</v>
      </c>
      <c r="F152" s="95">
        <f>-D141</f>
        <v>-6809927</v>
      </c>
      <c r="G152" s="95">
        <f>F152</f>
        <v>-6809927</v>
      </c>
      <c r="H152" s="95">
        <f t="shared" ref="H152:H153" si="11">F152-G152</f>
        <v>0</v>
      </c>
      <c r="S152" s="111"/>
    </row>
    <row r="153" spans="3:19" s="95" customFormat="1" hidden="1" outlineLevel="1">
      <c r="D153" s="95" t="s">
        <v>454</v>
      </c>
      <c r="F153" s="95">
        <v>0</v>
      </c>
      <c r="G153" s="95">
        <f>F153</f>
        <v>0</v>
      </c>
      <c r="H153" s="95">
        <f t="shared" si="11"/>
        <v>0</v>
      </c>
      <c r="S153" s="111"/>
    </row>
    <row r="154" spans="3:19" s="95" customFormat="1" hidden="1" outlineLevel="1">
      <c r="D154" s="95" t="s">
        <v>449</v>
      </c>
      <c r="F154" s="95">
        <v>0</v>
      </c>
      <c r="G154" s="95">
        <f>ROUND(F154*$C$13,)</f>
        <v>0</v>
      </c>
      <c r="H154" s="95">
        <f>F154-G154</f>
        <v>0</v>
      </c>
      <c r="S154" s="111"/>
    </row>
    <row r="155" spans="3:19" s="95" customFormat="1" hidden="1" outlineLevel="1">
      <c r="D155" s="95" t="s">
        <v>450</v>
      </c>
      <c r="F155" s="95">
        <v>0</v>
      </c>
      <c r="G155" s="95">
        <f>ROUND(F155*$C$13,)</f>
        <v>0</v>
      </c>
      <c r="H155" s="95">
        <f>F155-G155</f>
        <v>0</v>
      </c>
      <c r="S155" s="111"/>
    </row>
    <row r="156" spans="3:19" s="95" customFormat="1" hidden="1" outlineLevel="1">
      <c r="D156" s="144" t="s">
        <v>451</v>
      </c>
      <c r="E156" s="144"/>
      <c r="F156" s="144">
        <f>SUM(F151:F155)</f>
        <v>243046760</v>
      </c>
      <c r="G156" s="144">
        <f>SUM(G151:G155)</f>
        <v>243046760</v>
      </c>
      <c r="H156" s="144">
        <f t="shared" ref="H156" si="12">SUM(H151:H155)</f>
        <v>0</v>
      </c>
      <c r="S156" s="111"/>
    </row>
    <row r="157" spans="3:19" s="95" customFormat="1" hidden="1" outlineLevel="1">
      <c r="S157" s="111"/>
    </row>
    <row r="158" spans="3:19" s="95" customFormat="1" hidden="1" outlineLevel="1">
      <c r="D158" s="121" t="s">
        <v>433</v>
      </c>
      <c r="E158" s="121"/>
      <c r="F158" s="121">
        <f>F108</f>
        <v>2658677</v>
      </c>
      <c r="G158" s="121">
        <f>ROUND(F158*$C$13,)</f>
        <v>2658677</v>
      </c>
      <c r="H158" s="121">
        <f>F158-G158</f>
        <v>0</v>
      </c>
      <c r="S158" s="111"/>
    </row>
    <row r="159" spans="3:19" s="95" customFormat="1" hidden="1" outlineLevel="1">
      <c r="R159" s="111"/>
    </row>
    <row r="160" spans="3:19" s="95" customFormat="1" hidden="1" outlineLevel="1">
      <c r="C160" s="10" t="s">
        <v>170</v>
      </c>
      <c r="D160" s="5"/>
      <c r="F160" s="10" t="s">
        <v>169</v>
      </c>
      <c r="G160" s="5"/>
      <c r="R160" s="111"/>
    </row>
    <row r="161" spans="2:18" s="95" customFormat="1" hidden="1" outlineLevel="1">
      <c r="C161" s="5"/>
      <c r="D161" s="5"/>
      <c r="F161" s="2"/>
      <c r="G161" s="2"/>
      <c r="R161" s="111"/>
    </row>
    <row r="162" spans="2:18" s="95" customFormat="1" ht="15.75" hidden="1" outlineLevel="1">
      <c r="C162" s="9" t="s">
        <v>168</v>
      </c>
      <c r="D162" s="9" t="s">
        <v>154</v>
      </c>
      <c r="F162" s="9" t="s">
        <v>168</v>
      </c>
      <c r="G162" s="9" t="s">
        <v>154</v>
      </c>
      <c r="R162" s="111"/>
    </row>
    <row r="163" spans="2:18" s="95" customFormat="1" hidden="1" outlineLevel="1">
      <c r="C163" s="5" t="s">
        <v>167</v>
      </c>
      <c r="D163" s="2">
        <f>ROUND(H106*$C$13,)</f>
        <v>81817538</v>
      </c>
      <c r="F163" s="5" t="s">
        <v>157</v>
      </c>
      <c r="G163" s="2">
        <f>H109</f>
        <v>334332902</v>
      </c>
      <c r="R163" s="111"/>
    </row>
    <row r="164" spans="2:18" s="95" customFormat="1" hidden="1" outlineLevel="1">
      <c r="C164" s="2" t="s">
        <v>166</v>
      </c>
      <c r="D164" s="2"/>
      <c r="F164" s="5" t="s">
        <v>165</v>
      </c>
      <c r="G164" s="145">
        <f>$C$13</f>
        <v>1</v>
      </c>
      <c r="R164" s="111"/>
    </row>
    <row r="165" spans="2:18" s="95" customFormat="1" hidden="1" outlineLevel="1">
      <c r="C165" s="5" t="s">
        <v>164</v>
      </c>
      <c r="D165" s="2"/>
      <c r="F165" s="5" t="s">
        <v>163</v>
      </c>
      <c r="G165" s="2">
        <f>ROUND(G163*G164,0)</f>
        <v>334332902</v>
      </c>
      <c r="R165" s="111"/>
    </row>
    <row r="166" spans="2:18" s="95" customFormat="1" hidden="1" outlineLevel="1">
      <c r="C166" s="5" t="s">
        <v>162</v>
      </c>
      <c r="D166" s="2">
        <f>G156</f>
        <v>243046760</v>
      </c>
      <c r="F166" s="5" t="s">
        <v>161</v>
      </c>
      <c r="G166" s="2">
        <v>0</v>
      </c>
      <c r="H166" s="145"/>
      <c r="R166" s="111"/>
    </row>
    <row r="167" spans="2:18" s="95" customFormat="1" ht="14.25" hidden="1" outlineLevel="1" thickBot="1">
      <c r="C167" s="8" t="s">
        <v>160</v>
      </c>
      <c r="D167" s="141">
        <f>G158</f>
        <v>2658677</v>
      </c>
      <c r="F167" s="5" t="s">
        <v>159</v>
      </c>
      <c r="G167" s="2">
        <f>G152+G154</f>
        <v>-6809927</v>
      </c>
      <c r="R167" s="111"/>
    </row>
    <row r="168" spans="2:18" s="95" customFormat="1" ht="15" hidden="1" outlineLevel="1" thickTop="1" thickBot="1">
      <c r="C168" s="5" t="s">
        <v>158</v>
      </c>
      <c r="D168" s="2">
        <f>SUM(D163:D167)</f>
        <v>327522975</v>
      </c>
      <c r="F168" s="8" t="s">
        <v>157</v>
      </c>
      <c r="G168" s="141">
        <f>D168</f>
        <v>327522975</v>
      </c>
      <c r="R168" s="111"/>
    </row>
    <row r="169" spans="2:18" s="95" customFormat="1" ht="14.25" hidden="1" outlineLevel="1" thickTop="1">
      <c r="C169" s="2"/>
      <c r="D169" s="2"/>
      <c r="F169" s="5" t="s">
        <v>156</v>
      </c>
      <c r="G169" s="143">
        <f>G165-G168+G166+G167</f>
        <v>0</v>
      </c>
      <c r="R169" s="111"/>
    </row>
    <row r="170" spans="2:18" s="95" customFormat="1" hidden="1" outlineLevel="1">
      <c r="R170" s="111"/>
    </row>
    <row r="171" spans="2:18" s="95" customFormat="1" hidden="1" outlineLevel="1">
      <c r="R171" s="111"/>
    </row>
    <row r="172" spans="2:18" s="95" customFormat="1" collapsed="1">
      <c r="B172" s="139" t="s">
        <v>277</v>
      </c>
      <c r="C172" s="142" t="s">
        <v>431</v>
      </c>
      <c r="D172" s="124"/>
      <c r="E172" s="124"/>
      <c r="F172" s="124"/>
      <c r="G172" s="124"/>
      <c r="P172" s="111"/>
    </row>
    <row r="173" spans="2:18" s="95" customFormat="1" hidden="1" outlineLevel="1">
      <c r="D173" s="124"/>
      <c r="E173" s="124"/>
      <c r="F173" s="124"/>
      <c r="G173" s="124"/>
      <c r="P173" s="111"/>
    </row>
    <row r="174" spans="2:18" s="95" customFormat="1" hidden="1" outlineLevel="1">
      <c r="C174" s="1997" t="s">
        <v>1406</v>
      </c>
      <c r="D174" s="1998" t="s">
        <v>448</v>
      </c>
      <c r="E174" s="1998"/>
      <c r="F174" s="1997" t="s">
        <v>1402</v>
      </c>
      <c r="G174" s="124"/>
      <c r="H174" s="124"/>
      <c r="P174" s="111"/>
    </row>
    <row r="175" spans="2:18" s="95" customFormat="1" hidden="1" outlineLevel="1">
      <c r="C175" s="1997"/>
      <c r="F175" s="1997"/>
      <c r="G175" s="124"/>
      <c r="H175" s="124"/>
      <c r="P175" s="111"/>
    </row>
    <row r="176" spans="2:18" s="95" customFormat="1" hidden="1" outlineLevel="1">
      <c r="C176" s="140"/>
      <c r="D176" s="113" t="s">
        <v>446</v>
      </c>
      <c r="E176" s="155">
        <v>604129678</v>
      </c>
      <c r="F176" s="124"/>
      <c r="G176" s="124"/>
      <c r="H176" s="124"/>
      <c r="P176" s="111"/>
    </row>
    <row r="177" spans="3:18" s="95" customFormat="1" hidden="1" outlineLevel="1">
      <c r="C177" s="140"/>
      <c r="D177" s="113" t="s">
        <v>447</v>
      </c>
      <c r="E177" s="155">
        <v>88716852</v>
      </c>
      <c r="F177" s="124"/>
      <c r="G177" s="124"/>
      <c r="H177" s="124"/>
      <c r="P177" s="111"/>
    </row>
    <row r="178" spans="3:18" s="95" customFormat="1" hidden="1" outlineLevel="1">
      <c r="C178" s="140"/>
      <c r="F178" s="124"/>
      <c r="G178" s="124"/>
      <c r="H178" s="124"/>
      <c r="I178" s="124"/>
      <c r="J178" s="124"/>
      <c r="R178" s="111"/>
    </row>
    <row r="179" spans="3:18" s="95" customFormat="1" hidden="1" outlineLevel="1">
      <c r="C179" s="1999" t="s">
        <v>146</v>
      </c>
      <c r="D179" s="1999" t="s">
        <v>153</v>
      </c>
      <c r="E179" s="1999" t="s">
        <v>152</v>
      </c>
      <c r="F179" s="2001" t="s">
        <v>151</v>
      </c>
      <c r="G179" s="2002"/>
      <c r="H179" s="2002"/>
      <c r="I179" s="2002"/>
      <c r="J179" s="2002"/>
      <c r="K179" s="2002"/>
      <c r="R179" s="111"/>
    </row>
    <row r="180" spans="3:18" s="95" customFormat="1" hidden="1" outlineLevel="1">
      <c r="C180" s="2000"/>
      <c r="D180" s="2000"/>
      <c r="E180" s="2000"/>
      <c r="F180" s="153" t="s">
        <v>344</v>
      </c>
      <c r="G180" s="153" t="s">
        <v>1540</v>
      </c>
      <c r="H180" s="153" t="s">
        <v>1541</v>
      </c>
      <c r="I180" s="153" t="s">
        <v>1543</v>
      </c>
      <c r="J180" s="153" t="s">
        <v>1545</v>
      </c>
      <c r="K180" s="153" t="s">
        <v>1553</v>
      </c>
      <c r="R180" s="111"/>
    </row>
    <row r="181" spans="3:18" s="95" customFormat="1" hidden="1" outlineLevel="1">
      <c r="C181" s="157" t="s">
        <v>455</v>
      </c>
      <c r="D181" s="158"/>
      <c r="E181" s="158"/>
      <c r="F181" s="158"/>
      <c r="G181" s="158"/>
      <c r="H181" s="158"/>
      <c r="I181" s="158"/>
      <c r="J181" s="158"/>
      <c r="K181" s="159"/>
      <c r="L181" s="140"/>
      <c r="R181" s="111"/>
    </row>
    <row r="182" spans="3:18" s="95" customFormat="1" hidden="1" outlineLevel="1">
      <c r="C182" s="149" t="s">
        <v>150</v>
      </c>
      <c r="D182" s="154">
        <f>E177+E176</f>
        <v>692846530</v>
      </c>
      <c r="E182" s="150">
        <f t="shared" ref="E182:K182" si="13">SUM(E183:E183)</f>
        <v>43141653</v>
      </c>
      <c r="F182" s="150">
        <f t="shared" si="13"/>
        <v>0</v>
      </c>
      <c r="G182" s="150">
        <f t="shared" si="13"/>
        <v>43141653</v>
      </c>
      <c r="H182" s="150">
        <f t="shared" si="13"/>
        <v>0</v>
      </c>
      <c r="I182" s="150">
        <f t="shared" si="13"/>
        <v>0</v>
      </c>
      <c r="J182" s="150">
        <f t="shared" si="13"/>
        <v>0</v>
      </c>
      <c r="K182" s="150">
        <f t="shared" si="13"/>
        <v>0</v>
      </c>
      <c r="L182" s="140">
        <f>SUM(F182:K182)-E182</f>
        <v>0</v>
      </c>
      <c r="R182" s="111"/>
    </row>
    <row r="183" spans="3:18" s="95" customFormat="1" hidden="1" outlineLevel="1">
      <c r="C183" s="149" t="s">
        <v>1554</v>
      </c>
      <c r="D183" s="156">
        <v>692846530</v>
      </c>
      <c r="E183" s="150">
        <f>E190-E191</f>
        <v>43141653</v>
      </c>
      <c r="F183" s="150"/>
      <c r="G183" s="150">
        <f>E183</f>
        <v>43141653</v>
      </c>
      <c r="H183" s="150"/>
      <c r="I183" s="150"/>
      <c r="J183" s="150"/>
      <c r="K183" s="150"/>
      <c r="L183" s="140">
        <f t="shared" ref="L183" si="14">SUM(F183:K183)-E183</f>
        <v>0</v>
      </c>
      <c r="R183" s="111"/>
    </row>
    <row r="184" spans="3:18" s="95" customFormat="1" hidden="1" outlineLevel="1">
      <c r="C184" s="160"/>
      <c r="D184" s="161"/>
      <c r="E184" s="161"/>
      <c r="F184" s="161"/>
      <c r="G184" s="161"/>
      <c r="H184" s="161"/>
      <c r="I184" s="161"/>
      <c r="J184" s="161"/>
      <c r="K184" s="161"/>
      <c r="L184" s="140"/>
      <c r="R184" s="111"/>
    </row>
    <row r="185" spans="3:18" s="95" customFormat="1" hidden="1" outlineLevel="1">
      <c r="C185" s="149" t="s">
        <v>1555</v>
      </c>
      <c r="D185" s="156"/>
      <c r="E185" s="150"/>
      <c r="F185" s="150">
        <f t="shared" ref="F185:K185" si="15">F139</f>
        <v>6809927</v>
      </c>
      <c r="G185" s="150">
        <f t="shared" si="15"/>
        <v>0</v>
      </c>
      <c r="H185" s="150">
        <f t="shared" si="15"/>
        <v>0</v>
      </c>
      <c r="I185" s="150">
        <f t="shared" si="15"/>
        <v>0</v>
      </c>
      <c r="J185" s="150">
        <f t="shared" si="15"/>
        <v>0</v>
      </c>
      <c r="K185" s="150">
        <f t="shared" si="15"/>
        <v>0</v>
      </c>
      <c r="L185" s="140"/>
      <c r="R185" s="111"/>
    </row>
    <row r="186" spans="3:18" s="95" customFormat="1" ht="14.25" hidden="1" outlineLevel="1" thickBot="1">
      <c r="C186" s="1995" t="s">
        <v>142</v>
      </c>
      <c r="D186" s="1995"/>
      <c r="E186" s="1995"/>
      <c r="F186" s="162">
        <f t="shared" ref="F186:K186" si="16">F182+F185</f>
        <v>6809927</v>
      </c>
      <c r="G186" s="162">
        <f t="shared" si="16"/>
        <v>43141653</v>
      </c>
      <c r="H186" s="162">
        <f t="shared" si="16"/>
        <v>0</v>
      </c>
      <c r="I186" s="162">
        <f t="shared" si="16"/>
        <v>0</v>
      </c>
      <c r="J186" s="162">
        <f t="shared" si="16"/>
        <v>0</v>
      </c>
      <c r="K186" s="162">
        <f t="shared" si="16"/>
        <v>0</v>
      </c>
      <c r="R186" s="111"/>
    </row>
    <row r="187" spans="3:18" s="95" customFormat="1" ht="14.25" hidden="1" outlineLevel="1" thickTop="1">
      <c r="E187" s="148"/>
      <c r="F187" s="5"/>
      <c r="G187" s="5"/>
      <c r="H187" s="2"/>
      <c r="I187" s="5"/>
      <c r="J187" s="5"/>
      <c r="R187" s="111"/>
    </row>
    <row r="188" spans="3:18" s="95" customFormat="1" hidden="1" outlineLevel="1">
      <c r="C188" s="95" t="s">
        <v>1551</v>
      </c>
      <c r="E188" s="148"/>
      <c r="F188" s="5"/>
      <c r="G188" s="5"/>
      <c r="H188" s="2"/>
      <c r="I188" s="5"/>
      <c r="J188" s="5"/>
      <c r="R188" s="111"/>
    </row>
    <row r="189" spans="3:18" s="95" customFormat="1" hidden="1" outlineLevel="1">
      <c r="C189" s="95" t="s">
        <v>1547</v>
      </c>
      <c r="E189" s="148"/>
      <c r="F189" s="5"/>
      <c r="G189" s="5"/>
      <c r="H189" s="2"/>
      <c r="I189" s="5"/>
      <c r="J189" s="5"/>
      <c r="R189" s="111"/>
    </row>
    <row r="190" spans="3:18" s="95" customFormat="1" hidden="1" outlineLevel="1">
      <c r="C190" s="95" t="s">
        <v>1677</v>
      </c>
      <c r="E190" s="765">
        <v>115769431</v>
      </c>
      <c r="F190" s="5"/>
      <c r="G190" s="5"/>
      <c r="H190" s="2"/>
      <c r="I190" s="5"/>
      <c r="J190" s="5"/>
      <c r="R190" s="111"/>
    </row>
    <row r="191" spans="3:18" s="95" customFormat="1" hidden="1" outlineLevel="1">
      <c r="C191" s="95" t="s">
        <v>1678</v>
      </c>
      <c r="E191" s="765">
        <v>72627778</v>
      </c>
      <c r="F191" s="5"/>
      <c r="G191" s="5"/>
      <c r="H191" s="2"/>
      <c r="I191" s="5"/>
      <c r="J191" s="5"/>
      <c r="R191" s="111"/>
    </row>
    <row r="192" spans="3:18" s="95" customFormat="1" hidden="1" outlineLevel="1">
      <c r="C192" s="95" t="s">
        <v>1549</v>
      </c>
      <c r="E192" s="148"/>
      <c r="F192" s="5"/>
      <c r="G192" s="5"/>
      <c r="H192" s="2"/>
      <c r="I192" s="5"/>
      <c r="J192" s="5"/>
      <c r="R192" s="111"/>
    </row>
    <row r="193" spans="3:18" s="95" customFormat="1" hidden="1" outlineLevel="1">
      <c r="E193" s="148"/>
      <c r="F193" s="5"/>
      <c r="G193" s="5"/>
      <c r="H193" s="2"/>
      <c r="I193" s="5"/>
      <c r="J193" s="5"/>
      <c r="R193" s="111"/>
    </row>
    <row r="194" spans="3:18" s="95" customFormat="1" hidden="1" outlineLevel="1">
      <c r="C194" s="119" t="s">
        <v>432</v>
      </c>
      <c r="R194" s="111"/>
    </row>
    <row r="195" spans="3:18" s="95" customFormat="1" ht="14.25" hidden="1" outlineLevel="1" thickBot="1">
      <c r="D195" s="1996" t="s">
        <v>146</v>
      </c>
      <c r="E195" s="1996"/>
      <c r="F195" s="114" t="s">
        <v>435</v>
      </c>
      <c r="G195" s="114" t="s">
        <v>434</v>
      </c>
      <c r="H195" s="114" t="s">
        <v>109</v>
      </c>
      <c r="R195" s="111"/>
    </row>
    <row r="196" spans="3:18" s="95" customFormat="1" hidden="1" outlineLevel="1">
      <c r="D196" s="95" t="s">
        <v>93</v>
      </c>
      <c r="F196" s="95">
        <f>G110</f>
        <v>381068988</v>
      </c>
      <c r="G196" s="95">
        <f>ROUND(F196*$C$13,)</f>
        <v>381068988</v>
      </c>
      <c r="H196" s="95">
        <f>F196-G196</f>
        <v>0</v>
      </c>
      <c r="R196" s="111"/>
    </row>
    <row r="197" spans="3:18" s="95" customFormat="1" hidden="1" outlineLevel="1">
      <c r="D197" s="95" t="s">
        <v>453</v>
      </c>
      <c r="F197" s="95">
        <f>-E182+F182</f>
        <v>-43141653</v>
      </c>
      <c r="G197" s="95">
        <f>F197</f>
        <v>-43141653</v>
      </c>
      <c r="H197" s="95">
        <f t="shared" ref="H197:H198" si="17">F197-G197</f>
        <v>0</v>
      </c>
      <c r="R197" s="111"/>
    </row>
    <row r="198" spans="3:18" s="95" customFormat="1" hidden="1" outlineLevel="1">
      <c r="D198" s="95" t="s">
        <v>454</v>
      </c>
      <c r="F198" s="95">
        <f>F185</f>
        <v>6809927</v>
      </c>
      <c r="G198" s="95">
        <f>F198</f>
        <v>6809927</v>
      </c>
      <c r="H198" s="95">
        <f t="shared" si="17"/>
        <v>0</v>
      </c>
      <c r="R198" s="111"/>
    </row>
    <row r="199" spans="3:18" s="95" customFormat="1" hidden="1" outlineLevel="1">
      <c r="D199" s="95" t="s">
        <v>449</v>
      </c>
      <c r="F199" s="95">
        <v>0</v>
      </c>
      <c r="G199" s="95">
        <f>ROUND(F199*$C$13,)</f>
        <v>0</v>
      </c>
      <c r="H199" s="95">
        <f>F199-G199</f>
        <v>0</v>
      </c>
      <c r="R199" s="111"/>
    </row>
    <row r="200" spans="3:18" s="95" customFormat="1" hidden="1" outlineLevel="1">
      <c r="D200" s="95" t="s">
        <v>450</v>
      </c>
      <c r="F200" s="95">
        <v>0</v>
      </c>
      <c r="G200" s="95">
        <f>ROUND(F200*$C$13,)</f>
        <v>0</v>
      </c>
      <c r="H200" s="95">
        <f>F200-G200</f>
        <v>0</v>
      </c>
      <c r="R200" s="111"/>
    </row>
    <row r="201" spans="3:18" s="95" customFormat="1" hidden="1" outlineLevel="1">
      <c r="D201" s="144" t="s">
        <v>451</v>
      </c>
      <c r="E201" s="144"/>
      <c r="F201" s="144">
        <f>SUM(F196:F200)</f>
        <v>344737262</v>
      </c>
      <c r="G201" s="144">
        <f>SUM(G196:G200)</f>
        <v>344737262</v>
      </c>
      <c r="H201" s="144">
        <f t="shared" ref="H201" si="18">SUM(H196:H200)</f>
        <v>0</v>
      </c>
      <c r="R201" s="111"/>
    </row>
    <row r="202" spans="3:18" s="95" customFormat="1" hidden="1" outlineLevel="1">
      <c r="R202" s="111"/>
    </row>
    <row r="203" spans="3:18" s="95" customFormat="1" hidden="1" outlineLevel="1">
      <c r="D203" s="121" t="s">
        <v>180</v>
      </c>
      <c r="E203" s="121"/>
      <c r="F203" s="121">
        <f>F111</f>
        <v>-1267214</v>
      </c>
      <c r="G203" s="121">
        <f>ROUND(F203*$C$13,)</f>
        <v>-1267214</v>
      </c>
      <c r="H203" s="121">
        <f>F203-G203</f>
        <v>0</v>
      </c>
      <c r="R203" s="111"/>
    </row>
    <row r="204" spans="3:18" s="95" customFormat="1" hidden="1" outlineLevel="1">
      <c r="R204" s="111"/>
    </row>
    <row r="205" spans="3:18" s="95" customFormat="1" hidden="1" outlineLevel="1">
      <c r="R205" s="111"/>
    </row>
    <row r="206" spans="3:18" s="95" customFormat="1" hidden="1" outlineLevel="1">
      <c r="C206" s="10" t="s">
        <v>170</v>
      </c>
      <c r="D206" s="5"/>
      <c r="F206" s="10" t="s">
        <v>169</v>
      </c>
      <c r="G206" s="5"/>
      <c r="R206" s="111"/>
    </row>
    <row r="207" spans="3:18" s="95" customFormat="1" hidden="1" outlineLevel="1">
      <c r="C207" s="5"/>
      <c r="D207" s="5"/>
      <c r="F207" s="2"/>
      <c r="G207" s="2"/>
      <c r="R207" s="111"/>
    </row>
    <row r="208" spans="3:18" s="95" customFormat="1" ht="15.75" hidden="1" outlineLevel="1">
      <c r="C208" s="9" t="s">
        <v>168</v>
      </c>
      <c r="D208" s="9" t="s">
        <v>154</v>
      </c>
      <c r="F208" s="9" t="s">
        <v>168</v>
      </c>
      <c r="G208" s="9" t="s">
        <v>154</v>
      </c>
      <c r="R208" s="111"/>
    </row>
    <row r="209" spans="2:18" s="95" customFormat="1" hidden="1" outlineLevel="1">
      <c r="C209" s="5" t="s">
        <v>167</v>
      </c>
      <c r="D209" s="2">
        <f>D168</f>
        <v>327522975</v>
      </c>
      <c r="F209" s="5" t="s">
        <v>157</v>
      </c>
      <c r="G209" s="2">
        <f>H112</f>
        <v>714134676</v>
      </c>
      <c r="R209" s="111"/>
    </row>
    <row r="210" spans="2:18" s="95" customFormat="1" hidden="1" outlineLevel="1">
      <c r="C210" s="2" t="s">
        <v>166</v>
      </c>
      <c r="D210" s="2"/>
      <c r="F210" s="5" t="s">
        <v>165</v>
      </c>
      <c r="G210" s="145">
        <f>$C$13</f>
        <v>1</v>
      </c>
      <c r="R210" s="111"/>
    </row>
    <row r="211" spans="2:18" s="95" customFormat="1" hidden="1" outlineLevel="1">
      <c r="C211" s="5" t="s">
        <v>164</v>
      </c>
      <c r="D211" s="2"/>
      <c r="F211" s="5" t="s">
        <v>163</v>
      </c>
      <c r="G211" s="2">
        <f>ROUND(G209*G210,0)</f>
        <v>714134676</v>
      </c>
      <c r="R211" s="111"/>
    </row>
    <row r="212" spans="2:18" s="95" customFormat="1" hidden="1" outlineLevel="1">
      <c r="C212" s="5" t="s">
        <v>162</v>
      </c>
      <c r="D212" s="2">
        <f>G201</f>
        <v>344737262</v>
      </c>
      <c r="F212" s="5" t="s">
        <v>161</v>
      </c>
      <c r="G212" s="2">
        <v>0</v>
      </c>
      <c r="R212" s="111"/>
    </row>
    <row r="213" spans="2:18" s="95" customFormat="1" hidden="1" outlineLevel="1">
      <c r="C213" s="95" t="s">
        <v>456</v>
      </c>
      <c r="D213" s="95">
        <v>0</v>
      </c>
      <c r="F213" s="5" t="s">
        <v>159</v>
      </c>
      <c r="G213" s="2">
        <f>G197+G199</f>
        <v>-43141653</v>
      </c>
      <c r="R213" s="111"/>
    </row>
    <row r="214" spans="2:18" s="95" customFormat="1" ht="14.25" hidden="1" outlineLevel="1" thickBot="1">
      <c r="C214" s="8" t="s">
        <v>160</v>
      </c>
      <c r="D214" s="141">
        <f>G203</f>
        <v>-1267214</v>
      </c>
      <c r="F214" s="8" t="s">
        <v>157</v>
      </c>
      <c r="G214" s="141">
        <f>D215</f>
        <v>670993023</v>
      </c>
      <c r="R214" s="111"/>
    </row>
    <row r="215" spans="2:18" s="95" customFormat="1" ht="14.25" hidden="1" outlineLevel="1" thickTop="1">
      <c r="C215" s="5" t="s">
        <v>158</v>
      </c>
      <c r="D215" s="2">
        <f>SUM(D209:D214)</f>
        <v>670993023</v>
      </c>
      <c r="F215" s="5" t="s">
        <v>156</v>
      </c>
      <c r="G215" s="143">
        <f>G211-G214+G212+G213</f>
        <v>0</v>
      </c>
      <c r="R215" s="111"/>
    </row>
    <row r="216" spans="2:18" s="95" customFormat="1" hidden="1" outlineLevel="1">
      <c r="R216" s="111"/>
    </row>
    <row r="217" spans="2:18" s="95" customFormat="1" collapsed="1">
      <c r="B217" s="139" t="s">
        <v>343</v>
      </c>
      <c r="C217" s="142" t="s">
        <v>431</v>
      </c>
      <c r="D217" s="124"/>
      <c r="E217" s="124"/>
      <c r="F217" s="124"/>
      <c r="G217" s="124"/>
      <c r="R217" s="111"/>
    </row>
    <row r="218" spans="2:18" hidden="1" outlineLevel="1">
      <c r="B218" s="95"/>
      <c r="C218" s="95"/>
      <c r="D218" s="124"/>
      <c r="E218" s="124"/>
      <c r="F218" s="124"/>
      <c r="G218" s="124"/>
      <c r="H218" s="95"/>
      <c r="I218" s="95"/>
      <c r="J218" s="95"/>
      <c r="K218" s="95"/>
    </row>
    <row r="219" spans="2:18" hidden="1" outlineLevel="1">
      <c r="B219" s="95"/>
      <c r="C219" s="1997" t="s">
        <v>1406</v>
      </c>
      <c r="D219" s="1998" t="s">
        <v>448</v>
      </c>
      <c r="E219" s="1998"/>
      <c r="F219" s="1997" t="s">
        <v>1402</v>
      </c>
      <c r="G219" s="124"/>
      <c r="H219" s="124"/>
      <c r="I219" s="95"/>
      <c r="J219" s="95"/>
      <c r="K219" s="95"/>
      <c r="R219" s="5"/>
    </row>
    <row r="220" spans="2:18" hidden="1" outlineLevel="1">
      <c r="B220" s="95"/>
      <c r="C220" s="1997"/>
      <c r="D220" s="95"/>
      <c r="E220" s="95"/>
      <c r="F220" s="1997"/>
      <c r="G220" s="124"/>
      <c r="H220" s="124"/>
      <c r="I220" s="95"/>
      <c r="J220" s="95"/>
      <c r="K220" s="95"/>
    </row>
    <row r="221" spans="2:18" hidden="1" outlineLevel="1">
      <c r="B221" s="95"/>
      <c r="C221" s="140"/>
      <c r="D221" s="113" t="s">
        <v>446</v>
      </c>
      <c r="E221" s="155">
        <v>575165106</v>
      </c>
      <c r="F221" s="124"/>
      <c r="G221" s="124"/>
      <c r="H221" s="124"/>
      <c r="I221" s="95"/>
      <c r="J221" s="95"/>
      <c r="K221" s="95"/>
    </row>
    <row r="222" spans="2:18" hidden="1" outlineLevel="1">
      <c r="B222" s="95"/>
      <c r="C222" s="140"/>
      <c r="D222" s="113" t="s">
        <v>447</v>
      </c>
      <c r="E222" s="155">
        <v>31140733</v>
      </c>
      <c r="F222" s="124"/>
      <c r="G222" s="124"/>
      <c r="H222" s="124"/>
      <c r="I222" s="95"/>
      <c r="J222" s="95"/>
      <c r="K222" s="95"/>
    </row>
    <row r="223" spans="2:18" hidden="1" outlineLevel="1">
      <c r="B223" s="95"/>
      <c r="C223" s="140"/>
      <c r="D223" s="95"/>
      <c r="E223" s="95"/>
      <c r="F223" s="124"/>
      <c r="G223" s="124"/>
      <c r="H223" s="124"/>
      <c r="I223" s="124"/>
      <c r="J223" s="124"/>
      <c r="K223" s="95"/>
    </row>
    <row r="224" spans="2:18" hidden="1" outlineLevel="1">
      <c r="B224" s="95"/>
      <c r="C224" s="1999" t="s">
        <v>146</v>
      </c>
      <c r="D224" s="1999" t="s">
        <v>153</v>
      </c>
      <c r="E224" s="1999" t="s">
        <v>152</v>
      </c>
      <c r="F224" s="2001" t="s">
        <v>151</v>
      </c>
      <c r="G224" s="2002"/>
      <c r="H224" s="2002"/>
      <c r="I224" s="2002"/>
      <c r="J224" s="2002"/>
      <c r="K224" s="2002"/>
      <c r="R224" s="5"/>
    </row>
    <row r="225" spans="2:18" hidden="1" outlineLevel="1">
      <c r="B225" s="95"/>
      <c r="C225" s="2000"/>
      <c r="D225" s="2000"/>
      <c r="E225" s="2000"/>
      <c r="F225" s="153" t="s">
        <v>344</v>
      </c>
      <c r="G225" s="153" t="s">
        <v>1540</v>
      </c>
      <c r="H225" s="153" t="s">
        <v>1541</v>
      </c>
      <c r="I225" s="153" t="s">
        <v>1543</v>
      </c>
      <c r="J225" s="153" t="s">
        <v>1545</v>
      </c>
      <c r="K225" s="153" t="s">
        <v>1553</v>
      </c>
    </row>
    <row r="226" spans="2:18" hidden="1" outlineLevel="1">
      <c r="B226" s="95"/>
      <c r="C226" s="157" t="s">
        <v>455</v>
      </c>
      <c r="D226" s="158"/>
      <c r="E226" s="158"/>
      <c r="F226" s="158"/>
      <c r="G226" s="158"/>
      <c r="H226" s="158"/>
      <c r="I226" s="158"/>
      <c r="J226" s="158"/>
      <c r="K226" s="159"/>
    </row>
    <row r="227" spans="2:18" hidden="1" outlineLevel="1">
      <c r="B227" s="95"/>
      <c r="C227" s="149" t="s">
        <v>150</v>
      </c>
      <c r="D227" s="154">
        <f>E222+E221</f>
        <v>606305839</v>
      </c>
      <c r="E227" s="150">
        <f t="shared" ref="E227:K227" si="19">SUM(E228:E228)</f>
        <v>51409577</v>
      </c>
      <c r="F227" s="150">
        <f t="shared" si="19"/>
        <v>0</v>
      </c>
      <c r="G227" s="150">
        <f t="shared" si="19"/>
        <v>0</v>
      </c>
      <c r="H227" s="150">
        <f t="shared" si="19"/>
        <v>51409577</v>
      </c>
      <c r="I227" s="150">
        <f t="shared" si="19"/>
        <v>0</v>
      </c>
      <c r="J227" s="150">
        <f t="shared" si="19"/>
        <v>0</v>
      </c>
      <c r="K227" s="150">
        <f t="shared" si="19"/>
        <v>0</v>
      </c>
    </row>
    <row r="228" spans="2:18" hidden="1" outlineLevel="1">
      <c r="B228" s="95"/>
      <c r="C228" s="149" t="s">
        <v>1554</v>
      </c>
      <c r="D228" s="156">
        <v>692846530</v>
      </c>
      <c r="E228" s="150">
        <f>E235-E236</f>
        <v>51409577</v>
      </c>
      <c r="F228" s="150"/>
      <c r="G228" s="150">
        <v>0</v>
      </c>
      <c r="H228" s="150">
        <f>E228</f>
        <v>51409577</v>
      </c>
      <c r="I228" s="150"/>
      <c r="J228" s="150"/>
      <c r="K228" s="150"/>
    </row>
    <row r="229" spans="2:18" hidden="1" outlineLevel="1">
      <c r="B229" s="95"/>
      <c r="C229" s="160"/>
      <c r="D229" s="161"/>
      <c r="E229" s="161"/>
      <c r="F229" s="161"/>
      <c r="G229" s="161"/>
      <c r="H229" s="161"/>
      <c r="I229" s="161"/>
      <c r="J229" s="161"/>
      <c r="K229" s="161"/>
      <c r="R229" s="5"/>
    </row>
    <row r="230" spans="2:18" hidden="1" outlineLevel="1">
      <c r="B230" s="95"/>
      <c r="C230" s="149" t="s">
        <v>1555</v>
      </c>
      <c r="D230" s="156"/>
      <c r="E230" s="150"/>
      <c r="F230" s="150">
        <f t="shared" ref="F230:K230" si="20">F184</f>
        <v>0</v>
      </c>
      <c r="G230" s="150">
        <f>G183</f>
        <v>43141653</v>
      </c>
      <c r="H230" s="150">
        <f t="shared" si="20"/>
        <v>0</v>
      </c>
      <c r="I230" s="150">
        <f t="shared" si="20"/>
        <v>0</v>
      </c>
      <c r="J230" s="150">
        <f t="shared" si="20"/>
        <v>0</v>
      </c>
      <c r="K230" s="150">
        <f t="shared" si="20"/>
        <v>0</v>
      </c>
      <c r="R230" s="5"/>
    </row>
    <row r="231" spans="2:18" ht="14.25" hidden="1" outlineLevel="1" thickBot="1">
      <c r="B231" s="95"/>
      <c r="C231" s="1995" t="s">
        <v>142</v>
      </c>
      <c r="D231" s="1995"/>
      <c r="E231" s="1995"/>
      <c r="F231" s="162">
        <f t="shared" ref="F231:K231" si="21">F227+F230</f>
        <v>0</v>
      </c>
      <c r="G231" s="162">
        <f t="shared" si="21"/>
        <v>43141653</v>
      </c>
      <c r="H231" s="162">
        <f t="shared" si="21"/>
        <v>51409577</v>
      </c>
      <c r="I231" s="162">
        <f t="shared" si="21"/>
        <v>0</v>
      </c>
      <c r="J231" s="162">
        <f t="shared" si="21"/>
        <v>0</v>
      </c>
      <c r="K231" s="162">
        <f t="shared" si="21"/>
        <v>0</v>
      </c>
    </row>
    <row r="232" spans="2:18" ht="14.25" hidden="1" outlineLevel="1" thickTop="1">
      <c r="B232" s="95"/>
      <c r="C232" s="95"/>
      <c r="D232" s="95"/>
      <c r="E232" s="148"/>
      <c r="H232" s="2"/>
      <c r="K232" s="95"/>
    </row>
    <row r="233" spans="2:18" hidden="1" outlineLevel="1">
      <c r="B233" s="95"/>
      <c r="C233" s="95" t="s">
        <v>1551</v>
      </c>
      <c r="D233" s="95"/>
      <c r="E233" s="148"/>
      <c r="H233" s="2"/>
      <c r="K233" s="95"/>
      <c r="R233" s="5"/>
    </row>
    <row r="234" spans="2:18" hidden="1" outlineLevel="1">
      <c r="B234" s="95"/>
      <c r="C234" s="95" t="s">
        <v>1547</v>
      </c>
      <c r="D234" s="95"/>
      <c r="E234" s="148"/>
      <c r="H234" s="2"/>
      <c r="K234" s="95"/>
    </row>
    <row r="235" spans="2:18" hidden="1" outlineLevel="1">
      <c r="B235" s="95"/>
      <c r="C235" s="95" t="s">
        <v>1677</v>
      </c>
      <c r="D235" s="95"/>
      <c r="E235" s="765">
        <v>92905723</v>
      </c>
      <c r="F235" s="411"/>
      <c r="H235" s="2"/>
      <c r="K235" s="95"/>
    </row>
    <row r="236" spans="2:18" hidden="1" outlineLevel="1">
      <c r="B236" s="95"/>
      <c r="C236" s="95" t="s">
        <v>1678</v>
      </c>
      <c r="D236" s="95"/>
      <c r="E236" s="765">
        <v>41496146</v>
      </c>
      <c r="F236" s="5" t="s">
        <v>2671</v>
      </c>
      <c r="H236" s="2"/>
      <c r="K236" s="95"/>
    </row>
    <row r="237" spans="2:18" hidden="1" outlineLevel="1">
      <c r="B237" s="95"/>
      <c r="C237" s="95"/>
      <c r="D237" s="95"/>
      <c r="E237" s="148">
        <f>E236/E235</f>
        <v>0.44664789918270159</v>
      </c>
      <c r="F237" s="5" t="s">
        <v>2672</v>
      </c>
      <c r="G237" s="411">
        <v>0.44664790281523431</v>
      </c>
      <c r="H237" s="2"/>
      <c r="K237" s="95"/>
    </row>
    <row r="238" spans="2:18" hidden="1" outlineLevel="1">
      <c r="B238" s="95"/>
      <c r="C238" s="95" t="s">
        <v>1549</v>
      </c>
      <c r="D238" s="95"/>
      <c r="E238" s="148"/>
      <c r="H238" s="2"/>
      <c r="K238" s="95"/>
    </row>
    <row r="239" spans="2:18" hidden="1" outlineLevel="1">
      <c r="B239" s="95"/>
      <c r="C239" s="95"/>
      <c r="D239" s="95"/>
      <c r="E239" s="148"/>
      <c r="H239" s="2"/>
      <c r="K239" s="95"/>
      <c r="R239" s="5"/>
    </row>
    <row r="240" spans="2:18" hidden="1" outlineLevel="1">
      <c r="B240" s="95"/>
      <c r="C240" s="119" t="s">
        <v>432</v>
      </c>
      <c r="D240" s="95"/>
      <c r="E240" s="95"/>
      <c r="F240" s="95"/>
      <c r="G240" s="95"/>
      <c r="H240" s="95"/>
      <c r="I240" s="95"/>
      <c r="J240" s="95"/>
      <c r="K240" s="95"/>
    </row>
    <row r="241" spans="2:18" ht="14.25" hidden="1" outlineLevel="1" thickBot="1">
      <c r="B241" s="95"/>
      <c r="C241" s="95"/>
      <c r="D241" s="1996" t="s">
        <v>146</v>
      </c>
      <c r="E241" s="1996"/>
      <c r="F241" s="114" t="s">
        <v>435</v>
      </c>
      <c r="G241" s="114" t="s">
        <v>434</v>
      </c>
      <c r="H241" s="114" t="s">
        <v>109</v>
      </c>
      <c r="I241" s="95"/>
      <c r="J241" s="95"/>
      <c r="K241" s="95"/>
      <c r="R241" s="5"/>
    </row>
    <row r="242" spans="2:18" hidden="1" outlineLevel="1">
      <c r="B242" s="95"/>
      <c r="C242" s="95"/>
      <c r="D242" s="95" t="s">
        <v>93</v>
      </c>
      <c r="E242" s="95"/>
      <c r="F242" s="95">
        <f>G113</f>
        <v>140763890</v>
      </c>
      <c r="G242" s="95">
        <f>ROUND(F242*$C$13,)</f>
        <v>140763890</v>
      </c>
      <c r="H242" s="95">
        <f>F242-G242</f>
        <v>0</v>
      </c>
      <c r="I242" s="95"/>
      <c r="J242" s="95"/>
      <c r="K242" s="95"/>
      <c r="R242" s="5"/>
    </row>
    <row r="243" spans="2:18" hidden="1" outlineLevel="1">
      <c r="B243" s="95"/>
      <c r="C243" s="95"/>
      <c r="D243" s="95" t="s">
        <v>453</v>
      </c>
      <c r="E243" s="95"/>
      <c r="F243" s="95">
        <f>-E227+F227</f>
        <v>-51409577</v>
      </c>
      <c r="G243" s="95">
        <f>F243</f>
        <v>-51409577</v>
      </c>
      <c r="H243" s="95">
        <f t="shared" ref="H243:H244" si="22">F243-G243</f>
        <v>0</v>
      </c>
      <c r="I243" s="95"/>
      <c r="J243" s="95"/>
      <c r="K243" s="95"/>
    </row>
    <row r="244" spans="2:18" hidden="1" outlineLevel="1">
      <c r="B244" s="95"/>
      <c r="C244" s="95"/>
      <c r="D244" s="95" t="s">
        <v>454</v>
      </c>
      <c r="E244" s="95"/>
      <c r="F244" s="95">
        <f>G230</f>
        <v>43141653</v>
      </c>
      <c r="G244" s="95">
        <f>F244</f>
        <v>43141653</v>
      </c>
      <c r="H244" s="95">
        <f t="shared" si="22"/>
        <v>0</v>
      </c>
      <c r="I244" s="95"/>
      <c r="J244" s="95"/>
      <c r="K244" s="95"/>
      <c r="R244" s="5"/>
    </row>
    <row r="245" spans="2:18" hidden="1" outlineLevel="1">
      <c r="B245" s="95"/>
      <c r="C245" s="95"/>
      <c r="D245" s="95" t="s">
        <v>449</v>
      </c>
      <c r="E245" s="95"/>
      <c r="F245" s="95">
        <v>0</v>
      </c>
      <c r="G245" s="95">
        <f>ROUND(F245*$C$13,)</f>
        <v>0</v>
      </c>
      <c r="H245" s="95">
        <f>F245-G245</f>
        <v>0</v>
      </c>
      <c r="I245" s="95"/>
      <c r="J245" s="95"/>
      <c r="K245" s="95"/>
      <c r="R245" s="5"/>
    </row>
    <row r="246" spans="2:18" hidden="1" outlineLevel="1">
      <c r="B246" s="95"/>
      <c r="C246" s="95"/>
      <c r="D246" s="95" t="s">
        <v>450</v>
      </c>
      <c r="E246" s="95"/>
      <c r="F246" s="95">
        <v>0</v>
      </c>
      <c r="G246" s="95">
        <f>ROUND(F246*$C$13,)</f>
        <v>0</v>
      </c>
      <c r="H246" s="95">
        <f>F246-G246</f>
        <v>0</v>
      </c>
      <c r="I246" s="95"/>
      <c r="J246" s="95"/>
      <c r="K246" s="95"/>
    </row>
    <row r="247" spans="2:18" hidden="1" outlineLevel="1">
      <c r="B247" s="95"/>
      <c r="C247" s="95"/>
      <c r="D247" s="144" t="s">
        <v>451</v>
      </c>
      <c r="E247" s="144"/>
      <c r="F247" s="144">
        <f>SUM(F242:F246)</f>
        <v>132495966</v>
      </c>
      <c r="G247" s="144">
        <f>SUM(G242:G246)</f>
        <v>132495966</v>
      </c>
      <c r="H247" s="144">
        <f t="shared" ref="H247" si="23">SUM(H242:H246)</f>
        <v>0</v>
      </c>
      <c r="I247" s="95"/>
      <c r="J247" s="95"/>
      <c r="K247" s="95"/>
      <c r="R247" s="5"/>
    </row>
    <row r="248" spans="2:18" hidden="1" outlineLevel="1">
      <c r="B248" s="95"/>
      <c r="C248" s="95"/>
      <c r="D248" s="95"/>
      <c r="E248" s="95"/>
      <c r="F248" s="95"/>
      <c r="G248" s="95"/>
      <c r="H248" s="95"/>
      <c r="I248" s="95"/>
      <c r="J248" s="95"/>
      <c r="K248" s="95"/>
    </row>
    <row r="249" spans="2:18" hidden="1" outlineLevel="1">
      <c r="B249" s="95"/>
      <c r="C249" s="95"/>
      <c r="D249" s="121" t="s">
        <v>180</v>
      </c>
      <c r="E249" s="121"/>
      <c r="F249" s="121">
        <f>F116</f>
        <v>133770549</v>
      </c>
      <c r="G249" s="121">
        <f>ROUND(F249*$C$13,)</f>
        <v>133770549</v>
      </c>
      <c r="H249" s="121">
        <f>F249-G249</f>
        <v>0</v>
      </c>
      <c r="I249" s="95"/>
      <c r="J249" s="95"/>
      <c r="K249" s="95"/>
      <c r="R249" s="5"/>
    </row>
    <row r="250" spans="2:18" hidden="1" outlineLevel="1">
      <c r="B250" s="95"/>
      <c r="C250" s="95"/>
      <c r="D250" s="95"/>
      <c r="E250" s="95"/>
      <c r="F250" s="95"/>
      <c r="G250" s="95"/>
      <c r="H250" s="95"/>
      <c r="I250" s="95"/>
      <c r="J250" s="95"/>
      <c r="K250" s="95"/>
      <c r="R250" s="5"/>
    </row>
    <row r="251" spans="2:18" hidden="1" outlineLevel="1">
      <c r="B251" s="95"/>
      <c r="C251" s="95"/>
      <c r="D251" s="95"/>
      <c r="E251" s="95"/>
      <c r="F251" s="95"/>
      <c r="G251" s="95"/>
      <c r="H251" s="95"/>
      <c r="I251" s="95"/>
      <c r="J251" s="95"/>
      <c r="K251" s="95"/>
    </row>
    <row r="252" spans="2:18" hidden="1" outlineLevel="1">
      <c r="B252" s="95"/>
      <c r="C252" s="10" t="s">
        <v>170</v>
      </c>
      <c r="E252" s="95"/>
      <c r="F252" s="10" t="s">
        <v>169</v>
      </c>
      <c r="H252" s="95"/>
      <c r="I252" s="95"/>
      <c r="J252" s="95"/>
      <c r="K252" s="95"/>
      <c r="R252" s="5"/>
    </row>
    <row r="253" spans="2:18" hidden="1" outlineLevel="1">
      <c r="B253" s="95"/>
      <c r="E253" s="95"/>
      <c r="F253" s="2"/>
      <c r="G253" s="2"/>
      <c r="H253" s="95"/>
      <c r="I253" s="95"/>
      <c r="J253" s="95"/>
      <c r="K253" s="95"/>
      <c r="R253" s="5"/>
    </row>
    <row r="254" spans="2:18" ht="15.75" hidden="1" outlineLevel="1">
      <c r="B254" s="95"/>
      <c r="C254" s="9" t="s">
        <v>168</v>
      </c>
      <c r="D254" s="9" t="s">
        <v>154</v>
      </c>
      <c r="E254" s="95"/>
      <c r="F254" s="9" t="s">
        <v>168</v>
      </c>
      <c r="G254" s="9" t="s">
        <v>154</v>
      </c>
      <c r="H254" s="95"/>
      <c r="I254" s="95"/>
      <c r="J254" s="95"/>
      <c r="K254" s="95"/>
    </row>
    <row r="255" spans="2:18" hidden="1" outlineLevel="1">
      <c r="B255" s="95"/>
      <c r="C255" s="5" t="s">
        <v>167</v>
      </c>
      <c r="D255" s="2">
        <f>D215</f>
        <v>670993023</v>
      </c>
      <c r="E255" s="95"/>
      <c r="F255" s="5" t="s">
        <v>157</v>
      </c>
      <c r="G255" s="2">
        <f>H117</f>
        <v>1546549115</v>
      </c>
      <c r="H255" s="95"/>
      <c r="I255" s="95"/>
      <c r="J255" s="95"/>
      <c r="K255" s="95"/>
      <c r="R255" s="5"/>
    </row>
    <row r="256" spans="2:18" hidden="1" outlineLevel="1">
      <c r="B256" s="95"/>
      <c r="C256" s="2" t="s">
        <v>166</v>
      </c>
      <c r="D256" s="2"/>
      <c r="E256" s="95"/>
      <c r="F256" s="5" t="s">
        <v>165</v>
      </c>
      <c r="G256" s="145">
        <f>$C$13</f>
        <v>1</v>
      </c>
      <c r="H256" s="95"/>
      <c r="I256" s="95"/>
      <c r="J256" s="95"/>
      <c r="K256" s="95"/>
    </row>
    <row r="257" spans="2:18" hidden="1" outlineLevel="1">
      <c r="B257" s="95"/>
      <c r="C257" s="5" t="s">
        <v>164</v>
      </c>
      <c r="D257" s="2">
        <f>D115</f>
        <v>557880000</v>
      </c>
      <c r="E257" s="95"/>
      <c r="F257" s="5" t="s">
        <v>163</v>
      </c>
      <c r="G257" s="2">
        <f>ROUND(G255*G256,0)</f>
        <v>1546549115</v>
      </c>
      <c r="H257" s="95"/>
      <c r="I257" s="95"/>
      <c r="J257" s="95"/>
      <c r="K257" s="95"/>
    </row>
    <row r="258" spans="2:18" hidden="1" outlineLevel="1">
      <c r="B258" s="95"/>
      <c r="C258" s="5" t="s">
        <v>162</v>
      </c>
      <c r="D258" s="2">
        <f>G247</f>
        <v>132495966</v>
      </c>
      <c r="E258" s="95"/>
      <c r="F258" s="5" t="s">
        <v>161</v>
      </c>
      <c r="G258" s="2">
        <v>0</v>
      </c>
      <c r="H258" s="95"/>
      <c r="I258" s="95"/>
      <c r="J258" s="95"/>
      <c r="K258" s="95"/>
      <c r="R258" s="5"/>
    </row>
    <row r="259" spans="2:18" hidden="1" outlineLevel="1">
      <c r="B259" s="95"/>
      <c r="C259" s="95" t="s">
        <v>456</v>
      </c>
      <c r="D259" s="95">
        <v>0</v>
      </c>
      <c r="E259" s="95"/>
      <c r="F259" s="5" t="s">
        <v>159</v>
      </c>
      <c r="G259" s="2">
        <f>G243+G245</f>
        <v>-51409577</v>
      </c>
      <c r="H259" s="95"/>
      <c r="I259" s="95"/>
      <c r="J259" s="95"/>
      <c r="K259" s="95"/>
      <c r="R259" s="5"/>
    </row>
    <row r="260" spans="2:18" ht="14.25" hidden="1" outlineLevel="1" thickBot="1">
      <c r="B260" s="95"/>
      <c r="C260" s="8" t="s">
        <v>160</v>
      </c>
      <c r="D260" s="141">
        <f>G249</f>
        <v>133770549</v>
      </c>
      <c r="E260" s="95"/>
      <c r="F260" s="8" t="s">
        <v>157</v>
      </c>
      <c r="G260" s="141">
        <f>D261</f>
        <v>1495139538</v>
      </c>
      <c r="H260" s="95"/>
      <c r="I260" s="95"/>
      <c r="J260" s="95"/>
      <c r="K260" s="95"/>
    </row>
    <row r="261" spans="2:18" ht="14.25" hidden="1" outlineLevel="1" thickTop="1">
      <c r="B261" s="95"/>
      <c r="C261" s="5" t="s">
        <v>158</v>
      </c>
      <c r="D261" s="2">
        <f>SUM(D255:D260)</f>
        <v>1495139538</v>
      </c>
      <c r="E261" s="95"/>
      <c r="F261" s="5" t="s">
        <v>156</v>
      </c>
      <c r="G261" s="143">
        <f>G257-G260+G258+G259</f>
        <v>0</v>
      </c>
      <c r="H261" s="95"/>
      <c r="I261" s="95"/>
      <c r="J261" s="95"/>
      <c r="K261" s="95"/>
      <c r="R261" s="5"/>
    </row>
    <row r="262" spans="2:18" ht="24" collapsed="1">
      <c r="B262" s="5"/>
      <c r="E262" s="5" ph="1"/>
      <c r="R262" s="5"/>
    </row>
    <row r="263" spans="2:18" s="95" customFormat="1" collapsed="1">
      <c r="B263" s="139" t="s">
        <v>1542</v>
      </c>
      <c r="C263" s="142" t="s">
        <v>431</v>
      </c>
      <c r="D263" s="124"/>
      <c r="E263" s="124"/>
      <c r="F263" s="124"/>
      <c r="G263" s="124"/>
      <c r="R263" s="111"/>
    </row>
    <row r="264" spans="2:18" hidden="1" outlineLevel="1">
      <c r="B264" s="95"/>
      <c r="C264" s="95"/>
      <c r="D264" s="124"/>
      <c r="E264" s="124"/>
      <c r="F264" s="124"/>
      <c r="G264" s="124"/>
      <c r="H264" s="95"/>
      <c r="I264" s="95"/>
      <c r="J264" s="95"/>
      <c r="K264" s="95"/>
    </row>
    <row r="265" spans="2:18" hidden="1" outlineLevel="1">
      <c r="B265" s="95"/>
      <c r="C265" s="1997" t="s">
        <v>1406</v>
      </c>
      <c r="D265" s="1998" t="s">
        <v>448</v>
      </c>
      <c r="E265" s="1998"/>
      <c r="F265" s="1997" t="s">
        <v>1402</v>
      </c>
      <c r="G265" s="124"/>
      <c r="H265" s="124"/>
      <c r="I265" s="95"/>
      <c r="J265" s="95"/>
      <c r="K265" s="95"/>
      <c r="R265" s="5"/>
    </row>
    <row r="266" spans="2:18" hidden="1" outlineLevel="1">
      <c r="B266" s="95"/>
      <c r="C266" s="1997"/>
      <c r="D266" s="95"/>
      <c r="E266" s="95"/>
      <c r="F266" s="1997"/>
      <c r="G266" s="124"/>
      <c r="H266" s="124"/>
      <c r="I266" s="95"/>
      <c r="J266" s="95"/>
      <c r="K266" s="95"/>
    </row>
    <row r="267" spans="2:18" hidden="1" outlineLevel="1">
      <c r="B267" s="95"/>
      <c r="C267" s="140"/>
      <c r="D267" s="113" t="s">
        <v>446</v>
      </c>
      <c r="E267" s="155">
        <v>676882034</v>
      </c>
      <c r="F267" s="124"/>
      <c r="G267" s="124"/>
      <c r="H267" s="124"/>
      <c r="I267" s="95"/>
      <c r="J267" s="95"/>
      <c r="K267" s="95"/>
    </row>
    <row r="268" spans="2:18" hidden="1" outlineLevel="1">
      <c r="B268" s="95"/>
      <c r="C268" s="140"/>
      <c r="D268" s="113" t="s">
        <v>447</v>
      </c>
      <c r="E268" s="155">
        <v>8440043</v>
      </c>
      <c r="F268" s="124"/>
      <c r="G268" s="124"/>
      <c r="H268" s="124"/>
      <c r="I268" s="95"/>
      <c r="J268" s="95"/>
      <c r="K268" s="95"/>
    </row>
    <row r="269" spans="2:18" hidden="1" outlineLevel="1">
      <c r="B269" s="95"/>
      <c r="C269" s="140"/>
      <c r="D269" s="95"/>
      <c r="E269" s="95"/>
      <c r="F269" s="124"/>
      <c r="G269" s="124"/>
      <c r="H269" s="124"/>
      <c r="I269" s="124"/>
      <c r="J269" s="124"/>
      <c r="K269" s="95"/>
    </row>
    <row r="270" spans="2:18" hidden="1" outlineLevel="1">
      <c r="B270" s="95"/>
      <c r="C270" s="1999" t="s">
        <v>146</v>
      </c>
      <c r="D270" s="1999" t="s">
        <v>153</v>
      </c>
      <c r="E270" s="1999" t="s">
        <v>152</v>
      </c>
      <c r="F270" s="2001" t="s">
        <v>151</v>
      </c>
      <c r="G270" s="2002"/>
      <c r="H270" s="2002"/>
      <c r="I270" s="2002"/>
      <c r="J270" s="2002"/>
      <c r="K270" s="2002"/>
      <c r="R270" s="5"/>
    </row>
    <row r="271" spans="2:18" hidden="1" outlineLevel="1">
      <c r="B271" s="95"/>
      <c r="C271" s="2000"/>
      <c r="D271" s="2000"/>
      <c r="E271" s="2000"/>
      <c r="F271" s="153" t="s">
        <v>344</v>
      </c>
      <c r="G271" s="153" t="s">
        <v>343</v>
      </c>
      <c r="H271" s="153" t="s">
        <v>1542</v>
      </c>
      <c r="I271" s="153" t="s">
        <v>1544</v>
      </c>
      <c r="J271" s="153" t="s">
        <v>1546</v>
      </c>
      <c r="K271" s="153" t="s">
        <v>1553</v>
      </c>
    </row>
    <row r="272" spans="2:18" hidden="1" outlineLevel="1">
      <c r="B272" s="95"/>
      <c r="C272" s="157" t="s">
        <v>455</v>
      </c>
      <c r="D272" s="158"/>
      <c r="E272" s="158"/>
      <c r="F272" s="158"/>
      <c r="G272" s="158"/>
      <c r="H272" s="158"/>
      <c r="I272" s="158"/>
      <c r="J272" s="158"/>
      <c r="K272" s="159"/>
    </row>
    <row r="273" spans="2:18" hidden="1" outlineLevel="1">
      <c r="B273" s="95"/>
      <c r="C273" s="149" t="s">
        <v>150</v>
      </c>
      <c r="D273" s="154">
        <f>E268+E267</f>
        <v>685322077</v>
      </c>
      <c r="E273" s="150">
        <f t="shared" ref="E273:K273" si="24">SUM(E274:E274)</f>
        <v>50639702</v>
      </c>
      <c r="F273" s="150">
        <f t="shared" si="24"/>
        <v>0</v>
      </c>
      <c r="G273" s="150">
        <f t="shared" si="24"/>
        <v>0</v>
      </c>
      <c r="H273" s="150">
        <f t="shared" si="24"/>
        <v>0</v>
      </c>
      <c r="I273" s="150">
        <f t="shared" si="24"/>
        <v>50639702</v>
      </c>
      <c r="J273" s="150">
        <f t="shared" si="24"/>
        <v>0</v>
      </c>
      <c r="K273" s="150">
        <f t="shared" si="24"/>
        <v>0</v>
      </c>
    </row>
    <row r="274" spans="2:18" hidden="1" outlineLevel="1">
      <c r="B274" s="95"/>
      <c r="C274" s="149" t="s">
        <v>1554</v>
      </c>
      <c r="D274" s="156">
        <f>HK_BS!K34</f>
        <v>141818694</v>
      </c>
      <c r="E274" s="150">
        <f>E281-E282+E284-E285</f>
        <v>50639702</v>
      </c>
      <c r="F274" s="150"/>
      <c r="G274" s="150">
        <v>0</v>
      </c>
      <c r="H274" s="150">
        <v>0</v>
      </c>
      <c r="I274" s="150">
        <f>E274</f>
        <v>50639702</v>
      </c>
      <c r="J274" s="150"/>
      <c r="K274" s="150"/>
    </row>
    <row r="275" spans="2:18" hidden="1" outlineLevel="1">
      <c r="B275" s="95"/>
      <c r="C275" s="160"/>
      <c r="D275" s="161"/>
      <c r="E275" s="161"/>
      <c r="F275" s="161"/>
      <c r="G275" s="161"/>
      <c r="H275" s="161"/>
      <c r="I275" s="161"/>
      <c r="J275" s="161"/>
      <c r="K275" s="161"/>
      <c r="R275" s="5"/>
    </row>
    <row r="276" spans="2:18" hidden="1" outlineLevel="1">
      <c r="B276" s="95"/>
      <c r="C276" s="149" t="s">
        <v>1555</v>
      </c>
      <c r="D276" s="156"/>
      <c r="E276" s="150"/>
      <c r="F276" s="150">
        <f t="shared" ref="F276" si="25">F230</f>
        <v>0</v>
      </c>
      <c r="G276" s="150">
        <f>G229</f>
        <v>0</v>
      </c>
      <c r="H276" s="150">
        <f>H228</f>
        <v>51409577</v>
      </c>
      <c r="I276" s="150">
        <f t="shared" ref="I276:K276" si="26">I230</f>
        <v>0</v>
      </c>
      <c r="J276" s="150">
        <f t="shared" si="26"/>
        <v>0</v>
      </c>
      <c r="K276" s="150">
        <f t="shared" si="26"/>
        <v>0</v>
      </c>
      <c r="R276" s="5"/>
    </row>
    <row r="277" spans="2:18" ht="14.25" hidden="1" outlineLevel="1" thickBot="1">
      <c r="B277" s="95"/>
      <c r="C277" s="1995" t="s">
        <v>142</v>
      </c>
      <c r="D277" s="1995"/>
      <c r="E277" s="1995"/>
      <c r="F277" s="162">
        <f t="shared" ref="F277:K277" si="27">F273+F276</f>
        <v>0</v>
      </c>
      <c r="G277" s="162">
        <f t="shared" si="27"/>
        <v>0</v>
      </c>
      <c r="H277" s="162">
        <f t="shared" si="27"/>
        <v>51409577</v>
      </c>
      <c r="I277" s="162">
        <f t="shared" si="27"/>
        <v>50639702</v>
      </c>
      <c r="J277" s="162">
        <f t="shared" si="27"/>
        <v>0</v>
      </c>
      <c r="K277" s="162">
        <f t="shared" si="27"/>
        <v>0</v>
      </c>
    </row>
    <row r="278" spans="2:18" ht="14.25" hidden="1" outlineLevel="1" thickTop="1">
      <c r="B278" s="95"/>
      <c r="C278" s="95"/>
      <c r="D278" s="95"/>
      <c r="E278" s="148"/>
      <c r="H278" s="2"/>
      <c r="K278" s="95"/>
    </row>
    <row r="279" spans="2:18" hidden="1" outlineLevel="1">
      <c r="B279" s="95"/>
      <c r="C279" s="95" t="s">
        <v>1551</v>
      </c>
      <c r="D279" s="95"/>
      <c r="E279" s="148"/>
      <c r="H279" s="2"/>
      <c r="K279" s="95"/>
      <c r="R279" s="5"/>
    </row>
    <row r="280" spans="2:18" hidden="1" outlineLevel="1">
      <c r="B280" s="95"/>
      <c r="C280" s="95" t="s">
        <v>1547</v>
      </c>
      <c r="D280" s="95"/>
      <c r="E280" s="148"/>
      <c r="H280" s="2"/>
      <c r="K280" s="95"/>
    </row>
    <row r="281" spans="2:18" hidden="1" outlineLevel="1">
      <c r="B281" s="95"/>
      <c r="C281" s="95" t="s">
        <v>2885</v>
      </c>
      <c r="D281" s="95"/>
      <c r="E281" s="765">
        <v>84465680</v>
      </c>
      <c r="F281" s="411"/>
      <c r="H281" s="2"/>
      <c r="K281" s="95"/>
    </row>
    <row r="282" spans="2:18" hidden="1" outlineLevel="1">
      <c r="B282" s="95"/>
      <c r="C282" s="95" t="s">
        <v>2888</v>
      </c>
      <c r="D282" s="95"/>
      <c r="E282" s="765">
        <f>ROUND(E281*G283,)</f>
        <v>37726419</v>
      </c>
      <c r="F282" s="5" t="s">
        <v>2889</v>
      </c>
      <c r="H282" s="2"/>
      <c r="K282" s="95"/>
    </row>
    <row r="283" spans="2:18" hidden="1" outlineLevel="1">
      <c r="B283" s="95"/>
      <c r="C283" s="95"/>
      <c r="D283" s="95"/>
      <c r="E283" s="148">
        <f>E282/E281</f>
        <v>0.44664790480583355</v>
      </c>
      <c r="F283" s="5" t="s">
        <v>2672</v>
      </c>
      <c r="G283" s="411">
        <v>0.44664790281523431</v>
      </c>
      <c r="H283" s="2"/>
      <c r="K283" s="95"/>
    </row>
    <row r="284" spans="2:18" hidden="1" outlineLevel="1">
      <c r="B284" s="95"/>
      <c r="C284" s="95" t="s">
        <v>2887</v>
      </c>
      <c r="D284" s="95"/>
      <c r="E284" s="765">
        <f>E268</f>
        <v>8440043</v>
      </c>
      <c r="G284" s="411"/>
      <c r="H284" s="2"/>
      <c r="K284" s="95"/>
    </row>
    <row r="285" spans="2:18" hidden="1" outlineLevel="1">
      <c r="B285" s="95"/>
      <c r="C285" s="95" t="s">
        <v>2886</v>
      </c>
      <c r="D285" s="95"/>
      <c r="E285" s="765">
        <f>ROUND(E284*G286,)</f>
        <v>4539602</v>
      </c>
      <c r="F285" s="5" t="s">
        <v>2890</v>
      </c>
      <c r="H285" s="2"/>
      <c r="K285" s="95"/>
    </row>
    <row r="286" spans="2:18" hidden="1" outlineLevel="1">
      <c r="B286" s="95"/>
      <c r="C286" s="95"/>
      <c r="D286" s="95"/>
      <c r="E286" s="148">
        <f>E285/E284</f>
        <v>0.53786479523860242</v>
      </c>
      <c r="F286" s="5" t="s">
        <v>2672</v>
      </c>
      <c r="G286" s="411">
        <v>0.5378647456814809</v>
      </c>
      <c r="H286" s="2"/>
      <c r="K286" s="95"/>
    </row>
    <row r="287" spans="2:18" hidden="1" outlineLevel="1">
      <c r="B287" s="95"/>
      <c r="C287" s="95"/>
      <c r="D287" s="95"/>
      <c r="E287" s="148"/>
      <c r="G287" s="411"/>
      <c r="H287" s="2"/>
      <c r="K287" s="95"/>
    </row>
    <row r="288" spans="2:18" hidden="1" outlineLevel="1">
      <c r="B288" s="95"/>
      <c r="C288" s="95" t="s">
        <v>1549</v>
      </c>
      <c r="D288" s="95"/>
      <c r="E288" s="148"/>
      <c r="H288" s="2"/>
      <c r="K288" s="95"/>
    </row>
    <row r="289" spans="2:18" hidden="1" outlineLevel="1">
      <c r="B289" s="95"/>
      <c r="C289" s="95"/>
      <c r="D289" s="95"/>
      <c r="E289" s="148"/>
      <c r="H289" s="2"/>
      <c r="K289" s="95"/>
      <c r="R289" s="5"/>
    </row>
    <row r="290" spans="2:18" hidden="1" outlineLevel="1">
      <c r="B290" s="95"/>
      <c r="C290" s="119" t="s">
        <v>432</v>
      </c>
      <c r="D290" s="95"/>
      <c r="E290" s="95"/>
      <c r="F290" s="95"/>
      <c r="G290" s="95"/>
      <c r="H290" s="95"/>
      <c r="I290" s="95"/>
      <c r="J290" s="95"/>
      <c r="K290" s="95"/>
    </row>
    <row r="291" spans="2:18" ht="14.25" hidden="1" outlineLevel="1" thickBot="1">
      <c r="B291" s="95"/>
      <c r="C291" s="95"/>
      <c r="D291" s="1996" t="s">
        <v>146</v>
      </c>
      <c r="E291" s="1996"/>
      <c r="F291" s="114" t="s">
        <v>435</v>
      </c>
      <c r="G291" s="114" t="s">
        <v>434</v>
      </c>
      <c r="H291" s="114" t="s">
        <v>109</v>
      </c>
      <c r="I291" s="95"/>
      <c r="J291" s="95"/>
      <c r="K291" s="95"/>
      <c r="R291" s="5"/>
    </row>
    <row r="292" spans="2:18" hidden="1" outlineLevel="1">
      <c r="B292" s="95"/>
      <c r="C292" s="95"/>
      <c r="D292" s="95" t="s">
        <v>93</v>
      </c>
      <c r="E292" s="95"/>
      <c r="F292" s="95">
        <f>G118</f>
        <v>97886587</v>
      </c>
      <c r="G292" s="95">
        <f>ROUND(F292*$C$13,)</f>
        <v>97886587</v>
      </c>
      <c r="H292" s="95">
        <f>F292-G292</f>
        <v>0</v>
      </c>
      <c r="I292" s="95"/>
      <c r="J292" s="95"/>
      <c r="K292" s="95"/>
      <c r="R292" s="5"/>
    </row>
    <row r="293" spans="2:18" hidden="1" outlineLevel="1">
      <c r="B293" s="95"/>
      <c r="C293" s="95"/>
      <c r="D293" s="95" t="s">
        <v>453</v>
      </c>
      <c r="E293" s="95"/>
      <c r="F293" s="95">
        <f>-E273+F273</f>
        <v>-50639702</v>
      </c>
      <c r="G293" s="95">
        <f>F293</f>
        <v>-50639702</v>
      </c>
      <c r="H293" s="95">
        <f t="shared" ref="H293:H294" si="28">F293-G293</f>
        <v>0</v>
      </c>
      <c r="I293" s="95"/>
      <c r="J293" s="95"/>
      <c r="K293" s="95"/>
    </row>
    <row r="294" spans="2:18" hidden="1" outlineLevel="1">
      <c r="B294" s="95"/>
      <c r="C294" s="95"/>
      <c r="D294" s="95" t="s">
        <v>454</v>
      </c>
      <c r="E294" s="95"/>
      <c r="F294" s="95">
        <f>H276</f>
        <v>51409577</v>
      </c>
      <c r="G294" s="95">
        <f>F294</f>
        <v>51409577</v>
      </c>
      <c r="H294" s="95">
        <f t="shared" si="28"/>
        <v>0</v>
      </c>
      <c r="I294" s="95"/>
      <c r="J294" s="95"/>
      <c r="K294" s="95"/>
      <c r="R294" s="5"/>
    </row>
    <row r="295" spans="2:18" hidden="1" outlineLevel="1">
      <c r="B295" s="95"/>
      <c r="C295" s="95"/>
      <c r="D295" s="95" t="s">
        <v>449</v>
      </c>
      <c r="E295" s="95"/>
      <c r="F295" s="95">
        <v>0</v>
      </c>
      <c r="G295" s="95">
        <f>ROUND(F295*$C$13,)</f>
        <v>0</v>
      </c>
      <c r="H295" s="95">
        <f>F295-G295</f>
        <v>0</v>
      </c>
      <c r="I295" s="95"/>
      <c r="J295" s="95"/>
      <c r="K295" s="95"/>
      <c r="R295" s="5"/>
    </row>
    <row r="296" spans="2:18" hidden="1" outlineLevel="1">
      <c r="B296" s="95"/>
      <c r="C296" s="95"/>
      <c r="D296" s="95" t="s">
        <v>450</v>
      </c>
      <c r="E296" s="95"/>
      <c r="F296" s="95">
        <v>0</v>
      </c>
      <c r="G296" s="95">
        <f>ROUND(F296*$C$13,)</f>
        <v>0</v>
      </c>
      <c r="H296" s="95">
        <f>F296-G296</f>
        <v>0</v>
      </c>
      <c r="I296" s="95"/>
      <c r="J296" s="95"/>
      <c r="K296" s="95"/>
    </row>
    <row r="297" spans="2:18" hidden="1" outlineLevel="1">
      <c r="B297" s="95"/>
      <c r="C297" s="95"/>
      <c r="D297" s="144" t="s">
        <v>451</v>
      </c>
      <c r="E297" s="144"/>
      <c r="F297" s="144">
        <f>SUM(F292:F296)</f>
        <v>98656462</v>
      </c>
      <c r="G297" s="144">
        <f>SUM(G292:G296)</f>
        <v>98656462</v>
      </c>
      <c r="H297" s="144">
        <f t="shared" ref="H297" si="29">SUM(H292:H296)</f>
        <v>0</v>
      </c>
      <c r="I297" s="95"/>
      <c r="J297" s="95"/>
      <c r="K297" s="95"/>
      <c r="R297" s="5"/>
    </row>
    <row r="298" spans="2:18" hidden="1" outlineLevel="1">
      <c r="B298" s="95"/>
      <c r="C298" s="95"/>
      <c r="D298" s="95"/>
      <c r="E298" s="95"/>
      <c r="F298" s="95"/>
      <c r="G298" s="95"/>
      <c r="H298" s="95"/>
      <c r="I298" s="95"/>
      <c r="J298" s="95"/>
      <c r="K298" s="95"/>
    </row>
    <row r="299" spans="2:18" hidden="1" outlineLevel="1">
      <c r="B299" s="95"/>
      <c r="C299" s="95"/>
      <c r="D299" s="121" t="s">
        <v>180</v>
      </c>
      <c r="E299" s="121"/>
      <c r="F299" s="121">
        <f>F119</f>
        <v>-36604245</v>
      </c>
      <c r="G299" s="121">
        <f>ROUND(F299*$C$13,)</f>
        <v>-36604245</v>
      </c>
      <c r="H299" s="121">
        <f>F299-G299</f>
        <v>0</v>
      </c>
      <c r="I299" s="95"/>
      <c r="J299" s="95"/>
      <c r="K299" s="95"/>
      <c r="R299" s="5"/>
    </row>
    <row r="300" spans="2:18" hidden="1" outlineLevel="1">
      <c r="B300" s="95"/>
      <c r="C300" s="95"/>
      <c r="D300" s="95"/>
      <c r="E300" s="95"/>
      <c r="F300" s="95"/>
      <c r="G300" s="95"/>
      <c r="H300" s="95"/>
      <c r="I300" s="95"/>
      <c r="J300" s="95"/>
      <c r="K300" s="95"/>
      <c r="R300" s="5"/>
    </row>
    <row r="301" spans="2:18" hidden="1" outlineLevel="1">
      <c r="B301" s="95"/>
      <c r="C301" s="95"/>
      <c r="D301" s="95"/>
      <c r="E301" s="95"/>
      <c r="F301" s="95"/>
      <c r="G301" s="95"/>
      <c r="H301" s="95"/>
      <c r="I301" s="95"/>
      <c r="J301" s="95"/>
      <c r="K301" s="95"/>
    </row>
    <row r="302" spans="2:18" hidden="1" outlineLevel="1">
      <c r="B302" s="95"/>
      <c r="C302" s="10" t="s">
        <v>170</v>
      </c>
      <c r="E302" s="95"/>
      <c r="F302" s="10" t="s">
        <v>169</v>
      </c>
      <c r="H302" s="95"/>
      <c r="I302" s="95"/>
      <c r="J302" s="95"/>
      <c r="K302" s="95"/>
      <c r="R302" s="5"/>
    </row>
    <row r="303" spans="2:18" hidden="1" outlineLevel="1">
      <c r="B303" s="95"/>
      <c r="E303" s="95"/>
      <c r="F303" s="2"/>
      <c r="G303" s="2"/>
      <c r="H303" s="95"/>
      <c r="I303" s="95"/>
      <c r="J303" s="95"/>
      <c r="K303" s="95"/>
      <c r="R303" s="5"/>
    </row>
    <row r="304" spans="2:18" ht="15.75" hidden="1" outlineLevel="1">
      <c r="B304" s="95"/>
      <c r="C304" s="9" t="s">
        <v>168</v>
      </c>
      <c r="D304" s="9" t="s">
        <v>154</v>
      </c>
      <c r="E304" s="95"/>
      <c r="F304" s="9" t="s">
        <v>168</v>
      </c>
      <c r="G304" s="9" t="s">
        <v>154</v>
      </c>
      <c r="H304" s="95"/>
      <c r="I304" s="95"/>
      <c r="J304" s="95"/>
      <c r="K304" s="95"/>
    </row>
    <row r="305" spans="2:18" hidden="1" outlineLevel="1">
      <c r="B305" s="95"/>
      <c r="C305" s="5" t="s">
        <v>167</v>
      </c>
      <c r="D305" s="2">
        <f>D261</f>
        <v>1495139538</v>
      </c>
      <c r="E305" s="95"/>
      <c r="F305" s="5" t="s">
        <v>157</v>
      </c>
      <c r="G305" s="2">
        <f>H120</f>
        <v>1607831457</v>
      </c>
      <c r="H305" s="95"/>
      <c r="I305" s="95"/>
      <c r="J305" s="95"/>
      <c r="K305" s="95"/>
      <c r="R305" s="5"/>
    </row>
    <row r="306" spans="2:18" hidden="1" outlineLevel="1">
      <c r="B306" s="95"/>
      <c r="C306" s="2" t="s">
        <v>166</v>
      </c>
      <c r="D306" s="2"/>
      <c r="E306" s="95"/>
      <c r="F306" s="5" t="s">
        <v>165</v>
      </c>
      <c r="G306" s="145">
        <f>$C$13</f>
        <v>1</v>
      </c>
      <c r="H306" s="95"/>
      <c r="I306" s="95"/>
      <c r="J306" s="95"/>
      <c r="K306" s="95"/>
    </row>
    <row r="307" spans="2:18" hidden="1" outlineLevel="1">
      <c r="B307" s="95"/>
      <c r="C307" s="5" t="s">
        <v>164</v>
      </c>
      <c r="D307" s="2">
        <f>D164</f>
        <v>0</v>
      </c>
      <c r="E307" s="95"/>
      <c r="F307" s="5" t="s">
        <v>163</v>
      </c>
      <c r="G307" s="2">
        <f>ROUND(G305*G306,0)</f>
        <v>1607831457</v>
      </c>
      <c r="H307" s="95"/>
      <c r="I307" s="95"/>
      <c r="J307" s="95"/>
      <c r="K307" s="95"/>
    </row>
    <row r="308" spans="2:18" hidden="1" outlineLevel="1">
      <c r="B308" s="95"/>
      <c r="C308" s="5" t="s">
        <v>162</v>
      </c>
      <c r="D308" s="2">
        <f>G297</f>
        <v>98656462</v>
      </c>
      <c r="E308" s="95"/>
      <c r="F308" s="5" t="s">
        <v>161</v>
      </c>
      <c r="G308" s="2">
        <v>0</v>
      </c>
      <c r="H308" s="95"/>
      <c r="I308" s="95"/>
      <c r="J308" s="95"/>
      <c r="K308" s="95"/>
      <c r="R308" s="5"/>
    </row>
    <row r="309" spans="2:18" hidden="1" outlineLevel="1">
      <c r="B309" s="95"/>
      <c r="C309" s="95" t="s">
        <v>456</v>
      </c>
      <c r="D309" s="95">
        <v>0</v>
      </c>
      <c r="E309" s="95"/>
      <c r="F309" s="5" t="s">
        <v>159</v>
      </c>
      <c r="G309" s="2">
        <f>G293+G295</f>
        <v>-50639702</v>
      </c>
      <c r="H309" s="95"/>
      <c r="I309" s="95"/>
      <c r="J309" s="95"/>
      <c r="K309" s="95"/>
      <c r="R309" s="5"/>
    </row>
    <row r="310" spans="2:18" ht="14.25" hidden="1" outlineLevel="1" thickBot="1">
      <c r="B310" s="95"/>
      <c r="C310" s="8" t="s">
        <v>160</v>
      </c>
      <c r="D310" s="141">
        <f>G299</f>
        <v>-36604245</v>
      </c>
      <c r="E310" s="95"/>
      <c r="F310" s="8" t="s">
        <v>157</v>
      </c>
      <c r="G310" s="141">
        <f>D311</f>
        <v>1557191755</v>
      </c>
      <c r="H310" s="95"/>
      <c r="I310" s="95"/>
      <c r="J310" s="95"/>
      <c r="K310" s="95"/>
    </row>
    <row r="311" spans="2:18" ht="14.25" hidden="1" outlineLevel="1" thickTop="1">
      <c r="B311" s="95"/>
      <c r="C311" s="5" t="s">
        <v>158</v>
      </c>
      <c r="D311" s="2">
        <f>SUM(D305:D310)</f>
        <v>1557191755</v>
      </c>
      <c r="E311" s="95"/>
      <c r="F311" s="5" t="s">
        <v>156</v>
      </c>
      <c r="G311" s="143">
        <f>G307-G310+G308+G309</f>
        <v>0</v>
      </c>
      <c r="H311" s="95"/>
      <c r="I311" s="95"/>
      <c r="J311" s="95"/>
      <c r="K311" s="95"/>
      <c r="R311" s="5"/>
    </row>
    <row r="312" spans="2:18" ht="24" collapsed="1">
      <c r="B312" s="5"/>
      <c r="E312" s="5" ph="1"/>
      <c r="R312" s="5"/>
    </row>
    <row r="313" spans="2:18" s="95" customFormat="1" outlineLevel="1" collapsed="1">
      <c r="B313" s="139" t="s">
        <v>1544</v>
      </c>
      <c r="C313" s="142" t="s">
        <v>431</v>
      </c>
      <c r="D313" s="124"/>
      <c r="E313" s="124"/>
      <c r="F313" s="124"/>
      <c r="G313" s="124"/>
      <c r="R313" s="111"/>
    </row>
    <row r="314" spans="2:18" outlineLevel="1">
      <c r="B314" s="95"/>
      <c r="C314" s="95"/>
      <c r="D314" s="124"/>
      <c r="E314" s="124"/>
      <c r="F314" s="124"/>
      <c r="G314" s="124"/>
      <c r="H314" s="95"/>
      <c r="I314" s="95"/>
      <c r="J314" s="95"/>
      <c r="K314" s="95"/>
    </row>
    <row r="315" spans="2:18" outlineLevel="1">
      <c r="B315" s="95"/>
      <c r="C315" s="1997" t="s">
        <v>1406</v>
      </c>
      <c r="D315" s="1998" t="s">
        <v>448</v>
      </c>
      <c r="E315" s="1998"/>
      <c r="F315" s="1997" t="s">
        <v>1402</v>
      </c>
      <c r="G315" s="124"/>
      <c r="H315" s="124"/>
      <c r="I315" s="95"/>
      <c r="J315" s="95"/>
      <c r="K315" s="95"/>
      <c r="R315" s="5"/>
    </row>
    <row r="316" spans="2:18" outlineLevel="1">
      <c r="B316" s="95"/>
      <c r="C316" s="1997"/>
      <c r="D316" s="95"/>
      <c r="E316" s="95"/>
      <c r="F316" s="1997"/>
      <c r="G316" s="124"/>
      <c r="H316" s="124"/>
      <c r="I316" s="95"/>
      <c r="J316" s="95"/>
      <c r="K316" s="95"/>
    </row>
    <row r="317" spans="2:18" outlineLevel="1">
      <c r="B317" s="95"/>
      <c r="C317" s="140"/>
      <c r="D317" s="113" t="s">
        <v>446</v>
      </c>
      <c r="E317" s="155">
        <v>378982137</v>
      </c>
      <c r="F317" s="124"/>
      <c r="G317" s="124"/>
      <c r="H317" s="124"/>
      <c r="I317" s="95"/>
      <c r="J317" s="95"/>
      <c r="K317" s="95"/>
    </row>
    <row r="318" spans="2:18" outlineLevel="1">
      <c r="B318" s="95"/>
      <c r="C318" s="140"/>
      <c r="D318" s="113" t="s">
        <v>447</v>
      </c>
      <c r="E318" s="155">
        <v>2468961</v>
      </c>
      <c r="F318" s="124"/>
      <c r="G318" s="124"/>
      <c r="H318" s="124"/>
      <c r="I318" s="95"/>
      <c r="J318" s="95"/>
      <c r="K318" s="95"/>
    </row>
    <row r="319" spans="2:18" outlineLevel="1">
      <c r="B319" s="95"/>
      <c r="C319" s="140"/>
      <c r="D319" s="95"/>
      <c r="E319" s="95"/>
      <c r="F319" s="124"/>
      <c r="G319" s="124"/>
      <c r="H319" s="124"/>
      <c r="I319" s="124"/>
      <c r="J319" s="124"/>
      <c r="K319" s="95"/>
    </row>
    <row r="320" spans="2:18" outlineLevel="1">
      <c r="B320" s="95"/>
      <c r="C320" s="1999" t="s">
        <v>146</v>
      </c>
      <c r="D320" s="1999" t="s">
        <v>153</v>
      </c>
      <c r="E320" s="1999" t="s">
        <v>152</v>
      </c>
      <c r="F320" s="2001" t="s">
        <v>151</v>
      </c>
      <c r="G320" s="2002"/>
      <c r="H320" s="2002"/>
      <c r="I320" s="2002"/>
      <c r="J320" s="2002"/>
      <c r="K320" s="2002"/>
      <c r="R320" s="5"/>
    </row>
    <row r="321" spans="2:18" outlineLevel="1">
      <c r="B321" s="95"/>
      <c r="C321" s="2000"/>
      <c r="D321" s="2000"/>
      <c r="E321" s="2000"/>
      <c r="F321" s="153" t="s">
        <v>344</v>
      </c>
      <c r="G321" s="153" t="s">
        <v>1540</v>
      </c>
      <c r="H321" s="153" t="s">
        <v>1541</v>
      </c>
      <c r="I321" s="153" t="s">
        <v>1543</v>
      </c>
      <c r="J321" s="153" t="s">
        <v>1545</v>
      </c>
      <c r="K321" s="153" t="s">
        <v>1553</v>
      </c>
    </row>
    <row r="322" spans="2:18" outlineLevel="1">
      <c r="B322" s="95"/>
      <c r="C322" s="157" t="s">
        <v>455</v>
      </c>
      <c r="D322" s="158"/>
      <c r="E322" s="158"/>
      <c r="F322" s="158"/>
      <c r="G322" s="158"/>
      <c r="H322" s="158"/>
      <c r="I322" s="158"/>
      <c r="J322" s="158"/>
      <c r="K322" s="159"/>
    </row>
    <row r="323" spans="2:18" outlineLevel="1">
      <c r="B323" s="95"/>
      <c r="C323" s="149" t="s">
        <v>150</v>
      </c>
      <c r="D323" s="154">
        <f>E318+E317</f>
        <v>381451098</v>
      </c>
      <c r="E323" s="150">
        <f t="shared" ref="E323:K323" si="30">SUM(E324:E324)</f>
        <v>80845090</v>
      </c>
      <c r="F323" s="150">
        <f t="shared" si="30"/>
        <v>0</v>
      </c>
      <c r="G323" s="150">
        <f t="shared" si="30"/>
        <v>0</v>
      </c>
      <c r="H323" s="150">
        <f t="shared" si="30"/>
        <v>0</v>
      </c>
      <c r="I323" s="150">
        <f t="shared" si="30"/>
        <v>0</v>
      </c>
      <c r="J323" s="150">
        <f t="shared" si="30"/>
        <v>80845090</v>
      </c>
      <c r="K323" s="150">
        <f t="shared" si="30"/>
        <v>0</v>
      </c>
    </row>
    <row r="324" spans="2:18" outlineLevel="1">
      <c r="B324" s="95"/>
      <c r="C324" s="149" t="s">
        <v>1554</v>
      </c>
      <c r="D324" s="156">
        <f>HK_BS!K84</f>
        <v>54571733</v>
      </c>
      <c r="E324" s="150">
        <f>E331-E332+E334-E335</f>
        <v>80845090</v>
      </c>
      <c r="F324" s="150"/>
      <c r="G324" s="150">
        <v>0</v>
      </c>
      <c r="H324" s="150">
        <v>0</v>
      </c>
      <c r="I324" s="150">
        <v>0</v>
      </c>
      <c r="J324" s="150">
        <f>E324</f>
        <v>80845090</v>
      </c>
      <c r="K324" s="150"/>
    </row>
    <row r="325" spans="2:18" outlineLevel="1">
      <c r="B325" s="95"/>
      <c r="C325" s="160"/>
      <c r="D325" s="161"/>
      <c r="E325" s="161"/>
      <c r="F325" s="161"/>
      <c r="G325" s="161"/>
      <c r="H325" s="161"/>
      <c r="I325" s="161"/>
      <c r="J325" s="161"/>
      <c r="K325" s="161"/>
      <c r="R325" s="5"/>
    </row>
    <row r="326" spans="2:18" outlineLevel="1">
      <c r="B326" s="95"/>
      <c r="C326" s="149" t="s">
        <v>1555</v>
      </c>
      <c r="D326" s="156"/>
      <c r="E326" s="150"/>
      <c r="F326" s="150">
        <f t="shared" ref="F326:H326" si="31">F274</f>
        <v>0</v>
      </c>
      <c r="G326" s="150">
        <f t="shared" si="31"/>
        <v>0</v>
      </c>
      <c r="H326" s="150">
        <f t="shared" si="31"/>
        <v>0</v>
      </c>
      <c r="I326" s="150">
        <f>I274</f>
        <v>50639702</v>
      </c>
      <c r="J326" s="150">
        <f t="shared" ref="J326:K326" si="32">J274</f>
        <v>0</v>
      </c>
      <c r="K326" s="150">
        <f t="shared" si="32"/>
        <v>0</v>
      </c>
      <c r="R326" s="5"/>
    </row>
    <row r="327" spans="2:18" ht="14.25" outlineLevel="1" thickBot="1">
      <c r="B327" s="95"/>
      <c r="C327" s="1995" t="s">
        <v>142</v>
      </c>
      <c r="D327" s="1995"/>
      <c r="E327" s="1995"/>
      <c r="F327" s="162">
        <f t="shared" ref="F327:K327" si="33">F323+F326</f>
        <v>0</v>
      </c>
      <c r="G327" s="162">
        <f t="shared" si="33"/>
        <v>0</v>
      </c>
      <c r="H327" s="162">
        <f t="shared" si="33"/>
        <v>0</v>
      </c>
      <c r="I327" s="162">
        <f>I323+I326</f>
        <v>50639702</v>
      </c>
      <c r="J327" s="162">
        <f t="shared" si="33"/>
        <v>80845090</v>
      </c>
      <c r="K327" s="162">
        <f t="shared" si="33"/>
        <v>0</v>
      </c>
    </row>
    <row r="328" spans="2:18" ht="14.25" outlineLevel="1" thickTop="1">
      <c r="B328" s="95"/>
      <c r="C328" s="95"/>
      <c r="D328" s="95"/>
      <c r="E328" s="148"/>
      <c r="H328" s="2"/>
      <c r="K328" s="95"/>
    </row>
    <row r="329" spans="2:18" outlineLevel="1">
      <c r="B329" s="95"/>
      <c r="C329" s="95" t="s">
        <v>1551</v>
      </c>
      <c r="D329" s="95"/>
      <c r="E329" s="148"/>
      <c r="H329" s="2"/>
      <c r="K329" s="95"/>
      <c r="R329" s="5"/>
    </row>
    <row r="330" spans="2:18" outlineLevel="1">
      <c r="B330" s="95"/>
      <c r="C330" s="95" t="s">
        <v>1547</v>
      </c>
      <c r="D330" s="95"/>
      <c r="E330" s="148"/>
      <c r="H330" s="2"/>
      <c r="K330" s="95"/>
    </row>
    <row r="331" spans="2:18" outlineLevel="1">
      <c r="B331" s="95"/>
      <c r="C331" s="95" t="s">
        <v>2885</v>
      </c>
      <c r="D331" s="95"/>
      <c r="E331" s="765">
        <f>HK_BS!K34-E334</f>
        <v>139349733</v>
      </c>
      <c r="F331" s="411"/>
      <c r="H331" s="2"/>
      <c r="K331" s="95"/>
    </row>
    <row r="332" spans="2:18" outlineLevel="1">
      <c r="B332" s="95"/>
      <c r="C332" s="95" t="s">
        <v>2888</v>
      </c>
      <c r="D332" s="95"/>
      <c r="E332" s="765">
        <f>ROUND(E331*G333,)</f>
        <v>59224103</v>
      </c>
      <c r="F332" s="5" t="s">
        <v>2889</v>
      </c>
      <c r="H332" s="2"/>
      <c r="K332" s="95"/>
    </row>
    <row r="333" spans="2:18" outlineLevel="1">
      <c r="B333" s="95"/>
      <c r="C333" s="95"/>
      <c r="D333" s="95"/>
      <c r="E333" s="148">
        <f>E332/E331</f>
        <v>0.42500334751269314</v>
      </c>
      <c r="F333" s="5" t="s">
        <v>2672</v>
      </c>
      <c r="G333" s="411">
        <f>별도정산표!E112/별도정산표!E109</f>
        <v>0.42500334555599062</v>
      </c>
      <c r="H333" s="2"/>
      <c r="K333" s="95"/>
    </row>
    <row r="334" spans="2:18" outlineLevel="1">
      <c r="B334" s="95"/>
      <c r="C334" s="95" t="s">
        <v>2887</v>
      </c>
      <c r="D334" s="95"/>
      <c r="E334" s="765">
        <f>E318</f>
        <v>2468961</v>
      </c>
      <c r="G334" s="411"/>
      <c r="H334" s="2"/>
      <c r="K334" s="95"/>
    </row>
    <row r="335" spans="2:18" outlineLevel="1">
      <c r="B335" s="95"/>
      <c r="C335" s="95" t="s">
        <v>2886</v>
      </c>
      <c r="D335" s="95"/>
      <c r="E335" s="765">
        <f>ROUND(E334*G336,)</f>
        <v>1749501</v>
      </c>
      <c r="F335" s="5" t="s">
        <v>2890</v>
      </c>
      <c r="H335" s="2"/>
      <c r="K335" s="95"/>
    </row>
    <row r="336" spans="2:18" outlineLevel="1">
      <c r="B336" s="95"/>
      <c r="C336" s="95"/>
      <c r="D336" s="95"/>
      <c r="E336" s="148">
        <f>E335/E334</f>
        <v>0.70859807020037979</v>
      </c>
      <c r="F336" s="5" t="s">
        <v>2672</v>
      </c>
      <c r="G336" s="411">
        <f>별도정산표!E119/별도정산표!E108</f>
        <v>0.70859823377254894</v>
      </c>
      <c r="H336" s="2"/>
      <c r="K336" s="95"/>
    </row>
    <row r="337" spans="2:18" outlineLevel="1">
      <c r="B337" s="95"/>
      <c r="C337" s="95"/>
      <c r="D337" s="95"/>
      <c r="E337" s="148"/>
      <c r="G337" s="411"/>
      <c r="H337" s="2"/>
      <c r="K337" s="95"/>
    </row>
    <row r="338" spans="2:18" outlineLevel="1">
      <c r="B338" s="95"/>
      <c r="C338" s="95" t="s">
        <v>1549</v>
      </c>
      <c r="D338" s="95"/>
      <c r="E338" s="148"/>
      <c r="H338" s="2"/>
      <c r="K338" s="95"/>
    </row>
    <row r="339" spans="2:18" outlineLevel="1">
      <c r="B339" s="95"/>
      <c r="C339" s="95"/>
      <c r="D339" s="95"/>
      <c r="E339" s="148"/>
      <c r="H339" s="2"/>
      <c r="K339" s="95"/>
      <c r="R339" s="5"/>
    </row>
    <row r="340" spans="2:18" outlineLevel="1">
      <c r="B340" s="95"/>
      <c r="C340" s="119" t="s">
        <v>432</v>
      </c>
      <c r="D340" s="95"/>
      <c r="E340" s="95"/>
      <c r="F340" s="95"/>
      <c r="G340" s="95"/>
      <c r="H340" s="95"/>
      <c r="I340" s="95"/>
      <c r="J340" s="95"/>
      <c r="K340" s="95"/>
    </row>
    <row r="341" spans="2:18" ht="14.25" outlineLevel="1" thickBot="1">
      <c r="B341" s="95"/>
      <c r="C341" s="95"/>
      <c r="D341" s="1996" t="s">
        <v>146</v>
      </c>
      <c r="E341" s="1996"/>
      <c r="F341" s="114" t="s">
        <v>435</v>
      </c>
      <c r="G341" s="114" t="s">
        <v>434</v>
      </c>
      <c r="H341" s="114" t="s">
        <v>109</v>
      </c>
      <c r="I341" s="95"/>
      <c r="J341" s="95"/>
      <c r="K341" s="95"/>
      <c r="R341" s="5"/>
    </row>
    <row r="342" spans="2:18" outlineLevel="1">
      <c r="B342" s="95"/>
      <c r="C342" s="95"/>
      <c r="D342" s="95" t="s">
        <v>93</v>
      </c>
      <c r="E342" s="95"/>
      <c r="F342" s="95">
        <f>G121</f>
        <v>44207891</v>
      </c>
      <c r="G342" s="95">
        <f>ROUND(F342*$C$13,)</f>
        <v>44207891</v>
      </c>
      <c r="H342" s="95">
        <f>F342-G342</f>
        <v>0</v>
      </c>
      <c r="I342" s="95"/>
      <c r="J342" s="95"/>
      <c r="K342" s="95"/>
      <c r="R342" s="5"/>
    </row>
    <row r="343" spans="2:18" outlineLevel="1">
      <c r="B343" s="95"/>
      <c r="C343" s="95"/>
      <c r="D343" s="95" t="s">
        <v>453</v>
      </c>
      <c r="E343" s="95"/>
      <c r="F343" s="95">
        <f>-E323+F323</f>
        <v>-80845090</v>
      </c>
      <c r="G343" s="95">
        <f>F343</f>
        <v>-80845090</v>
      </c>
      <c r="H343" s="95">
        <f t="shared" ref="H343:H344" si="34">F343-G343</f>
        <v>0</v>
      </c>
      <c r="I343" s="95"/>
      <c r="J343" s="95"/>
      <c r="K343" s="95"/>
    </row>
    <row r="344" spans="2:18" outlineLevel="1">
      <c r="B344" s="95"/>
      <c r="C344" s="95"/>
      <c r="D344" s="95" t="s">
        <v>454</v>
      </c>
      <c r="E344" s="95"/>
      <c r="F344" s="95">
        <f>I326</f>
        <v>50639702</v>
      </c>
      <c r="G344" s="95">
        <f>F344</f>
        <v>50639702</v>
      </c>
      <c r="H344" s="95">
        <f t="shared" si="34"/>
        <v>0</v>
      </c>
      <c r="I344" s="95"/>
      <c r="J344" s="95"/>
      <c r="K344" s="95"/>
      <c r="R344" s="5"/>
    </row>
    <row r="345" spans="2:18" outlineLevel="1">
      <c r="B345" s="95"/>
      <c r="C345" s="95"/>
      <c r="D345" s="95" t="s">
        <v>449</v>
      </c>
      <c r="E345" s="95"/>
      <c r="F345" s="95">
        <v>0</v>
      </c>
      <c r="G345" s="95">
        <f>ROUND(F345*$C$13,)</f>
        <v>0</v>
      </c>
      <c r="H345" s="95">
        <f>F345-G345</f>
        <v>0</v>
      </c>
      <c r="I345" s="95"/>
      <c r="J345" s="95"/>
      <c r="K345" s="95"/>
      <c r="R345" s="5"/>
    </row>
    <row r="346" spans="2:18" outlineLevel="1">
      <c r="B346" s="95"/>
      <c r="C346" s="95"/>
      <c r="D346" s="95" t="s">
        <v>450</v>
      </c>
      <c r="E346" s="95"/>
      <c r="F346" s="95">
        <v>0</v>
      </c>
      <c r="G346" s="95">
        <f>ROUND(F346*$C$13,)</f>
        <v>0</v>
      </c>
      <c r="H346" s="95">
        <f>F346-G346</f>
        <v>0</v>
      </c>
      <c r="I346" s="95"/>
      <c r="J346" s="95"/>
      <c r="K346" s="95"/>
    </row>
    <row r="347" spans="2:18" outlineLevel="1">
      <c r="B347" s="95"/>
      <c r="C347" s="95"/>
      <c r="D347" s="144" t="s">
        <v>451</v>
      </c>
      <c r="E347" s="144"/>
      <c r="F347" s="144">
        <f>SUM(F342:F346)</f>
        <v>14002503</v>
      </c>
      <c r="G347" s="144">
        <f>SUM(G342:G346)</f>
        <v>14002503</v>
      </c>
      <c r="H347" s="144">
        <f t="shared" ref="H347" si="35">SUM(H342:H346)</f>
        <v>0</v>
      </c>
      <c r="I347" s="95"/>
      <c r="J347" s="95"/>
      <c r="K347" s="95"/>
      <c r="R347" s="5"/>
    </row>
    <row r="348" spans="2:18" outlineLevel="1">
      <c r="B348" s="95"/>
      <c r="C348" s="95"/>
      <c r="D348" s="95"/>
      <c r="E348" s="95"/>
      <c r="F348" s="95"/>
      <c r="G348" s="95"/>
      <c r="H348" s="95"/>
      <c r="I348" s="95"/>
      <c r="J348" s="95"/>
      <c r="K348" s="95"/>
    </row>
    <row r="349" spans="2:18" outlineLevel="1">
      <c r="B349" s="95"/>
      <c r="C349" s="95"/>
      <c r="D349" s="121" t="s">
        <v>180</v>
      </c>
      <c r="E349" s="121"/>
      <c r="F349" s="121">
        <f>F122</f>
        <v>99968525</v>
      </c>
      <c r="G349" s="121">
        <f>ROUND(F349*$C$13,)</f>
        <v>99968525</v>
      </c>
      <c r="H349" s="121">
        <f>F349-G349</f>
        <v>0</v>
      </c>
      <c r="I349" s="95"/>
      <c r="J349" s="95"/>
      <c r="K349" s="95"/>
      <c r="R349" s="5"/>
    </row>
    <row r="350" spans="2:18" outlineLevel="1">
      <c r="B350" s="95"/>
      <c r="C350" s="95"/>
      <c r="D350" s="95"/>
      <c r="E350" s="95"/>
      <c r="F350" s="95"/>
      <c r="G350" s="95"/>
      <c r="H350" s="95"/>
      <c r="I350" s="95"/>
      <c r="J350" s="95"/>
      <c r="K350" s="95"/>
      <c r="R350" s="5"/>
    </row>
    <row r="351" spans="2:18" outlineLevel="1">
      <c r="B351" s="95"/>
      <c r="C351" s="95"/>
      <c r="D351" s="95"/>
      <c r="E351" s="95"/>
      <c r="F351" s="95"/>
      <c r="G351" s="95"/>
      <c r="H351" s="95"/>
      <c r="I351" s="95"/>
      <c r="J351" s="95"/>
      <c r="K351" s="95"/>
    </row>
    <row r="352" spans="2:18" outlineLevel="1">
      <c r="B352" s="95"/>
      <c r="C352" s="10" t="s">
        <v>170</v>
      </c>
      <c r="E352" s="95"/>
      <c r="F352" s="10" t="s">
        <v>169</v>
      </c>
      <c r="H352" s="95"/>
      <c r="I352" s="95"/>
      <c r="J352" s="95"/>
      <c r="K352" s="95"/>
      <c r="R352" s="5"/>
    </row>
    <row r="353" spans="2:18" outlineLevel="1">
      <c r="B353" s="95"/>
      <c r="E353" s="95"/>
      <c r="F353" s="2"/>
      <c r="G353" s="2"/>
      <c r="H353" s="95"/>
      <c r="I353" s="95"/>
      <c r="J353" s="95"/>
      <c r="K353" s="95"/>
      <c r="R353" s="5"/>
    </row>
    <row r="354" spans="2:18" ht="15.75" outlineLevel="1">
      <c r="B354" s="95"/>
      <c r="C354" s="9" t="s">
        <v>168</v>
      </c>
      <c r="D354" s="9" t="s">
        <v>154</v>
      </c>
      <c r="E354" s="95"/>
      <c r="F354" s="9" t="s">
        <v>168</v>
      </c>
      <c r="G354" s="9" t="s">
        <v>154</v>
      </c>
      <c r="H354" s="95"/>
      <c r="I354" s="95"/>
      <c r="J354" s="95"/>
      <c r="K354" s="95"/>
    </row>
    <row r="355" spans="2:18" outlineLevel="1">
      <c r="B355" s="95"/>
      <c r="C355" s="5" t="s">
        <v>167</v>
      </c>
      <c r="D355" s="2">
        <f>D311</f>
        <v>1557191755</v>
      </c>
      <c r="E355" s="95"/>
      <c r="F355" s="5" t="s">
        <v>157</v>
      </c>
      <c r="G355" s="2">
        <f>H123</f>
        <v>1752007873</v>
      </c>
      <c r="H355" s="95"/>
      <c r="I355" s="95"/>
      <c r="J355" s="95"/>
      <c r="K355" s="95"/>
      <c r="R355" s="5"/>
    </row>
    <row r="356" spans="2:18" outlineLevel="1">
      <c r="B356" s="95"/>
      <c r="C356" s="2" t="s">
        <v>166</v>
      </c>
      <c r="D356" s="2"/>
      <c r="E356" s="95"/>
      <c r="F356" s="5" t="s">
        <v>165</v>
      </c>
      <c r="G356" s="145">
        <f>$C$13</f>
        <v>1</v>
      </c>
      <c r="H356" s="95"/>
      <c r="I356" s="95"/>
      <c r="J356" s="95"/>
      <c r="K356" s="95"/>
    </row>
    <row r="357" spans="2:18" outlineLevel="1">
      <c r="B357" s="95"/>
      <c r="C357" s="5" t="s">
        <v>164</v>
      </c>
      <c r="D357" s="2">
        <v>0</v>
      </c>
      <c r="E357" s="95"/>
      <c r="F357" s="5" t="s">
        <v>163</v>
      </c>
      <c r="G357" s="2">
        <f>ROUND(G355*G356,0)</f>
        <v>1752007873</v>
      </c>
      <c r="H357" s="95"/>
      <c r="I357" s="95"/>
      <c r="J357" s="95"/>
      <c r="K357" s="95"/>
    </row>
    <row r="358" spans="2:18" outlineLevel="1">
      <c r="B358" s="95"/>
      <c r="C358" s="5" t="s">
        <v>162</v>
      </c>
      <c r="D358" s="2">
        <f>G347</f>
        <v>14002503</v>
      </c>
      <c r="E358" s="95"/>
      <c r="F358" s="5" t="s">
        <v>161</v>
      </c>
      <c r="G358" s="2">
        <v>0</v>
      </c>
      <c r="H358" s="95"/>
      <c r="I358" s="95"/>
      <c r="J358" s="95"/>
      <c r="K358" s="95"/>
      <c r="R358" s="5"/>
    </row>
    <row r="359" spans="2:18" outlineLevel="1">
      <c r="B359" s="95"/>
      <c r="C359" s="95" t="s">
        <v>456</v>
      </c>
      <c r="D359" s="95">
        <v>0</v>
      </c>
      <c r="E359" s="95"/>
      <c r="F359" s="5" t="s">
        <v>159</v>
      </c>
      <c r="G359" s="2">
        <f>G343+G345</f>
        <v>-80845090</v>
      </c>
      <c r="H359" s="95"/>
      <c r="I359" s="95"/>
      <c r="J359" s="95"/>
      <c r="K359" s="95"/>
      <c r="R359" s="5"/>
    </row>
    <row r="360" spans="2:18" ht="14.25" outlineLevel="1" thickBot="1">
      <c r="B360" s="95"/>
      <c r="C360" s="8" t="s">
        <v>160</v>
      </c>
      <c r="D360" s="141">
        <f>G349</f>
        <v>99968525</v>
      </c>
      <c r="E360" s="95"/>
      <c r="F360" s="8" t="s">
        <v>157</v>
      </c>
      <c r="G360" s="141">
        <f>D361</f>
        <v>1671162783</v>
      </c>
      <c r="H360" s="95"/>
      <c r="I360" s="95"/>
      <c r="J360" s="95"/>
      <c r="K360" s="95"/>
    </row>
    <row r="361" spans="2:18" ht="14.25" outlineLevel="1" thickTop="1">
      <c r="B361" s="95"/>
      <c r="C361" s="5" t="s">
        <v>158</v>
      </c>
      <c r="D361" s="2">
        <f>SUM(D355:D360)</f>
        <v>1671162783</v>
      </c>
      <c r="E361" s="95"/>
      <c r="F361" s="5" t="s">
        <v>156</v>
      </c>
      <c r="G361" s="143">
        <f>G357-G360+G358+G359</f>
        <v>0</v>
      </c>
      <c r="H361" s="95"/>
      <c r="I361" s="95"/>
      <c r="J361" s="95"/>
      <c r="K361" s="95"/>
      <c r="R361" s="5"/>
    </row>
    <row r="362" spans="2:18" ht="24">
      <c r="B362" s="5"/>
      <c r="E362" s="5" ph="1"/>
      <c r="R362" s="5"/>
    </row>
    <row r="363" spans="2:18" ht="24">
      <c r="B363" s="5"/>
      <c r="E363" s="5" ph="1"/>
      <c r="R363" s="5"/>
    </row>
    <row r="365" spans="2:18" ht="24">
      <c r="B365" s="5"/>
      <c r="E365" s="5" ph="1"/>
      <c r="R365" s="5"/>
    </row>
    <row r="366" spans="2:18" ht="24">
      <c r="B366" s="5"/>
      <c r="E366" s="5" ph="1"/>
      <c r="R366" s="5"/>
    </row>
    <row r="367" spans="2:18" ht="24">
      <c r="B367" s="5"/>
      <c r="E367" s="5" ph="1"/>
      <c r="R367" s="5"/>
    </row>
    <row r="368" spans="2:18" ht="24">
      <c r="B368" s="5"/>
      <c r="E368" s="5" ph="1"/>
      <c r="R368" s="5"/>
    </row>
    <row r="369" spans="5:5" s="5" customFormat="1" ht="24">
      <c r="E369" s="5" ph="1"/>
    </row>
    <row r="371" spans="5:5" s="5" customFormat="1" ht="24">
      <c r="E371" s="5" ph="1"/>
    </row>
    <row r="372" spans="5:5" s="5" customFormat="1" ht="24">
      <c r="E372" s="5" ph="1"/>
    </row>
    <row r="373" spans="5:5" s="5" customFormat="1" ht="24">
      <c r="E373" s="5" ph="1"/>
    </row>
    <row r="374" spans="5:5" s="5" customFormat="1" ht="24">
      <c r="E374" s="5" ph="1"/>
    </row>
    <row r="375" spans="5:5" s="5" customFormat="1" ht="24">
      <c r="E375" s="5" ph="1"/>
    </row>
    <row r="376" spans="5:5" s="5" customFormat="1" ht="24">
      <c r="E376" s="5" ph="1"/>
    </row>
    <row r="377" spans="5:5" s="5" customFormat="1" ht="24">
      <c r="E377" s="5" ph="1"/>
    </row>
    <row r="378" spans="5:5" s="5" customFormat="1" ht="24">
      <c r="E378" s="5" ph="1"/>
    </row>
    <row r="379" spans="5:5" s="5" customFormat="1" ht="24">
      <c r="E379" s="5" ph="1"/>
    </row>
    <row r="381" spans="5:5" s="5" customFormat="1" ht="24">
      <c r="E381" s="5" ph="1"/>
    </row>
    <row r="382" spans="5:5" s="5" customFormat="1" ht="24">
      <c r="E382" s="5" ph="1"/>
    </row>
    <row r="383" spans="5:5" s="5" customFormat="1" ht="24">
      <c r="E383" s="5" ph="1"/>
    </row>
    <row r="384" spans="5:5" s="5" customFormat="1" ht="24">
      <c r="E384" s="5" ph="1"/>
    </row>
    <row r="385" spans="5:5" s="5" customFormat="1" ht="24">
      <c r="E385" s="5" ph="1"/>
    </row>
    <row r="387" spans="5:5" s="5" customFormat="1" ht="24">
      <c r="E387" s="5" ph="1"/>
    </row>
    <row r="388" spans="5:5" s="5" customFormat="1" ht="24">
      <c r="E388" s="5" ph="1"/>
    </row>
    <row r="389" spans="5:5" s="5" customFormat="1" ht="24">
      <c r="E389" s="5" ph="1"/>
    </row>
    <row r="390" spans="5:5" s="5" customFormat="1" ht="24">
      <c r="E390" s="5" ph="1"/>
    </row>
    <row r="391" spans="5:5" s="5" customFormat="1" ht="24">
      <c r="E391" s="5" ph="1"/>
    </row>
    <row r="392" spans="5:5" s="5" customFormat="1" ht="24">
      <c r="E392" s="5" ph="1"/>
    </row>
    <row r="393" spans="5:5" s="5" customFormat="1" ht="24">
      <c r="E393" s="5" ph="1"/>
    </row>
    <row r="394" spans="5:5" s="5" customFormat="1" ht="24">
      <c r="E394" s="5" ph="1"/>
    </row>
    <row r="395" spans="5:5" s="5" customFormat="1" ht="24">
      <c r="E395" s="5" ph="1"/>
    </row>
    <row r="399" spans="5:5" s="5" customFormat="1" ht="24">
      <c r="E399" s="5" ph="1"/>
    </row>
    <row r="401" spans="5:5" s="5" customFormat="1" ht="24">
      <c r="E401" s="5" ph="1"/>
    </row>
    <row r="402" spans="5:5" s="5" customFormat="1" ht="24">
      <c r="E402" s="5" ph="1"/>
    </row>
    <row r="404" spans="5:5" s="5" customFormat="1" ht="24">
      <c r="E404" s="5" ph="1"/>
    </row>
    <row r="405" spans="5:5" s="5" customFormat="1" ht="24">
      <c r="E405" s="5" ph="1"/>
    </row>
    <row r="407" spans="5:5" s="5" customFormat="1" ht="24">
      <c r="E407" s="5" ph="1"/>
    </row>
    <row r="409" spans="5:5" s="5" customFormat="1" ht="24">
      <c r="E409" s="5" ph="1"/>
    </row>
    <row r="410" spans="5:5" s="5" customFormat="1" ht="24">
      <c r="E410" s="5" ph="1"/>
    </row>
    <row r="412" spans="5:5" s="5" customFormat="1" ht="24">
      <c r="E412" s="5" ph="1"/>
    </row>
    <row r="413" spans="5:5" s="5" customFormat="1" ht="24">
      <c r="E413" s="5" ph="1"/>
    </row>
    <row r="415" spans="5:5" s="5" customFormat="1" ht="24">
      <c r="E415" s="5" ph="1"/>
    </row>
    <row r="418" spans="5:5" s="5" customFormat="1" ht="24">
      <c r="E418" s="5" ph="1"/>
    </row>
    <row r="419" spans="5:5" s="5" customFormat="1" ht="24">
      <c r="E419" s="5" ph="1"/>
    </row>
    <row r="421" spans="5:5" s="5" customFormat="1" ht="24">
      <c r="E421" s="5" ph="1"/>
    </row>
    <row r="422" spans="5:5" s="5" customFormat="1" ht="24">
      <c r="E422" s="5" ph="1"/>
    </row>
    <row r="425" spans="5:5" s="5" customFormat="1" ht="24">
      <c r="E425" s="5" ph="1"/>
    </row>
    <row r="426" spans="5:5" s="5" customFormat="1" ht="24">
      <c r="E426" s="5" ph="1"/>
    </row>
    <row r="428" spans="5:5" s="5" customFormat="1" ht="24">
      <c r="E428" s="5" ph="1"/>
    </row>
    <row r="429" spans="5:5" s="5" customFormat="1" ht="24">
      <c r="E429" s="5" ph="1"/>
    </row>
    <row r="431" spans="5:5" s="5" customFormat="1" ht="24">
      <c r="E431" s="5" ph="1"/>
    </row>
    <row r="433" spans="5:5" s="5" customFormat="1" ht="24">
      <c r="E433" s="5" ph="1"/>
    </row>
    <row r="434" spans="5:5" s="5" customFormat="1" ht="24">
      <c r="E434" s="5" ph="1"/>
    </row>
    <row r="436" spans="5:5" s="5" customFormat="1" ht="24">
      <c r="E436" s="5" ph="1"/>
    </row>
    <row r="437" spans="5:5" s="5" customFormat="1" ht="24">
      <c r="E437" s="5" ph="1"/>
    </row>
    <row r="439" spans="5:5" s="5" customFormat="1" ht="24">
      <c r="E439" s="5" ph="1"/>
    </row>
    <row r="442" spans="5:5" s="5" customFormat="1" ht="24">
      <c r="E442" s="5" ph="1"/>
    </row>
    <row r="443" spans="5:5" s="5" customFormat="1" ht="24">
      <c r="E443" s="5" ph="1"/>
    </row>
    <row r="445" spans="5:5" s="5" customFormat="1" ht="24">
      <c r="E445" s="5" ph="1"/>
    </row>
    <row r="446" spans="5:5" s="5" customFormat="1" ht="24">
      <c r="E446" s="5" ph="1"/>
    </row>
    <row r="447" spans="5:5" s="5" customFormat="1" ht="24">
      <c r="E447" s="5" ph="1"/>
    </row>
    <row r="448" spans="5:5" s="5" customFormat="1" ht="24">
      <c r="E448" s="5" ph="1"/>
    </row>
    <row r="449" spans="5:5" s="5" customFormat="1" ht="24">
      <c r="E449" s="5" ph="1"/>
    </row>
    <row r="451" spans="5:5" s="5" customFormat="1" ht="24">
      <c r="E451" s="5" ph="1"/>
    </row>
    <row r="452" spans="5:5" s="5" customFormat="1" ht="24">
      <c r="E452" s="5" ph="1"/>
    </row>
    <row r="453" spans="5:5" s="5" customFormat="1" ht="24">
      <c r="E453" s="5" ph="1"/>
    </row>
    <row r="454" spans="5:5" s="5" customFormat="1" ht="24">
      <c r="E454" s="5" ph="1"/>
    </row>
    <row r="455" spans="5:5" s="5" customFormat="1" ht="24">
      <c r="E455" s="5" ph="1"/>
    </row>
    <row r="456" spans="5:5" s="5" customFormat="1" ht="24">
      <c r="E456" s="5" ph="1"/>
    </row>
    <row r="458" spans="5:5" s="5" customFormat="1" ht="24">
      <c r="E458" s="5" ph="1"/>
    </row>
    <row r="459" spans="5:5" s="5" customFormat="1" ht="24">
      <c r="E459" s="5" ph="1"/>
    </row>
    <row r="460" spans="5:5" s="5" customFormat="1" ht="24">
      <c r="E460" s="5" ph="1"/>
    </row>
    <row r="461" spans="5:5" s="5" customFormat="1" ht="24">
      <c r="E461" s="5" ph="1"/>
    </row>
    <row r="462" spans="5:5" s="5" customFormat="1" ht="24">
      <c r="E462" s="5" ph="1"/>
    </row>
    <row r="464" spans="5:5" s="5" customFormat="1" ht="24">
      <c r="E464" s="5" ph="1"/>
    </row>
    <row r="465" spans="5:5" s="5" customFormat="1" ht="24">
      <c r="E465" s="5" ph="1"/>
    </row>
    <row r="466" spans="5:5" s="5" customFormat="1" ht="24">
      <c r="E466" s="5" ph="1"/>
    </row>
    <row r="467" spans="5:5" s="5" customFormat="1" ht="24">
      <c r="E467" s="5" ph="1"/>
    </row>
    <row r="468" spans="5:5" s="5" customFormat="1" ht="24">
      <c r="E468" s="5" ph="1"/>
    </row>
    <row r="469" spans="5:5" s="5" customFormat="1" ht="24">
      <c r="E469" s="5" ph="1"/>
    </row>
    <row r="470" spans="5:5" s="5" customFormat="1" ht="24">
      <c r="E470" s="5" ph="1"/>
    </row>
    <row r="471" spans="5:5" s="5" customFormat="1" ht="24">
      <c r="E471" s="5" ph="1"/>
    </row>
    <row r="472" spans="5:5" s="5" customFormat="1" ht="24">
      <c r="E472" s="5" ph="1"/>
    </row>
    <row r="474" spans="5:5" s="5" customFormat="1" ht="24">
      <c r="E474" s="5" ph="1"/>
    </row>
    <row r="475" spans="5:5" s="5" customFormat="1" ht="24">
      <c r="E475" s="5" ph="1"/>
    </row>
    <row r="476" spans="5:5" s="5" customFormat="1" ht="24">
      <c r="E476" s="5" ph="1"/>
    </row>
    <row r="477" spans="5:5" s="5" customFormat="1" ht="24">
      <c r="E477" s="5" ph="1"/>
    </row>
    <row r="478" spans="5:5" s="5" customFormat="1" ht="24">
      <c r="E478" s="5" ph="1"/>
    </row>
    <row r="480" spans="5:5" s="5" customFormat="1" ht="24">
      <c r="E480" s="5" ph="1"/>
    </row>
    <row r="481" spans="5:5" s="5" customFormat="1" ht="24">
      <c r="E481" s="5" ph="1"/>
    </row>
    <row r="482" spans="5:5" s="5" customFormat="1" ht="24">
      <c r="E482" s="5" ph="1"/>
    </row>
    <row r="483" spans="5:5" s="5" customFormat="1" ht="24">
      <c r="E483" s="5" ph="1"/>
    </row>
    <row r="484" spans="5:5" s="5" customFormat="1" ht="24">
      <c r="E484" s="5" ph="1"/>
    </row>
    <row r="485" spans="5:5" s="5" customFormat="1" ht="24">
      <c r="E485" s="5" ph="1"/>
    </row>
    <row r="486" spans="5:5" s="5" customFormat="1" ht="24">
      <c r="E486" s="5" ph="1"/>
    </row>
    <row r="487" spans="5:5" s="5" customFormat="1" ht="24">
      <c r="E487" s="5" ph="1"/>
    </row>
    <row r="488" spans="5:5" s="5" customFormat="1" ht="24">
      <c r="E488" s="5" ph="1"/>
    </row>
    <row r="490" spans="5:5" s="5" customFormat="1" ht="24">
      <c r="E490" s="5" ph="1"/>
    </row>
    <row r="491" spans="5:5" s="5" customFormat="1" ht="24">
      <c r="E491" s="5" ph="1"/>
    </row>
    <row r="492" spans="5:5" s="5" customFormat="1" ht="24">
      <c r="E492" s="5" ph="1"/>
    </row>
    <row r="493" spans="5:5" s="5" customFormat="1" ht="24">
      <c r="E493" s="5" ph="1"/>
    </row>
    <row r="494" spans="5:5" s="5" customFormat="1" ht="24">
      <c r="E494" s="5" ph="1"/>
    </row>
    <row r="496" spans="5:5" s="5" customFormat="1" ht="24">
      <c r="E496" s="5" ph="1"/>
    </row>
    <row r="497" spans="5:5" s="5" customFormat="1" ht="24">
      <c r="E497" s="5" ph="1"/>
    </row>
    <row r="498" spans="5:5" s="5" customFormat="1" ht="24">
      <c r="E498" s="5" ph="1"/>
    </row>
    <row r="499" spans="5:5" s="5" customFormat="1" ht="24">
      <c r="E499" s="5" ph="1"/>
    </row>
    <row r="500" spans="5:5" s="5" customFormat="1" ht="24">
      <c r="E500" s="5" ph="1"/>
    </row>
    <row r="501" spans="5:5" s="5" customFormat="1" ht="24">
      <c r="E501" s="5" ph="1"/>
    </row>
    <row r="502" spans="5:5" s="5" customFormat="1" ht="24">
      <c r="E502" s="5" ph="1"/>
    </row>
    <row r="503" spans="5:5" s="5" customFormat="1" ht="24">
      <c r="E503" s="5" ph="1"/>
    </row>
    <row r="504" spans="5:5" s="5" customFormat="1" ht="24">
      <c r="E504" s="5" ph="1"/>
    </row>
    <row r="505" spans="5:5" s="5" customFormat="1" ht="24">
      <c r="E505" s="5" ph="1"/>
    </row>
    <row r="506" spans="5:5" s="5" customFormat="1" ht="24">
      <c r="E506" s="5" ph="1"/>
    </row>
    <row r="507" spans="5:5" s="5" customFormat="1" ht="24">
      <c r="E507" s="5" ph="1"/>
    </row>
    <row r="508" spans="5:5" s="5" customFormat="1" ht="24">
      <c r="E508" s="5" ph="1"/>
    </row>
    <row r="509" spans="5:5" s="5" customFormat="1" ht="24">
      <c r="E509" s="5" ph="1"/>
    </row>
    <row r="510" spans="5:5" s="5" customFormat="1" ht="24">
      <c r="E510" s="5" ph="1"/>
    </row>
    <row r="512" spans="5:5" s="5" customFormat="1" ht="24">
      <c r="E512" s="5" ph="1"/>
    </row>
    <row r="513" spans="5:5" s="5" customFormat="1" ht="24">
      <c r="E513" s="5" ph="1"/>
    </row>
    <row r="514" spans="5:5" s="5" customFormat="1" ht="24">
      <c r="E514" s="5" ph="1"/>
    </row>
    <row r="516" spans="5:5" s="5" customFormat="1" ht="24">
      <c r="E516" s="5" ph="1"/>
    </row>
    <row r="518" spans="5:5" s="5" customFormat="1" ht="24">
      <c r="E518" s="5" ph="1"/>
    </row>
    <row r="519" spans="5:5" s="5" customFormat="1" ht="24">
      <c r="E519" s="5" ph="1"/>
    </row>
    <row r="520" spans="5:5" s="5" customFormat="1" ht="24">
      <c r="E520" s="5" ph="1"/>
    </row>
    <row r="521" spans="5:5" s="5" customFormat="1" ht="24">
      <c r="E521" s="5" ph="1"/>
    </row>
    <row r="522" spans="5:5" s="5" customFormat="1" ht="24">
      <c r="E522" s="5" ph="1"/>
    </row>
    <row r="523" spans="5:5" s="5" customFormat="1" ht="24">
      <c r="E523" s="5" ph="1"/>
    </row>
    <row r="524" spans="5:5" s="5" customFormat="1" ht="24">
      <c r="E524" s="5" ph="1"/>
    </row>
    <row r="525" spans="5:5" s="5" customFormat="1" ht="24">
      <c r="E525" s="5" ph="1"/>
    </row>
    <row r="526" spans="5:5" s="5" customFormat="1" ht="24">
      <c r="E526" s="5" ph="1"/>
    </row>
    <row r="527" spans="5:5" s="5" customFormat="1" ht="24">
      <c r="E527" s="5" ph="1"/>
    </row>
    <row r="528" spans="5:5" s="5" customFormat="1" ht="24">
      <c r="E528" s="5" ph="1"/>
    </row>
    <row r="529" spans="5:5" s="5" customFormat="1" ht="24">
      <c r="E529" s="5" ph="1"/>
    </row>
    <row r="530" spans="5:5" s="5" customFormat="1" ht="24">
      <c r="E530" s="5" ph="1"/>
    </row>
    <row r="531" spans="5:5" s="5" customFormat="1" ht="24">
      <c r="E531" s="5" ph="1"/>
    </row>
    <row r="532" spans="5:5" s="5" customFormat="1" ht="24">
      <c r="E532" s="5" ph="1"/>
    </row>
    <row r="534" spans="5:5" s="5" customFormat="1" ht="24">
      <c r="E534" s="5" ph="1"/>
    </row>
    <row r="535" spans="5:5" s="5" customFormat="1" ht="24">
      <c r="E535" s="5" ph="1"/>
    </row>
    <row r="536" spans="5:5" s="5" customFormat="1" ht="24">
      <c r="E536" s="5" ph="1"/>
    </row>
    <row r="538" spans="5:5" s="5" customFormat="1" ht="24">
      <c r="E538" s="5" ph="1"/>
    </row>
    <row r="539" spans="5:5" s="5" customFormat="1" ht="24">
      <c r="E539" s="5" ph="1"/>
    </row>
    <row r="540" spans="5:5" s="5" customFormat="1" ht="24">
      <c r="E540" s="5" ph="1"/>
    </row>
    <row r="541" spans="5:5" s="5" customFormat="1" ht="24">
      <c r="E541" s="5" ph="1"/>
    </row>
    <row r="542" spans="5:5" s="5" customFormat="1" ht="24">
      <c r="E542" s="5" ph="1"/>
    </row>
    <row r="543" spans="5:5" s="5" customFormat="1" ht="24">
      <c r="E543" s="5" ph="1"/>
    </row>
    <row r="544" spans="5:5" s="5" customFormat="1" ht="24">
      <c r="E544" s="5" ph="1"/>
    </row>
    <row r="545" spans="2:18" ht="24">
      <c r="B545" s="5"/>
      <c r="E545" s="5" ph="1"/>
      <c r="R545" s="5"/>
    </row>
    <row r="546" spans="2:18" ht="24">
      <c r="B546" s="5"/>
      <c r="E546" s="5" ph="1"/>
      <c r="R546" s="5"/>
    </row>
    <row r="547" spans="2:18" ht="24">
      <c r="B547" s="5"/>
      <c r="E547" s="5" ph="1"/>
      <c r="R547" s="5"/>
    </row>
    <row r="548" spans="2:18" ht="24">
      <c r="B548" s="5"/>
      <c r="E548" s="5" ph="1"/>
      <c r="R548" s="5"/>
    </row>
    <row r="549" spans="2:18" ht="24">
      <c r="B549" s="5"/>
      <c r="E549" s="5" ph="1"/>
      <c r="R549" s="5"/>
    </row>
    <row r="550" spans="2:18" ht="24">
      <c r="B550" s="5"/>
      <c r="E550" s="5" ph="1"/>
      <c r="R550" s="5"/>
    </row>
    <row r="551" spans="2:18" ht="24">
      <c r="B551" s="5"/>
      <c r="E551" s="5" ph="1"/>
      <c r="R551" s="5"/>
    </row>
    <row r="552" spans="2:18" ht="24">
      <c r="B552" s="5"/>
      <c r="E552" s="5" ph="1"/>
      <c r="R552" s="5"/>
    </row>
    <row r="553" spans="2:18" ht="24">
      <c r="E553" s="5" ph="1"/>
    </row>
    <row r="554" spans="2:18" ht="24">
      <c r="E554" s="5" ph="1"/>
    </row>
    <row r="555" spans="2:18" ht="24">
      <c r="E555" s="5" ph="1"/>
    </row>
    <row r="556" spans="2:18" ht="24">
      <c r="E556" s="5" ph="1"/>
    </row>
    <row r="557" spans="2:18" ht="24">
      <c r="E557" s="5" ph="1"/>
    </row>
    <row r="558" spans="2:18" ht="24">
      <c r="E558" s="5" ph="1"/>
    </row>
    <row r="559" spans="2:18" ht="24">
      <c r="E559" s="5" ph="1"/>
    </row>
    <row r="560" spans="2:18" ht="24">
      <c r="E560" s="5" ph="1"/>
    </row>
    <row r="561" spans="5:5" ht="24">
      <c r="E561" s="5" ph="1"/>
    </row>
    <row r="562" spans="5:5" ht="24">
      <c r="E562" s="5" ph="1"/>
    </row>
    <row r="563" spans="5:5" ht="24">
      <c r="E563" s="5" ph="1"/>
    </row>
    <row r="564" spans="5:5" ht="24">
      <c r="E564" s="5" ph="1"/>
    </row>
    <row r="565" spans="5:5" ht="24">
      <c r="E565" s="5" ph="1"/>
    </row>
    <row r="566" spans="5:5" ht="24">
      <c r="E566" s="5" ph="1"/>
    </row>
    <row r="567" spans="5:5" ht="24">
      <c r="E567" s="5" ph="1"/>
    </row>
    <row r="568" spans="5:5" ht="24">
      <c r="E568" s="5" ph="1"/>
    </row>
    <row r="569" spans="5:5" ht="24">
      <c r="E569" s="5" ph="1"/>
    </row>
    <row r="570" spans="5:5" ht="24">
      <c r="E570" s="5" ph="1"/>
    </row>
    <row r="571" spans="5:5" ht="24">
      <c r="E571" s="5" ph="1"/>
    </row>
    <row r="573" spans="5:5" ht="24">
      <c r="E573" s="5" ph="1"/>
    </row>
    <row r="575" spans="5:5" ht="24">
      <c r="E575" s="5" ph="1"/>
    </row>
    <row r="576" spans="5:5" ht="24">
      <c r="E576" s="5" ph="1"/>
    </row>
    <row r="577" spans="5:5" ht="24">
      <c r="E577" s="5" ph="1"/>
    </row>
    <row r="578" spans="5:5" ht="24">
      <c r="E578" s="5" ph="1"/>
    </row>
    <row r="579" spans="5:5" ht="24">
      <c r="E579" s="5" ph="1"/>
    </row>
    <row r="580" spans="5:5" ht="24">
      <c r="E580" s="5" ph="1"/>
    </row>
    <row r="581" spans="5:5" ht="24">
      <c r="E581" s="5" ph="1"/>
    </row>
    <row r="582" spans="5:5" ht="24">
      <c r="E582" s="5" ph="1"/>
    </row>
    <row r="583" spans="5:5" ht="24">
      <c r="E583" s="5" ph="1"/>
    </row>
    <row r="584" spans="5:5" ht="24">
      <c r="E584" s="5" ph="1"/>
    </row>
    <row r="585" spans="5:5" ht="24">
      <c r="E585" s="5" ph="1"/>
    </row>
    <row r="586" spans="5:5" ht="24">
      <c r="E586" s="5" ph="1"/>
    </row>
    <row r="587" spans="5:5" ht="24">
      <c r="E587" s="5" ph="1"/>
    </row>
    <row r="588" spans="5:5" ht="24">
      <c r="E588" s="5" ph="1"/>
    </row>
    <row r="589" spans="5:5" ht="24">
      <c r="E589" s="5" ph="1"/>
    </row>
    <row r="591" spans="5:5" ht="24">
      <c r="E591" s="5" ph="1"/>
    </row>
    <row r="592" spans="5:5" ht="24">
      <c r="E592" s="5" ph="1"/>
    </row>
    <row r="593" spans="5:5" ht="24">
      <c r="E593" s="5" ph="1"/>
    </row>
    <row r="595" spans="5:5" ht="24">
      <c r="E595" s="5" ph="1"/>
    </row>
    <row r="596" spans="5:5" ht="24">
      <c r="E596" s="5" ph="1"/>
    </row>
    <row r="597" spans="5:5" ht="24">
      <c r="E597" s="5" ph="1"/>
    </row>
    <row r="598" spans="5:5" ht="24">
      <c r="E598" s="5" ph="1"/>
    </row>
    <row r="599" spans="5:5" ht="24">
      <c r="E599" s="5" ph="1"/>
    </row>
    <row r="600" spans="5:5" ht="24">
      <c r="E600" s="5" ph="1"/>
    </row>
    <row r="601" spans="5:5" ht="24">
      <c r="E601" s="5" ph="1"/>
    </row>
    <row r="602" spans="5:5" ht="24">
      <c r="E602" s="5" ph="1"/>
    </row>
    <row r="603" spans="5:5" ht="24">
      <c r="E603" s="5" ph="1"/>
    </row>
    <row r="604" spans="5:5" ht="24">
      <c r="E604" s="5" ph="1"/>
    </row>
    <row r="605" spans="5:5" ht="24">
      <c r="E605" s="5" ph="1"/>
    </row>
    <row r="606" spans="5:5" ht="24">
      <c r="E606" s="5" ph="1"/>
    </row>
    <row r="607" spans="5:5" ht="24">
      <c r="E607" s="5" ph="1"/>
    </row>
    <row r="608" spans="5:5" ht="24">
      <c r="E608" s="5" ph="1"/>
    </row>
    <row r="609" spans="5:5" ht="24">
      <c r="E609" s="5" ph="1"/>
    </row>
    <row r="610" spans="5:5" ht="24">
      <c r="E610" s="5" ph="1"/>
    </row>
    <row r="611" spans="5:5" ht="24">
      <c r="E611" s="5" ph="1"/>
    </row>
    <row r="612" spans="5:5" ht="24">
      <c r="E612" s="5" ph="1"/>
    </row>
    <row r="613" spans="5:5" ht="24">
      <c r="E613" s="5" ph="1"/>
    </row>
    <row r="614" spans="5:5" ht="24">
      <c r="E614" s="5" ph="1"/>
    </row>
    <row r="615" spans="5:5" ht="24">
      <c r="E615" s="5" ph="1"/>
    </row>
    <row r="616" spans="5:5" ht="24">
      <c r="E616" s="5" ph="1"/>
    </row>
    <row r="617" spans="5:5" ht="24">
      <c r="E617" s="5" ph="1"/>
    </row>
    <row r="618" spans="5:5" ht="24">
      <c r="E618" s="5" ph="1"/>
    </row>
    <row r="619" spans="5:5" ht="24">
      <c r="E619" s="5" ph="1"/>
    </row>
    <row r="620" spans="5:5" ht="24">
      <c r="E620" s="5" ph="1"/>
    </row>
    <row r="621" spans="5:5" ht="24">
      <c r="E621" s="5" ph="1"/>
    </row>
    <row r="622" spans="5:5" ht="24">
      <c r="E622" s="5" ph="1"/>
    </row>
    <row r="623" spans="5:5" ht="24">
      <c r="E623" s="5" ph="1"/>
    </row>
    <row r="624" spans="5:5" ht="24">
      <c r="E624" s="5" ph="1"/>
    </row>
    <row r="625" spans="5:5" ht="24">
      <c r="E625" s="5" ph="1"/>
    </row>
    <row r="626" spans="5:5" ht="24">
      <c r="E626" s="5" ph="1"/>
    </row>
    <row r="627" spans="5:5" ht="24">
      <c r="E627" s="5" ph="1"/>
    </row>
    <row r="628" spans="5:5" ht="24">
      <c r="E628" s="5" ph="1"/>
    </row>
    <row r="629" spans="5:5" ht="24">
      <c r="E629" s="5" ph="1"/>
    </row>
    <row r="630" spans="5:5" ht="24">
      <c r="E630" s="5" ph="1"/>
    </row>
    <row r="631" spans="5:5" ht="24">
      <c r="E631" s="5" ph="1"/>
    </row>
    <row r="632" spans="5:5" ht="24">
      <c r="E632" s="5" ph="1"/>
    </row>
    <row r="633" spans="5:5" ht="24">
      <c r="E633" s="5" ph="1"/>
    </row>
    <row r="634" spans="5:5" ht="24">
      <c r="E634" s="5" ph="1"/>
    </row>
    <row r="635" spans="5:5" ht="24">
      <c r="E635" s="5" ph="1"/>
    </row>
    <row r="636" spans="5:5" ht="24">
      <c r="E636" s="5" ph="1"/>
    </row>
    <row r="637" spans="5:5" ht="24">
      <c r="E637" s="5" ph="1"/>
    </row>
    <row r="638" spans="5:5" ht="24">
      <c r="E638" s="5" ph="1"/>
    </row>
    <row r="639" spans="5:5" ht="24">
      <c r="E639" s="5" ph="1"/>
    </row>
    <row r="640" spans="5:5" ht="24">
      <c r="E640" s="5" ph="1"/>
    </row>
    <row r="641" spans="5:5" ht="24">
      <c r="E641" s="5" ph="1"/>
    </row>
    <row r="642" spans="5:5" ht="24">
      <c r="E642" s="5" ph="1"/>
    </row>
    <row r="643" spans="5:5" ht="24">
      <c r="E643" s="5" ph="1"/>
    </row>
    <row r="644" spans="5:5" ht="24">
      <c r="E644" s="5" ph="1"/>
    </row>
    <row r="645" spans="5:5" ht="24">
      <c r="E645" s="5" ph="1"/>
    </row>
    <row r="646" spans="5:5" ht="24">
      <c r="E646" s="5" ph="1"/>
    </row>
    <row r="647" spans="5:5" ht="24">
      <c r="E647" s="5" ph="1"/>
    </row>
    <row r="648" spans="5:5" ht="24">
      <c r="E648" s="5" ph="1"/>
    </row>
    <row r="649" spans="5:5" ht="24">
      <c r="E649" s="5" ph="1"/>
    </row>
    <row r="650" spans="5:5" ht="24">
      <c r="E650" s="5" ph="1"/>
    </row>
  </sheetData>
  <mergeCells count="47">
    <mergeCell ref="F6:F7"/>
    <mergeCell ref="G6:G7"/>
    <mergeCell ref="B10:D10"/>
    <mergeCell ref="F137:J137"/>
    <mergeCell ref="C132:C133"/>
    <mergeCell ref="D132:E132"/>
    <mergeCell ref="F132:F133"/>
    <mergeCell ref="C137:C138"/>
    <mergeCell ref="D137:D138"/>
    <mergeCell ref="E137:E138"/>
    <mergeCell ref="E179:E180"/>
    <mergeCell ref="F179:K179"/>
    <mergeCell ref="D195:E195"/>
    <mergeCell ref="C186:E186"/>
    <mergeCell ref="D150:E150"/>
    <mergeCell ref="C174:C175"/>
    <mergeCell ref="D174:E174"/>
    <mergeCell ref="F174:F175"/>
    <mergeCell ref="C179:C180"/>
    <mergeCell ref="D179:D180"/>
    <mergeCell ref="C231:E231"/>
    <mergeCell ref="D241:E241"/>
    <mergeCell ref="C219:C220"/>
    <mergeCell ref="D219:E219"/>
    <mergeCell ref="F219:F220"/>
    <mergeCell ref="C224:C225"/>
    <mergeCell ref="D224:D225"/>
    <mergeCell ref="E224:E225"/>
    <mergeCell ref="F224:K224"/>
    <mergeCell ref="C277:E277"/>
    <mergeCell ref="D291:E291"/>
    <mergeCell ref="C265:C266"/>
    <mergeCell ref="D265:E265"/>
    <mergeCell ref="F265:F266"/>
    <mergeCell ref="C270:C271"/>
    <mergeCell ref="D270:D271"/>
    <mergeCell ref="E270:E271"/>
    <mergeCell ref="F270:K270"/>
    <mergeCell ref="C327:E327"/>
    <mergeCell ref="D341:E341"/>
    <mergeCell ref="C315:C316"/>
    <mergeCell ref="D315:E315"/>
    <mergeCell ref="F315:F316"/>
    <mergeCell ref="C320:C321"/>
    <mergeCell ref="D320:D321"/>
    <mergeCell ref="E320:E321"/>
    <mergeCell ref="F320:K320"/>
  </mergeCells>
  <phoneticPr fontId="3" type="noConversion"/>
  <pageMargins left="0.7" right="0.7" top="0.75" bottom="0.75" header="0.3" footer="0.3"/>
  <pageSetup paperSize="9" scale="38" orientation="landscape"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16">
    <tabColor theme="7" tint="0.59999389629810485"/>
  </sheetPr>
  <dimension ref="A1:S626"/>
  <sheetViews>
    <sheetView showGridLines="0" zoomScaleNormal="100" zoomScaleSheetLayoutView="85" workbookViewId="0">
      <selection activeCell="D58" sqref="D58"/>
    </sheetView>
  </sheetViews>
  <sheetFormatPr defaultRowHeight="13.5" outlineLevelRow="1"/>
  <cols>
    <col min="1" max="1" width="3.125" style="5" customWidth="1"/>
    <col min="2" max="2" width="16.125" style="7" customWidth="1"/>
    <col min="3" max="3" width="18.125" style="5" customWidth="1"/>
    <col min="4" max="4" width="16" style="5" customWidth="1"/>
    <col min="5" max="5" width="17.625" style="5" customWidth="1"/>
    <col min="6" max="6" width="18" style="5" customWidth="1"/>
    <col min="7" max="7" width="18.625" style="5" customWidth="1"/>
    <col min="8" max="8" width="19.375" style="5" customWidth="1"/>
    <col min="9" max="9" width="19.125" style="5" customWidth="1"/>
    <col min="10" max="10" width="23" style="5" customWidth="1"/>
    <col min="11" max="11" width="19" style="5" customWidth="1"/>
    <col min="12" max="12" width="20" style="5" customWidth="1"/>
    <col min="13" max="14" width="16.625" style="5" bestFit="1" customWidth="1"/>
    <col min="15" max="15" width="17.625" style="5" bestFit="1" customWidth="1"/>
    <col min="16" max="16" width="16.625" style="5" bestFit="1" customWidth="1"/>
    <col min="17" max="17" width="21.5" style="5" bestFit="1" customWidth="1"/>
    <col min="18" max="18" width="11.5" style="6" bestFit="1" customWidth="1"/>
    <col min="19" max="19" width="11.125" style="5" bestFit="1" customWidth="1"/>
    <col min="20" max="20" width="8.5" style="5" bestFit="1" customWidth="1"/>
    <col min="21" max="257" width="9" style="5"/>
    <col min="258" max="258" width="3.125" style="5" customWidth="1"/>
    <col min="259" max="259" width="7.5" style="5" customWidth="1"/>
    <col min="260" max="260" width="22" style="5" bestFit="1" customWidth="1"/>
    <col min="261" max="261" width="18.625" style="5" customWidth="1"/>
    <col min="262" max="262" width="17" style="5" customWidth="1"/>
    <col min="263" max="263" width="18.125" style="5" customWidth="1"/>
    <col min="264" max="264" width="14.625" style="5" customWidth="1"/>
    <col min="265" max="265" width="18" style="5" customWidth="1"/>
    <col min="266" max="267" width="19.125" style="5" customWidth="1"/>
    <col min="268" max="268" width="17.125" style="5" bestFit="1" customWidth="1"/>
    <col min="269" max="269" width="12.875" style="5" bestFit="1" customWidth="1"/>
    <col min="270" max="270" width="7.5" style="5" bestFit="1" customWidth="1"/>
    <col min="271" max="271" width="14.375" style="5" customWidth="1"/>
    <col min="272" max="272" width="17" style="5" customWidth="1"/>
    <col min="273" max="273" width="15.125" style="5" customWidth="1"/>
    <col min="274" max="274" width="9" style="5" bestFit="1" customWidth="1"/>
    <col min="275" max="275" width="9.125" style="5" bestFit="1" customWidth="1"/>
    <col min="276" max="513" width="9" style="5"/>
    <col min="514" max="514" width="3.125" style="5" customWidth="1"/>
    <col min="515" max="515" width="7.5" style="5" customWidth="1"/>
    <col min="516" max="516" width="22" style="5" bestFit="1" customWidth="1"/>
    <col min="517" max="517" width="18.625" style="5" customWidth="1"/>
    <col min="518" max="518" width="17" style="5" customWidth="1"/>
    <col min="519" max="519" width="18.125" style="5" customWidth="1"/>
    <col min="520" max="520" width="14.625" style="5" customWidth="1"/>
    <col min="521" max="521" width="18" style="5" customWidth="1"/>
    <col min="522" max="523" width="19.125" style="5" customWidth="1"/>
    <col min="524" max="524" width="17.125" style="5" bestFit="1" customWidth="1"/>
    <col min="525" max="525" width="12.875" style="5" bestFit="1" customWidth="1"/>
    <col min="526" max="526" width="7.5" style="5" bestFit="1" customWidth="1"/>
    <col min="527" max="527" width="14.375" style="5" customWidth="1"/>
    <col min="528" max="528" width="17" style="5" customWidth="1"/>
    <col min="529" max="529" width="15.125" style="5" customWidth="1"/>
    <col min="530" max="530" width="9" style="5" bestFit="1" customWidth="1"/>
    <col min="531" max="531" width="9.125" style="5" bestFit="1" customWidth="1"/>
    <col min="532" max="769" width="9" style="5"/>
    <col min="770" max="770" width="3.125" style="5" customWidth="1"/>
    <col min="771" max="771" width="7.5" style="5" customWidth="1"/>
    <col min="772" max="772" width="22" style="5" bestFit="1" customWidth="1"/>
    <col min="773" max="773" width="18.625" style="5" customWidth="1"/>
    <col min="774" max="774" width="17" style="5" customWidth="1"/>
    <col min="775" max="775" width="18.125" style="5" customWidth="1"/>
    <col min="776" max="776" width="14.625" style="5" customWidth="1"/>
    <col min="777" max="777" width="18" style="5" customWidth="1"/>
    <col min="778" max="779" width="19.125" style="5" customWidth="1"/>
    <col min="780" max="780" width="17.125" style="5" bestFit="1" customWidth="1"/>
    <col min="781" max="781" width="12.875" style="5" bestFit="1" customWidth="1"/>
    <col min="782" max="782" width="7.5" style="5" bestFit="1" customWidth="1"/>
    <col min="783" max="783" width="14.375" style="5" customWidth="1"/>
    <col min="784" max="784" width="17" style="5" customWidth="1"/>
    <col min="785" max="785" width="15.125" style="5" customWidth="1"/>
    <col min="786" max="786" width="9" style="5" bestFit="1" customWidth="1"/>
    <col min="787" max="787" width="9.125" style="5" bestFit="1" customWidth="1"/>
    <col min="788" max="1025" width="9" style="5"/>
    <col min="1026" max="1026" width="3.125" style="5" customWidth="1"/>
    <col min="1027" max="1027" width="7.5" style="5" customWidth="1"/>
    <col min="1028" max="1028" width="22" style="5" bestFit="1" customWidth="1"/>
    <col min="1029" max="1029" width="18.625" style="5" customWidth="1"/>
    <col min="1030" max="1030" width="17" style="5" customWidth="1"/>
    <col min="1031" max="1031" width="18.125" style="5" customWidth="1"/>
    <col min="1032" max="1032" width="14.625" style="5" customWidth="1"/>
    <col min="1033" max="1033" width="18" style="5" customWidth="1"/>
    <col min="1034" max="1035" width="19.125" style="5" customWidth="1"/>
    <col min="1036" max="1036" width="17.125" style="5" bestFit="1" customWidth="1"/>
    <col min="1037" max="1037" width="12.875" style="5" bestFit="1" customWidth="1"/>
    <col min="1038" max="1038" width="7.5" style="5" bestFit="1" customWidth="1"/>
    <col min="1039" max="1039" width="14.375" style="5" customWidth="1"/>
    <col min="1040" max="1040" width="17" style="5" customWidth="1"/>
    <col min="1041" max="1041" width="15.125" style="5" customWidth="1"/>
    <col min="1042" max="1042" width="9" style="5" bestFit="1" customWidth="1"/>
    <col min="1043" max="1043" width="9.125" style="5" bestFit="1" customWidth="1"/>
    <col min="1044" max="1281" width="9" style="5"/>
    <col min="1282" max="1282" width="3.125" style="5" customWidth="1"/>
    <col min="1283" max="1283" width="7.5" style="5" customWidth="1"/>
    <col min="1284" max="1284" width="22" style="5" bestFit="1" customWidth="1"/>
    <col min="1285" max="1285" width="18.625" style="5" customWidth="1"/>
    <col min="1286" max="1286" width="17" style="5" customWidth="1"/>
    <col min="1287" max="1287" width="18.125" style="5" customWidth="1"/>
    <col min="1288" max="1288" width="14.625" style="5" customWidth="1"/>
    <col min="1289" max="1289" width="18" style="5" customWidth="1"/>
    <col min="1290" max="1291" width="19.125" style="5" customWidth="1"/>
    <col min="1292" max="1292" width="17.125" style="5" bestFit="1" customWidth="1"/>
    <col min="1293" max="1293" width="12.875" style="5" bestFit="1" customWidth="1"/>
    <col min="1294" max="1294" width="7.5" style="5" bestFit="1" customWidth="1"/>
    <col min="1295" max="1295" width="14.375" style="5" customWidth="1"/>
    <col min="1296" max="1296" width="17" style="5" customWidth="1"/>
    <col min="1297" max="1297" width="15.125" style="5" customWidth="1"/>
    <col min="1298" max="1298" width="9" style="5" bestFit="1" customWidth="1"/>
    <col min="1299" max="1299" width="9.125" style="5" bestFit="1" customWidth="1"/>
    <col min="1300" max="1537" width="9" style="5"/>
    <col min="1538" max="1538" width="3.125" style="5" customWidth="1"/>
    <col min="1539" max="1539" width="7.5" style="5" customWidth="1"/>
    <col min="1540" max="1540" width="22" style="5" bestFit="1" customWidth="1"/>
    <col min="1541" max="1541" width="18.625" style="5" customWidth="1"/>
    <col min="1542" max="1542" width="17" style="5" customWidth="1"/>
    <col min="1543" max="1543" width="18.125" style="5" customWidth="1"/>
    <col min="1544" max="1544" width="14.625" style="5" customWidth="1"/>
    <col min="1545" max="1545" width="18" style="5" customWidth="1"/>
    <col min="1546" max="1547" width="19.125" style="5" customWidth="1"/>
    <col min="1548" max="1548" width="17.125" style="5" bestFit="1" customWidth="1"/>
    <col min="1549" max="1549" width="12.875" style="5" bestFit="1" customWidth="1"/>
    <col min="1550" max="1550" width="7.5" style="5" bestFit="1" customWidth="1"/>
    <col min="1551" max="1551" width="14.375" style="5" customWidth="1"/>
    <col min="1552" max="1552" width="17" style="5" customWidth="1"/>
    <col min="1553" max="1553" width="15.125" style="5" customWidth="1"/>
    <col min="1554" max="1554" width="9" style="5" bestFit="1" customWidth="1"/>
    <col min="1555" max="1555" width="9.125" style="5" bestFit="1" customWidth="1"/>
    <col min="1556" max="1793" width="9" style="5"/>
    <col min="1794" max="1794" width="3.125" style="5" customWidth="1"/>
    <col min="1795" max="1795" width="7.5" style="5" customWidth="1"/>
    <col min="1796" max="1796" width="22" style="5" bestFit="1" customWidth="1"/>
    <col min="1797" max="1797" width="18.625" style="5" customWidth="1"/>
    <col min="1798" max="1798" width="17" style="5" customWidth="1"/>
    <col min="1799" max="1799" width="18.125" style="5" customWidth="1"/>
    <col min="1800" max="1800" width="14.625" style="5" customWidth="1"/>
    <col min="1801" max="1801" width="18" style="5" customWidth="1"/>
    <col min="1802" max="1803" width="19.125" style="5" customWidth="1"/>
    <col min="1804" max="1804" width="17.125" style="5" bestFit="1" customWidth="1"/>
    <col min="1805" max="1805" width="12.875" style="5" bestFit="1" customWidth="1"/>
    <col min="1806" max="1806" width="7.5" style="5" bestFit="1" customWidth="1"/>
    <col min="1807" max="1807" width="14.375" style="5" customWidth="1"/>
    <col min="1808" max="1808" width="17" style="5" customWidth="1"/>
    <col min="1809" max="1809" width="15.125" style="5" customWidth="1"/>
    <col min="1810" max="1810" width="9" style="5" bestFit="1" customWidth="1"/>
    <col min="1811" max="1811" width="9.125" style="5" bestFit="1" customWidth="1"/>
    <col min="1812" max="2049" width="9" style="5"/>
    <col min="2050" max="2050" width="3.125" style="5" customWidth="1"/>
    <col min="2051" max="2051" width="7.5" style="5" customWidth="1"/>
    <col min="2052" max="2052" width="22" style="5" bestFit="1" customWidth="1"/>
    <col min="2053" max="2053" width="18.625" style="5" customWidth="1"/>
    <col min="2054" max="2054" width="17" style="5" customWidth="1"/>
    <col min="2055" max="2055" width="18.125" style="5" customWidth="1"/>
    <col min="2056" max="2056" width="14.625" style="5" customWidth="1"/>
    <col min="2057" max="2057" width="18" style="5" customWidth="1"/>
    <col min="2058" max="2059" width="19.125" style="5" customWidth="1"/>
    <col min="2060" max="2060" width="17.125" style="5" bestFit="1" customWidth="1"/>
    <col min="2061" max="2061" width="12.875" style="5" bestFit="1" customWidth="1"/>
    <col min="2062" max="2062" width="7.5" style="5" bestFit="1" customWidth="1"/>
    <col min="2063" max="2063" width="14.375" style="5" customWidth="1"/>
    <col min="2064" max="2064" width="17" style="5" customWidth="1"/>
    <col min="2065" max="2065" width="15.125" style="5" customWidth="1"/>
    <col min="2066" max="2066" width="9" style="5" bestFit="1" customWidth="1"/>
    <col min="2067" max="2067" width="9.125" style="5" bestFit="1" customWidth="1"/>
    <col min="2068" max="2305" width="9" style="5"/>
    <col min="2306" max="2306" width="3.125" style="5" customWidth="1"/>
    <col min="2307" max="2307" width="7.5" style="5" customWidth="1"/>
    <col min="2308" max="2308" width="22" style="5" bestFit="1" customWidth="1"/>
    <col min="2309" max="2309" width="18.625" style="5" customWidth="1"/>
    <col min="2310" max="2310" width="17" style="5" customWidth="1"/>
    <col min="2311" max="2311" width="18.125" style="5" customWidth="1"/>
    <col min="2312" max="2312" width="14.625" style="5" customWidth="1"/>
    <col min="2313" max="2313" width="18" style="5" customWidth="1"/>
    <col min="2314" max="2315" width="19.125" style="5" customWidth="1"/>
    <col min="2316" max="2316" width="17.125" style="5" bestFit="1" customWidth="1"/>
    <col min="2317" max="2317" width="12.875" style="5" bestFit="1" customWidth="1"/>
    <col min="2318" max="2318" width="7.5" style="5" bestFit="1" customWidth="1"/>
    <col min="2319" max="2319" width="14.375" style="5" customWidth="1"/>
    <col min="2320" max="2320" width="17" style="5" customWidth="1"/>
    <col min="2321" max="2321" width="15.125" style="5" customWidth="1"/>
    <col min="2322" max="2322" width="9" style="5" bestFit="1" customWidth="1"/>
    <col min="2323" max="2323" width="9.125" style="5" bestFit="1" customWidth="1"/>
    <col min="2324" max="2561" width="9" style="5"/>
    <col min="2562" max="2562" width="3.125" style="5" customWidth="1"/>
    <col min="2563" max="2563" width="7.5" style="5" customWidth="1"/>
    <col min="2564" max="2564" width="22" style="5" bestFit="1" customWidth="1"/>
    <col min="2565" max="2565" width="18.625" style="5" customWidth="1"/>
    <col min="2566" max="2566" width="17" style="5" customWidth="1"/>
    <col min="2567" max="2567" width="18.125" style="5" customWidth="1"/>
    <col min="2568" max="2568" width="14.625" style="5" customWidth="1"/>
    <col min="2569" max="2569" width="18" style="5" customWidth="1"/>
    <col min="2570" max="2571" width="19.125" style="5" customWidth="1"/>
    <col min="2572" max="2572" width="17.125" style="5" bestFit="1" customWidth="1"/>
    <col min="2573" max="2573" width="12.875" style="5" bestFit="1" customWidth="1"/>
    <col min="2574" max="2574" width="7.5" style="5" bestFit="1" customWidth="1"/>
    <col min="2575" max="2575" width="14.375" style="5" customWidth="1"/>
    <col min="2576" max="2576" width="17" style="5" customWidth="1"/>
    <col min="2577" max="2577" width="15.125" style="5" customWidth="1"/>
    <col min="2578" max="2578" width="9" style="5" bestFit="1" customWidth="1"/>
    <col min="2579" max="2579" width="9.125" style="5" bestFit="1" customWidth="1"/>
    <col min="2580" max="2817" width="9" style="5"/>
    <col min="2818" max="2818" width="3.125" style="5" customWidth="1"/>
    <col min="2819" max="2819" width="7.5" style="5" customWidth="1"/>
    <col min="2820" max="2820" width="22" style="5" bestFit="1" customWidth="1"/>
    <col min="2821" max="2821" width="18.625" style="5" customWidth="1"/>
    <col min="2822" max="2822" width="17" style="5" customWidth="1"/>
    <col min="2823" max="2823" width="18.125" style="5" customWidth="1"/>
    <col min="2824" max="2824" width="14.625" style="5" customWidth="1"/>
    <col min="2825" max="2825" width="18" style="5" customWidth="1"/>
    <col min="2826" max="2827" width="19.125" style="5" customWidth="1"/>
    <col min="2828" max="2828" width="17.125" style="5" bestFit="1" customWidth="1"/>
    <col min="2829" max="2829" width="12.875" style="5" bestFit="1" customWidth="1"/>
    <col min="2830" max="2830" width="7.5" style="5" bestFit="1" customWidth="1"/>
    <col min="2831" max="2831" width="14.375" style="5" customWidth="1"/>
    <col min="2832" max="2832" width="17" style="5" customWidth="1"/>
    <col min="2833" max="2833" width="15.125" style="5" customWidth="1"/>
    <col min="2834" max="2834" width="9" style="5" bestFit="1" customWidth="1"/>
    <col min="2835" max="2835" width="9.125" style="5" bestFit="1" customWidth="1"/>
    <col min="2836" max="3073" width="9" style="5"/>
    <col min="3074" max="3074" width="3.125" style="5" customWidth="1"/>
    <col min="3075" max="3075" width="7.5" style="5" customWidth="1"/>
    <col min="3076" max="3076" width="22" style="5" bestFit="1" customWidth="1"/>
    <col min="3077" max="3077" width="18.625" style="5" customWidth="1"/>
    <col min="3078" max="3078" width="17" style="5" customWidth="1"/>
    <col min="3079" max="3079" width="18.125" style="5" customWidth="1"/>
    <col min="3080" max="3080" width="14.625" style="5" customWidth="1"/>
    <col min="3081" max="3081" width="18" style="5" customWidth="1"/>
    <col min="3082" max="3083" width="19.125" style="5" customWidth="1"/>
    <col min="3084" max="3084" width="17.125" style="5" bestFit="1" customWidth="1"/>
    <col min="3085" max="3085" width="12.875" style="5" bestFit="1" customWidth="1"/>
    <col min="3086" max="3086" width="7.5" style="5" bestFit="1" customWidth="1"/>
    <col min="3087" max="3087" width="14.375" style="5" customWidth="1"/>
    <col min="3088" max="3088" width="17" style="5" customWidth="1"/>
    <col min="3089" max="3089" width="15.125" style="5" customWidth="1"/>
    <col min="3090" max="3090" width="9" style="5" bestFit="1" customWidth="1"/>
    <col min="3091" max="3091" width="9.125" style="5" bestFit="1" customWidth="1"/>
    <col min="3092" max="3329" width="9" style="5"/>
    <col min="3330" max="3330" width="3.125" style="5" customWidth="1"/>
    <col min="3331" max="3331" width="7.5" style="5" customWidth="1"/>
    <col min="3332" max="3332" width="22" style="5" bestFit="1" customWidth="1"/>
    <col min="3333" max="3333" width="18.625" style="5" customWidth="1"/>
    <col min="3334" max="3334" width="17" style="5" customWidth="1"/>
    <col min="3335" max="3335" width="18.125" style="5" customWidth="1"/>
    <col min="3336" max="3336" width="14.625" style="5" customWidth="1"/>
    <col min="3337" max="3337" width="18" style="5" customWidth="1"/>
    <col min="3338" max="3339" width="19.125" style="5" customWidth="1"/>
    <col min="3340" max="3340" width="17.125" style="5" bestFit="1" customWidth="1"/>
    <col min="3341" max="3341" width="12.875" style="5" bestFit="1" customWidth="1"/>
    <col min="3342" max="3342" width="7.5" style="5" bestFit="1" customWidth="1"/>
    <col min="3343" max="3343" width="14.375" style="5" customWidth="1"/>
    <col min="3344" max="3344" width="17" style="5" customWidth="1"/>
    <col min="3345" max="3345" width="15.125" style="5" customWidth="1"/>
    <col min="3346" max="3346" width="9" style="5" bestFit="1" customWidth="1"/>
    <col min="3347" max="3347" width="9.125" style="5" bestFit="1" customWidth="1"/>
    <col min="3348" max="3585" width="9" style="5"/>
    <col min="3586" max="3586" width="3.125" style="5" customWidth="1"/>
    <col min="3587" max="3587" width="7.5" style="5" customWidth="1"/>
    <col min="3588" max="3588" width="22" style="5" bestFit="1" customWidth="1"/>
    <col min="3589" max="3589" width="18.625" style="5" customWidth="1"/>
    <col min="3590" max="3590" width="17" style="5" customWidth="1"/>
    <col min="3591" max="3591" width="18.125" style="5" customWidth="1"/>
    <col min="3592" max="3592" width="14.625" style="5" customWidth="1"/>
    <col min="3593" max="3593" width="18" style="5" customWidth="1"/>
    <col min="3594" max="3595" width="19.125" style="5" customWidth="1"/>
    <col min="3596" max="3596" width="17.125" style="5" bestFit="1" customWidth="1"/>
    <col min="3597" max="3597" width="12.875" style="5" bestFit="1" customWidth="1"/>
    <col min="3598" max="3598" width="7.5" style="5" bestFit="1" customWidth="1"/>
    <col min="3599" max="3599" width="14.375" style="5" customWidth="1"/>
    <col min="3600" max="3600" width="17" style="5" customWidth="1"/>
    <col min="3601" max="3601" width="15.125" style="5" customWidth="1"/>
    <col min="3602" max="3602" width="9" style="5" bestFit="1" customWidth="1"/>
    <col min="3603" max="3603" width="9.125" style="5" bestFit="1" customWidth="1"/>
    <col min="3604" max="3841" width="9" style="5"/>
    <col min="3842" max="3842" width="3.125" style="5" customWidth="1"/>
    <col min="3843" max="3843" width="7.5" style="5" customWidth="1"/>
    <col min="3844" max="3844" width="22" style="5" bestFit="1" customWidth="1"/>
    <col min="3845" max="3845" width="18.625" style="5" customWidth="1"/>
    <col min="3846" max="3846" width="17" style="5" customWidth="1"/>
    <col min="3847" max="3847" width="18.125" style="5" customWidth="1"/>
    <col min="3848" max="3848" width="14.625" style="5" customWidth="1"/>
    <col min="3849" max="3849" width="18" style="5" customWidth="1"/>
    <col min="3850" max="3851" width="19.125" style="5" customWidth="1"/>
    <col min="3852" max="3852" width="17.125" style="5" bestFit="1" customWidth="1"/>
    <col min="3853" max="3853" width="12.875" style="5" bestFit="1" customWidth="1"/>
    <col min="3854" max="3854" width="7.5" style="5" bestFit="1" customWidth="1"/>
    <col min="3855" max="3855" width="14.375" style="5" customWidth="1"/>
    <col min="3856" max="3856" width="17" style="5" customWidth="1"/>
    <col min="3857" max="3857" width="15.125" style="5" customWidth="1"/>
    <col min="3858" max="3858" width="9" style="5" bestFit="1" customWidth="1"/>
    <col min="3859" max="3859" width="9.125" style="5" bestFit="1" customWidth="1"/>
    <col min="3860" max="4097" width="9" style="5"/>
    <col min="4098" max="4098" width="3.125" style="5" customWidth="1"/>
    <col min="4099" max="4099" width="7.5" style="5" customWidth="1"/>
    <col min="4100" max="4100" width="22" style="5" bestFit="1" customWidth="1"/>
    <col min="4101" max="4101" width="18.625" style="5" customWidth="1"/>
    <col min="4102" max="4102" width="17" style="5" customWidth="1"/>
    <col min="4103" max="4103" width="18.125" style="5" customWidth="1"/>
    <col min="4104" max="4104" width="14.625" style="5" customWidth="1"/>
    <col min="4105" max="4105" width="18" style="5" customWidth="1"/>
    <col min="4106" max="4107" width="19.125" style="5" customWidth="1"/>
    <col min="4108" max="4108" width="17.125" style="5" bestFit="1" customWidth="1"/>
    <col min="4109" max="4109" width="12.875" style="5" bestFit="1" customWidth="1"/>
    <col min="4110" max="4110" width="7.5" style="5" bestFit="1" customWidth="1"/>
    <col min="4111" max="4111" width="14.375" style="5" customWidth="1"/>
    <col min="4112" max="4112" width="17" style="5" customWidth="1"/>
    <col min="4113" max="4113" width="15.125" style="5" customWidth="1"/>
    <col min="4114" max="4114" width="9" style="5" bestFit="1" customWidth="1"/>
    <col min="4115" max="4115" width="9.125" style="5" bestFit="1" customWidth="1"/>
    <col min="4116" max="4353" width="9" style="5"/>
    <col min="4354" max="4354" width="3.125" style="5" customWidth="1"/>
    <col min="4355" max="4355" width="7.5" style="5" customWidth="1"/>
    <col min="4356" max="4356" width="22" style="5" bestFit="1" customWidth="1"/>
    <col min="4357" max="4357" width="18.625" style="5" customWidth="1"/>
    <col min="4358" max="4358" width="17" style="5" customWidth="1"/>
    <col min="4359" max="4359" width="18.125" style="5" customWidth="1"/>
    <col min="4360" max="4360" width="14.625" style="5" customWidth="1"/>
    <col min="4361" max="4361" width="18" style="5" customWidth="1"/>
    <col min="4362" max="4363" width="19.125" style="5" customWidth="1"/>
    <col min="4364" max="4364" width="17.125" style="5" bestFit="1" customWidth="1"/>
    <col min="4365" max="4365" width="12.875" style="5" bestFit="1" customWidth="1"/>
    <col min="4366" max="4366" width="7.5" style="5" bestFit="1" customWidth="1"/>
    <col min="4367" max="4367" width="14.375" style="5" customWidth="1"/>
    <col min="4368" max="4368" width="17" style="5" customWidth="1"/>
    <col min="4369" max="4369" width="15.125" style="5" customWidth="1"/>
    <col min="4370" max="4370" width="9" style="5" bestFit="1" customWidth="1"/>
    <col min="4371" max="4371" width="9.125" style="5" bestFit="1" customWidth="1"/>
    <col min="4372" max="4609" width="9" style="5"/>
    <col min="4610" max="4610" width="3.125" style="5" customWidth="1"/>
    <col min="4611" max="4611" width="7.5" style="5" customWidth="1"/>
    <col min="4612" max="4612" width="22" style="5" bestFit="1" customWidth="1"/>
    <col min="4613" max="4613" width="18.625" style="5" customWidth="1"/>
    <col min="4614" max="4614" width="17" style="5" customWidth="1"/>
    <col min="4615" max="4615" width="18.125" style="5" customWidth="1"/>
    <col min="4616" max="4616" width="14.625" style="5" customWidth="1"/>
    <col min="4617" max="4617" width="18" style="5" customWidth="1"/>
    <col min="4618" max="4619" width="19.125" style="5" customWidth="1"/>
    <col min="4620" max="4620" width="17.125" style="5" bestFit="1" customWidth="1"/>
    <col min="4621" max="4621" width="12.875" style="5" bestFit="1" customWidth="1"/>
    <col min="4622" max="4622" width="7.5" style="5" bestFit="1" customWidth="1"/>
    <col min="4623" max="4623" width="14.375" style="5" customWidth="1"/>
    <col min="4624" max="4624" width="17" style="5" customWidth="1"/>
    <col min="4625" max="4625" width="15.125" style="5" customWidth="1"/>
    <col min="4626" max="4626" width="9" style="5" bestFit="1" customWidth="1"/>
    <col min="4627" max="4627" width="9.125" style="5" bestFit="1" customWidth="1"/>
    <col min="4628" max="4865" width="9" style="5"/>
    <col min="4866" max="4866" width="3.125" style="5" customWidth="1"/>
    <col min="4867" max="4867" width="7.5" style="5" customWidth="1"/>
    <col min="4868" max="4868" width="22" style="5" bestFit="1" customWidth="1"/>
    <col min="4869" max="4869" width="18.625" style="5" customWidth="1"/>
    <col min="4870" max="4870" width="17" style="5" customWidth="1"/>
    <col min="4871" max="4871" width="18.125" style="5" customWidth="1"/>
    <col min="4872" max="4872" width="14.625" style="5" customWidth="1"/>
    <col min="4873" max="4873" width="18" style="5" customWidth="1"/>
    <col min="4874" max="4875" width="19.125" style="5" customWidth="1"/>
    <col min="4876" max="4876" width="17.125" style="5" bestFit="1" customWidth="1"/>
    <col min="4877" max="4877" width="12.875" style="5" bestFit="1" customWidth="1"/>
    <col min="4878" max="4878" width="7.5" style="5" bestFit="1" customWidth="1"/>
    <col min="4879" max="4879" width="14.375" style="5" customWidth="1"/>
    <col min="4880" max="4880" width="17" style="5" customWidth="1"/>
    <col min="4881" max="4881" width="15.125" style="5" customWidth="1"/>
    <col min="4882" max="4882" width="9" style="5" bestFit="1" customWidth="1"/>
    <col min="4883" max="4883" width="9.125" style="5" bestFit="1" customWidth="1"/>
    <col min="4884" max="5121" width="9" style="5"/>
    <col min="5122" max="5122" width="3.125" style="5" customWidth="1"/>
    <col min="5123" max="5123" width="7.5" style="5" customWidth="1"/>
    <col min="5124" max="5124" width="22" style="5" bestFit="1" customWidth="1"/>
    <col min="5125" max="5125" width="18.625" style="5" customWidth="1"/>
    <col min="5126" max="5126" width="17" style="5" customWidth="1"/>
    <col min="5127" max="5127" width="18.125" style="5" customWidth="1"/>
    <col min="5128" max="5128" width="14.625" style="5" customWidth="1"/>
    <col min="5129" max="5129" width="18" style="5" customWidth="1"/>
    <col min="5130" max="5131" width="19.125" style="5" customWidth="1"/>
    <col min="5132" max="5132" width="17.125" style="5" bestFit="1" customWidth="1"/>
    <col min="5133" max="5133" width="12.875" style="5" bestFit="1" customWidth="1"/>
    <col min="5134" max="5134" width="7.5" style="5" bestFit="1" customWidth="1"/>
    <col min="5135" max="5135" width="14.375" style="5" customWidth="1"/>
    <col min="5136" max="5136" width="17" style="5" customWidth="1"/>
    <col min="5137" max="5137" width="15.125" style="5" customWidth="1"/>
    <col min="5138" max="5138" width="9" style="5" bestFit="1" customWidth="1"/>
    <col min="5139" max="5139" width="9.125" style="5" bestFit="1" customWidth="1"/>
    <col min="5140" max="5377" width="9" style="5"/>
    <col min="5378" max="5378" width="3.125" style="5" customWidth="1"/>
    <col min="5379" max="5379" width="7.5" style="5" customWidth="1"/>
    <col min="5380" max="5380" width="22" style="5" bestFit="1" customWidth="1"/>
    <col min="5381" max="5381" width="18.625" style="5" customWidth="1"/>
    <col min="5382" max="5382" width="17" style="5" customWidth="1"/>
    <col min="5383" max="5383" width="18.125" style="5" customWidth="1"/>
    <col min="5384" max="5384" width="14.625" style="5" customWidth="1"/>
    <col min="5385" max="5385" width="18" style="5" customWidth="1"/>
    <col min="5386" max="5387" width="19.125" style="5" customWidth="1"/>
    <col min="5388" max="5388" width="17.125" style="5" bestFit="1" customWidth="1"/>
    <col min="5389" max="5389" width="12.875" style="5" bestFit="1" customWidth="1"/>
    <col min="5390" max="5390" width="7.5" style="5" bestFit="1" customWidth="1"/>
    <col min="5391" max="5391" width="14.375" style="5" customWidth="1"/>
    <col min="5392" max="5392" width="17" style="5" customWidth="1"/>
    <col min="5393" max="5393" width="15.125" style="5" customWidth="1"/>
    <col min="5394" max="5394" width="9" style="5" bestFit="1" customWidth="1"/>
    <col min="5395" max="5395" width="9.125" style="5" bestFit="1" customWidth="1"/>
    <col min="5396" max="5633" width="9" style="5"/>
    <col min="5634" max="5634" width="3.125" style="5" customWidth="1"/>
    <col min="5635" max="5635" width="7.5" style="5" customWidth="1"/>
    <col min="5636" max="5636" width="22" style="5" bestFit="1" customWidth="1"/>
    <col min="5637" max="5637" width="18.625" style="5" customWidth="1"/>
    <col min="5638" max="5638" width="17" style="5" customWidth="1"/>
    <col min="5639" max="5639" width="18.125" style="5" customWidth="1"/>
    <col min="5640" max="5640" width="14.625" style="5" customWidth="1"/>
    <col min="5641" max="5641" width="18" style="5" customWidth="1"/>
    <col min="5642" max="5643" width="19.125" style="5" customWidth="1"/>
    <col min="5644" max="5644" width="17.125" style="5" bestFit="1" customWidth="1"/>
    <col min="5645" max="5645" width="12.875" style="5" bestFit="1" customWidth="1"/>
    <col min="5646" max="5646" width="7.5" style="5" bestFit="1" customWidth="1"/>
    <col min="5647" max="5647" width="14.375" style="5" customWidth="1"/>
    <col min="5648" max="5648" width="17" style="5" customWidth="1"/>
    <col min="5649" max="5649" width="15.125" style="5" customWidth="1"/>
    <col min="5650" max="5650" width="9" style="5" bestFit="1" customWidth="1"/>
    <col min="5651" max="5651" width="9.125" style="5" bestFit="1" customWidth="1"/>
    <col min="5652" max="5889" width="9" style="5"/>
    <col min="5890" max="5890" width="3.125" style="5" customWidth="1"/>
    <col min="5891" max="5891" width="7.5" style="5" customWidth="1"/>
    <col min="5892" max="5892" width="22" style="5" bestFit="1" customWidth="1"/>
    <col min="5893" max="5893" width="18.625" style="5" customWidth="1"/>
    <col min="5894" max="5894" width="17" style="5" customWidth="1"/>
    <col min="5895" max="5895" width="18.125" style="5" customWidth="1"/>
    <col min="5896" max="5896" width="14.625" style="5" customWidth="1"/>
    <col min="5897" max="5897" width="18" style="5" customWidth="1"/>
    <col min="5898" max="5899" width="19.125" style="5" customWidth="1"/>
    <col min="5900" max="5900" width="17.125" style="5" bestFit="1" customWidth="1"/>
    <col min="5901" max="5901" width="12.875" style="5" bestFit="1" customWidth="1"/>
    <col min="5902" max="5902" width="7.5" style="5" bestFit="1" customWidth="1"/>
    <col min="5903" max="5903" width="14.375" style="5" customWidth="1"/>
    <col min="5904" max="5904" width="17" style="5" customWidth="1"/>
    <col min="5905" max="5905" width="15.125" style="5" customWidth="1"/>
    <col min="5906" max="5906" width="9" style="5" bestFit="1" customWidth="1"/>
    <col min="5907" max="5907" width="9.125" style="5" bestFit="1" customWidth="1"/>
    <col min="5908" max="6145" width="9" style="5"/>
    <col min="6146" max="6146" width="3.125" style="5" customWidth="1"/>
    <col min="6147" max="6147" width="7.5" style="5" customWidth="1"/>
    <col min="6148" max="6148" width="22" style="5" bestFit="1" customWidth="1"/>
    <col min="6149" max="6149" width="18.625" style="5" customWidth="1"/>
    <col min="6150" max="6150" width="17" style="5" customWidth="1"/>
    <col min="6151" max="6151" width="18.125" style="5" customWidth="1"/>
    <col min="6152" max="6152" width="14.625" style="5" customWidth="1"/>
    <col min="6153" max="6153" width="18" style="5" customWidth="1"/>
    <col min="6154" max="6155" width="19.125" style="5" customWidth="1"/>
    <col min="6156" max="6156" width="17.125" style="5" bestFit="1" customWidth="1"/>
    <col min="6157" max="6157" width="12.875" style="5" bestFit="1" customWidth="1"/>
    <col min="6158" max="6158" width="7.5" style="5" bestFit="1" customWidth="1"/>
    <col min="6159" max="6159" width="14.375" style="5" customWidth="1"/>
    <col min="6160" max="6160" width="17" style="5" customWidth="1"/>
    <col min="6161" max="6161" width="15.125" style="5" customWidth="1"/>
    <col min="6162" max="6162" width="9" style="5" bestFit="1" customWidth="1"/>
    <col min="6163" max="6163" width="9.125" style="5" bestFit="1" customWidth="1"/>
    <col min="6164" max="6401" width="9" style="5"/>
    <col min="6402" max="6402" width="3.125" style="5" customWidth="1"/>
    <col min="6403" max="6403" width="7.5" style="5" customWidth="1"/>
    <col min="6404" max="6404" width="22" style="5" bestFit="1" customWidth="1"/>
    <col min="6405" max="6405" width="18.625" style="5" customWidth="1"/>
    <col min="6406" max="6406" width="17" style="5" customWidth="1"/>
    <col min="6407" max="6407" width="18.125" style="5" customWidth="1"/>
    <col min="6408" max="6408" width="14.625" style="5" customWidth="1"/>
    <col min="6409" max="6409" width="18" style="5" customWidth="1"/>
    <col min="6410" max="6411" width="19.125" style="5" customWidth="1"/>
    <col min="6412" max="6412" width="17.125" style="5" bestFit="1" customWidth="1"/>
    <col min="6413" max="6413" width="12.875" style="5" bestFit="1" customWidth="1"/>
    <col min="6414" max="6414" width="7.5" style="5" bestFit="1" customWidth="1"/>
    <col min="6415" max="6415" width="14.375" style="5" customWidth="1"/>
    <col min="6416" max="6416" width="17" style="5" customWidth="1"/>
    <col min="6417" max="6417" width="15.125" style="5" customWidth="1"/>
    <col min="6418" max="6418" width="9" style="5" bestFit="1" customWidth="1"/>
    <col min="6419" max="6419" width="9.125" style="5" bestFit="1" customWidth="1"/>
    <col min="6420" max="6657" width="9" style="5"/>
    <col min="6658" max="6658" width="3.125" style="5" customWidth="1"/>
    <col min="6659" max="6659" width="7.5" style="5" customWidth="1"/>
    <col min="6660" max="6660" width="22" style="5" bestFit="1" customWidth="1"/>
    <col min="6661" max="6661" width="18.625" style="5" customWidth="1"/>
    <col min="6662" max="6662" width="17" style="5" customWidth="1"/>
    <col min="6663" max="6663" width="18.125" style="5" customWidth="1"/>
    <col min="6664" max="6664" width="14.625" style="5" customWidth="1"/>
    <col min="6665" max="6665" width="18" style="5" customWidth="1"/>
    <col min="6666" max="6667" width="19.125" style="5" customWidth="1"/>
    <col min="6668" max="6668" width="17.125" style="5" bestFit="1" customWidth="1"/>
    <col min="6669" max="6669" width="12.875" style="5" bestFit="1" customWidth="1"/>
    <col min="6670" max="6670" width="7.5" style="5" bestFit="1" customWidth="1"/>
    <col min="6671" max="6671" width="14.375" style="5" customWidth="1"/>
    <col min="6672" max="6672" width="17" style="5" customWidth="1"/>
    <col min="6673" max="6673" width="15.125" style="5" customWidth="1"/>
    <col min="6674" max="6674" width="9" style="5" bestFit="1" customWidth="1"/>
    <col min="6675" max="6675" width="9.125" style="5" bestFit="1" customWidth="1"/>
    <col min="6676" max="6913" width="9" style="5"/>
    <col min="6914" max="6914" width="3.125" style="5" customWidth="1"/>
    <col min="6915" max="6915" width="7.5" style="5" customWidth="1"/>
    <col min="6916" max="6916" width="22" style="5" bestFit="1" customWidth="1"/>
    <col min="6917" max="6917" width="18.625" style="5" customWidth="1"/>
    <col min="6918" max="6918" width="17" style="5" customWidth="1"/>
    <col min="6919" max="6919" width="18.125" style="5" customWidth="1"/>
    <col min="6920" max="6920" width="14.625" style="5" customWidth="1"/>
    <col min="6921" max="6921" width="18" style="5" customWidth="1"/>
    <col min="6922" max="6923" width="19.125" style="5" customWidth="1"/>
    <col min="6924" max="6924" width="17.125" style="5" bestFit="1" customWidth="1"/>
    <col min="6925" max="6925" width="12.875" style="5" bestFit="1" customWidth="1"/>
    <col min="6926" max="6926" width="7.5" style="5" bestFit="1" customWidth="1"/>
    <col min="6927" max="6927" width="14.375" style="5" customWidth="1"/>
    <col min="6928" max="6928" width="17" style="5" customWidth="1"/>
    <col min="6929" max="6929" width="15.125" style="5" customWidth="1"/>
    <col min="6930" max="6930" width="9" style="5" bestFit="1" customWidth="1"/>
    <col min="6931" max="6931" width="9.125" style="5" bestFit="1" customWidth="1"/>
    <col min="6932" max="7169" width="9" style="5"/>
    <col min="7170" max="7170" width="3.125" style="5" customWidth="1"/>
    <col min="7171" max="7171" width="7.5" style="5" customWidth="1"/>
    <col min="7172" max="7172" width="22" style="5" bestFit="1" customWidth="1"/>
    <col min="7173" max="7173" width="18.625" style="5" customWidth="1"/>
    <col min="7174" max="7174" width="17" style="5" customWidth="1"/>
    <col min="7175" max="7175" width="18.125" style="5" customWidth="1"/>
    <col min="7176" max="7176" width="14.625" style="5" customWidth="1"/>
    <col min="7177" max="7177" width="18" style="5" customWidth="1"/>
    <col min="7178" max="7179" width="19.125" style="5" customWidth="1"/>
    <col min="7180" max="7180" width="17.125" style="5" bestFit="1" customWidth="1"/>
    <col min="7181" max="7181" width="12.875" style="5" bestFit="1" customWidth="1"/>
    <col min="7182" max="7182" width="7.5" style="5" bestFit="1" customWidth="1"/>
    <col min="7183" max="7183" width="14.375" style="5" customWidth="1"/>
    <col min="7184" max="7184" width="17" style="5" customWidth="1"/>
    <col min="7185" max="7185" width="15.125" style="5" customWidth="1"/>
    <col min="7186" max="7186" width="9" style="5" bestFit="1" customWidth="1"/>
    <col min="7187" max="7187" width="9.125" style="5" bestFit="1" customWidth="1"/>
    <col min="7188" max="7425" width="9" style="5"/>
    <col min="7426" max="7426" width="3.125" style="5" customWidth="1"/>
    <col min="7427" max="7427" width="7.5" style="5" customWidth="1"/>
    <col min="7428" max="7428" width="22" style="5" bestFit="1" customWidth="1"/>
    <col min="7429" max="7429" width="18.625" style="5" customWidth="1"/>
    <col min="7430" max="7430" width="17" style="5" customWidth="1"/>
    <col min="7431" max="7431" width="18.125" style="5" customWidth="1"/>
    <col min="7432" max="7432" width="14.625" style="5" customWidth="1"/>
    <col min="7433" max="7433" width="18" style="5" customWidth="1"/>
    <col min="7434" max="7435" width="19.125" style="5" customWidth="1"/>
    <col min="7436" max="7436" width="17.125" style="5" bestFit="1" customWidth="1"/>
    <col min="7437" max="7437" width="12.875" style="5" bestFit="1" customWidth="1"/>
    <col min="7438" max="7438" width="7.5" style="5" bestFit="1" customWidth="1"/>
    <col min="7439" max="7439" width="14.375" style="5" customWidth="1"/>
    <col min="7440" max="7440" width="17" style="5" customWidth="1"/>
    <col min="7441" max="7441" width="15.125" style="5" customWidth="1"/>
    <col min="7442" max="7442" width="9" style="5" bestFit="1" customWidth="1"/>
    <col min="7443" max="7443" width="9.125" style="5" bestFit="1" customWidth="1"/>
    <col min="7444" max="7681" width="9" style="5"/>
    <col min="7682" max="7682" width="3.125" style="5" customWidth="1"/>
    <col min="7683" max="7683" width="7.5" style="5" customWidth="1"/>
    <col min="7684" max="7684" width="22" style="5" bestFit="1" customWidth="1"/>
    <col min="7685" max="7685" width="18.625" style="5" customWidth="1"/>
    <col min="7686" max="7686" width="17" style="5" customWidth="1"/>
    <col min="7687" max="7687" width="18.125" style="5" customWidth="1"/>
    <col min="7688" max="7688" width="14.625" style="5" customWidth="1"/>
    <col min="7689" max="7689" width="18" style="5" customWidth="1"/>
    <col min="7690" max="7691" width="19.125" style="5" customWidth="1"/>
    <col min="7692" max="7692" width="17.125" style="5" bestFit="1" customWidth="1"/>
    <col min="7693" max="7693" width="12.875" style="5" bestFit="1" customWidth="1"/>
    <col min="7694" max="7694" width="7.5" style="5" bestFit="1" customWidth="1"/>
    <col min="7695" max="7695" width="14.375" style="5" customWidth="1"/>
    <col min="7696" max="7696" width="17" style="5" customWidth="1"/>
    <col min="7697" max="7697" width="15.125" style="5" customWidth="1"/>
    <col min="7698" max="7698" width="9" style="5" bestFit="1" customWidth="1"/>
    <col min="7699" max="7699" width="9.125" style="5" bestFit="1" customWidth="1"/>
    <col min="7700" max="7937" width="9" style="5"/>
    <col min="7938" max="7938" width="3.125" style="5" customWidth="1"/>
    <col min="7939" max="7939" width="7.5" style="5" customWidth="1"/>
    <col min="7940" max="7940" width="22" style="5" bestFit="1" customWidth="1"/>
    <col min="7941" max="7941" width="18.625" style="5" customWidth="1"/>
    <col min="7942" max="7942" width="17" style="5" customWidth="1"/>
    <col min="7943" max="7943" width="18.125" style="5" customWidth="1"/>
    <col min="7944" max="7944" width="14.625" style="5" customWidth="1"/>
    <col min="7945" max="7945" width="18" style="5" customWidth="1"/>
    <col min="7946" max="7947" width="19.125" style="5" customWidth="1"/>
    <col min="7948" max="7948" width="17.125" style="5" bestFit="1" customWidth="1"/>
    <col min="7949" max="7949" width="12.875" style="5" bestFit="1" customWidth="1"/>
    <col min="7950" max="7950" width="7.5" style="5" bestFit="1" customWidth="1"/>
    <col min="7951" max="7951" width="14.375" style="5" customWidth="1"/>
    <col min="7952" max="7952" width="17" style="5" customWidth="1"/>
    <col min="7953" max="7953" width="15.125" style="5" customWidth="1"/>
    <col min="7954" max="7954" width="9" style="5" bestFit="1" customWidth="1"/>
    <col min="7955" max="7955" width="9.125" style="5" bestFit="1" customWidth="1"/>
    <col min="7956" max="8193" width="9" style="5"/>
    <col min="8194" max="8194" width="3.125" style="5" customWidth="1"/>
    <col min="8195" max="8195" width="7.5" style="5" customWidth="1"/>
    <col min="8196" max="8196" width="22" style="5" bestFit="1" customWidth="1"/>
    <col min="8197" max="8197" width="18.625" style="5" customWidth="1"/>
    <col min="8198" max="8198" width="17" style="5" customWidth="1"/>
    <col min="8199" max="8199" width="18.125" style="5" customWidth="1"/>
    <col min="8200" max="8200" width="14.625" style="5" customWidth="1"/>
    <col min="8201" max="8201" width="18" style="5" customWidth="1"/>
    <col min="8202" max="8203" width="19.125" style="5" customWidth="1"/>
    <col min="8204" max="8204" width="17.125" style="5" bestFit="1" customWidth="1"/>
    <col min="8205" max="8205" width="12.875" style="5" bestFit="1" customWidth="1"/>
    <col min="8206" max="8206" width="7.5" style="5" bestFit="1" customWidth="1"/>
    <col min="8207" max="8207" width="14.375" style="5" customWidth="1"/>
    <col min="8208" max="8208" width="17" style="5" customWidth="1"/>
    <col min="8209" max="8209" width="15.125" style="5" customWidth="1"/>
    <col min="8210" max="8210" width="9" style="5" bestFit="1" customWidth="1"/>
    <col min="8211" max="8211" width="9.125" style="5" bestFit="1" customWidth="1"/>
    <col min="8212" max="8449" width="9" style="5"/>
    <col min="8450" max="8450" width="3.125" style="5" customWidth="1"/>
    <col min="8451" max="8451" width="7.5" style="5" customWidth="1"/>
    <col min="8452" max="8452" width="22" style="5" bestFit="1" customWidth="1"/>
    <col min="8453" max="8453" width="18.625" style="5" customWidth="1"/>
    <col min="8454" max="8454" width="17" style="5" customWidth="1"/>
    <col min="8455" max="8455" width="18.125" style="5" customWidth="1"/>
    <col min="8456" max="8456" width="14.625" style="5" customWidth="1"/>
    <col min="8457" max="8457" width="18" style="5" customWidth="1"/>
    <col min="8458" max="8459" width="19.125" style="5" customWidth="1"/>
    <col min="8460" max="8460" width="17.125" style="5" bestFit="1" customWidth="1"/>
    <col min="8461" max="8461" width="12.875" style="5" bestFit="1" customWidth="1"/>
    <col min="8462" max="8462" width="7.5" style="5" bestFit="1" customWidth="1"/>
    <col min="8463" max="8463" width="14.375" style="5" customWidth="1"/>
    <col min="8464" max="8464" width="17" style="5" customWidth="1"/>
    <col min="8465" max="8465" width="15.125" style="5" customWidth="1"/>
    <col min="8466" max="8466" width="9" style="5" bestFit="1" customWidth="1"/>
    <col min="8467" max="8467" width="9.125" style="5" bestFit="1" customWidth="1"/>
    <col min="8468" max="8705" width="9" style="5"/>
    <col min="8706" max="8706" width="3.125" style="5" customWidth="1"/>
    <col min="8707" max="8707" width="7.5" style="5" customWidth="1"/>
    <col min="8708" max="8708" width="22" style="5" bestFit="1" customWidth="1"/>
    <col min="8709" max="8709" width="18.625" style="5" customWidth="1"/>
    <col min="8710" max="8710" width="17" style="5" customWidth="1"/>
    <col min="8711" max="8711" width="18.125" style="5" customWidth="1"/>
    <col min="8712" max="8712" width="14.625" style="5" customWidth="1"/>
    <col min="8713" max="8713" width="18" style="5" customWidth="1"/>
    <col min="8714" max="8715" width="19.125" style="5" customWidth="1"/>
    <col min="8716" max="8716" width="17.125" style="5" bestFit="1" customWidth="1"/>
    <col min="8717" max="8717" width="12.875" style="5" bestFit="1" customWidth="1"/>
    <col min="8718" max="8718" width="7.5" style="5" bestFit="1" customWidth="1"/>
    <col min="8719" max="8719" width="14.375" style="5" customWidth="1"/>
    <col min="8720" max="8720" width="17" style="5" customWidth="1"/>
    <col min="8721" max="8721" width="15.125" style="5" customWidth="1"/>
    <col min="8722" max="8722" width="9" style="5" bestFit="1" customWidth="1"/>
    <col min="8723" max="8723" width="9.125" style="5" bestFit="1" customWidth="1"/>
    <col min="8724" max="8961" width="9" style="5"/>
    <col min="8962" max="8962" width="3.125" style="5" customWidth="1"/>
    <col min="8963" max="8963" width="7.5" style="5" customWidth="1"/>
    <col min="8964" max="8964" width="22" style="5" bestFit="1" customWidth="1"/>
    <col min="8965" max="8965" width="18.625" style="5" customWidth="1"/>
    <col min="8966" max="8966" width="17" style="5" customWidth="1"/>
    <col min="8967" max="8967" width="18.125" style="5" customWidth="1"/>
    <col min="8968" max="8968" width="14.625" style="5" customWidth="1"/>
    <col min="8969" max="8969" width="18" style="5" customWidth="1"/>
    <col min="8970" max="8971" width="19.125" style="5" customWidth="1"/>
    <col min="8972" max="8972" width="17.125" style="5" bestFit="1" customWidth="1"/>
    <col min="8973" max="8973" width="12.875" style="5" bestFit="1" customWidth="1"/>
    <col min="8974" max="8974" width="7.5" style="5" bestFit="1" customWidth="1"/>
    <col min="8975" max="8975" width="14.375" style="5" customWidth="1"/>
    <col min="8976" max="8976" width="17" style="5" customWidth="1"/>
    <col min="8977" max="8977" width="15.125" style="5" customWidth="1"/>
    <col min="8978" max="8978" width="9" style="5" bestFit="1" customWidth="1"/>
    <col min="8979" max="8979" width="9.125" style="5" bestFit="1" customWidth="1"/>
    <col min="8980" max="9217" width="9" style="5"/>
    <col min="9218" max="9218" width="3.125" style="5" customWidth="1"/>
    <col min="9219" max="9219" width="7.5" style="5" customWidth="1"/>
    <col min="9220" max="9220" width="22" style="5" bestFit="1" customWidth="1"/>
    <col min="9221" max="9221" width="18.625" style="5" customWidth="1"/>
    <col min="9222" max="9222" width="17" style="5" customWidth="1"/>
    <col min="9223" max="9223" width="18.125" style="5" customWidth="1"/>
    <col min="9224" max="9224" width="14.625" style="5" customWidth="1"/>
    <col min="9225" max="9225" width="18" style="5" customWidth="1"/>
    <col min="9226" max="9227" width="19.125" style="5" customWidth="1"/>
    <col min="9228" max="9228" width="17.125" style="5" bestFit="1" customWidth="1"/>
    <col min="9229" max="9229" width="12.875" style="5" bestFit="1" customWidth="1"/>
    <col min="9230" max="9230" width="7.5" style="5" bestFit="1" customWidth="1"/>
    <col min="9231" max="9231" width="14.375" style="5" customWidth="1"/>
    <col min="9232" max="9232" width="17" style="5" customWidth="1"/>
    <col min="9233" max="9233" width="15.125" style="5" customWidth="1"/>
    <col min="9234" max="9234" width="9" style="5" bestFit="1" customWidth="1"/>
    <col min="9235" max="9235" width="9.125" style="5" bestFit="1" customWidth="1"/>
    <col min="9236" max="9473" width="9" style="5"/>
    <col min="9474" max="9474" width="3.125" style="5" customWidth="1"/>
    <col min="9475" max="9475" width="7.5" style="5" customWidth="1"/>
    <col min="9476" max="9476" width="22" style="5" bestFit="1" customWidth="1"/>
    <col min="9477" max="9477" width="18.625" style="5" customWidth="1"/>
    <col min="9478" max="9478" width="17" style="5" customWidth="1"/>
    <col min="9479" max="9479" width="18.125" style="5" customWidth="1"/>
    <col min="9480" max="9480" width="14.625" style="5" customWidth="1"/>
    <col min="9481" max="9481" width="18" style="5" customWidth="1"/>
    <col min="9482" max="9483" width="19.125" style="5" customWidth="1"/>
    <col min="9484" max="9484" width="17.125" style="5" bestFit="1" customWidth="1"/>
    <col min="9485" max="9485" width="12.875" style="5" bestFit="1" customWidth="1"/>
    <col min="9486" max="9486" width="7.5" style="5" bestFit="1" customWidth="1"/>
    <col min="9487" max="9487" width="14.375" style="5" customWidth="1"/>
    <col min="9488" max="9488" width="17" style="5" customWidth="1"/>
    <col min="9489" max="9489" width="15.125" style="5" customWidth="1"/>
    <col min="9490" max="9490" width="9" style="5" bestFit="1" customWidth="1"/>
    <col min="9491" max="9491" width="9.125" style="5" bestFit="1" customWidth="1"/>
    <col min="9492" max="9729" width="9" style="5"/>
    <col min="9730" max="9730" width="3.125" style="5" customWidth="1"/>
    <col min="9731" max="9731" width="7.5" style="5" customWidth="1"/>
    <col min="9732" max="9732" width="22" style="5" bestFit="1" customWidth="1"/>
    <col min="9733" max="9733" width="18.625" style="5" customWidth="1"/>
    <col min="9734" max="9734" width="17" style="5" customWidth="1"/>
    <col min="9735" max="9735" width="18.125" style="5" customWidth="1"/>
    <col min="9736" max="9736" width="14.625" style="5" customWidth="1"/>
    <col min="9737" max="9737" width="18" style="5" customWidth="1"/>
    <col min="9738" max="9739" width="19.125" style="5" customWidth="1"/>
    <col min="9740" max="9740" width="17.125" style="5" bestFit="1" customWidth="1"/>
    <col min="9741" max="9741" width="12.875" style="5" bestFit="1" customWidth="1"/>
    <col min="9742" max="9742" width="7.5" style="5" bestFit="1" customWidth="1"/>
    <col min="9743" max="9743" width="14.375" style="5" customWidth="1"/>
    <col min="9744" max="9744" width="17" style="5" customWidth="1"/>
    <col min="9745" max="9745" width="15.125" style="5" customWidth="1"/>
    <col min="9746" max="9746" width="9" style="5" bestFit="1" customWidth="1"/>
    <col min="9747" max="9747" width="9.125" style="5" bestFit="1" customWidth="1"/>
    <col min="9748" max="9985" width="9" style="5"/>
    <col min="9986" max="9986" width="3.125" style="5" customWidth="1"/>
    <col min="9987" max="9987" width="7.5" style="5" customWidth="1"/>
    <col min="9988" max="9988" width="22" style="5" bestFit="1" customWidth="1"/>
    <col min="9989" max="9989" width="18.625" style="5" customWidth="1"/>
    <col min="9990" max="9990" width="17" style="5" customWidth="1"/>
    <col min="9991" max="9991" width="18.125" style="5" customWidth="1"/>
    <col min="9992" max="9992" width="14.625" style="5" customWidth="1"/>
    <col min="9993" max="9993" width="18" style="5" customWidth="1"/>
    <col min="9994" max="9995" width="19.125" style="5" customWidth="1"/>
    <col min="9996" max="9996" width="17.125" style="5" bestFit="1" customWidth="1"/>
    <col min="9997" max="9997" width="12.875" style="5" bestFit="1" customWidth="1"/>
    <col min="9998" max="9998" width="7.5" style="5" bestFit="1" customWidth="1"/>
    <col min="9999" max="9999" width="14.375" style="5" customWidth="1"/>
    <col min="10000" max="10000" width="17" style="5" customWidth="1"/>
    <col min="10001" max="10001" width="15.125" style="5" customWidth="1"/>
    <col min="10002" max="10002" width="9" style="5" bestFit="1" customWidth="1"/>
    <col min="10003" max="10003" width="9.125" style="5" bestFit="1" customWidth="1"/>
    <col min="10004" max="10241" width="9" style="5"/>
    <col min="10242" max="10242" width="3.125" style="5" customWidth="1"/>
    <col min="10243" max="10243" width="7.5" style="5" customWidth="1"/>
    <col min="10244" max="10244" width="22" style="5" bestFit="1" customWidth="1"/>
    <col min="10245" max="10245" width="18.625" style="5" customWidth="1"/>
    <col min="10246" max="10246" width="17" style="5" customWidth="1"/>
    <col min="10247" max="10247" width="18.125" style="5" customWidth="1"/>
    <col min="10248" max="10248" width="14.625" style="5" customWidth="1"/>
    <col min="10249" max="10249" width="18" style="5" customWidth="1"/>
    <col min="10250" max="10251" width="19.125" style="5" customWidth="1"/>
    <col min="10252" max="10252" width="17.125" style="5" bestFit="1" customWidth="1"/>
    <col min="10253" max="10253" width="12.875" style="5" bestFit="1" customWidth="1"/>
    <col min="10254" max="10254" width="7.5" style="5" bestFit="1" customWidth="1"/>
    <col min="10255" max="10255" width="14.375" style="5" customWidth="1"/>
    <col min="10256" max="10256" width="17" style="5" customWidth="1"/>
    <col min="10257" max="10257" width="15.125" style="5" customWidth="1"/>
    <col min="10258" max="10258" width="9" style="5" bestFit="1" customWidth="1"/>
    <col min="10259" max="10259" width="9.125" style="5" bestFit="1" customWidth="1"/>
    <col min="10260" max="10497" width="9" style="5"/>
    <col min="10498" max="10498" width="3.125" style="5" customWidth="1"/>
    <col min="10499" max="10499" width="7.5" style="5" customWidth="1"/>
    <col min="10500" max="10500" width="22" style="5" bestFit="1" customWidth="1"/>
    <col min="10501" max="10501" width="18.625" style="5" customWidth="1"/>
    <col min="10502" max="10502" width="17" style="5" customWidth="1"/>
    <col min="10503" max="10503" width="18.125" style="5" customWidth="1"/>
    <col min="10504" max="10504" width="14.625" style="5" customWidth="1"/>
    <col min="10505" max="10505" width="18" style="5" customWidth="1"/>
    <col min="10506" max="10507" width="19.125" style="5" customWidth="1"/>
    <col min="10508" max="10508" width="17.125" style="5" bestFit="1" customWidth="1"/>
    <col min="10509" max="10509" width="12.875" style="5" bestFit="1" customWidth="1"/>
    <col min="10510" max="10510" width="7.5" style="5" bestFit="1" customWidth="1"/>
    <col min="10511" max="10511" width="14.375" style="5" customWidth="1"/>
    <col min="10512" max="10512" width="17" style="5" customWidth="1"/>
    <col min="10513" max="10513" width="15.125" style="5" customWidth="1"/>
    <col min="10514" max="10514" width="9" style="5" bestFit="1" customWidth="1"/>
    <col min="10515" max="10515" width="9.125" style="5" bestFit="1" customWidth="1"/>
    <col min="10516" max="10753" width="9" style="5"/>
    <col min="10754" max="10754" width="3.125" style="5" customWidth="1"/>
    <col min="10755" max="10755" width="7.5" style="5" customWidth="1"/>
    <col min="10756" max="10756" width="22" style="5" bestFit="1" customWidth="1"/>
    <col min="10757" max="10757" width="18.625" style="5" customWidth="1"/>
    <col min="10758" max="10758" width="17" style="5" customWidth="1"/>
    <col min="10759" max="10759" width="18.125" style="5" customWidth="1"/>
    <col min="10760" max="10760" width="14.625" style="5" customWidth="1"/>
    <col min="10761" max="10761" width="18" style="5" customWidth="1"/>
    <col min="10762" max="10763" width="19.125" style="5" customWidth="1"/>
    <col min="10764" max="10764" width="17.125" style="5" bestFit="1" customWidth="1"/>
    <col min="10765" max="10765" width="12.875" style="5" bestFit="1" customWidth="1"/>
    <col min="10766" max="10766" width="7.5" style="5" bestFit="1" customWidth="1"/>
    <col min="10767" max="10767" width="14.375" style="5" customWidth="1"/>
    <col min="10768" max="10768" width="17" style="5" customWidth="1"/>
    <col min="10769" max="10769" width="15.125" style="5" customWidth="1"/>
    <col min="10770" max="10770" width="9" style="5" bestFit="1" customWidth="1"/>
    <col min="10771" max="10771" width="9.125" style="5" bestFit="1" customWidth="1"/>
    <col min="10772" max="11009" width="9" style="5"/>
    <col min="11010" max="11010" width="3.125" style="5" customWidth="1"/>
    <col min="11011" max="11011" width="7.5" style="5" customWidth="1"/>
    <col min="11012" max="11012" width="22" style="5" bestFit="1" customWidth="1"/>
    <col min="11013" max="11013" width="18.625" style="5" customWidth="1"/>
    <col min="11014" max="11014" width="17" style="5" customWidth="1"/>
    <col min="11015" max="11015" width="18.125" style="5" customWidth="1"/>
    <col min="11016" max="11016" width="14.625" style="5" customWidth="1"/>
    <col min="11017" max="11017" width="18" style="5" customWidth="1"/>
    <col min="11018" max="11019" width="19.125" style="5" customWidth="1"/>
    <col min="11020" max="11020" width="17.125" style="5" bestFit="1" customWidth="1"/>
    <col min="11021" max="11021" width="12.875" style="5" bestFit="1" customWidth="1"/>
    <col min="11022" max="11022" width="7.5" style="5" bestFit="1" customWidth="1"/>
    <col min="11023" max="11023" width="14.375" style="5" customWidth="1"/>
    <col min="11024" max="11024" width="17" style="5" customWidth="1"/>
    <col min="11025" max="11025" width="15.125" style="5" customWidth="1"/>
    <col min="11026" max="11026" width="9" style="5" bestFit="1" customWidth="1"/>
    <col min="11027" max="11027" width="9.125" style="5" bestFit="1" customWidth="1"/>
    <col min="11028" max="11265" width="9" style="5"/>
    <col min="11266" max="11266" width="3.125" style="5" customWidth="1"/>
    <col min="11267" max="11267" width="7.5" style="5" customWidth="1"/>
    <col min="11268" max="11268" width="22" style="5" bestFit="1" customWidth="1"/>
    <col min="11269" max="11269" width="18.625" style="5" customWidth="1"/>
    <col min="11270" max="11270" width="17" style="5" customWidth="1"/>
    <col min="11271" max="11271" width="18.125" style="5" customWidth="1"/>
    <col min="11272" max="11272" width="14.625" style="5" customWidth="1"/>
    <col min="11273" max="11273" width="18" style="5" customWidth="1"/>
    <col min="11274" max="11275" width="19.125" style="5" customWidth="1"/>
    <col min="11276" max="11276" width="17.125" style="5" bestFit="1" customWidth="1"/>
    <col min="11277" max="11277" width="12.875" style="5" bestFit="1" customWidth="1"/>
    <col min="11278" max="11278" width="7.5" style="5" bestFit="1" customWidth="1"/>
    <col min="11279" max="11279" width="14.375" style="5" customWidth="1"/>
    <col min="11280" max="11280" width="17" style="5" customWidth="1"/>
    <col min="11281" max="11281" width="15.125" style="5" customWidth="1"/>
    <col min="11282" max="11282" width="9" style="5" bestFit="1" customWidth="1"/>
    <col min="11283" max="11283" width="9.125" style="5" bestFit="1" customWidth="1"/>
    <col min="11284" max="11521" width="9" style="5"/>
    <col min="11522" max="11522" width="3.125" style="5" customWidth="1"/>
    <col min="11523" max="11523" width="7.5" style="5" customWidth="1"/>
    <col min="11524" max="11524" width="22" style="5" bestFit="1" customWidth="1"/>
    <col min="11525" max="11525" width="18.625" style="5" customWidth="1"/>
    <col min="11526" max="11526" width="17" style="5" customWidth="1"/>
    <col min="11527" max="11527" width="18.125" style="5" customWidth="1"/>
    <col min="11528" max="11528" width="14.625" style="5" customWidth="1"/>
    <col min="11529" max="11529" width="18" style="5" customWidth="1"/>
    <col min="11530" max="11531" width="19.125" style="5" customWidth="1"/>
    <col min="11532" max="11532" width="17.125" style="5" bestFit="1" customWidth="1"/>
    <col min="11533" max="11533" width="12.875" style="5" bestFit="1" customWidth="1"/>
    <col min="11534" max="11534" width="7.5" style="5" bestFit="1" customWidth="1"/>
    <col min="11535" max="11535" width="14.375" style="5" customWidth="1"/>
    <col min="11536" max="11536" width="17" style="5" customWidth="1"/>
    <col min="11537" max="11537" width="15.125" style="5" customWidth="1"/>
    <col min="11538" max="11538" width="9" style="5" bestFit="1" customWidth="1"/>
    <col min="11539" max="11539" width="9.125" style="5" bestFit="1" customWidth="1"/>
    <col min="11540" max="11777" width="9" style="5"/>
    <col min="11778" max="11778" width="3.125" style="5" customWidth="1"/>
    <col min="11779" max="11779" width="7.5" style="5" customWidth="1"/>
    <col min="11780" max="11780" width="22" style="5" bestFit="1" customWidth="1"/>
    <col min="11781" max="11781" width="18.625" style="5" customWidth="1"/>
    <col min="11782" max="11782" width="17" style="5" customWidth="1"/>
    <col min="11783" max="11783" width="18.125" style="5" customWidth="1"/>
    <col min="11784" max="11784" width="14.625" style="5" customWidth="1"/>
    <col min="11785" max="11785" width="18" style="5" customWidth="1"/>
    <col min="11786" max="11787" width="19.125" style="5" customWidth="1"/>
    <col min="11788" max="11788" width="17.125" style="5" bestFit="1" customWidth="1"/>
    <col min="11789" max="11789" width="12.875" style="5" bestFit="1" customWidth="1"/>
    <col min="11790" max="11790" width="7.5" style="5" bestFit="1" customWidth="1"/>
    <col min="11791" max="11791" width="14.375" style="5" customWidth="1"/>
    <col min="11792" max="11792" width="17" style="5" customWidth="1"/>
    <col min="11793" max="11793" width="15.125" style="5" customWidth="1"/>
    <col min="11794" max="11794" width="9" style="5" bestFit="1" customWidth="1"/>
    <col min="11795" max="11795" width="9.125" style="5" bestFit="1" customWidth="1"/>
    <col min="11796" max="12033" width="9" style="5"/>
    <col min="12034" max="12034" width="3.125" style="5" customWidth="1"/>
    <col min="12035" max="12035" width="7.5" style="5" customWidth="1"/>
    <col min="12036" max="12036" width="22" style="5" bestFit="1" customWidth="1"/>
    <col min="12037" max="12037" width="18.625" style="5" customWidth="1"/>
    <col min="12038" max="12038" width="17" style="5" customWidth="1"/>
    <col min="12039" max="12039" width="18.125" style="5" customWidth="1"/>
    <col min="12040" max="12040" width="14.625" style="5" customWidth="1"/>
    <col min="12041" max="12041" width="18" style="5" customWidth="1"/>
    <col min="12042" max="12043" width="19.125" style="5" customWidth="1"/>
    <col min="12044" max="12044" width="17.125" style="5" bestFit="1" customWidth="1"/>
    <col min="12045" max="12045" width="12.875" style="5" bestFit="1" customWidth="1"/>
    <col min="12046" max="12046" width="7.5" style="5" bestFit="1" customWidth="1"/>
    <col min="12047" max="12047" width="14.375" style="5" customWidth="1"/>
    <col min="12048" max="12048" width="17" style="5" customWidth="1"/>
    <col min="12049" max="12049" width="15.125" style="5" customWidth="1"/>
    <col min="12050" max="12050" width="9" style="5" bestFit="1" customWidth="1"/>
    <col min="12051" max="12051" width="9.125" style="5" bestFit="1" customWidth="1"/>
    <col min="12052" max="12289" width="9" style="5"/>
    <col min="12290" max="12290" width="3.125" style="5" customWidth="1"/>
    <col min="12291" max="12291" width="7.5" style="5" customWidth="1"/>
    <col min="12292" max="12292" width="22" style="5" bestFit="1" customWidth="1"/>
    <col min="12293" max="12293" width="18.625" style="5" customWidth="1"/>
    <col min="12294" max="12294" width="17" style="5" customWidth="1"/>
    <col min="12295" max="12295" width="18.125" style="5" customWidth="1"/>
    <col min="12296" max="12296" width="14.625" style="5" customWidth="1"/>
    <col min="12297" max="12297" width="18" style="5" customWidth="1"/>
    <col min="12298" max="12299" width="19.125" style="5" customWidth="1"/>
    <col min="12300" max="12300" width="17.125" style="5" bestFit="1" customWidth="1"/>
    <col min="12301" max="12301" width="12.875" style="5" bestFit="1" customWidth="1"/>
    <col min="12302" max="12302" width="7.5" style="5" bestFit="1" customWidth="1"/>
    <col min="12303" max="12303" width="14.375" style="5" customWidth="1"/>
    <col min="12304" max="12304" width="17" style="5" customWidth="1"/>
    <col min="12305" max="12305" width="15.125" style="5" customWidth="1"/>
    <col min="12306" max="12306" width="9" style="5" bestFit="1" customWidth="1"/>
    <col min="12307" max="12307" width="9.125" style="5" bestFit="1" customWidth="1"/>
    <col min="12308" max="12545" width="9" style="5"/>
    <col min="12546" max="12546" width="3.125" style="5" customWidth="1"/>
    <col min="12547" max="12547" width="7.5" style="5" customWidth="1"/>
    <col min="12548" max="12548" width="22" style="5" bestFit="1" customWidth="1"/>
    <col min="12549" max="12549" width="18.625" style="5" customWidth="1"/>
    <col min="12550" max="12550" width="17" style="5" customWidth="1"/>
    <col min="12551" max="12551" width="18.125" style="5" customWidth="1"/>
    <col min="12552" max="12552" width="14.625" style="5" customWidth="1"/>
    <col min="12553" max="12553" width="18" style="5" customWidth="1"/>
    <col min="12554" max="12555" width="19.125" style="5" customWidth="1"/>
    <col min="12556" max="12556" width="17.125" style="5" bestFit="1" customWidth="1"/>
    <col min="12557" max="12557" width="12.875" style="5" bestFit="1" customWidth="1"/>
    <col min="12558" max="12558" width="7.5" style="5" bestFit="1" customWidth="1"/>
    <col min="12559" max="12559" width="14.375" style="5" customWidth="1"/>
    <col min="12560" max="12560" width="17" style="5" customWidth="1"/>
    <col min="12561" max="12561" width="15.125" style="5" customWidth="1"/>
    <col min="12562" max="12562" width="9" style="5" bestFit="1" customWidth="1"/>
    <col min="12563" max="12563" width="9.125" style="5" bestFit="1" customWidth="1"/>
    <col min="12564" max="12801" width="9" style="5"/>
    <col min="12802" max="12802" width="3.125" style="5" customWidth="1"/>
    <col min="12803" max="12803" width="7.5" style="5" customWidth="1"/>
    <col min="12804" max="12804" width="22" style="5" bestFit="1" customWidth="1"/>
    <col min="12805" max="12805" width="18.625" style="5" customWidth="1"/>
    <col min="12806" max="12806" width="17" style="5" customWidth="1"/>
    <col min="12807" max="12807" width="18.125" style="5" customWidth="1"/>
    <col min="12808" max="12808" width="14.625" style="5" customWidth="1"/>
    <col min="12809" max="12809" width="18" style="5" customWidth="1"/>
    <col min="12810" max="12811" width="19.125" style="5" customWidth="1"/>
    <col min="12812" max="12812" width="17.125" style="5" bestFit="1" customWidth="1"/>
    <col min="12813" max="12813" width="12.875" style="5" bestFit="1" customWidth="1"/>
    <col min="12814" max="12814" width="7.5" style="5" bestFit="1" customWidth="1"/>
    <col min="12815" max="12815" width="14.375" style="5" customWidth="1"/>
    <col min="12816" max="12816" width="17" style="5" customWidth="1"/>
    <col min="12817" max="12817" width="15.125" style="5" customWidth="1"/>
    <col min="12818" max="12818" width="9" style="5" bestFit="1" customWidth="1"/>
    <col min="12819" max="12819" width="9.125" style="5" bestFit="1" customWidth="1"/>
    <col min="12820" max="13057" width="9" style="5"/>
    <col min="13058" max="13058" width="3.125" style="5" customWidth="1"/>
    <col min="13059" max="13059" width="7.5" style="5" customWidth="1"/>
    <col min="13060" max="13060" width="22" style="5" bestFit="1" customWidth="1"/>
    <col min="13061" max="13061" width="18.625" style="5" customWidth="1"/>
    <col min="13062" max="13062" width="17" style="5" customWidth="1"/>
    <col min="13063" max="13063" width="18.125" style="5" customWidth="1"/>
    <col min="13064" max="13064" width="14.625" style="5" customWidth="1"/>
    <col min="13065" max="13065" width="18" style="5" customWidth="1"/>
    <col min="13066" max="13067" width="19.125" style="5" customWidth="1"/>
    <col min="13068" max="13068" width="17.125" style="5" bestFit="1" customWidth="1"/>
    <col min="13069" max="13069" width="12.875" style="5" bestFit="1" customWidth="1"/>
    <col min="13070" max="13070" width="7.5" style="5" bestFit="1" customWidth="1"/>
    <col min="13071" max="13071" width="14.375" style="5" customWidth="1"/>
    <col min="13072" max="13072" width="17" style="5" customWidth="1"/>
    <col min="13073" max="13073" width="15.125" style="5" customWidth="1"/>
    <col min="13074" max="13074" width="9" style="5" bestFit="1" customWidth="1"/>
    <col min="13075" max="13075" width="9.125" style="5" bestFit="1" customWidth="1"/>
    <col min="13076" max="13313" width="9" style="5"/>
    <col min="13314" max="13314" width="3.125" style="5" customWidth="1"/>
    <col min="13315" max="13315" width="7.5" style="5" customWidth="1"/>
    <col min="13316" max="13316" width="22" style="5" bestFit="1" customWidth="1"/>
    <col min="13317" max="13317" width="18.625" style="5" customWidth="1"/>
    <col min="13318" max="13318" width="17" style="5" customWidth="1"/>
    <col min="13319" max="13319" width="18.125" style="5" customWidth="1"/>
    <col min="13320" max="13320" width="14.625" style="5" customWidth="1"/>
    <col min="13321" max="13321" width="18" style="5" customWidth="1"/>
    <col min="13322" max="13323" width="19.125" style="5" customWidth="1"/>
    <col min="13324" max="13324" width="17.125" style="5" bestFit="1" customWidth="1"/>
    <col min="13325" max="13325" width="12.875" style="5" bestFit="1" customWidth="1"/>
    <col min="13326" max="13326" width="7.5" style="5" bestFit="1" customWidth="1"/>
    <col min="13327" max="13327" width="14.375" style="5" customWidth="1"/>
    <col min="13328" max="13328" width="17" style="5" customWidth="1"/>
    <col min="13329" max="13329" width="15.125" style="5" customWidth="1"/>
    <col min="13330" max="13330" width="9" style="5" bestFit="1" customWidth="1"/>
    <col min="13331" max="13331" width="9.125" style="5" bestFit="1" customWidth="1"/>
    <col min="13332" max="13569" width="9" style="5"/>
    <col min="13570" max="13570" width="3.125" style="5" customWidth="1"/>
    <col min="13571" max="13571" width="7.5" style="5" customWidth="1"/>
    <col min="13572" max="13572" width="22" style="5" bestFit="1" customWidth="1"/>
    <col min="13573" max="13573" width="18.625" style="5" customWidth="1"/>
    <col min="13574" max="13574" width="17" style="5" customWidth="1"/>
    <col min="13575" max="13575" width="18.125" style="5" customWidth="1"/>
    <col min="13576" max="13576" width="14.625" style="5" customWidth="1"/>
    <col min="13577" max="13577" width="18" style="5" customWidth="1"/>
    <col min="13578" max="13579" width="19.125" style="5" customWidth="1"/>
    <col min="13580" max="13580" width="17.125" style="5" bestFit="1" customWidth="1"/>
    <col min="13581" max="13581" width="12.875" style="5" bestFit="1" customWidth="1"/>
    <col min="13582" max="13582" width="7.5" style="5" bestFit="1" customWidth="1"/>
    <col min="13583" max="13583" width="14.375" style="5" customWidth="1"/>
    <col min="13584" max="13584" width="17" style="5" customWidth="1"/>
    <col min="13585" max="13585" width="15.125" style="5" customWidth="1"/>
    <col min="13586" max="13586" width="9" style="5" bestFit="1" customWidth="1"/>
    <col min="13587" max="13587" width="9.125" style="5" bestFit="1" customWidth="1"/>
    <col min="13588" max="13825" width="9" style="5"/>
    <col min="13826" max="13826" width="3.125" style="5" customWidth="1"/>
    <col min="13827" max="13827" width="7.5" style="5" customWidth="1"/>
    <col min="13828" max="13828" width="22" style="5" bestFit="1" customWidth="1"/>
    <col min="13829" max="13829" width="18.625" style="5" customWidth="1"/>
    <col min="13830" max="13830" width="17" style="5" customWidth="1"/>
    <col min="13831" max="13831" width="18.125" style="5" customWidth="1"/>
    <col min="13832" max="13832" width="14.625" style="5" customWidth="1"/>
    <col min="13833" max="13833" width="18" style="5" customWidth="1"/>
    <col min="13834" max="13835" width="19.125" style="5" customWidth="1"/>
    <col min="13836" max="13836" width="17.125" style="5" bestFit="1" customWidth="1"/>
    <col min="13837" max="13837" width="12.875" style="5" bestFit="1" customWidth="1"/>
    <col min="13838" max="13838" width="7.5" style="5" bestFit="1" customWidth="1"/>
    <col min="13839" max="13839" width="14.375" style="5" customWidth="1"/>
    <col min="13840" max="13840" width="17" style="5" customWidth="1"/>
    <col min="13841" max="13841" width="15.125" style="5" customWidth="1"/>
    <col min="13842" max="13842" width="9" style="5" bestFit="1" customWidth="1"/>
    <col min="13843" max="13843" width="9.125" style="5" bestFit="1" customWidth="1"/>
    <col min="13844" max="14081" width="9" style="5"/>
    <col min="14082" max="14082" width="3.125" style="5" customWidth="1"/>
    <col min="14083" max="14083" width="7.5" style="5" customWidth="1"/>
    <col min="14084" max="14084" width="22" style="5" bestFit="1" customWidth="1"/>
    <col min="14085" max="14085" width="18.625" style="5" customWidth="1"/>
    <col min="14086" max="14086" width="17" style="5" customWidth="1"/>
    <col min="14087" max="14087" width="18.125" style="5" customWidth="1"/>
    <col min="14088" max="14088" width="14.625" style="5" customWidth="1"/>
    <col min="14089" max="14089" width="18" style="5" customWidth="1"/>
    <col min="14090" max="14091" width="19.125" style="5" customWidth="1"/>
    <col min="14092" max="14092" width="17.125" style="5" bestFit="1" customWidth="1"/>
    <col min="14093" max="14093" width="12.875" style="5" bestFit="1" customWidth="1"/>
    <col min="14094" max="14094" width="7.5" style="5" bestFit="1" customWidth="1"/>
    <col min="14095" max="14095" width="14.375" style="5" customWidth="1"/>
    <col min="14096" max="14096" width="17" style="5" customWidth="1"/>
    <col min="14097" max="14097" width="15.125" style="5" customWidth="1"/>
    <col min="14098" max="14098" width="9" style="5" bestFit="1" customWidth="1"/>
    <col min="14099" max="14099" width="9.125" style="5" bestFit="1" customWidth="1"/>
    <col min="14100" max="14337" width="9" style="5"/>
    <col min="14338" max="14338" width="3.125" style="5" customWidth="1"/>
    <col min="14339" max="14339" width="7.5" style="5" customWidth="1"/>
    <col min="14340" max="14340" width="22" style="5" bestFit="1" customWidth="1"/>
    <col min="14341" max="14341" width="18.625" style="5" customWidth="1"/>
    <col min="14342" max="14342" width="17" style="5" customWidth="1"/>
    <col min="14343" max="14343" width="18.125" style="5" customWidth="1"/>
    <col min="14344" max="14344" width="14.625" style="5" customWidth="1"/>
    <col min="14345" max="14345" width="18" style="5" customWidth="1"/>
    <col min="14346" max="14347" width="19.125" style="5" customWidth="1"/>
    <col min="14348" max="14348" width="17.125" style="5" bestFit="1" customWidth="1"/>
    <col min="14349" max="14349" width="12.875" style="5" bestFit="1" customWidth="1"/>
    <col min="14350" max="14350" width="7.5" style="5" bestFit="1" customWidth="1"/>
    <col min="14351" max="14351" width="14.375" style="5" customWidth="1"/>
    <col min="14352" max="14352" width="17" style="5" customWidth="1"/>
    <col min="14353" max="14353" width="15.125" style="5" customWidth="1"/>
    <col min="14354" max="14354" width="9" style="5" bestFit="1" customWidth="1"/>
    <col min="14355" max="14355" width="9.125" style="5" bestFit="1" customWidth="1"/>
    <col min="14356" max="14593" width="9" style="5"/>
    <col min="14594" max="14594" width="3.125" style="5" customWidth="1"/>
    <col min="14595" max="14595" width="7.5" style="5" customWidth="1"/>
    <col min="14596" max="14596" width="22" style="5" bestFit="1" customWidth="1"/>
    <col min="14597" max="14597" width="18.625" style="5" customWidth="1"/>
    <col min="14598" max="14598" width="17" style="5" customWidth="1"/>
    <col min="14599" max="14599" width="18.125" style="5" customWidth="1"/>
    <col min="14600" max="14600" width="14.625" style="5" customWidth="1"/>
    <col min="14601" max="14601" width="18" style="5" customWidth="1"/>
    <col min="14602" max="14603" width="19.125" style="5" customWidth="1"/>
    <col min="14604" max="14604" width="17.125" style="5" bestFit="1" customWidth="1"/>
    <col min="14605" max="14605" width="12.875" style="5" bestFit="1" customWidth="1"/>
    <col min="14606" max="14606" width="7.5" style="5" bestFit="1" customWidth="1"/>
    <col min="14607" max="14607" width="14.375" style="5" customWidth="1"/>
    <col min="14608" max="14608" width="17" style="5" customWidth="1"/>
    <col min="14609" max="14609" width="15.125" style="5" customWidth="1"/>
    <col min="14610" max="14610" width="9" style="5" bestFit="1" customWidth="1"/>
    <col min="14611" max="14611" width="9.125" style="5" bestFit="1" customWidth="1"/>
    <col min="14612" max="14849" width="9" style="5"/>
    <col min="14850" max="14850" width="3.125" style="5" customWidth="1"/>
    <col min="14851" max="14851" width="7.5" style="5" customWidth="1"/>
    <col min="14852" max="14852" width="22" style="5" bestFit="1" customWidth="1"/>
    <col min="14853" max="14853" width="18.625" style="5" customWidth="1"/>
    <col min="14854" max="14854" width="17" style="5" customWidth="1"/>
    <col min="14855" max="14855" width="18.125" style="5" customWidth="1"/>
    <col min="14856" max="14856" width="14.625" style="5" customWidth="1"/>
    <col min="14857" max="14857" width="18" style="5" customWidth="1"/>
    <col min="14858" max="14859" width="19.125" style="5" customWidth="1"/>
    <col min="14860" max="14860" width="17.125" style="5" bestFit="1" customWidth="1"/>
    <col min="14861" max="14861" width="12.875" style="5" bestFit="1" customWidth="1"/>
    <col min="14862" max="14862" width="7.5" style="5" bestFit="1" customWidth="1"/>
    <col min="14863" max="14863" width="14.375" style="5" customWidth="1"/>
    <col min="14864" max="14864" width="17" style="5" customWidth="1"/>
    <col min="14865" max="14865" width="15.125" style="5" customWidth="1"/>
    <col min="14866" max="14866" width="9" style="5" bestFit="1" customWidth="1"/>
    <col min="14867" max="14867" width="9.125" style="5" bestFit="1" customWidth="1"/>
    <col min="14868" max="15105" width="9" style="5"/>
    <col min="15106" max="15106" width="3.125" style="5" customWidth="1"/>
    <col min="15107" max="15107" width="7.5" style="5" customWidth="1"/>
    <col min="15108" max="15108" width="22" style="5" bestFit="1" customWidth="1"/>
    <col min="15109" max="15109" width="18.625" style="5" customWidth="1"/>
    <col min="15110" max="15110" width="17" style="5" customWidth="1"/>
    <col min="15111" max="15111" width="18.125" style="5" customWidth="1"/>
    <col min="15112" max="15112" width="14.625" style="5" customWidth="1"/>
    <col min="15113" max="15113" width="18" style="5" customWidth="1"/>
    <col min="15114" max="15115" width="19.125" style="5" customWidth="1"/>
    <col min="15116" max="15116" width="17.125" style="5" bestFit="1" customWidth="1"/>
    <col min="15117" max="15117" width="12.875" style="5" bestFit="1" customWidth="1"/>
    <col min="15118" max="15118" width="7.5" style="5" bestFit="1" customWidth="1"/>
    <col min="15119" max="15119" width="14.375" style="5" customWidth="1"/>
    <col min="15120" max="15120" width="17" style="5" customWidth="1"/>
    <col min="15121" max="15121" width="15.125" style="5" customWidth="1"/>
    <col min="15122" max="15122" width="9" style="5" bestFit="1" customWidth="1"/>
    <col min="15123" max="15123" width="9.125" style="5" bestFit="1" customWidth="1"/>
    <col min="15124" max="15361" width="9" style="5"/>
    <col min="15362" max="15362" width="3.125" style="5" customWidth="1"/>
    <col min="15363" max="15363" width="7.5" style="5" customWidth="1"/>
    <col min="15364" max="15364" width="22" style="5" bestFit="1" customWidth="1"/>
    <col min="15365" max="15365" width="18.625" style="5" customWidth="1"/>
    <col min="15366" max="15366" width="17" style="5" customWidth="1"/>
    <col min="15367" max="15367" width="18.125" style="5" customWidth="1"/>
    <col min="15368" max="15368" width="14.625" style="5" customWidth="1"/>
    <col min="15369" max="15369" width="18" style="5" customWidth="1"/>
    <col min="15370" max="15371" width="19.125" style="5" customWidth="1"/>
    <col min="15372" max="15372" width="17.125" style="5" bestFit="1" customWidth="1"/>
    <col min="15373" max="15373" width="12.875" style="5" bestFit="1" customWidth="1"/>
    <col min="15374" max="15374" width="7.5" style="5" bestFit="1" customWidth="1"/>
    <col min="15375" max="15375" width="14.375" style="5" customWidth="1"/>
    <col min="15376" max="15376" width="17" style="5" customWidth="1"/>
    <col min="15377" max="15377" width="15.125" style="5" customWidth="1"/>
    <col min="15378" max="15378" width="9" style="5" bestFit="1" customWidth="1"/>
    <col min="15379" max="15379" width="9.125" style="5" bestFit="1" customWidth="1"/>
    <col min="15380" max="15617" width="9" style="5"/>
    <col min="15618" max="15618" width="3.125" style="5" customWidth="1"/>
    <col min="15619" max="15619" width="7.5" style="5" customWidth="1"/>
    <col min="15620" max="15620" width="22" style="5" bestFit="1" customWidth="1"/>
    <col min="15621" max="15621" width="18.625" style="5" customWidth="1"/>
    <col min="15622" max="15622" width="17" style="5" customWidth="1"/>
    <col min="15623" max="15623" width="18.125" style="5" customWidth="1"/>
    <col min="15624" max="15624" width="14.625" style="5" customWidth="1"/>
    <col min="15625" max="15625" width="18" style="5" customWidth="1"/>
    <col min="15626" max="15627" width="19.125" style="5" customWidth="1"/>
    <col min="15628" max="15628" width="17.125" style="5" bestFit="1" customWidth="1"/>
    <col min="15629" max="15629" width="12.875" style="5" bestFit="1" customWidth="1"/>
    <col min="15630" max="15630" width="7.5" style="5" bestFit="1" customWidth="1"/>
    <col min="15631" max="15631" width="14.375" style="5" customWidth="1"/>
    <col min="15632" max="15632" width="17" style="5" customWidth="1"/>
    <col min="15633" max="15633" width="15.125" style="5" customWidth="1"/>
    <col min="15634" max="15634" width="9" style="5" bestFit="1" customWidth="1"/>
    <col min="15635" max="15635" width="9.125" style="5" bestFit="1" customWidth="1"/>
    <col min="15636" max="15873" width="9" style="5"/>
    <col min="15874" max="15874" width="3.125" style="5" customWidth="1"/>
    <col min="15875" max="15875" width="7.5" style="5" customWidth="1"/>
    <col min="15876" max="15876" width="22" style="5" bestFit="1" customWidth="1"/>
    <col min="15877" max="15877" width="18.625" style="5" customWidth="1"/>
    <col min="15878" max="15878" width="17" style="5" customWidth="1"/>
    <col min="15879" max="15879" width="18.125" style="5" customWidth="1"/>
    <col min="15880" max="15880" width="14.625" style="5" customWidth="1"/>
    <col min="15881" max="15881" width="18" style="5" customWidth="1"/>
    <col min="15882" max="15883" width="19.125" style="5" customWidth="1"/>
    <col min="15884" max="15884" width="17.125" style="5" bestFit="1" customWidth="1"/>
    <col min="15885" max="15885" width="12.875" style="5" bestFit="1" customWidth="1"/>
    <col min="15886" max="15886" width="7.5" style="5" bestFit="1" customWidth="1"/>
    <col min="15887" max="15887" width="14.375" style="5" customWidth="1"/>
    <col min="15888" max="15888" width="17" style="5" customWidth="1"/>
    <col min="15889" max="15889" width="15.125" style="5" customWidth="1"/>
    <col min="15890" max="15890" width="9" style="5" bestFit="1" customWidth="1"/>
    <col min="15891" max="15891" width="9.125" style="5" bestFit="1" customWidth="1"/>
    <col min="15892" max="16129" width="9" style="5"/>
    <col min="16130" max="16130" width="3.125" style="5" customWidth="1"/>
    <col min="16131" max="16131" width="7.5" style="5" customWidth="1"/>
    <col min="16132" max="16132" width="22" style="5" bestFit="1" customWidth="1"/>
    <col min="16133" max="16133" width="18.625" style="5" customWidth="1"/>
    <col min="16134" max="16134" width="17" style="5" customWidth="1"/>
    <col min="16135" max="16135" width="18.125" style="5" customWidth="1"/>
    <col min="16136" max="16136" width="14.625" style="5" customWidth="1"/>
    <col min="16137" max="16137" width="18" style="5" customWidth="1"/>
    <col min="16138" max="16139" width="19.125" style="5" customWidth="1"/>
    <col min="16140" max="16140" width="17.125" style="5" bestFit="1" customWidth="1"/>
    <col min="16141" max="16141" width="12.875" style="5" bestFit="1" customWidth="1"/>
    <col min="16142" max="16142" width="7.5" style="5" bestFit="1" customWidth="1"/>
    <col min="16143" max="16143" width="14.375" style="5" customWidth="1"/>
    <col min="16144" max="16144" width="17" style="5" customWidth="1"/>
    <col min="16145" max="16145" width="15.125" style="5" customWidth="1"/>
    <col min="16146" max="16146" width="9" style="5" bestFit="1" customWidth="1"/>
    <col min="16147" max="16147" width="9.125" style="5" bestFit="1" customWidth="1"/>
    <col min="16148" max="16384" width="9" style="5"/>
  </cols>
  <sheetData>
    <row r="1" spans="1:19" ht="14.25" thickBot="1">
      <c r="A1" s="14"/>
      <c r="B1" s="13"/>
    </row>
    <row r="2" spans="1:19" s="11" customFormat="1" ht="27" thickBot="1">
      <c r="A2" s="12"/>
      <c r="B2" s="134" t="s">
        <v>1403</v>
      </c>
      <c r="C2" s="135" t="s">
        <v>1426</v>
      </c>
      <c r="F2" s="122" t="s">
        <v>1401</v>
      </c>
      <c r="R2" s="2"/>
    </row>
    <row r="4" spans="1:19">
      <c r="B4" s="13" t="s">
        <v>427</v>
      </c>
    </row>
    <row r="5" spans="1:19" s="95" customFormat="1" ht="14.25" thickBot="1">
      <c r="B5" s="127" t="s">
        <v>410</v>
      </c>
      <c r="C5" s="127" t="s">
        <v>405</v>
      </c>
      <c r="D5" s="127"/>
      <c r="E5" s="127" t="s">
        <v>406</v>
      </c>
      <c r="F5" s="127" t="s">
        <v>407</v>
      </c>
      <c r="G5" s="127" t="s">
        <v>62</v>
      </c>
      <c r="H5" s="127" t="s">
        <v>275</v>
      </c>
      <c r="S5" s="111"/>
    </row>
    <row r="6" spans="1:19" s="95" customFormat="1">
      <c r="B6" s="126">
        <f>RoS!B26</f>
        <v>45195</v>
      </c>
      <c r="C6" s="95" t="str">
        <f>RoS!C26</f>
        <v>ULTRAV 
HONGKONG 
 LIMITED</v>
      </c>
      <c r="E6" s="95">
        <f>RoS!D26</f>
        <v>1000000</v>
      </c>
      <c r="F6" s="411">
        <f>E6/$E$10</f>
        <v>1</v>
      </c>
      <c r="G6" s="98">
        <f>ROUND($G$10*F6,)</f>
        <v>172100000</v>
      </c>
      <c r="H6" s="117"/>
      <c r="S6" s="111"/>
    </row>
    <row r="7" spans="1:19" s="95" customFormat="1">
      <c r="C7" s="95">
        <f>RoS!C27</f>
        <v>0</v>
      </c>
      <c r="E7" s="95">
        <f>RoS!D27</f>
        <v>0</v>
      </c>
      <c r="F7" s="411">
        <f>E7/$E$10</f>
        <v>0</v>
      </c>
      <c r="G7" s="98">
        <f>ROUND($G$10*F7,)</f>
        <v>0</v>
      </c>
      <c r="H7" s="117"/>
      <c r="S7" s="111"/>
    </row>
    <row r="8" spans="1:19" s="95" customFormat="1">
      <c r="C8" s="95">
        <f>RoS!C28</f>
        <v>0</v>
      </c>
      <c r="E8" s="95">
        <f>RoS!D28</f>
        <v>0</v>
      </c>
      <c r="F8" s="411">
        <f>E8/$E$10</f>
        <v>0</v>
      </c>
      <c r="G8" s="98">
        <f>ROUND($G$10*F8,)</f>
        <v>0</v>
      </c>
      <c r="H8" s="112"/>
      <c r="S8" s="111"/>
    </row>
    <row r="9" spans="1:19" s="95" customFormat="1">
      <c r="C9" s="95">
        <f>RoS!C29</f>
        <v>0</v>
      </c>
      <c r="E9" s="95">
        <f>RoS!D29</f>
        <v>0</v>
      </c>
      <c r="F9" s="411">
        <f>E9/$E$10</f>
        <v>0</v>
      </c>
      <c r="G9" s="98">
        <f>ROUND($G$10*F9,)</f>
        <v>0</v>
      </c>
      <c r="H9" s="112"/>
      <c r="S9" s="111"/>
    </row>
    <row r="10" spans="1:19" s="95" customFormat="1" ht="14.25" thickBot="1">
      <c r="B10" s="2007" t="s">
        <v>142</v>
      </c>
      <c r="C10" s="2007"/>
      <c r="D10" s="2007"/>
      <c r="E10" s="115">
        <f>SUM(E6:E9)</f>
        <v>1000000</v>
      </c>
      <c r="F10" s="116">
        <f>SUM(F6:F9)</f>
        <v>1</v>
      </c>
      <c r="G10" s="115">
        <f>BS!K123</f>
        <v>172100000</v>
      </c>
      <c r="H10" s="116"/>
      <c r="S10" s="111"/>
    </row>
    <row r="11" spans="1:19" s="95" customFormat="1" ht="14.25" thickTop="1">
      <c r="B11" s="118"/>
      <c r="C11" s="118"/>
      <c r="D11" s="118"/>
      <c r="E11" s="119"/>
      <c r="F11" s="120"/>
      <c r="G11" s="120"/>
      <c r="R11" s="111"/>
    </row>
    <row r="12" spans="1:19" s="95" customFormat="1" ht="14.25" thickBot="1">
      <c r="B12" s="127"/>
      <c r="C12" s="127" t="s">
        <v>1423</v>
      </c>
      <c r="D12" s="127" t="s">
        <v>109</v>
      </c>
      <c r="R12" s="111"/>
    </row>
    <row r="13" spans="1:19" s="95" customFormat="1">
      <c r="B13" s="138" t="s">
        <v>407</v>
      </c>
      <c r="C13" s="402">
        <f>RoS!N28</f>
        <v>1</v>
      </c>
      <c r="D13" s="137">
        <f>1-C13</f>
        <v>0</v>
      </c>
      <c r="R13" s="111"/>
    </row>
    <row r="14" spans="1:19" s="95" customFormat="1">
      <c r="R14" s="111"/>
    </row>
    <row r="15" spans="1:19" s="95" customFormat="1">
      <c r="R15" s="111"/>
    </row>
    <row r="16" spans="1:19" s="95" customFormat="1">
      <c r="B16" s="119" t="s">
        <v>428</v>
      </c>
      <c r="R16" s="111"/>
    </row>
    <row r="17" spans="2:18" s="95" customFormat="1" ht="14.25" thickBot="1">
      <c r="B17" s="128" t="s">
        <v>1415</v>
      </c>
      <c r="C17" s="128" t="s">
        <v>414</v>
      </c>
      <c r="D17" s="128" t="s">
        <v>413</v>
      </c>
      <c r="R17" s="111"/>
    </row>
    <row r="18" spans="2:18" s="95" customFormat="1">
      <c r="B18" s="123">
        <v>43100</v>
      </c>
      <c r="C18" s="312">
        <v>145.13</v>
      </c>
      <c r="D18" s="312">
        <v>137.07</v>
      </c>
      <c r="R18" s="111"/>
    </row>
    <row r="19" spans="2:18" s="95" customFormat="1">
      <c r="B19" s="123">
        <v>43465</v>
      </c>
      <c r="C19" s="312">
        <v>140.38</v>
      </c>
      <c r="D19" s="312">
        <v>142.77000000000001</v>
      </c>
      <c r="R19" s="111"/>
    </row>
    <row r="20" spans="2:18" s="95" customFormat="1">
      <c r="B20" s="123">
        <v>43830</v>
      </c>
      <c r="C20" s="312">
        <v>148.78</v>
      </c>
      <c r="D20" s="312">
        <v>148.66</v>
      </c>
      <c r="R20" s="111"/>
    </row>
    <row r="21" spans="2:18" s="95" customFormat="1">
      <c r="B21" s="123">
        <v>44196</v>
      </c>
      <c r="C21" s="312">
        <v>152.13999999999999</v>
      </c>
      <c r="D21" s="312">
        <v>140.35</v>
      </c>
      <c r="R21" s="111"/>
    </row>
    <row r="22" spans="2:18" s="95" customFormat="1">
      <c r="B22" s="123">
        <v>44561</v>
      </c>
      <c r="C22" s="312">
        <v>147.22999999999999</v>
      </c>
      <c r="D22" s="312">
        <v>152.03</v>
      </c>
      <c r="R22" s="111"/>
    </row>
    <row r="23" spans="2:18" s="95" customFormat="1">
      <c r="B23" s="123">
        <v>44926</v>
      </c>
      <c r="C23" s="312">
        <v>164.98</v>
      </c>
      <c r="D23" s="312">
        <v>162.55000000000001</v>
      </c>
      <c r="R23" s="111"/>
    </row>
    <row r="24" spans="2:18" s="95" customFormat="1">
      <c r="B24" s="123">
        <v>45291</v>
      </c>
      <c r="C24" s="312">
        <v>166.75</v>
      </c>
      <c r="D24" s="312">
        <v>165.06</v>
      </c>
      <c r="R24" s="111"/>
    </row>
    <row r="25" spans="2:18" s="95" customFormat="1">
      <c r="B25" s="123">
        <v>45657</v>
      </c>
      <c r="C25" s="312">
        <v>174.81</v>
      </c>
      <c r="D25" s="312">
        <v>189.3</v>
      </c>
      <c r="R25" s="111"/>
    </row>
    <row r="26" spans="2:18" s="95" customFormat="1">
      <c r="B26" s="123">
        <v>46022</v>
      </c>
      <c r="C26" s="312">
        <v>182.44</v>
      </c>
      <c r="D26" s="312">
        <v>184.41</v>
      </c>
      <c r="R26" s="111"/>
    </row>
    <row r="27" spans="2:18" s="95" customFormat="1">
      <c r="B27" s="123">
        <v>46203</v>
      </c>
      <c r="C27" s="312">
        <f>환율!C6</f>
        <v>189.66</v>
      </c>
      <c r="D27" s="312">
        <f>환율!C7</f>
        <v>196.6</v>
      </c>
      <c r="R27" s="111"/>
    </row>
    <row r="28" spans="2:18" s="95" customFormat="1">
      <c r="R28" s="111"/>
    </row>
    <row r="29" spans="2:18" s="95" customFormat="1">
      <c r="R29" s="111"/>
    </row>
    <row r="30" spans="2:18" s="95" customFormat="1">
      <c r="B30" s="119" t="s">
        <v>429</v>
      </c>
      <c r="R30" s="111"/>
    </row>
    <row r="31" spans="2:18" s="95" customFormat="1">
      <c r="B31" s="119"/>
      <c r="R31" s="111"/>
    </row>
    <row r="32" spans="2:18" s="95" customFormat="1">
      <c r="B32" s="119" t="s">
        <v>1416</v>
      </c>
      <c r="R32" s="111"/>
    </row>
    <row r="33" spans="2:18" s="113" customFormat="1" ht="14.25" thickBot="1">
      <c r="B33" s="128" t="s">
        <v>410</v>
      </c>
      <c r="C33" s="128" t="s">
        <v>423</v>
      </c>
      <c r="D33" s="128" t="s">
        <v>141</v>
      </c>
      <c r="E33" s="128" t="s">
        <v>417</v>
      </c>
      <c r="F33" s="128" t="s">
        <v>424</v>
      </c>
      <c r="G33" s="128" t="s">
        <v>421</v>
      </c>
      <c r="H33" s="128" t="s">
        <v>411</v>
      </c>
      <c r="I33" s="128" t="s">
        <v>412</v>
      </c>
      <c r="J33" s="128" t="s">
        <v>416</v>
      </c>
      <c r="K33" s="128" t="s">
        <v>241</v>
      </c>
      <c r="L33" s="95"/>
      <c r="M33" s="95"/>
    </row>
    <row r="34" spans="2:18" s="113" customFormat="1">
      <c r="B34" s="130" t="s">
        <v>1425</v>
      </c>
      <c r="C34" s="130"/>
      <c r="D34" s="131">
        <v>1000000</v>
      </c>
      <c r="E34" s="131">
        <v>0</v>
      </c>
      <c r="F34" s="131"/>
      <c r="G34" s="131">
        <v>0</v>
      </c>
      <c r="H34" s="131"/>
      <c r="I34" s="131"/>
      <c r="J34" s="131"/>
      <c r="K34" s="130"/>
      <c r="L34" s="95"/>
      <c r="M34" s="95"/>
    </row>
    <row r="35" spans="2:18" s="113" customFormat="1">
      <c r="C35" s="113" t="s">
        <v>148</v>
      </c>
      <c r="D35" s="124"/>
      <c r="E35" s="124"/>
      <c r="F35" s="124"/>
      <c r="G35" s="124">
        <v>-654956.75</v>
      </c>
      <c r="H35" s="124"/>
      <c r="I35" s="124"/>
      <c r="J35" s="124"/>
      <c r="L35" s="95"/>
      <c r="M35" s="95"/>
    </row>
    <row r="36" spans="2:18" s="113" customFormat="1">
      <c r="C36" s="113" t="s">
        <v>375</v>
      </c>
      <c r="D36" s="124"/>
      <c r="E36" s="124"/>
      <c r="F36" s="124"/>
      <c r="G36" s="124"/>
      <c r="H36" s="124"/>
      <c r="I36" s="124"/>
      <c r="J36" s="124"/>
      <c r="L36" s="95"/>
      <c r="M36" s="95"/>
    </row>
    <row r="37" spans="2:18" s="95" customFormat="1">
      <c r="B37" s="132">
        <v>45291</v>
      </c>
      <c r="C37" s="133"/>
      <c r="D37" s="133">
        <f>SUM(D34:D36)</f>
        <v>1000000</v>
      </c>
      <c r="E37" s="133">
        <f t="shared" ref="E37:G37" si="0">SUM(E34:E36)</f>
        <v>0</v>
      </c>
      <c r="F37" s="133">
        <f t="shared" si="0"/>
        <v>0</v>
      </c>
      <c r="G37" s="133">
        <f t="shared" si="0"/>
        <v>-654956.75</v>
      </c>
      <c r="H37" s="131">
        <v>2682364.2999999998</v>
      </c>
      <c r="I37" s="131">
        <v>2337321.0499999998</v>
      </c>
      <c r="J37" s="131">
        <f>H37-I37</f>
        <v>345043.25</v>
      </c>
      <c r="K37" s="401">
        <f>SUM(D37:G37)-J37</f>
        <v>0</v>
      </c>
    </row>
    <row r="38" spans="2:18" s="95" customFormat="1">
      <c r="B38" s="126"/>
      <c r="C38" s="113" t="s">
        <v>148</v>
      </c>
      <c r="D38" s="124"/>
      <c r="E38" s="124"/>
      <c r="F38" s="124"/>
      <c r="G38" s="124">
        <v>-4155338.2300000004</v>
      </c>
      <c r="H38" s="124"/>
      <c r="I38" s="124"/>
      <c r="J38" s="124"/>
    </row>
    <row r="39" spans="2:18" s="95" customFormat="1">
      <c r="B39" s="126"/>
      <c r="C39" s="113" t="s">
        <v>2582</v>
      </c>
      <c r="D39" s="124"/>
      <c r="E39" s="124"/>
      <c r="F39" s="124"/>
      <c r="G39" s="124">
        <v>-7103.5</v>
      </c>
      <c r="H39" s="124"/>
      <c r="I39" s="124"/>
      <c r="J39" s="124"/>
    </row>
    <row r="40" spans="2:18" s="95" customFormat="1">
      <c r="B40" s="126"/>
      <c r="C40" s="113" t="s">
        <v>375</v>
      </c>
      <c r="D40" s="124"/>
      <c r="E40" s="124"/>
      <c r="F40" s="124"/>
      <c r="G40" s="124"/>
      <c r="H40" s="124"/>
      <c r="I40" s="124"/>
      <c r="J40" s="124"/>
    </row>
    <row r="41" spans="2:18" s="95" customFormat="1">
      <c r="B41" s="132">
        <v>45657</v>
      </c>
      <c r="C41" s="133"/>
      <c r="D41" s="133">
        <f>SUM(D37:D40)</f>
        <v>1000000</v>
      </c>
      <c r="E41" s="133">
        <f>SUM(E37:E40)</f>
        <v>0</v>
      </c>
      <c r="F41" s="133">
        <f>SUM(F37:F40)</f>
        <v>0</v>
      </c>
      <c r="G41" s="133">
        <f>SUM(G37:G40)</f>
        <v>-4817398.4800000004</v>
      </c>
      <c r="H41" s="131">
        <v>3697228.84</v>
      </c>
      <c r="I41" s="131">
        <v>7514627.3200000003</v>
      </c>
      <c r="J41" s="1092">
        <f>H41-I41</f>
        <v>-3817398.4800000004</v>
      </c>
      <c r="K41" s="133">
        <f>SUM(D41:G41)-J41</f>
        <v>0</v>
      </c>
    </row>
    <row r="42" spans="2:18" s="95" customFormat="1">
      <c r="C42" s="113" t="s">
        <v>148</v>
      </c>
      <c r="D42" s="124"/>
      <c r="E42" s="124"/>
      <c r="F42" s="124"/>
      <c r="G42" s="124">
        <v>-2240064.4700000007</v>
      </c>
      <c r="H42" s="124"/>
      <c r="I42" s="124"/>
      <c r="J42" s="124"/>
      <c r="K42" s="124"/>
    </row>
    <row r="43" spans="2:18" s="95" customFormat="1">
      <c r="B43" s="126"/>
      <c r="C43" s="113" t="s">
        <v>375</v>
      </c>
      <c r="D43" s="124"/>
      <c r="E43" s="124"/>
      <c r="F43" s="124"/>
      <c r="G43" s="124"/>
      <c r="H43" s="124"/>
      <c r="I43" s="124"/>
      <c r="J43" s="124"/>
      <c r="K43" s="124"/>
      <c r="N43" s="124"/>
      <c r="O43" s="124"/>
      <c r="P43" s="124"/>
      <c r="Q43" s="124"/>
      <c r="R43" s="125"/>
    </row>
    <row r="44" spans="2:18" s="95" customFormat="1">
      <c r="B44" s="132">
        <f>B26</f>
        <v>46022</v>
      </c>
      <c r="C44" s="133"/>
      <c r="D44" s="133">
        <f>SUM(D41:D43)</f>
        <v>1000000</v>
      </c>
      <c r="E44" s="133">
        <f>SUM(E41:E43)</f>
        <v>0</v>
      </c>
      <c r="F44" s="133">
        <f>SUM(F41:F43)</f>
        <v>0</v>
      </c>
      <c r="G44" s="133">
        <f>SUM(G41:G43)</f>
        <v>-7057462.9500000011</v>
      </c>
      <c r="H44" s="131">
        <v>2214201.1399999997</v>
      </c>
      <c r="I44" s="131">
        <v>8271664.1899999995</v>
      </c>
      <c r="J44" s="131">
        <f>H44-I44</f>
        <v>-6057463.0499999998</v>
      </c>
      <c r="K44" s="133">
        <f>SUM(D44:G44)-J44</f>
        <v>9.9999998696148396E-2</v>
      </c>
      <c r="N44" s="124"/>
      <c r="O44" s="124"/>
      <c r="P44" s="124"/>
      <c r="Q44" s="124"/>
      <c r="R44" s="125"/>
    </row>
    <row r="45" spans="2:18" s="95" customFormat="1">
      <c r="C45" s="113" t="s">
        <v>148</v>
      </c>
      <c r="D45" s="124"/>
      <c r="E45" s="124"/>
      <c r="F45" s="124"/>
      <c r="G45" s="124">
        <f>DHK_PL!G84</f>
        <v>-511393.05999999994</v>
      </c>
      <c r="H45" s="124"/>
      <c r="I45" s="124"/>
      <c r="J45" s="124"/>
      <c r="K45" s="124"/>
    </row>
    <row r="46" spans="2:18" s="95" customFormat="1">
      <c r="B46" s="126"/>
      <c r="C46" s="113" t="s">
        <v>375</v>
      </c>
      <c r="D46" s="124"/>
      <c r="E46" s="124"/>
      <c r="F46" s="124"/>
      <c r="G46" s="124"/>
      <c r="H46" s="124"/>
      <c r="I46" s="124"/>
      <c r="J46" s="124"/>
      <c r="K46" s="124"/>
      <c r="N46" s="124"/>
      <c r="O46" s="124"/>
      <c r="P46" s="124"/>
      <c r="Q46" s="124"/>
      <c r="R46" s="125"/>
    </row>
    <row r="47" spans="2:18" s="95" customFormat="1">
      <c r="B47" s="132">
        <f>B27</f>
        <v>46203</v>
      </c>
      <c r="C47" s="133"/>
      <c r="D47" s="133">
        <f>SUM(D44:D46)</f>
        <v>1000000</v>
      </c>
      <c r="E47" s="133">
        <f>SUM(E44:E46)</f>
        <v>0</v>
      </c>
      <c r="F47" s="133">
        <f>SUM(F44:F46)</f>
        <v>0</v>
      </c>
      <c r="G47" s="133">
        <f>SUM(G44:G46)</f>
        <v>-7568856.0100000007</v>
      </c>
      <c r="H47" s="131">
        <f>DHK_BS!G5</f>
        <v>1822146.4699999997</v>
      </c>
      <c r="I47" s="131">
        <f>DHK_BS!G75</f>
        <v>8391002.5800000001</v>
      </c>
      <c r="J47" s="131">
        <f>H47-I47</f>
        <v>-6568856.1100000003</v>
      </c>
      <c r="K47" s="133">
        <f>SUM(D47:G47)-J47</f>
        <v>9.999999962747097E-2</v>
      </c>
      <c r="N47" s="124"/>
      <c r="O47" s="124"/>
      <c r="P47" s="124"/>
      <c r="Q47" s="124"/>
      <c r="R47" s="125"/>
    </row>
    <row r="48" spans="2:18" s="95" customFormat="1">
      <c r="B48" s="123"/>
      <c r="C48" s="124"/>
      <c r="D48" s="124"/>
      <c r="E48" s="124"/>
      <c r="F48" s="124"/>
      <c r="G48" s="124"/>
      <c r="H48" s="124"/>
      <c r="I48" s="124"/>
      <c r="J48" s="124"/>
      <c r="K48" s="124"/>
      <c r="N48" s="124"/>
      <c r="O48" s="124"/>
      <c r="P48" s="124"/>
      <c r="Q48" s="124"/>
      <c r="R48" s="125"/>
    </row>
    <row r="49" spans="2:18" s="95" customFormat="1">
      <c r="B49" s="123"/>
      <c r="C49" s="124"/>
      <c r="D49" s="124"/>
      <c r="E49" s="124"/>
      <c r="F49" s="124"/>
      <c r="G49" s="124"/>
      <c r="H49" s="124"/>
      <c r="I49" s="124"/>
      <c r="J49" s="124"/>
      <c r="K49" s="124"/>
      <c r="N49" s="124"/>
      <c r="O49" s="124"/>
      <c r="P49" s="124"/>
      <c r="Q49" s="124"/>
      <c r="R49" s="125"/>
    </row>
    <row r="50" spans="2:18" s="95" customFormat="1">
      <c r="B50" s="123"/>
      <c r="C50" s="124"/>
      <c r="D50" s="124"/>
      <c r="E50" s="124"/>
      <c r="F50" s="124"/>
      <c r="G50" s="124"/>
      <c r="H50" s="124"/>
      <c r="I50" s="124"/>
      <c r="J50" s="124"/>
      <c r="K50" s="124"/>
      <c r="N50" s="124"/>
      <c r="O50" s="124"/>
      <c r="P50" s="124"/>
      <c r="Q50" s="124"/>
      <c r="R50" s="125"/>
    </row>
    <row r="51" spans="2:18" s="95" customFormat="1">
      <c r="B51" s="136" t="s">
        <v>437</v>
      </c>
      <c r="C51" s="124"/>
      <c r="D51" s="124"/>
      <c r="E51" s="124"/>
      <c r="F51" s="124"/>
      <c r="G51" s="124"/>
      <c r="H51" s="124"/>
      <c r="I51" s="124"/>
      <c r="J51" s="124"/>
      <c r="K51" s="124"/>
      <c r="N51" s="124"/>
      <c r="O51" s="124"/>
      <c r="P51" s="124"/>
      <c r="Q51" s="124"/>
      <c r="R51" s="125"/>
    </row>
    <row r="52" spans="2:18" s="95" customFormat="1" ht="27.75" thickBot="1">
      <c r="B52" s="128" t="s">
        <v>410</v>
      </c>
      <c r="C52" s="128" t="s">
        <v>439</v>
      </c>
      <c r="D52" s="128" t="s">
        <v>440</v>
      </c>
      <c r="E52" s="128" t="s">
        <v>441</v>
      </c>
      <c r="F52" s="128" t="s">
        <v>445</v>
      </c>
      <c r="G52" s="147" t="s">
        <v>443</v>
      </c>
      <c r="H52" s="128" t="s">
        <v>93</v>
      </c>
      <c r="I52" s="128" t="s">
        <v>438</v>
      </c>
      <c r="J52" s="129" t="s">
        <v>425</v>
      </c>
      <c r="K52" s="129" t="s">
        <v>241</v>
      </c>
      <c r="N52" s="124"/>
      <c r="O52" s="124"/>
      <c r="P52" s="124"/>
      <c r="Q52" s="124"/>
      <c r="R52" s="125"/>
    </row>
    <row r="53" spans="2:18" s="95" customFormat="1">
      <c r="B53" s="126">
        <v>45291</v>
      </c>
      <c r="C53" s="124">
        <f>ROUND(H37*VLOOKUP(B53,$B$18:$D$26,3,0),)</f>
        <v>442751051</v>
      </c>
      <c r="D53" s="124">
        <f>ROUND(I37*VLOOKUP(B53,$B$18:$D$26,3,0),)</f>
        <v>385798213</v>
      </c>
      <c r="E53" s="124">
        <f>C53-D53</f>
        <v>56952838</v>
      </c>
      <c r="F53" s="124">
        <f>D65+E65</f>
        <v>172100000</v>
      </c>
      <c r="G53" s="124">
        <f>G62</f>
        <v>0</v>
      </c>
      <c r="H53" s="124">
        <f>ROUND(G35*VLOOKUP(B53,$B$18:$D$29,2,0),)</f>
        <v>-109214038</v>
      </c>
      <c r="I53" s="124">
        <f>SUM(F53:H53)</f>
        <v>62885962</v>
      </c>
      <c r="J53" s="124">
        <f>E53-I53</f>
        <v>-5933124</v>
      </c>
      <c r="K53" s="111">
        <f>C53-D53-(I53+J53)</f>
        <v>0</v>
      </c>
      <c r="L53" s="124"/>
      <c r="M53" s="124"/>
      <c r="N53" s="124"/>
      <c r="O53" s="124"/>
      <c r="P53" s="124"/>
      <c r="Q53" s="124"/>
      <c r="R53" s="125"/>
    </row>
    <row r="54" spans="2:18" s="95" customFormat="1">
      <c r="B54" s="126">
        <v>45657</v>
      </c>
      <c r="C54" s="124">
        <f>ROUND(H41*VLOOKUP(B54,$B$18:$D$26,3,0),)</f>
        <v>699885419</v>
      </c>
      <c r="D54" s="124">
        <f>ROUND(I41*VLOOKUP(B54,$B$18:$D$26,3,0),)</f>
        <v>1422518952</v>
      </c>
      <c r="E54" s="124">
        <f>C54-D54</f>
        <v>-722633533</v>
      </c>
      <c r="F54" s="124">
        <f>D68+E68</f>
        <v>172100000</v>
      </c>
      <c r="G54" s="124">
        <f>G65</f>
        <v>-109214038</v>
      </c>
      <c r="H54" s="124">
        <v>-725556530</v>
      </c>
      <c r="I54" s="124">
        <f>SUM(F54:H54)</f>
        <v>-662670568</v>
      </c>
      <c r="J54" s="124">
        <f>E54-I54</f>
        <v>-59962965</v>
      </c>
      <c r="K54" s="111">
        <f>C54-D54-(I54+J54)</f>
        <v>0</v>
      </c>
      <c r="L54" s="124"/>
      <c r="M54" s="124"/>
      <c r="N54" s="124"/>
      <c r="O54" s="124"/>
      <c r="P54" s="124"/>
      <c r="Q54" s="124"/>
      <c r="R54" s="125"/>
    </row>
    <row r="55" spans="2:18" s="95" customFormat="1">
      <c r="B55" s="126">
        <f>B26</f>
        <v>46022</v>
      </c>
      <c r="C55" s="124">
        <f>ROUND(H44*VLOOKUP(B55,$B$18:$D$26,3,0),)</f>
        <v>408320832</v>
      </c>
      <c r="D55" s="124">
        <f>ROUND(I44*VLOOKUP(B55,$B$18:$D$26,3,0),)</f>
        <v>1525377593</v>
      </c>
      <c r="E55" s="124">
        <f>C55-D55</f>
        <v>-1117056761</v>
      </c>
      <c r="F55" s="124">
        <f>D71+E71</f>
        <v>172100000</v>
      </c>
      <c r="G55" s="124">
        <f>G68</f>
        <v>-834770568</v>
      </c>
      <c r="H55" s="124">
        <v>-409028968</v>
      </c>
      <c r="I55" s="124">
        <f>SUM(F55:H55)</f>
        <v>-1071699536</v>
      </c>
      <c r="J55" s="124">
        <f>E55-I55</f>
        <v>-45357225</v>
      </c>
      <c r="K55" s="111">
        <f>C55-D55-(I55+J55)</f>
        <v>0</v>
      </c>
      <c r="L55" s="124"/>
      <c r="M55" s="124"/>
      <c r="N55" s="124"/>
      <c r="O55" s="124"/>
      <c r="P55" s="124"/>
      <c r="Q55" s="124"/>
      <c r="R55" s="125"/>
    </row>
    <row r="56" spans="2:18" s="95" customFormat="1">
      <c r="B56" s="126">
        <f>B27</f>
        <v>46203</v>
      </c>
      <c r="C56" s="124">
        <f>ROUND(H47*VLOOKUP(B56,$B$18:$D$28,3,0),)</f>
        <v>358233996</v>
      </c>
      <c r="D56" s="124">
        <f>ROUND(I47*VLOOKUP(B56,$B$18:$D$28,3,0),)</f>
        <v>1649671107</v>
      </c>
      <c r="E56" s="124">
        <f>C56-D56</f>
        <v>-1291437111</v>
      </c>
      <c r="F56" s="124">
        <f>D74+E74</f>
        <v>172100000</v>
      </c>
      <c r="G56" s="124">
        <f>G71</f>
        <v>-1243799536</v>
      </c>
      <c r="H56" s="124">
        <f>DHK_PL!H84</f>
        <v>-96926329</v>
      </c>
      <c r="I56" s="124">
        <f>SUM(F56:H56)</f>
        <v>-1168625865</v>
      </c>
      <c r="J56" s="124">
        <f>E56-I56</f>
        <v>-122811246</v>
      </c>
      <c r="K56" s="111">
        <f>C56-D56-(I56+J56)</f>
        <v>0</v>
      </c>
      <c r="L56" s="124"/>
      <c r="M56" s="124"/>
      <c r="N56" s="124"/>
      <c r="O56" s="124"/>
      <c r="P56" s="124"/>
      <c r="Q56" s="124"/>
      <c r="R56" s="125"/>
    </row>
    <row r="57" spans="2:18" s="95" customFormat="1">
      <c r="B57" s="126"/>
      <c r="C57" s="124">
        <f>C56-DHK_BS!H5</f>
        <v>0</v>
      </c>
      <c r="D57" s="124">
        <f>D56-DHK_BS!H75</f>
        <v>0</v>
      </c>
      <c r="E57" s="124"/>
      <c r="F57" s="124"/>
      <c r="G57" s="124"/>
      <c r="H57" s="124"/>
      <c r="I57" s="124"/>
      <c r="J57" s="124"/>
      <c r="K57" s="111"/>
      <c r="L57" s="124"/>
      <c r="M57" s="124"/>
      <c r="N57" s="124"/>
      <c r="O57" s="124"/>
      <c r="P57" s="124"/>
      <c r="Q57" s="124"/>
      <c r="R57" s="125"/>
    </row>
    <row r="58" spans="2:18" s="95" customFormat="1">
      <c r="B58" s="126"/>
      <c r="C58" s="124"/>
      <c r="D58" s="124"/>
      <c r="E58" s="124"/>
      <c r="F58" s="124"/>
      <c r="G58" s="124"/>
      <c r="H58" s="124"/>
      <c r="I58" s="124"/>
      <c r="J58" s="124"/>
      <c r="K58" s="111"/>
      <c r="L58" s="124"/>
      <c r="M58" s="124"/>
      <c r="N58" s="124"/>
      <c r="O58" s="124"/>
      <c r="P58" s="124"/>
      <c r="Q58" s="124"/>
      <c r="R58" s="125"/>
    </row>
    <row r="59" spans="2:18" s="95" customFormat="1">
      <c r="B59" s="123"/>
      <c r="C59" s="124"/>
      <c r="D59" s="124"/>
      <c r="E59" s="124"/>
      <c r="F59" s="124"/>
      <c r="G59" s="124"/>
      <c r="H59" s="124"/>
      <c r="I59" s="124"/>
      <c r="J59" s="124"/>
      <c r="K59" s="124"/>
      <c r="L59" s="124"/>
      <c r="M59" s="124"/>
      <c r="N59" s="124"/>
      <c r="O59" s="124"/>
      <c r="P59" s="124"/>
      <c r="Q59" s="124"/>
      <c r="R59" s="125"/>
    </row>
    <row r="60" spans="2:18" s="95" customFormat="1">
      <c r="B60" s="136" t="s">
        <v>442</v>
      </c>
      <c r="C60" s="124"/>
      <c r="D60" s="124"/>
      <c r="E60" s="124"/>
      <c r="F60" s="124"/>
      <c r="G60" s="124"/>
      <c r="H60" s="124"/>
      <c r="I60" s="124"/>
      <c r="J60" s="124"/>
      <c r="K60" s="124"/>
      <c r="L60" s="124"/>
      <c r="M60" s="124"/>
      <c r="N60" s="124"/>
      <c r="O60" s="124"/>
      <c r="P60" s="124"/>
      <c r="Q60" s="124"/>
      <c r="R60" s="125"/>
    </row>
    <row r="61" spans="2:18" s="95" customFormat="1" ht="14.25" thickBot="1">
      <c r="B61" s="128" t="s">
        <v>410</v>
      </c>
      <c r="C61" s="128" t="s">
        <v>422</v>
      </c>
      <c r="D61" s="128" t="s">
        <v>141</v>
      </c>
      <c r="E61" s="128" t="s">
        <v>417</v>
      </c>
      <c r="F61" s="128" t="s">
        <v>424</v>
      </c>
      <c r="G61" s="128" t="s">
        <v>73</v>
      </c>
      <c r="H61" s="128" t="s">
        <v>416</v>
      </c>
      <c r="I61" s="128" t="s">
        <v>240</v>
      </c>
      <c r="J61" s="111"/>
      <c r="K61" s="124"/>
      <c r="L61" s="124"/>
      <c r="M61" s="124"/>
      <c r="N61" s="124"/>
      <c r="O61" s="124"/>
      <c r="P61" s="125"/>
    </row>
    <row r="62" spans="2:18" s="95" customFormat="1">
      <c r="B62" s="130" t="s">
        <v>1424</v>
      </c>
      <c r="C62" s="130"/>
      <c r="D62" s="131">
        <v>172100000</v>
      </c>
      <c r="E62" s="131">
        <v>0</v>
      </c>
      <c r="F62" s="131">
        <v>0</v>
      </c>
      <c r="G62" s="131">
        <v>0</v>
      </c>
      <c r="H62" s="131">
        <f>SUM(D62:G62)</f>
        <v>172100000</v>
      </c>
      <c r="I62" s="130"/>
      <c r="J62" s="125"/>
      <c r="K62" s="124"/>
      <c r="L62" s="124"/>
      <c r="M62" s="124"/>
      <c r="N62" s="124"/>
      <c r="O62" s="124"/>
      <c r="P62" s="125"/>
    </row>
    <row r="63" spans="2:18" s="95" customFormat="1">
      <c r="B63" s="113"/>
      <c r="C63" s="113" t="s">
        <v>148</v>
      </c>
      <c r="D63" s="124"/>
      <c r="E63" s="124"/>
      <c r="F63" s="124"/>
      <c r="G63" s="124">
        <f>H53</f>
        <v>-109214038</v>
      </c>
      <c r="H63" s="124"/>
      <c r="I63" s="113"/>
      <c r="J63" s="125"/>
      <c r="K63" s="124"/>
      <c r="L63" s="124"/>
      <c r="M63" s="124"/>
      <c r="N63" s="124"/>
      <c r="O63" s="124"/>
      <c r="P63" s="125"/>
    </row>
    <row r="64" spans="2:18" s="95" customFormat="1">
      <c r="B64" s="113"/>
      <c r="C64" s="113" t="s">
        <v>375</v>
      </c>
      <c r="D64" s="124"/>
      <c r="E64" s="124"/>
      <c r="F64" s="124">
        <f>J53-F62</f>
        <v>-5933124</v>
      </c>
      <c r="G64" s="124"/>
      <c r="H64" s="124"/>
      <c r="I64" s="113"/>
      <c r="J64" s="125"/>
      <c r="K64" s="124"/>
      <c r="L64" s="124"/>
      <c r="M64" s="124"/>
      <c r="N64" s="124"/>
      <c r="O64" s="124"/>
      <c r="P64" s="125"/>
    </row>
    <row r="65" spans="2:18" s="95" customFormat="1">
      <c r="B65" s="132">
        <v>45291</v>
      </c>
      <c r="C65" s="133"/>
      <c r="D65" s="133">
        <f>SUM(D62:D64)</f>
        <v>172100000</v>
      </c>
      <c r="E65" s="133">
        <f t="shared" ref="E65:G65" si="1">SUM(E62:E64)</f>
        <v>0</v>
      </c>
      <c r="F65" s="133">
        <f t="shared" si="1"/>
        <v>-5933124</v>
      </c>
      <c r="G65" s="133">
        <f t="shared" si="1"/>
        <v>-109214038</v>
      </c>
      <c r="H65" s="131">
        <f>E53</f>
        <v>56952838</v>
      </c>
      <c r="I65" s="133">
        <f>SUM(D65:G65)-SUM(H65)</f>
        <v>0</v>
      </c>
      <c r="K65" s="124"/>
      <c r="L65" s="124"/>
      <c r="M65" s="124"/>
      <c r="N65" s="124"/>
      <c r="O65" s="124"/>
      <c r="P65" s="125"/>
    </row>
    <row r="66" spans="2:18" s="95" customFormat="1">
      <c r="B66" s="126"/>
      <c r="C66" s="113" t="s">
        <v>148</v>
      </c>
      <c r="D66" s="124"/>
      <c r="E66" s="124"/>
      <c r="G66" s="124">
        <f>H54</f>
        <v>-725556530</v>
      </c>
      <c r="H66" s="124"/>
      <c r="J66" s="125"/>
      <c r="K66" s="124"/>
      <c r="L66" s="124"/>
      <c r="M66" s="124"/>
      <c r="N66" s="124"/>
      <c r="O66" s="124"/>
      <c r="P66" s="125"/>
    </row>
    <row r="67" spans="2:18" s="95" customFormat="1">
      <c r="B67" s="126"/>
      <c r="C67" s="113" t="s">
        <v>375</v>
      </c>
      <c r="D67" s="124"/>
      <c r="E67" s="124"/>
      <c r="F67" s="124">
        <f>J54-F65</f>
        <v>-54029841</v>
      </c>
      <c r="G67" s="124"/>
      <c r="H67" s="124"/>
      <c r="J67" s="125"/>
      <c r="K67" s="124"/>
      <c r="L67" s="124"/>
      <c r="M67" s="124"/>
      <c r="N67" s="124"/>
      <c r="O67" s="124"/>
      <c r="P67" s="125"/>
    </row>
    <row r="68" spans="2:18" s="95" customFormat="1">
      <c r="B68" s="132">
        <v>45657</v>
      </c>
      <c r="C68" s="133"/>
      <c r="D68" s="133">
        <f>SUM(D65:D67)</f>
        <v>172100000</v>
      </c>
      <c r="E68" s="133">
        <f>SUM(E65:E67)</f>
        <v>0</v>
      </c>
      <c r="F68" s="133">
        <f>SUM(F65:F67)</f>
        <v>-59962965</v>
      </c>
      <c r="G68" s="133">
        <f>SUM(G65:G67)</f>
        <v>-834770568</v>
      </c>
      <c r="H68" s="131">
        <f>E54</f>
        <v>-722633533</v>
      </c>
      <c r="I68" s="133">
        <f>SUM(D68:G68)-SUM(H68)</f>
        <v>0</v>
      </c>
      <c r="K68" s="124"/>
      <c r="L68" s="124"/>
      <c r="M68" s="124"/>
      <c r="N68" s="124"/>
      <c r="O68" s="124"/>
      <c r="P68" s="125"/>
    </row>
    <row r="69" spans="2:18" s="95" customFormat="1">
      <c r="B69" s="126"/>
      <c r="C69" s="113" t="s">
        <v>148</v>
      </c>
      <c r="D69" s="124"/>
      <c r="E69" s="124"/>
      <c r="G69" s="124">
        <f>H55</f>
        <v>-409028968</v>
      </c>
      <c r="H69" s="124"/>
      <c r="K69" s="124"/>
      <c r="L69" s="124"/>
      <c r="M69" s="124"/>
      <c r="N69" s="124"/>
      <c r="O69" s="124"/>
      <c r="P69" s="125"/>
    </row>
    <row r="70" spans="2:18" s="95" customFormat="1">
      <c r="B70" s="126"/>
      <c r="C70" s="113" t="s">
        <v>375</v>
      </c>
      <c r="D70" s="124"/>
      <c r="E70" s="124"/>
      <c r="F70" s="124">
        <f>J55-F68</f>
        <v>14605740</v>
      </c>
      <c r="G70" s="124"/>
      <c r="H70" s="124"/>
      <c r="K70" s="124"/>
      <c r="L70" s="124"/>
      <c r="M70" s="124"/>
      <c r="N70" s="124"/>
      <c r="O70" s="124"/>
      <c r="P70" s="125"/>
    </row>
    <row r="71" spans="2:18" s="95" customFormat="1">
      <c r="B71" s="132">
        <f>B55</f>
        <v>46022</v>
      </c>
      <c r="C71" s="133"/>
      <c r="D71" s="133">
        <f>SUM(D68:D70)</f>
        <v>172100000</v>
      </c>
      <c r="E71" s="133">
        <f>SUM(E68:E70)</f>
        <v>0</v>
      </c>
      <c r="F71" s="133">
        <f>SUM(F68:F70)</f>
        <v>-45357225</v>
      </c>
      <c r="G71" s="133">
        <f>SUM(G68:G70)</f>
        <v>-1243799536</v>
      </c>
      <c r="H71" s="131">
        <f>E55</f>
        <v>-1117056761</v>
      </c>
      <c r="I71" s="133">
        <f>SUM(D71:G71)-SUM(H71)</f>
        <v>0</v>
      </c>
      <c r="K71" s="124"/>
      <c r="L71" s="124"/>
      <c r="M71" s="124"/>
      <c r="N71" s="124"/>
      <c r="O71" s="124"/>
      <c r="P71" s="125"/>
    </row>
    <row r="72" spans="2:18" s="95" customFormat="1">
      <c r="B72" s="126"/>
      <c r="C72" s="113" t="s">
        <v>148</v>
      </c>
      <c r="D72" s="124"/>
      <c r="E72" s="124"/>
      <c r="G72" s="124">
        <f>H56</f>
        <v>-96926329</v>
      </c>
      <c r="H72" s="124"/>
      <c r="K72" s="124"/>
      <c r="L72" s="124"/>
      <c r="M72" s="124"/>
      <c r="N72" s="124"/>
      <c r="O72" s="124"/>
      <c r="P72" s="125"/>
    </row>
    <row r="73" spans="2:18" s="95" customFormat="1">
      <c r="B73" s="126"/>
      <c r="C73" s="113" t="s">
        <v>375</v>
      </c>
      <c r="D73" s="124"/>
      <c r="E73" s="124"/>
      <c r="F73" s="124">
        <f>J56-F71</f>
        <v>-77454021</v>
      </c>
      <c r="G73" s="124"/>
      <c r="H73" s="124"/>
      <c r="K73" s="124"/>
      <c r="L73" s="124"/>
      <c r="M73" s="124"/>
      <c r="N73" s="124"/>
      <c r="O73" s="124"/>
      <c r="P73" s="125"/>
    </row>
    <row r="74" spans="2:18" s="95" customFormat="1">
      <c r="B74" s="132">
        <f>B56</f>
        <v>46203</v>
      </c>
      <c r="C74" s="133"/>
      <c r="D74" s="133">
        <f>SUM(D71:D73)</f>
        <v>172100000</v>
      </c>
      <c r="E74" s="133">
        <f>SUM(E71:E73)</f>
        <v>0</v>
      </c>
      <c r="F74" s="133">
        <f>SUM(F71:F73)</f>
        <v>-122811246</v>
      </c>
      <c r="G74" s="133">
        <f>SUM(G71:G73)</f>
        <v>-1340725865</v>
      </c>
      <c r="H74" s="131">
        <f>E56</f>
        <v>-1291437111</v>
      </c>
      <c r="I74" s="133">
        <f>SUM(D74:G74)-SUM(H74)</f>
        <v>0</v>
      </c>
      <c r="K74" s="124"/>
      <c r="L74" s="124"/>
      <c r="M74" s="124"/>
      <c r="N74" s="124"/>
      <c r="O74" s="124"/>
      <c r="P74" s="125"/>
    </row>
    <row r="75" spans="2:18" s="95" customFormat="1">
      <c r="C75" s="124"/>
      <c r="D75" s="124">
        <f>D74-BS!K123</f>
        <v>0</v>
      </c>
      <c r="E75" s="124">
        <f>E74-BS!K125</f>
        <v>0</v>
      </c>
      <c r="F75" s="124">
        <f>F74-BS!K135</f>
        <v>0</v>
      </c>
      <c r="G75" s="124">
        <f>G74-BS!K143</f>
        <v>0</v>
      </c>
      <c r="H75" s="124"/>
      <c r="I75" s="124"/>
      <c r="J75" s="124"/>
      <c r="K75" s="124"/>
      <c r="L75" s="124"/>
      <c r="M75" s="124"/>
      <c r="N75" s="124"/>
      <c r="O75" s="124"/>
      <c r="P75" s="124"/>
      <c r="Q75" s="124"/>
      <c r="R75" s="125"/>
    </row>
    <row r="76" spans="2:18" s="95" customFormat="1">
      <c r="C76" s="124"/>
      <c r="D76" s="124"/>
      <c r="E76" s="124"/>
      <c r="F76" s="124"/>
      <c r="G76" s="124"/>
      <c r="H76" s="124"/>
      <c r="I76" s="124"/>
      <c r="J76" s="124"/>
      <c r="K76" s="124"/>
      <c r="L76" s="124"/>
      <c r="M76" s="124"/>
      <c r="N76" s="124"/>
      <c r="O76" s="124"/>
      <c r="P76" s="124"/>
      <c r="Q76" s="124"/>
      <c r="R76" s="125"/>
    </row>
    <row r="77" spans="2:18" s="95" customFormat="1">
      <c r="C77" s="124"/>
      <c r="D77" s="124"/>
      <c r="E77" s="124"/>
      <c r="F77" s="124"/>
      <c r="G77" s="124"/>
      <c r="H77" s="124"/>
      <c r="I77" s="124"/>
      <c r="J77" s="124"/>
      <c r="K77" s="124"/>
      <c r="L77" s="124"/>
      <c r="M77" s="124"/>
      <c r="N77" s="124"/>
      <c r="O77" s="124"/>
      <c r="P77" s="124"/>
      <c r="Q77" s="124"/>
      <c r="R77" s="125"/>
    </row>
    <row r="78" spans="2:18" s="95" customFormat="1">
      <c r="C78" s="124"/>
      <c r="D78" s="124"/>
      <c r="E78" s="124"/>
      <c r="F78" s="124"/>
      <c r="G78" s="124"/>
      <c r="H78" s="124"/>
      <c r="I78" s="124"/>
      <c r="J78" s="124"/>
      <c r="K78" s="124"/>
      <c r="L78" s="124"/>
      <c r="M78" s="124"/>
      <c r="N78" s="124"/>
      <c r="O78" s="124"/>
      <c r="P78" s="124"/>
      <c r="Q78" s="124"/>
      <c r="R78" s="125"/>
    </row>
    <row r="79" spans="2:18" s="95" customFormat="1">
      <c r="C79" s="124"/>
      <c r="D79" s="124"/>
      <c r="E79" s="124"/>
      <c r="F79" s="124"/>
      <c r="G79" s="124"/>
      <c r="H79" s="124"/>
      <c r="I79" s="124"/>
      <c r="J79" s="124"/>
      <c r="K79" s="124"/>
      <c r="L79" s="124"/>
      <c r="M79" s="124"/>
      <c r="N79" s="124"/>
      <c r="O79" s="124"/>
      <c r="P79" s="124"/>
      <c r="Q79" s="124"/>
      <c r="R79" s="125"/>
    </row>
    <row r="80" spans="2:18" s="95" customFormat="1">
      <c r="C80" s="124"/>
      <c r="D80" s="124"/>
      <c r="E80" s="124"/>
      <c r="F80" s="124"/>
      <c r="G80" s="124"/>
      <c r="H80" s="124"/>
      <c r="I80" s="124"/>
      <c r="J80" s="124"/>
      <c r="K80" s="124"/>
      <c r="L80" s="124"/>
      <c r="M80" s="124"/>
      <c r="N80" s="124"/>
      <c r="O80" s="124"/>
      <c r="P80" s="124"/>
      <c r="Q80" s="124"/>
      <c r="R80" s="125"/>
    </row>
    <row r="81" spans="2:19" s="95" customFormat="1">
      <c r="B81" s="119" t="s">
        <v>430</v>
      </c>
      <c r="C81" s="124"/>
      <c r="D81" s="124"/>
      <c r="E81" s="124"/>
      <c r="F81" s="124"/>
      <c r="G81" s="124"/>
      <c r="H81" s="124"/>
      <c r="I81" s="124"/>
      <c r="J81" s="124"/>
      <c r="K81" s="124"/>
      <c r="L81" s="124"/>
      <c r="M81" s="124"/>
      <c r="N81" s="124"/>
      <c r="O81" s="124"/>
      <c r="P81" s="124"/>
      <c r="Q81" s="124"/>
      <c r="R81" s="125"/>
    </row>
    <row r="82" spans="2:19" s="95" customFormat="1">
      <c r="C82" s="124"/>
      <c r="D82" s="124"/>
      <c r="E82" s="124"/>
      <c r="F82" s="124"/>
      <c r="G82" s="124"/>
      <c r="H82" s="124"/>
      <c r="I82" s="124"/>
      <c r="J82" s="124"/>
      <c r="K82" s="124"/>
      <c r="L82" s="124"/>
      <c r="M82" s="124"/>
      <c r="N82" s="124"/>
      <c r="O82" s="124"/>
      <c r="P82" s="124"/>
      <c r="Q82" s="124"/>
      <c r="R82" s="125"/>
    </row>
    <row r="83" spans="2:19" s="95" customFormat="1">
      <c r="B83" s="139" t="s">
        <v>277</v>
      </c>
      <c r="C83" s="142" t="s">
        <v>431</v>
      </c>
      <c r="D83" s="124"/>
      <c r="E83" s="124"/>
      <c r="F83" s="124"/>
      <c r="G83" s="124"/>
      <c r="H83" s="124"/>
      <c r="I83" s="124"/>
      <c r="J83" s="124"/>
      <c r="K83" s="124"/>
      <c r="L83" s="124"/>
      <c r="M83" s="124"/>
      <c r="N83" s="124"/>
      <c r="O83" s="124"/>
      <c r="P83" s="124"/>
      <c r="Q83" s="124"/>
      <c r="R83" s="125"/>
    </row>
    <row r="84" spans="2:19" s="95" customFormat="1" hidden="1" outlineLevel="1">
      <c r="C84" s="95" t="s">
        <v>444</v>
      </c>
      <c r="D84" s="124"/>
      <c r="E84" s="124"/>
      <c r="F84" s="124"/>
      <c r="G84" s="124"/>
      <c r="H84" s="124"/>
      <c r="I84" s="124"/>
      <c r="J84" s="124"/>
      <c r="K84" s="124"/>
      <c r="L84" s="124"/>
      <c r="M84" s="124"/>
      <c r="N84" s="124"/>
      <c r="O84" s="124"/>
      <c r="P84" s="124"/>
      <c r="Q84" s="124"/>
      <c r="R84" s="125"/>
    </row>
    <row r="85" spans="2:19" s="95" customFormat="1" hidden="1" outlineLevel="1">
      <c r="R85" s="111"/>
    </row>
    <row r="86" spans="2:19" s="95" customFormat="1" hidden="1" outlineLevel="1">
      <c r="C86" s="119" t="s">
        <v>432</v>
      </c>
      <c r="R86" s="111"/>
    </row>
    <row r="87" spans="2:19" s="95" customFormat="1" ht="14.25" hidden="1" outlineLevel="1" thickBot="1">
      <c r="D87" s="1996" t="s">
        <v>146</v>
      </c>
      <c r="E87" s="1996"/>
      <c r="F87" s="114" t="s">
        <v>435</v>
      </c>
      <c r="G87" s="114" t="s">
        <v>434</v>
      </c>
      <c r="H87" s="114" t="s">
        <v>109</v>
      </c>
      <c r="S87" s="111"/>
    </row>
    <row r="88" spans="2:19" s="95" customFormat="1" hidden="1" outlineLevel="1">
      <c r="D88" s="95" t="s">
        <v>93</v>
      </c>
      <c r="F88" s="95">
        <f>G63</f>
        <v>-109214038</v>
      </c>
      <c r="G88" s="95">
        <f>ROUND(F88*$C$13,)</f>
        <v>-109214038</v>
      </c>
      <c r="H88" s="95">
        <f>F88-G88</f>
        <v>0</v>
      </c>
      <c r="S88" s="111"/>
    </row>
    <row r="89" spans="2:19" s="95" customFormat="1" hidden="1" outlineLevel="1">
      <c r="D89" s="95" t="s">
        <v>453</v>
      </c>
      <c r="F89" s="95">
        <v>0</v>
      </c>
      <c r="G89" s="95">
        <f>F89</f>
        <v>0</v>
      </c>
      <c r="H89" s="95">
        <f t="shared" ref="H89:H90" si="2">F89-G89</f>
        <v>0</v>
      </c>
      <c r="S89" s="111"/>
    </row>
    <row r="90" spans="2:19" s="95" customFormat="1" hidden="1" outlineLevel="1">
      <c r="D90" s="95" t="s">
        <v>454</v>
      </c>
      <c r="F90" s="95">
        <v>0</v>
      </c>
      <c r="G90" s="95">
        <f>F90</f>
        <v>0</v>
      </c>
      <c r="H90" s="95">
        <f t="shared" si="2"/>
        <v>0</v>
      </c>
      <c r="S90" s="111"/>
    </row>
    <row r="91" spans="2:19" s="95" customFormat="1" hidden="1" outlineLevel="1">
      <c r="D91" s="95" t="s">
        <v>449</v>
      </c>
      <c r="F91" s="95">
        <v>0</v>
      </c>
      <c r="G91" s="95">
        <f>ROUND(F91*$C$13,)</f>
        <v>0</v>
      </c>
      <c r="H91" s="95">
        <f>F91-G91</f>
        <v>0</v>
      </c>
      <c r="S91" s="111"/>
    </row>
    <row r="92" spans="2:19" s="95" customFormat="1" hidden="1" outlineLevel="1">
      <c r="D92" s="95" t="s">
        <v>450</v>
      </c>
      <c r="F92" s="95">
        <v>0</v>
      </c>
      <c r="G92" s="95">
        <f>ROUND(F92*$C$13,)</f>
        <v>0</v>
      </c>
      <c r="H92" s="95">
        <f>F92-G92</f>
        <v>0</v>
      </c>
      <c r="S92" s="111"/>
    </row>
    <row r="93" spans="2:19" s="95" customFormat="1" hidden="1" outlineLevel="1">
      <c r="D93" s="144" t="s">
        <v>451</v>
      </c>
      <c r="E93" s="144"/>
      <c r="F93" s="144">
        <f>SUM(F88:F92)</f>
        <v>-109214038</v>
      </c>
      <c r="G93" s="144">
        <f>SUM(G88:G92)</f>
        <v>-109214038</v>
      </c>
      <c r="H93" s="144">
        <f t="shared" ref="H93" si="3">SUM(H88:H92)</f>
        <v>0</v>
      </c>
      <c r="S93" s="111"/>
    </row>
    <row r="94" spans="2:19" s="95" customFormat="1" hidden="1" outlineLevel="1">
      <c r="S94" s="111"/>
    </row>
    <row r="95" spans="2:19" s="95" customFormat="1" hidden="1" outlineLevel="1">
      <c r="D95" s="121" t="s">
        <v>180</v>
      </c>
      <c r="E95" s="121"/>
      <c r="F95" s="121">
        <f>F64</f>
        <v>-5933124</v>
      </c>
      <c r="G95" s="121">
        <f>ROUND(F95*$C$13,)</f>
        <v>-5933124</v>
      </c>
      <c r="H95" s="121">
        <f>F95-G95</f>
        <v>0</v>
      </c>
      <c r="S95" s="111"/>
    </row>
    <row r="96" spans="2:19" s="95" customFormat="1" hidden="1" outlineLevel="1">
      <c r="R96" s="111"/>
    </row>
    <row r="97" spans="2:18" s="95" customFormat="1" hidden="1" outlineLevel="1">
      <c r="C97" s="10" t="s">
        <v>170</v>
      </c>
      <c r="D97" s="5"/>
      <c r="F97" s="10" t="s">
        <v>169</v>
      </c>
      <c r="G97" s="5"/>
      <c r="R97" s="111"/>
    </row>
    <row r="98" spans="2:18" s="95" customFormat="1" hidden="1" outlineLevel="1">
      <c r="C98" s="5"/>
      <c r="D98" s="5"/>
      <c r="F98" s="2"/>
      <c r="G98" s="2"/>
      <c r="R98" s="111"/>
    </row>
    <row r="99" spans="2:18" s="95" customFormat="1" ht="15.75" hidden="1" outlineLevel="1">
      <c r="C99" s="9" t="s">
        <v>168</v>
      </c>
      <c r="D99" s="9" t="s">
        <v>154</v>
      </c>
      <c r="F99" s="9" t="s">
        <v>168</v>
      </c>
      <c r="G99" s="9" t="s">
        <v>154</v>
      </c>
      <c r="R99" s="111"/>
    </row>
    <row r="100" spans="2:18" s="95" customFormat="1" hidden="1" outlineLevel="1">
      <c r="C100" s="5" t="s">
        <v>167</v>
      </c>
      <c r="D100" s="2">
        <f>ROUND(H62*$C$13,)</f>
        <v>172100000</v>
      </c>
      <c r="F100" s="5" t="s">
        <v>157</v>
      </c>
      <c r="G100" s="2">
        <f>H65</f>
        <v>56952838</v>
      </c>
      <c r="R100" s="111"/>
    </row>
    <row r="101" spans="2:18" s="95" customFormat="1" hidden="1" outlineLevel="1">
      <c r="C101" s="2" t="s">
        <v>166</v>
      </c>
      <c r="D101" s="2"/>
      <c r="F101" s="5" t="s">
        <v>165</v>
      </c>
      <c r="G101" s="145">
        <f>$C$13</f>
        <v>1</v>
      </c>
      <c r="R101" s="111"/>
    </row>
    <row r="102" spans="2:18" s="95" customFormat="1" hidden="1" outlineLevel="1">
      <c r="C102" s="5" t="s">
        <v>164</v>
      </c>
      <c r="D102" s="2"/>
      <c r="F102" s="5" t="s">
        <v>163</v>
      </c>
      <c r="G102" s="2">
        <f>ROUND(G100*G101,0)</f>
        <v>56952838</v>
      </c>
      <c r="R102" s="111"/>
    </row>
    <row r="103" spans="2:18" s="95" customFormat="1" hidden="1" outlineLevel="1">
      <c r="C103" s="5" t="s">
        <v>162</v>
      </c>
      <c r="D103" s="2">
        <f>G93</f>
        <v>-109214038</v>
      </c>
      <c r="F103" s="5" t="s">
        <v>161</v>
      </c>
      <c r="G103" s="2">
        <v>0</v>
      </c>
      <c r="H103" s="145"/>
      <c r="R103" s="111"/>
    </row>
    <row r="104" spans="2:18" s="95" customFormat="1" ht="14.25" hidden="1" outlineLevel="1" thickBot="1">
      <c r="C104" s="8" t="s">
        <v>160</v>
      </c>
      <c r="D104" s="141">
        <f>G95</f>
        <v>-5933124</v>
      </c>
      <c r="F104" s="5" t="s">
        <v>159</v>
      </c>
      <c r="G104" s="2">
        <f>G89+G91</f>
        <v>0</v>
      </c>
      <c r="R104" s="111"/>
    </row>
    <row r="105" spans="2:18" s="95" customFormat="1" ht="15" hidden="1" outlineLevel="1" thickTop="1" thickBot="1">
      <c r="C105" s="5" t="s">
        <v>158</v>
      </c>
      <c r="D105" s="2">
        <f>SUM(D100:D104)</f>
        <v>56952838</v>
      </c>
      <c r="F105" s="8" t="s">
        <v>157</v>
      </c>
      <c r="G105" s="141">
        <f>D105</f>
        <v>56952838</v>
      </c>
      <c r="R105" s="111"/>
    </row>
    <row r="106" spans="2:18" s="95" customFormat="1" ht="14.25" hidden="1" outlineLevel="1" thickTop="1">
      <c r="C106" s="2"/>
      <c r="D106" s="2"/>
      <c r="F106" s="5" t="s">
        <v>156</v>
      </c>
      <c r="G106" s="143">
        <f>G102-G105+G103+G104</f>
        <v>0</v>
      </c>
      <c r="R106" s="111"/>
    </row>
    <row r="107" spans="2:18" s="95" customFormat="1" hidden="1" outlineLevel="1">
      <c r="R107" s="111"/>
    </row>
    <row r="108" spans="2:18" s="95" customFormat="1" hidden="1" outlineLevel="1">
      <c r="R108" s="111"/>
    </row>
    <row r="109" spans="2:18" s="95" customFormat="1" collapsed="1">
      <c r="B109" s="139" t="s">
        <v>343</v>
      </c>
      <c r="C109" s="142" t="s">
        <v>431</v>
      </c>
      <c r="D109" s="124"/>
      <c r="E109" s="124"/>
      <c r="F109" s="124"/>
      <c r="G109" s="124"/>
      <c r="H109" s="124"/>
      <c r="I109" s="124"/>
      <c r="J109" s="124"/>
      <c r="K109" s="124"/>
      <c r="L109" s="124"/>
      <c r="M109" s="124"/>
      <c r="N109" s="124"/>
      <c r="O109" s="124"/>
      <c r="P109" s="124"/>
      <c r="Q109" s="124"/>
      <c r="R109" s="125"/>
    </row>
    <row r="110" spans="2:18" s="95" customFormat="1" hidden="1" outlineLevel="1">
      <c r="C110" s="95" t="s">
        <v>444</v>
      </c>
      <c r="D110" s="124"/>
      <c r="E110" s="124"/>
      <c r="F110" s="124"/>
      <c r="G110" s="124"/>
      <c r="H110" s="124"/>
      <c r="I110" s="124"/>
      <c r="J110" s="124"/>
      <c r="K110" s="124"/>
      <c r="L110" s="124"/>
      <c r="M110" s="124"/>
      <c r="N110" s="124"/>
      <c r="O110" s="124"/>
      <c r="P110" s="124"/>
      <c r="Q110" s="124"/>
      <c r="R110" s="125"/>
    </row>
    <row r="111" spans="2:18" s="95" customFormat="1" hidden="1" outlineLevel="1">
      <c r="R111" s="111"/>
    </row>
    <row r="112" spans="2:18" s="95" customFormat="1" hidden="1" outlineLevel="1">
      <c r="C112" s="119" t="s">
        <v>432</v>
      </c>
      <c r="R112" s="111"/>
    </row>
    <row r="113" spans="3:19" s="95" customFormat="1" ht="14.25" hidden="1" outlineLevel="1" thickBot="1">
      <c r="D113" s="1996" t="s">
        <v>146</v>
      </c>
      <c r="E113" s="1996"/>
      <c r="F113" s="114" t="s">
        <v>435</v>
      </c>
      <c r="G113" s="114" t="s">
        <v>434</v>
      </c>
      <c r="H113" s="114" t="s">
        <v>109</v>
      </c>
      <c r="S113" s="111"/>
    </row>
    <row r="114" spans="3:19" s="95" customFormat="1" hidden="1" outlineLevel="1">
      <c r="D114" s="95" t="s">
        <v>93</v>
      </c>
      <c r="F114" s="95">
        <f>G66</f>
        <v>-725556530</v>
      </c>
      <c r="G114" s="95">
        <f>ROUND(F114*$C$13,)</f>
        <v>-725556530</v>
      </c>
      <c r="H114" s="95">
        <f>F114-G114</f>
        <v>0</v>
      </c>
      <c r="S114" s="111"/>
    </row>
    <row r="115" spans="3:19" s="95" customFormat="1" hidden="1" outlineLevel="1">
      <c r="D115" s="95" t="s">
        <v>453</v>
      </c>
      <c r="F115" s="95">
        <v>0</v>
      </c>
      <c r="G115" s="95">
        <f>F115</f>
        <v>0</v>
      </c>
      <c r="H115" s="95">
        <f t="shared" ref="H115:H116" si="4">F115-G115</f>
        <v>0</v>
      </c>
      <c r="S115" s="111"/>
    </row>
    <row r="116" spans="3:19" s="95" customFormat="1" hidden="1" outlineLevel="1">
      <c r="D116" s="95" t="s">
        <v>454</v>
      </c>
      <c r="F116" s="95">
        <v>0</v>
      </c>
      <c r="G116" s="95">
        <f>F116</f>
        <v>0</v>
      </c>
      <c r="H116" s="95">
        <f t="shared" si="4"/>
        <v>0</v>
      </c>
      <c r="S116" s="111"/>
    </row>
    <row r="117" spans="3:19" s="95" customFormat="1" hidden="1" outlineLevel="1">
      <c r="D117" s="95" t="s">
        <v>449</v>
      </c>
      <c r="F117" s="95">
        <v>0</v>
      </c>
      <c r="G117" s="95">
        <f>ROUND(F117*$C$13,)</f>
        <v>0</v>
      </c>
      <c r="H117" s="95">
        <f>F117-G117</f>
        <v>0</v>
      </c>
      <c r="S117" s="111"/>
    </row>
    <row r="118" spans="3:19" s="95" customFormat="1" hidden="1" outlineLevel="1">
      <c r="D118" s="95" t="s">
        <v>450</v>
      </c>
      <c r="F118" s="95">
        <v>0</v>
      </c>
      <c r="G118" s="95">
        <f>ROUND(F118*$C$13,)</f>
        <v>0</v>
      </c>
      <c r="H118" s="95">
        <f>F118-G118</f>
        <v>0</v>
      </c>
      <c r="S118" s="111"/>
    </row>
    <row r="119" spans="3:19" s="95" customFormat="1" hidden="1" outlineLevel="1">
      <c r="D119" s="144" t="s">
        <v>451</v>
      </c>
      <c r="E119" s="144"/>
      <c r="F119" s="144">
        <f>SUM(F114:F118)</f>
        <v>-725556530</v>
      </c>
      <c r="G119" s="144">
        <f>SUM(G114:G118)</f>
        <v>-725556530</v>
      </c>
      <c r="H119" s="144">
        <f t="shared" ref="H119" si="5">SUM(H114:H118)</f>
        <v>0</v>
      </c>
      <c r="S119" s="111"/>
    </row>
    <row r="120" spans="3:19" s="95" customFormat="1" hidden="1" outlineLevel="1">
      <c r="S120" s="111"/>
    </row>
    <row r="121" spans="3:19" s="95" customFormat="1" hidden="1" outlineLevel="1">
      <c r="D121" s="121" t="s">
        <v>180</v>
      </c>
      <c r="E121" s="121"/>
      <c r="F121" s="121">
        <f>F67</f>
        <v>-54029841</v>
      </c>
      <c r="G121" s="121">
        <f>ROUND(F121*$C$13,)</f>
        <v>-54029841</v>
      </c>
      <c r="H121" s="121">
        <f>F121-G121</f>
        <v>0</v>
      </c>
      <c r="S121" s="111"/>
    </row>
    <row r="122" spans="3:19" s="95" customFormat="1" hidden="1" outlineLevel="1">
      <c r="R122" s="111"/>
    </row>
    <row r="123" spans="3:19" s="95" customFormat="1" hidden="1" outlineLevel="1">
      <c r="C123" s="10" t="s">
        <v>170</v>
      </c>
      <c r="D123" s="5"/>
      <c r="F123" s="10" t="s">
        <v>169</v>
      </c>
      <c r="G123" s="5"/>
      <c r="R123" s="111"/>
    </row>
    <row r="124" spans="3:19" s="95" customFormat="1" hidden="1" outlineLevel="1">
      <c r="C124" s="5"/>
      <c r="D124" s="5"/>
      <c r="F124" s="2"/>
      <c r="G124" s="2"/>
      <c r="R124" s="111"/>
    </row>
    <row r="125" spans="3:19" s="95" customFormat="1" ht="15.75" hidden="1" outlineLevel="1">
      <c r="C125" s="9" t="s">
        <v>168</v>
      </c>
      <c r="D125" s="9" t="s">
        <v>154</v>
      </c>
      <c r="F125" s="9" t="s">
        <v>168</v>
      </c>
      <c r="G125" s="9" t="s">
        <v>154</v>
      </c>
      <c r="R125" s="111"/>
    </row>
    <row r="126" spans="3:19" s="95" customFormat="1" hidden="1" outlineLevel="1">
      <c r="C126" s="5" t="s">
        <v>167</v>
      </c>
      <c r="D126" s="2">
        <f>D105</f>
        <v>56952838</v>
      </c>
      <c r="F126" s="5" t="s">
        <v>157</v>
      </c>
      <c r="G126" s="2">
        <f>H68</f>
        <v>-722633533</v>
      </c>
      <c r="R126" s="111"/>
    </row>
    <row r="127" spans="3:19" s="95" customFormat="1" hidden="1" outlineLevel="1">
      <c r="C127" s="2" t="s">
        <v>166</v>
      </c>
      <c r="D127" s="2"/>
      <c r="F127" s="5" t="s">
        <v>165</v>
      </c>
      <c r="G127" s="145">
        <f>$C$13</f>
        <v>1</v>
      </c>
      <c r="R127" s="111"/>
    </row>
    <row r="128" spans="3:19" s="95" customFormat="1" hidden="1" outlineLevel="1">
      <c r="C128" s="5" t="s">
        <v>164</v>
      </c>
      <c r="D128" s="2"/>
      <c r="F128" s="5" t="s">
        <v>163</v>
      </c>
      <c r="G128" s="2">
        <f>ROUND(G126*G127,0)</f>
        <v>-722633533</v>
      </c>
      <c r="R128" s="111"/>
    </row>
    <row r="129" spans="2:19" s="95" customFormat="1" hidden="1" outlineLevel="1">
      <c r="C129" s="5" t="s">
        <v>162</v>
      </c>
      <c r="D129" s="2">
        <f>G119</f>
        <v>-725556530</v>
      </c>
      <c r="F129" s="5" t="s">
        <v>161</v>
      </c>
      <c r="G129" s="2">
        <v>0</v>
      </c>
      <c r="H129" s="145"/>
      <c r="R129" s="111"/>
    </row>
    <row r="130" spans="2:19" s="95" customFormat="1" ht="14.25" hidden="1" outlineLevel="1" thickBot="1">
      <c r="C130" s="8" t="s">
        <v>160</v>
      </c>
      <c r="D130" s="141">
        <f>G121</f>
        <v>-54029841</v>
      </c>
      <c r="F130" s="5" t="s">
        <v>159</v>
      </c>
      <c r="G130" s="2">
        <f>G115+G117</f>
        <v>0</v>
      </c>
      <c r="R130" s="111"/>
    </row>
    <row r="131" spans="2:19" s="95" customFormat="1" ht="15" hidden="1" outlineLevel="1" thickTop="1" thickBot="1">
      <c r="C131" s="5" t="s">
        <v>158</v>
      </c>
      <c r="D131" s="2">
        <f>SUM(D126:D130)</f>
        <v>-722633533</v>
      </c>
      <c r="F131" s="8" t="s">
        <v>157</v>
      </c>
      <c r="G131" s="141">
        <f>D131</f>
        <v>-722633533</v>
      </c>
      <c r="R131" s="111"/>
    </row>
    <row r="132" spans="2:19" s="95" customFormat="1" ht="14.25" hidden="1" outlineLevel="1" thickTop="1">
      <c r="C132" s="2"/>
      <c r="D132" s="2"/>
      <c r="F132" s="5" t="s">
        <v>156</v>
      </c>
      <c r="G132" s="143">
        <f>G128-G131+G129+G130</f>
        <v>0</v>
      </c>
      <c r="R132" s="111"/>
    </row>
    <row r="133" spans="2:19" s="95" customFormat="1" hidden="1" outlineLevel="1">
      <c r="R133" s="111"/>
    </row>
    <row r="134" spans="2:19" s="95" customFormat="1" collapsed="1">
      <c r="B134" s="139" t="s">
        <v>1542</v>
      </c>
      <c r="C134" s="142" t="s">
        <v>431</v>
      </c>
      <c r="D134" s="124"/>
      <c r="E134" s="124"/>
      <c r="F134" s="124"/>
      <c r="G134" s="124"/>
      <c r="H134" s="124"/>
      <c r="I134" s="124"/>
      <c r="J134" s="124"/>
      <c r="K134" s="124"/>
      <c r="L134" s="124"/>
      <c r="M134" s="124"/>
      <c r="N134" s="124"/>
      <c r="O134" s="124"/>
      <c r="P134" s="124"/>
      <c r="Q134" s="124"/>
      <c r="R134" s="125"/>
    </row>
    <row r="135" spans="2:19" s="95" customFormat="1" hidden="1" outlineLevel="1">
      <c r="C135" s="95" t="s">
        <v>3410</v>
      </c>
      <c r="D135" s="124"/>
      <c r="E135" s="124"/>
      <c r="F135" s="124"/>
      <c r="G135" s="124"/>
      <c r="H135" s="124"/>
      <c r="I135" s="124"/>
      <c r="J135" s="124"/>
      <c r="K135" s="124"/>
      <c r="L135" s="124"/>
      <c r="M135" s="124"/>
      <c r="N135" s="124"/>
      <c r="O135" s="124"/>
      <c r="P135" s="124"/>
      <c r="Q135" s="124"/>
      <c r="R135" s="125"/>
    </row>
    <row r="136" spans="2:19" s="95" customFormat="1" hidden="1" outlineLevel="1">
      <c r="R136" s="111"/>
    </row>
    <row r="137" spans="2:19" s="95" customFormat="1" hidden="1" outlineLevel="1">
      <c r="C137" s="119" t="s">
        <v>432</v>
      </c>
      <c r="R137" s="111"/>
    </row>
    <row r="138" spans="2:19" s="95" customFormat="1" ht="14.25" hidden="1" outlineLevel="1" thickBot="1">
      <c r="D138" s="1996" t="s">
        <v>146</v>
      </c>
      <c r="E138" s="1996"/>
      <c r="F138" s="114" t="s">
        <v>435</v>
      </c>
      <c r="G138" s="114" t="s">
        <v>434</v>
      </c>
      <c r="H138" s="114" t="s">
        <v>109</v>
      </c>
      <c r="S138" s="111"/>
    </row>
    <row r="139" spans="2:19" s="95" customFormat="1" hidden="1" outlineLevel="1">
      <c r="D139" s="95" t="s">
        <v>93</v>
      </c>
      <c r="F139" s="95">
        <f>G69</f>
        <v>-409028968</v>
      </c>
      <c r="G139" s="95">
        <f>ROUND(F139*$C$13,)</f>
        <v>-409028968</v>
      </c>
      <c r="H139" s="95">
        <f>F139-G139</f>
        <v>0</v>
      </c>
      <c r="S139" s="111"/>
    </row>
    <row r="140" spans="2:19" s="95" customFormat="1" hidden="1" outlineLevel="1">
      <c r="D140" s="95" t="s">
        <v>453</v>
      </c>
      <c r="F140" s="95">
        <v>0</v>
      </c>
      <c r="G140" s="95">
        <f>F140</f>
        <v>0</v>
      </c>
      <c r="H140" s="95">
        <f t="shared" ref="H140:H141" si="6">F140-G140</f>
        <v>0</v>
      </c>
      <c r="S140" s="111"/>
    </row>
    <row r="141" spans="2:19" s="95" customFormat="1" hidden="1" outlineLevel="1">
      <c r="D141" s="95" t="s">
        <v>454</v>
      </c>
      <c r="F141" s="95">
        <v>0</v>
      </c>
      <c r="G141" s="95">
        <f>F141</f>
        <v>0</v>
      </c>
      <c r="H141" s="95">
        <f t="shared" si="6"/>
        <v>0</v>
      </c>
      <c r="S141" s="111"/>
    </row>
    <row r="142" spans="2:19" s="95" customFormat="1" hidden="1" outlineLevel="1">
      <c r="D142" s="95" t="s">
        <v>449</v>
      </c>
      <c r="F142" s="95">
        <v>0</v>
      </c>
      <c r="G142" s="95">
        <f>ROUND(F142*$C$13,)</f>
        <v>0</v>
      </c>
      <c r="H142" s="95">
        <f>F142-G142</f>
        <v>0</v>
      </c>
      <c r="S142" s="111"/>
    </row>
    <row r="143" spans="2:19" s="95" customFormat="1" hidden="1" outlineLevel="1">
      <c r="D143" s="95" t="s">
        <v>450</v>
      </c>
      <c r="F143" s="95">
        <v>0</v>
      </c>
      <c r="G143" s="95">
        <f>ROUND(F143*$C$13,)</f>
        <v>0</v>
      </c>
      <c r="H143" s="95">
        <f>F143-G143</f>
        <v>0</v>
      </c>
      <c r="S143" s="111"/>
    </row>
    <row r="144" spans="2:19" s="95" customFormat="1" hidden="1" outlineLevel="1">
      <c r="D144" s="144" t="s">
        <v>451</v>
      </c>
      <c r="E144" s="144"/>
      <c r="F144" s="144">
        <f>SUM(F139:F143)</f>
        <v>-409028968</v>
      </c>
      <c r="G144" s="144">
        <f>SUM(G139:G143)</f>
        <v>-409028968</v>
      </c>
      <c r="H144" s="144">
        <f t="shared" ref="H144" si="7">SUM(H139:H143)</f>
        <v>0</v>
      </c>
      <c r="S144" s="111"/>
    </row>
    <row r="145" spans="2:19" s="95" customFormat="1" hidden="1" outlineLevel="1">
      <c r="S145" s="111"/>
    </row>
    <row r="146" spans="2:19" s="95" customFormat="1" hidden="1" outlineLevel="1">
      <c r="D146" s="121" t="s">
        <v>180</v>
      </c>
      <c r="E146" s="121"/>
      <c r="F146" s="121">
        <f>F70</f>
        <v>14605740</v>
      </c>
      <c r="G146" s="121">
        <f>ROUND(F146*$C$13,)</f>
        <v>14605740</v>
      </c>
      <c r="H146" s="121">
        <f>F146-G146</f>
        <v>0</v>
      </c>
      <c r="S146" s="111"/>
    </row>
    <row r="147" spans="2:19" s="95" customFormat="1" hidden="1" outlineLevel="1">
      <c r="R147" s="111"/>
    </row>
    <row r="148" spans="2:19" s="95" customFormat="1" hidden="1" outlineLevel="1">
      <c r="C148" s="10" t="s">
        <v>170</v>
      </c>
      <c r="D148" s="5"/>
      <c r="F148" s="10" t="s">
        <v>169</v>
      </c>
      <c r="G148" s="5"/>
      <c r="R148" s="111"/>
    </row>
    <row r="149" spans="2:19" s="95" customFormat="1" hidden="1" outlineLevel="1">
      <c r="C149" s="5"/>
      <c r="D149" s="5"/>
      <c r="F149" s="2"/>
      <c r="G149" s="2"/>
      <c r="R149" s="111"/>
    </row>
    <row r="150" spans="2:19" s="95" customFormat="1" ht="15.75" hidden="1" outlineLevel="1">
      <c r="C150" s="9" t="s">
        <v>168</v>
      </c>
      <c r="D150" s="9" t="s">
        <v>154</v>
      </c>
      <c r="F150" s="9" t="s">
        <v>168</v>
      </c>
      <c r="G150" s="9" t="s">
        <v>154</v>
      </c>
      <c r="R150" s="111"/>
    </row>
    <row r="151" spans="2:19" s="95" customFormat="1" hidden="1" outlineLevel="1">
      <c r="C151" s="5" t="s">
        <v>167</v>
      </c>
      <c r="D151" s="2">
        <f>D131</f>
        <v>-722633533</v>
      </c>
      <c r="F151" s="5" t="s">
        <v>157</v>
      </c>
      <c r="G151" s="2">
        <f>H71</f>
        <v>-1117056761</v>
      </c>
      <c r="R151" s="111"/>
    </row>
    <row r="152" spans="2:19" s="95" customFormat="1" hidden="1" outlineLevel="1">
      <c r="C152" s="2" t="s">
        <v>166</v>
      </c>
      <c r="D152" s="2"/>
      <c r="F152" s="5" t="s">
        <v>165</v>
      </c>
      <c r="G152" s="145">
        <f>$C$13</f>
        <v>1</v>
      </c>
      <c r="R152" s="111"/>
    </row>
    <row r="153" spans="2:19" s="95" customFormat="1" hidden="1" outlineLevel="1">
      <c r="C153" s="5" t="s">
        <v>164</v>
      </c>
      <c r="D153" s="2"/>
      <c r="F153" s="5" t="s">
        <v>163</v>
      </c>
      <c r="G153" s="2">
        <f>ROUND(G151*G152,0)</f>
        <v>-1117056761</v>
      </c>
      <c r="R153" s="111"/>
    </row>
    <row r="154" spans="2:19" s="95" customFormat="1" hidden="1" outlineLevel="1">
      <c r="C154" s="5" t="s">
        <v>162</v>
      </c>
      <c r="D154" s="2">
        <f>G144</f>
        <v>-409028968</v>
      </c>
      <c r="F154" s="5" t="s">
        <v>161</v>
      </c>
      <c r="G154" s="2">
        <v>0</v>
      </c>
      <c r="H154" s="145"/>
      <c r="R154" s="111"/>
    </row>
    <row r="155" spans="2:19" s="95" customFormat="1" ht="14.25" hidden="1" outlineLevel="1" thickBot="1">
      <c r="C155" s="8" t="s">
        <v>160</v>
      </c>
      <c r="D155" s="141">
        <f>G146</f>
        <v>14605740</v>
      </c>
      <c r="F155" s="5" t="s">
        <v>159</v>
      </c>
      <c r="G155" s="2">
        <f>G140+G142</f>
        <v>0</v>
      </c>
      <c r="R155" s="111"/>
    </row>
    <row r="156" spans="2:19" s="95" customFormat="1" ht="15" hidden="1" outlineLevel="1" thickTop="1" thickBot="1">
      <c r="C156" s="5" t="s">
        <v>158</v>
      </c>
      <c r="D156" s="2">
        <f>SUM(D151:D155)</f>
        <v>-1117056761</v>
      </c>
      <c r="F156" s="8" t="s">
        <v>157</v>
      </c>
      <c r="G156" s="141">
        <f>D156</f>
        <v>-1117056761</v>
      </c>
      <c r="R156" s="111"/>
    </row>
    <row r="157" spans="2:19" s="95" customFormat="1" ht="14.25" hidden="1" outlineLevel="1" thickTop="1">
      <c r="C157" s="2"/>
      <c r="D157" s="2"/>
      <c r="F157" s="5" t="s">
        <v>156</v>
      </c>
      <c r="G157" s="143">
        <f>G153-G156+G154+G155</f>
        <v>0</v>
      </c>
      <c r="R157" s="111"/>
    </row>
    <row r="158" spans="2:19" s="95" customFormat="1" hidden="1" outlineLevel="1">
      <c r="R158" s="111"/>
    </row>
    <row r="159" spans="2:19" s="95" customFormat="1" collapsed="1">
      <c r="B159" s="139" t="s">
        <v>1544</v>
      </c>
      <c r="C159" s="142" t="s">
        <v>431</v>
      </c>
      <c r="D159" s="124"/>
      <c r="E159" s="124"/>
      <c r="F159" s="124"/>
      <c r="G159" s="124"/>
      <c r="H159" s="124"/>
      <c r="I159" s="124"/>
      <c r="J159" s="124"/>
      <c r="K159" s="124"/>
      <c r="L159" s="124"/>
      <c r="M159" s="124"/>
      <c r="N159" s="124"/>
      <c r="O159" s="124"/>
      <c r="P159" s="124"/>
      <c r="Q159" s="124"/>
      <c r="R159" s="125"/>
    </row>
    <row r="160" spans="2:19" s="95" customFormat="1" outlineLevel="1">
      <c r="C160" s="95" t="s">
        <v>3409</v>
      </c>
      <c r="D160" s="124"/>
      <c r="E160" s="124"/>
      <c r="F160" s="124"/>
      <c r="G160" s="124"/>
      <c r="H160" s="124"/>
      <c r="I160" s="124"/>
      <c r="J160" s="124"/>
      <c r="K160" s="124"/>
      <c r="L160" s="124"/>
      <c r="M160" s="124"/>
      <c r="N160" s="124"/>
      <c r="O160" s="124"/>
      <c r="P160" s="124"/>
      <c r="Q160" s="124"/>
      <c r="R160" s="125"/>
    </row>
    <row r="161" spans="3:19" s="95" customFormat="1" outlineLevel="1">
      <c r="R161" s="111"/>
    </row>
    <row r="162" spans="3:19" s="95" customFormat="1" outlineLevel="1">
      <c r="C162" s="119" t="s">
        <v>432</v>
      </c>
      <c r="R162" s="111"/>
    </row>
    <row r="163" spans="3:19" s="95" customFormat="1" ht="14.25" outlineLevel="1" thickBot="1">
      <c r="D163" s="1996" t="s">
        <v>146</v>
      </c>
      <c r="E163" s="1996"/>
      <c r="F163" s="114" t="s">
        <v>435</v>
      </c>
      <c r="G163" s="114" t="s">
        <v>434</v>
      </c>
      <c r="H163" s="114" t="s">
        <v>109</v>
      </c>
      <c r="S163" s="111"/>
    </row>
    <row r="164" spans="3:19" s="95" customFormat="1" outlineLevel="1">
      <c r="D164" s="95" t="s">
        <v>93</v>
      </c>
      <c r="F164" s="95">
        <f>G72</f>
        <v>-96926329</v>
      </c>
      <c r="G164" s="95">
        <f>ROUND(F164*$C$13,)</f>
        <v>-96926329</v>
      </c>
      <c r="H164" s="95">
        <f>F164-G164</f>
        <v>0</v>
      </c>
      <c r="S164" s="111"/>
    </row>
    <row r="165" spans="3:19" s="95" customFormat="1" outlineLevel="1">
      <c r="D165" s="95" t="s">
        <v>453</v>
      </c>
      <c r="F165" s="95">
        <v>0</v>
      </c>
      <c r="G165" s="95">
        <f>F165</f>
        <v>0</v>
      </c>
      <c r="H165" s="95">
        <f t="shared" ref="H165:H166" si="8">F165-G165</f>
        <v>0</v>
      </c>
      <c r="S165" s="111"/>
    </row>
    <row r="166" spans="3:19" s="95" customFormat="1" outlineLevel="1">
      <c r="D166" s="95" t="s">
        <v>454</v>
      </c>
      <c r="F166" s="95">
        <v>0</v>
      </c>
      <c r="G166" s="95">
        <f>F166</f>
        <v>0</v>
      </c>
      <c r="H166" s="95">
        <f t="shared" si="8"/>
        <v>0</v>
      </c>
      <c r="S166" s="111"/>
    </row>
    <row r="167" spans="3:19" s="95" customFormat="1" outlineLevel="1">
      <c r="D167" s="95" t="s">
        <v>449</v>
      </c>
      <c r="F167" s="95">
        <v>0</v>
      </c>
      <c r="G167" s="95">
        <f>ROUND(F167*$C$13,)</f>
        <v>0</v>
      </c>
      <c r="H167" s="95">
        <f>F167-G167</f>
        <v>0</v>
      </c>
      <c r="S167" s="111"/>
    </row>
    <row r="168" spans="3:19" s="95" customFormat="1" outlineLevel="1">
      <c r="D168" s="95" t="s">
        <v>450</v>
      </c>
      <c r="F168" s="95">
        <v>0</v>
      </c>
      <c r="G168" s="95">
        <f>ROUND(F168*$C$13,)</f>
        <v>0</v>
      </c>
      <c r="H168" s="95">
        <f>F168-G168</f>
        <v>0</v>
      </c>
      <c r="S168" s="111"/>
    </row>
    <row r="169" spans="3:19" s="95" customFormat="1" outlineLevel="1">
      <c r="D169" s="144" t="s">
        <v>451</v>
      </c>
      <c r="E169" s="144"/>
      <c r="F169" s="144">
        <f>SUM(F164:F168)</f>
        <v>-96926329</v>
      </c>
      <c r="G169" s="144">
        <f>SUM(G164:G168)</f>
        <v>-96926329</v>
      </c>
      <c r="H169" s="144">
        <f t="shared" ref="H169" si="9">SUM(H164:H168)</f>
        <v>0</v>
      </c>
      <c r="S169" s="111"/>
    </row>
    <row r="170" spans="3:19" s="95" customFormat="1" outlineLevel="1">
      <c r="S170" s="111"/>
    </row>
    <row r="171" spans="3:19" s="95" customFormat="1" outlineLevel="1">
      <c r="D171" s="121" t="s">
        <v>180</v>
      </c>
      <c r="E171" s="121"/>
      <c r="F171" s="121">
        <f>F73</f>
        <v>-77454021</v>
      </c>
      <c r="G171" s="121">
        <f>ROUND(F171*$C$13,)</f>
        <v>-77454021</v>
      </c>
      <c r="H171" s="121">
        <f>F171-G171</f>
        <v>0</v>
      </c>
      <c r="S171" s="111"/>
    </row>
    <row r="172" spans="3:19" s="95" customFormat="1" outlineLevel="1">
      <c r="R172" s="111"/>
    </row>
    <row r="173" spans="3:19" s="95" customFormat="1" outlineLevel="1">
      <c r="C173" s="10" t="s">
        <v>170</v>
      </c>
      <c r="D173" s="5"/>
      <c r="F173" s="10" t="s">
        <v>169</v>
      </c>
      <c r="G173" s="5"/>
      <c r="R173" s="111"/>
    </row>
    <row r="174" spans="3:19" s="95" customFormat="1" outlineLevel="1">
      <c r="C174" s="5"/>
      <c r="D174" s="5"/>
      <c r="F174" s="2"/>
      <c r="G174" s="2"/>
      <c r="R174" s="111"/>
    </row>
    <row r="175" spans="3:19" s="95" customFormat="1" ht="15.75" outlineLevel="1">
      <c r="C175" s="9" t="s">
        <v>168</v>
      </c>
      <c r="D175" s="9" t="s">
        <v>154</v>
      </c>
      <c r="F175" s="9" t="s">
        <v>168</v>
      </c>
      <c r="G175" s="9" t="s">
        <v>154</v>
      </c>
      <c r="R175" s="111"/>
    </row>
    <row r="176" spans="3:19" s="95" customFormat="1" outlineLevel="1">
      <c r="C176" s="5" t="s">
        <v>167</v>
      </c>
      <c r="D176" s="2">
        <f>D156</f>
        <v>-1117056761</v>
      </c>
      <c r="F176" s="5" t="s">
        <v>157</v>
      </c>
      <c r="G176" s="2">
        <f>H74</f>
        <v>-1291437111</v>
      </c>
      <c r="R176" s="111"/>
    </row>
    <row r="177" spans="2:18" s="95" customFormat="1" outlineLevel="1">
      <c r="C177" s="2" t="s">
        <v>166</v>
      </c>
      <c r="D177" s="2"/>
      <c r="F177" s="5" t="s">
        <v>165</v>
      </c>
      <c r="G177" s="145">
        <f>$C$13</f>
        <v>1</v>
      </c>
      <c r="R177" s="111"/>
    </row>
    <row r="178" spans="2:18" s="95" customFormat="1" outlineLevel="1">
      <c r="C178" s="5" t="s">
        <v>164</v>
      </c>
      <c r="D178" s="2"/>
      <c r="F178" s="5" t="s">
        <v>163</v>
      </c>
      <c r="G178" s="2">
        <f>ROUND(G176*G177,0)</f>
        <v>-1291437111</v>
      </c>
      <c r="R178" s="111"/>
    </row>
    <row r="179" spans="2:18" s="95" customFormat="1" outlineLevel="1">
      <c r="C179" s="5" t="s">
        <v>162</v>
      </c>
      <c r="D179" s="2">
        <f>G169</f>
        <v>-96926329</v>
      </c>
      <c r="F179" s="5" t="s">
        <v>161</v>
      </c>
      <c r="G179" s="2">
        <v>0</v>
      </c>
      <c r="H179" s="145"/>
      <c r="R179" s="111"/>
    </row>
    <row r="180" spans="2:18" s="95" customFormat="1" ht="14.25" outlineLevel="1" thickBot="1">
      <c r="C180" s="8" t="s">
        <v>160</v>
      </c>
      <c r="D180" s="141">
        <f>G171</f>
        <v>-77454021</v>
      </c>
      <c r="F180" s="5" t="s">
        <v>159</v>
      </c>
      <c r="G180" s="2">
        <f>G165+G167</f>
        <v>0</v>
      </c>
      <c r="R180" s="111"/>
    </row>
    <row r="181" spans="2:18" s="95" customFormat="1" ht="15" outlineLevel="1" thickTop="1" thickBot="1">
      <c r="C181" s="5" t="s">
        <v>158</v>
      </c>
      <c r="D181" s="2">
        <f>SUM(D176:D180)</f>
        <v>-1291437111</v>
      </c>
      <c r="F181" s="8" t="s">
        <v>157</v>
      </c>
      <c r="G181" s="141">
        <f>D181</f>
        <v>-1291437111</v>
      </c>
      <c r="R181" s="111"/>
    </row>
    <row r="182" spans="2:18" s="95" customFormat="1" ht="14.25" outlineLevel="1" thickTop="1">
      <c r="C182" s="2"/>
      <c r="D182" s="2"/>
      <c r="F182" s="5" t="s">
        <v>156</v>
      </c>
      <c r="G182" s="143">
        <f>G178-G181+G179+G180</f>
        <v>0</v>
      </c>
      <c r="R182" s="111"/>
    </row>
    <row r="183" spans="2:18" s="95" customFormat="1" outlineLevel="1">
      <c r="R183" s="111"/>
    </row>
    <row r="186" spans="2:18" ht="24">
      <c r="B186" s="5"/>
      <c r="E186" s="5" ph="1"/>
      <c r="R186" s="5"/>
    </row>
    <row r="191" spans="2:18" ht="24">
      <c r="B191" s="5"/>
      <c r="E191" s="5" ph="1"/>
      <c r="R191" s="5"/>
    </row>
    <row r="193" spans="5:5" s="5" customFormat="1" ht="24">
      <c r="E193" s="5" ph="1"/>
    </row>
    <row r="194" spans="5:5" s="5" customFormat="1" ht="24">
      <c r="E194" s="5" ph="1"/>
    </row>
    <row r="196" spans="5:5" s="5" customFormat="1" ht="24">
      <c r="E196" s="5" ph="1"/>
    </row>
    <row r="197" spans="5:5" s="5" customFormat="1" ht="24">
      <c r="E197" s="5" ph="1"/>
    </row>
    <row r="199" spans="5:5" s="5" customFormat="1" ht="24">
      <c r="E199" s="5" ph="1"/>
    </row>
    <row r="201" spans="5:5" s="5" customFormat="1" ht="24">
      <c r="E201" s="5" ph="1"/>
    </row>
    <row r="202" spans="5:5" s="5" customFormat="1" ht="24">
      <c r="E202" s="5" ph="1"/>
    </row>
    <row r="204" spans="5:5" s="5" customFormat="1" ht="24">
      <c r="E204" s="5" ph="1"/>
    </row>
    <row r="205" spans="5:5" s="5" customFormat="1" ht="24">
      <c r="E205" s="5" ph="1"/>
    </row>
    <row r="207" spans="5:5" s="5" customFormat="1" ht="24">
      <c r="E207" s="5" ph="1"/>
    </row>
    <row r="210" spans="5:5" s="5" customFormat="1" ht="24">
      <c r="E210" s="5" ph="1"/>
    </row>
    <row r="211" spans="5:5" s="5" customFormat="1" ht="24">
      <c r="E211" s="5" ph="1"/>
    </row>
    <row r="213" spans="5:5" s="5" customFormat="1" ht="24">
      <c r="E213" s="5" ph="1"/>
    </row>
    <row r="214" spans="5:5" s="5" customFormat="1" ht="24">
      <c r="E214" s="5" ph="1"/>
    </row>
    <row r="217" spans="5:5" s="5" customFormat="1" ht="24">
      <c r="E217" s="5" ph="1"/>
    </row>
    <row r="218" spans="5:5" s="5" customFormat="1" ht="24">
      <c r="E218" s="5" ph="1"/>
    </row>
    <row r="220" spans="5:5" s="5" customFormat="1" ht="24">
      <c r="E220" s="5" ph="1"/>
    </row>
    <row r="221" spans="5:5" s="5" customFormat="1" ht="24">
      <c r="E221" s="5" ph="1"/>
    </row>
    <row r="223" spans="5:5" s="5" customFormat="1" ht="24">
      <c r="E223" s="5" ph="1"/>
    </row>
    <row r="225" spans="5:5" s="5" customFormat="1" ht="24">
      <c r="E225" s="5" ph="1"/>
    </row>
    <row r="226" spans="5:5" s="5" customFormat="1" ht="24">
      <c r="E226" s="5" ph="1"/>
    </row>
    <row r="228" spans="5:5" s="5" customFormat="1" ht="24">
      <c r="E228" s="5" ph="1"/>
    </row>
    <row r="229" spans="5:5" s="5" customFormat="1" ht="24">
      <c r="E229" s="5" ph="1"/>
    </row>
    <row r="231" spans="5:5" s="5" customFormat="1" ht="24">
      <c r="E231" s="5" ph="1"/>
    </row>
    <row r="234" spans="5:5" s="5" customFormat="1" ht="24">
      <c r="E234" s="5" ph="1"/>
    </row>
    <row r="235" spans="5:5" s="5" customFormat="1" ht="24">
      <c r="E235" s="5" ph="1"/>
    </row>
    <row r="237" spans="5:5" s="5" customFormat="1" ht="24">
      <c r="E237" s="5" ph="1"/>
    </row>
    <row r="238" spans="5:5" s="5" customFormat="1" ht="24">
      <c r="E238" s="5" ph="1"/>
    </row>
    <row r="239" spans="5:5" s="5" customFormat="1" ht="24">
      <c r="E239" s="5" ph="1"/>
    </row>
    <row r="240" spans="5:5" s="5" customFormat="1" ht="24">
      <c r="E240" s="5" ph="1"/>
    </row>
    <row r="241" spans="5:5" s="5" customFormat="1" ht="24">
      <c r="E241" s="5" ph="1"/>
    </row>
    <row r="243" spans="5:5" s="5" customFormat="1" ht="24">
      <c r="E243" s="5" ph="1"/>
    </row>
    <row r="244" spans="5:5" s="5" customFormat="1" ht="24">
      <c r="E244" s="5" ph="1"/>
    </row>
    <row r="245" spans="5:5" s="5" customFormat="1" ht="24">
      <c r="E245" s="5" ph="1"/>
    </row>
    <row r="246" spans="5:5" s="5" customFormat="1" ht="24">
      <c r="E246" s="5" ph="1"/>
    </row>
    <row r="247" spans="5:5" s="5" customFormat="1" ht="24">
      <c r="E247" s="5" ph="1"/>
    </row>
    <row r="248" spans="5:5" s="5" customFormat="1" ht="24">
      <c r="E248" s="5" ph="1"/>
    </row>
    <row r="250" spans="5:5" s="5" customFormat="1" ht="24">
      <c r="E250" s="5" ph="1"/>
    </row>
    <row r="251" spans="5:5" s="5" customFormat="1" ht="24">
      <c r="E251" s="5" ph="1"/>
    </row>
    <row r="252" spans="5:5" s="5" customFormat="1" ht="24">
      <c r="E252" s="5" ph="1"/>
    </row>
    <row r="253" spans="5:5" s="5" customFormat="1" ht="24">
      <c r="E253" s="5" ph="1"/>
    </row>
    <row r="254" spans="5:5" s="5" customFormat="1" ht="24">
      <c r="E254" s="5" ph="1"/>
    </row>
    <row r="256" spans="5:5" s="5" customFormat="1" ht="24">
      <c r="E256" s="5" ph="1"/>
    </row>
    <row r="257" spans="5:5" s="5" customFormat="1" ht="24">
      <c r="E257" s="5" ph="1"/>
    </row>
    <row r="258" spans="5:5" s="5" customFormat="1" ht="24">
      <c r="E258" s="5" ph="1"/>
    </row>
    <row r="259" spans="5:5" s="5" customFormat="1" ht="24">
      <c r="E259" s="5" ph="1"/>
    </row>
    <row r="260" spans="5:5" s="5" customFormat="1" ht="24">
      <c r="E260" s="5" ph="1"/>
    </row>
    <row r="261" spans="5:5" s="5" customFormat="1" ht="24">
      <c r="E261" s="5" ph="1"/>
    </row>
    <row r="262" spans="5:5" s="5" customFormat="1" ht="24">
      <c r="E262" s="5" ph="1"/>
    </row>
    <row r="263" spans="5:5" s="5" customFormat="1" ht="24">
      <c r="E263" s="5" ph="1"/>
    </row>
    <row r="264" spans="5:5" s="5" customFormat="1" ht="24">
      <c r="E264" s="5" ph="1"/>
    </row>
    <row r="266" spans="5:5" s="5" customFormat="1" ht="24">
      <c r="E266" s="5" ph="1"/>
    </row>
    <row r="267" spans="5:5" s="5" customFormat="1" ht="24">
      <c r="E267" s="5" ph="1"/>
    </row>
    <row r="268" spans="5:5" s="5" customFormat="1" ht="24">
      <c r="E268" s="5" ph="1"/>
    </row>
    <row r="269" spans="5:5" s="5" customFormat="1" ht="24">
      <c r="E269" s="5" ph="1"/>
    </row>
    <row r="270" spans="5:5" s="5" customFormat="1" ht="24">
      <c r="E270" s="5" ph="1"/>
    </row>
    <row r="272" spans="5:5" s="5" customFormat="1" ht="24">
      <c r="E272" s="5" ph="1"/>
    </row>
    <row r="273" spans="5:5" s="5" customFormat="1" ht="24">
      <c r="E273" s="5" ph="1"/>
    </row>
    <row r="274" spans="5:5" s="5" customFormat="1" ht="24">
      <c r="E274" s="5" ph="1"/>
    </row>
    <row r="275" spans="5:5" s="5" customFormat="1" ht="24">
      <c r="E275" s="5" ph="1"/>
    </row>
    <row r="276" spans="5:5" s="5" customFormat="1" ht="24">
      <c r="E276" s="5" ph="1"/>
    </row>
    <row r="277" spans="5:5" s="5" customFormat="1" ht="24">
      <c r="E277" s="5" ph="1"/>
    </row>
    <row r="278" spans="5:5" s="5" customFormat="1" ht="24">
      <c r="E278" s="5" ph="1"/>
    </row>
    <row r="279" spans="5:5" s="5" customFormat="1" ht="24">
      <c r="E279" s="5" ph="1"/>
    </row>
    <row r="280" spans="5:5" s="5" customFormat="1" ht="24">
      <c r="E280" s="5" ph="1"/>
    </row>
    <row r="284" spans="5:5" s="5" customFormat="1" ht="24">
      <c r="E284" s="5" ph="1"/>
    </row>
    <row r="286" spans="5:5" s="5" customFormat="1" ht="24">
      <c r="E286" s="5" ph="1"/>
    </row>
    <row r="287" spans="5:5" s="5" customFormat="1" ht="24">
      <c r="E287" s="5" ph="1"/>
    </row>
    <row r="289" spans="5:5" s="5" customFormat="1" ht="24">
      <c r="E289" s="5" ph="1"/>
    </row>
    <row r="290" spans="5:5" s="5" customFormat="1" ht="24">
      <c r="E290" s="5" ph="1"/>
    </row>
    <row r="292" spans="5:5" s="5" customFormat="1" ht="24">
      <c r="E292" s="5" ph="1"/>
    </row>
    <row r="294" spans="5:5" s="5" customFormat="1" ht="24">
      <c r="E294" s="5" ph="1"/>
    </row>
    <row r="295" spans="5:5" s="5" customFormat="1" ht="24">
      <c r="E295" s="5" ph="1"/>
    </row>
    <row r="297" spans="5:5" s="5" customFormat="1" ht="24">
      <c r="E297" s="5" ph="1"/>
    </row>
    <row r="298" spans="5:5" s="5" customFormat="1" ht="24">
      <c r="E298" s="5" ph="1"/>
    </row>
    <row r="300" spans="5:5" s="5" customFormat="1" ht="24">
      <c r="E300" s="5" ph="1"/>
    </row>
    <row r="303" spans="5:5" s="5" customFormat="1" ht="24">
      <c r="E303" s="5" ph="1"/>
    </row>
    <row r="304" spans="5:5" s="5" customFormat="1" ht="24">
      <c r="E304" s="5" ph="1"/>
    </row>
    <row r="306" spans="5:5" s="5" customFormat="1" ht="24">
      <c r="E306" s="5" ph="1"/>
    </row>
    <row r="307" spans="5:5" s="5" customFormat="1" ht="24">
      <c r="E307" s="5" ph="1"/>
    </row>
    <row r="310" spans="5:5" s="5" customFormat="1" ht="24">
      <c r="E310" s="5" ph="1"/>
    </row>
    <row r="311" spans="5:5" s="5" customFormat="1" ht="24">
      <c r="E311" s="5" ph="1"/>
    </row>
    <row r="313" spans="5:5" s="5" customFormat="1" ht="24">
      <c r="E313" s="5" ph="1"/>
    </row>
    <row r="314" spans="5:5" s="5" customFormat="1" ht="24">
      <c r="E314" s="5" ph="1"/>
    </row>
    <row r="316" spans="5:5" s="5" customFormat="1" ht="24">
      <c r="E316" s="5" ph="1"/>
    </row>
    <row r="318" spans="5:5" s="5" customFormat="1" ht="24">
      <c r="E318" s="5" ph="1"/>
    </row>
    <row r="319" spans="5:5" s="5" customFormat="1" ht="24">
      <c r="E319" s="5" ph="1"/>
    </row>
    <row r="321" spans="5:5" s="5" customFormat="1" ht="24">
      <c r="E321" s="5" ph="1"/>
    </row>
    <row r="322" spans="5:5" s="5" customFormat="1" ht="24">
      <c r="E322" s="5" ph="1"/>
    </row>
    <row r="324" spans="5:5" s="5" customFormat="1" ht="24">
      <c r="E324" s="5" ph="1"/>
    </row>
    <row r="327" spans="5:5" s="5" customFormat="1" ht="24">
      <c r="E327" s="5" ph="1"/>
    </row>
    <row r="328" spans="5:5" s="5" customFormat="1" ht="24">
      <c r="E328" s="5" ph="1"/>
    </row>
    <row r="330" spans="5:5" s="5" customFormat="1" ht="24">
      <c r="E330" s="5" ph="1"/>
    </row>
    <row r="331" spans="5:5" s="5" customFormat="1" ht="24">
      <c r="E331" s="5" ph="1"/>
    </row>
    <row r="332" spans="5:5" s="5" customFormat="1" ht="24">
      <c r="E332" s="5" ph="1"/>
    </row>
    <row r="333" spans="5:5" s="5" customFormat="1" ht="24">
      <c r="E333" s="5" ph="1"/>
    </row>
    <row r="334" spans="5:5" s="5" customFormat="1" ht="24">
      <c r="E334" s="5" ph="1"/>
    </row>
    <row r="336" spans="5:5" s="5" customFormat="1" ht="24">
      <c r="E336" s="5" ph="1"/>
    </row>
    <row r="337" spans="5:5" s="5" customFormat="1" ht="24">
      <c r="E337" s="5" ph="1"/>
    </row>
    <row r="338" spans="5:5" s="5" customFormat="1" ht="24">
      <c r="E338" s="5" ph="1"/>
    </row>
    <row r="339" spans="5:5" s="5" customFormat="1" ht="24">
      <c r="E339" s="5" ph="1"/>
    </row>
    <row r="340" spans="5:5" s="5" customFormat="1" ht="24">
      <c r="E340" s="5" ph="1"/>
    </row>
    <row r="341" spans="5:5" s="5" customFormat="1" ht="24">
      <c r="E341" s="5" ph="1"/>
    </row>
    <row r="343" spans="5:5" s="5" customFormat="1" ht="24">
      <c r="E343" s="5" ph="1"/>
    </row>
    <row r="344" spans="5:5" s="5" customFormat="1" ht="24">
      <c r="E344" s="5" ph="1"/>
    </row>
    <row r="345" spans="5:5" s="5" customFormat="1" ht="24">
      <c r="E345" s="5" ph="1"/>
    </row>
    <row r="346" spans="5:5" s="5" customFormat="1" ht="24">
      <c r="E346" s="5" ph="1"/>
    </row>
    <row r="347" spans="5:5" s="5" customFormat="1" ht="24">
      <c r="E347" s="5" ph="1"/>
    </row>
    <row r="349" spans="5:5" s="5" customFormat="1" ht="24">
      <c r="E349" s="5" ph="1"/>
    </row>
    <row r="350" spans="5:5" s="5" customFormat="1" ht="24">
      <c r="E350" s="5" ph="1"/>
    </row>
    <row r="351" spans="5:5" s="5" customFormat="1" ht="24">
      <c r="E351" s="5" ph="1"/>
    </row>
    <row r="352" spans="5:5" s="5" customFormat="1" ht="24">
      <c r="E352" s="5" ph="1"/>
    </row>
    <row r="353" spans="5:5" s="5" customFormat="1" ht="24">
      <c r="E353" s="5" ph="1"/>
    </row>
    <row r="354" spans="5:5" s="5" customFormat="1" ht="24">
      <c r="E354" s="5" ph="1"/>
    </row>
    <row r="355" spans="5:5" s="5" customFormat="1" ht="24">
      <c r="E355" s="5" ph="1"/>
    </row>
    <row r="356" spans="5:5" s="5" customFormat="1" ht="24">
      <c r="E356" s="5" ph="1"/>
    </row>
    <row r="357" spans="5:5" s="5" customFormat="1" ht="24">
      <c r="E357" s="5" ph="1"/>
    </row>
    <row r="359" spans="5:5" s="5" customFormat="1" ht="24">
      <c r="E359" s="5" ph="1"/>
    </row>
    <row r="360" spans="5:5" s="5" customFormat="1" ht="24">
      <c r="E360" s="5" ph="1"/>
    </row>
    <row r="361" spans="5:5" s="5" customFormat="1" ht="24">
      <c r="E361" s="5" ph="1"/>
    </row>
    <row r="362" spans="5:5" s="5" customFormat="1" ht="24">
      <c r="E362" s="5" ph="1"/>
    </row>
    <row r="363" spans="5:5" s="5" customFormat="1" ht="24">
      <c r="E363" s="5" ph="1"/>
    </row>
    <row r="365" spans="5:5" s="5" customFormat="1" ht="24">
      <c r="E365" s="5" ph="1"/>
    </row>
    <row r="366" spans="5:5" s="5" customFormat="1" ht="24">
      <c r="E366" s="5" ph="1"/>
    </row>
    <row r="367" spans="5:5" s="5" customFormat="1" ht="24">
      <c r="E367" s="5" ph="1"/>
    </row>
    <row r="368" spans="5:5" s="5" customFormat="1" ht="24">
      <c r="E368" s="5" ph="1"/>
    </row>
    <row r="369" spans="5:5" s="5" customFormat="1" ht="24">
      <c r="E369" s="5" ph="1"/>
    </row>
    <row r="370" spans="5:5" s="5" customFormat="1" ht="24">
      <c r="E370" s="5" ph="1"/>
    </row>
    <row r="371" spans="5:5" s="5" customFormat="1" ht="24">
      <c r="E371" s="5" ph="1"/>
    </row>
    <row r="372" spans="5:5" s="5" customFormat="1" ht="24">
      <c r="E372" s="5" ph="1"/>
    </row>
    <row r="373" spans="5:5" s="5" customFormat="1" ht="24">
      <c r="E373" s="5" ph="1"/>
    </row>
    <row r="375" spans="5:5" s="5" customFormat="1" ht="24">
      <c r="E375" s="5" ph="1"/>
    </row>
    <row r="376" spans="5:5" s="5" customFormat="1" ht="24">
      <c r="E376" s="5" ph="1"/>
    </row>
    <row r="377" spans="5:5" s="5" customFormat="1" ht="24">
      <c r="E377" s="5" ph="1"/>
    </row>
    <row r="378" spans="5:5" s="5" customFormat="1" ht="24">
      <c r="E378" s="5" ph="1"/>
    </row>
    <row r="379" spans="5:5" s="5" customFormat="1" ht="24">
      <c r="E379" s="5" ph="1"/>
    </row>
    <row r="381" spans="5:5" s="5" customFormat="1" ht="24">
      <c r="E381" s="5" ph="1"/>
    </row>
    <row r="382" spans="5:5" s="5" customFormat="1" ht="24">
      <c r="E382" s="5" ph="1"/>
    </row>
    <row r="383" spans="5:5" s="5" customFormat="1" ht="24">
      <c r="E383" s="5" ph="1"/>
    </row>
    <row r="384" spans="5:5" s="5" customFormat="1" ht="24">
      <c r="E384" s="5" ph="1"/>
    </row>
    <row r="385" spans="5:5" s="5" customFormat="1" ht="24">
      <c r="E385" s="5" ph="1"/>
    </row>
    <row r="386" spans="5:5" s="5" customFormat="1" ht="24">
      <c r="E386" s="5" ph="1"/>
    </row>
    <row r="387" spans="5:5" s="5" customFormat="1" ht="24">
      <c r="E387" s="5" ph="1"/>
    </row>
    <row r="388" spans="5:5" s="5" customFormat="1" ht="24">
      <c r="E388" s="5" ph="1"/>
    </row>
    <row r="389" spans="5:5" s="5" customFormat="1" ht="24">
      <c r="E389" s="5" ph="1"/>
    </row>
    <row r="390" spans="5:5" s="5" customFormat="1" ht="24">
      <c r="E390" s="5" ph="1"/>
    </row>
    <row r="391" spans="5:5" s="5" customFormat="1" ht="24">
      <c r="E391" s="5" ph="1"/>
    </row>
    <row r="392" spans="5:5" s="5" customFormat="1" ht="24">
      <c r="E392" s="5" ph="1"/>
    </row>
    <row r="393" spans="5:5" s="5" customFormat="1" ht="24">
      <c r="E393" s="5" ph="1"/>
    </row>
    <row r="394" spans="5:5" s="5" customFormat="1" ht="24">
      <c r="E394" s="5" ph="1"/>
    </row>
    <row r="395" spans="5:5" s="5" customFormat="1" ht="24">
      <c r="E395" s="5" ph="1"/>
    </row>
    <row r="397" spans="5:5" s="5" customFormat="1" ht="24">
      <c r="E397" s="5" ph="1"/>
    </row>
    <row r="398" spans="5:5" s="5" customFormat="1" ht="24">
      <c r="E398" s="5" ph="1"/>
    </row>
    <row r="399" spans="5:5" s="5" customFormat="1" ht="24">
      <c r="E399" s="5" ph="1"/>
    </row>
    <row r="401" spans="5:5" s="5" customFormat="1" ht="24">
      <c r="E401" s="5" ph="1"/>
    </row>
    <row r="403" spans="5:5" s="5" customFormat="1" ht="24">
      <c r="E403" s="5" ph="1"/>
    </row>
    <row r="404" spans="5:5" s="5" customFormat="1" ht="24">
      <c r="E404" s="5" ph="1"/>
    </row>
    <row r="405" spans="5:5" s="5" customFormat="1" ht="24">
      <c r="E405" s="5" ph="1"/>
    </row>
    <row r="406" spans="5:5" s="5" customFormat="1" ht="24">
      <c r="E406" s="5" ph="1"/>
    </row>
    <row r="407" spans="5:5" s="5" customFormat="1" ht="24">
      <c r="E407" s="5" ph="1"/>
    </row>
    <row r="408" spans="5:5" s="5" customFormat="1" ht="24">
      <c r="E408" s="5" ph="1"/>
    </row>
    <row r="409" spans="5:5" s="5" customFormat="1" ht="24">
      <c r="E409" s="5" ph="1"/>
    </row>
    <row r="410" spans="5:5" s="5" customFormat="1" ht="24">
      <c r="E410" s="5" ph="1"/>
    </row>
    <row r="411" spans="5:5" s="5" customFormat="1" ht="24">
      <c r="E411" s="5" ph="1"/>
    </row>
    <row r="412" spans="5:5" s="5" customFormat="1" ht="24">
      <c r="E412" s="5" ph="1"/>
    </row>
    <row r="413" spans="5:5" s="5" customFormat="1" ht="24">
      <c r="E413" s="5" ph="1"/>
    </row>
    <row r="414" spans="5:5" s="5" customFormat="1" ht="24">
      <c r="E414" s="5" ph="1"/>
    </row>
    <row r="415" spans="5:5" s="5" customFormat="1" ht="24">
      <c r="E415" s="5" ph="1"/>
    </row>
    <row r="416" spans="5:5" s="5" customFormat="1" ht="24">
      <c r="E416" s="5" ph="1"/>
    </row>
    <row r="417" spans="5:5" s="5" customFormat="1" ht="24">
      <c r="E417" s="5" ph="1"/>
    </row>
    <row r="419" spans="5:5" s="5" customFormat="1" ht="24">
      <c r="E419" s="5" ph="1"/>
    </row>
    <row r="420" spans="5:5" s="5" customFormat="1" ht="24">
      <c r="E420" s="5" ph="1"/>
    </row>
    <row r="421" spans="5:5" s="5" customFormat="1" ht="24">
      <c r="E421" s="5" ph="1"/>
    </row>
    <row r="423" spans="5:5" s="5" customFormat="1" ht="24">
      <c r="E423" s="5" ph="1"/>
    </row>
    <row r="424" spans="5:5" s="5" customFormat="1" ht="24">
      <c r="E424" s="5" ph="1"/>
    </row>
    <row r="425" spans="5:5" s="5" customFormat="1" ht="24">
      <c r="E425" s="5" ph="1"/>
    </row>
    <row r="426" spans="5:5" s="5" customFormat="1" ht="24">
      <c r="E426" s="5" ph="1"/>
    </row>
    <row r="427" spans="5:5" s="5" customFormat="1" ht="24">
      <c r="E427" s="5" ph="1"/>
    </row>
    <row r="428" spans="5:5" s="5" customFormat="1" ht="24">
      <c r="E428" s="5" ph="1"/>
    </row>
    <row r="429" spans="5:5" s="5" customFormat="1" ht="24">
      <c r="E429" s="5" ph="1"/>
    </row>
    <row r="430" spans="5:5" s="5" customFormat="1" ht="24">
      <c r="E430" s="5" ph="1"/>
    </row>
    <row r="431" spans="5:5" s="5" customFormat="1" ht="24">
      <c r="E431" s="5" ph="1"/>
    </row>
    <row r="432" spans="5:5" s="5" customFormat="1" ht="24">
      <c r="E432" s="5" ph="1"/>
    </row>
    <row r="433" spans="2:18" ht="24">
      <c r="B433" s="5"/>
      <c r="E433" s="5" ph="1"/>
      <c r="R433" s="5"/>
    </row>
    <row r="434" spans="2:18" ht="24">
      <c r="B434" s="5"/>
      <c r="E434" s="5" ph="1"/>
      <c r="R434" s="5"/>
    </row>
    <row r="435" spans="2:18" ht="24">
      <c r="B435" s="5"/>
      <c r="E435" s="5" ph="1"/>
      <c r="R435" s="5"/>
    </row>
    <row r="436" spans="2:18" ht="24">
      <c r="B436" s="5"/>
      <c r="E436" s="5" ph="1"/>
      <c r="R436" s="5"/>
    </row>
    <row r="437" spans="2:18" ht="24">
      <c r="B437" s="5"/>
      <c r="E437" s="5" ph="1"/>
      <c r="R437" s="5"/>
    </row>
    <row r="438" spans="2:18" ht="24">
      <c r="E438" s="5" ph="1"/>
    </row>
    <row r="439" spans="2:18" ht="24">
      <c r="E439" s="5" ph="1"/>
    </row>
    <row r="440" spans="2:18" ht="24">
      <c r="E440" s="5" ph="1"/>
    </row>
    <row r="441" spans="2:18" ht="24">
      <c r="E441" s="5" ph="1"/>
    </row>
    <row r="442" spans="2:18" ht="24">
      <c r="E442" s="5" ph="1"/>
    </row>
    <row r="443" spans="2:18" ht="24">
      <c r="E443" s="5" ph="1"/>
    </row>
    <row r="444" spans="2:18" ht="24">
      <c r="E444" s="5" ph="1"/>
    </row>
    <row r="445" spans="2:18" ht="24">
      <c r="E445" s="5" ph="1"/>
    </row>
    <row r="446" spans="2:18" ht="24">
      <c r="E446" s="5" ph="1"/>
    </row>
    <row r="447" spans="2:18" ht="24">
      <c r="E447" s="5" ph="1"/>
    </row>
    <row r="448" spans="2:18" ht="24">
      <c r="E448" s="5" ph="1"/>
    </row>
    <row r="449" spans="5:5" ht="24">
      <c r="E449" s="5" ph="1"/>
    </row>
    <row r="450" spans="5:5" ht="24">
      <c r="E450" s="5" ph="1"/>
    </row>
    <row r="451" spans="5:5" ht="24">
      <c r="E451" s="5" ph="1"/>
    </row>
    <row r="452" spans="5:5" ht="24">
      <c r="E452" s="5" ph="1"/>
    </row>
    <row r="453" spans="5:5" ht="24">
      <c r="E453" s="5" ph="1"/>
    </row>
    <row r="454" spans="5:5" ht="24">
      <c r="E454" s="5" ph="1"/>
    </row>
    <row r="455" spans="5:5" ht="24">
      <c r="E455" s="5" ph="1"/>
    </row>
    <row r="456" spans="5:5" ht="24">
      <c r="E456" s="5" ph="1"/>
    </row>
    <row r="457" spans="5:5" ht="24">
      <c r="E457" s="5" ph="1"/>
    </row>
    <row r="458" spans="5:5" ht="24">
      <c r="E458" s="5" ph="1"/>
    </row>
    <row r="459" spans="5:5" ht="24">
      <c r="E459" s="5" ph="1"/>
    </row>
    <row r="460" spans="5:5" ht="24">
      <c r="E460" s="5" ph="1"/>
    </row>
    <row r="461" spans="5:5" ht="24">
      <c r="E461" s="5" ph="1"/>
    </row>
    <row r="462" spans="5:5" ht="24">
      <c r="E462" s="5" ph="1"/>
    </row>
    <row r="463" spans="5:5" ht="24">
      <c r="E463" s="5" ph="1"/>
    </row>
    <row r="464" spans="5:5" ht="24">
      <c r="E464" s="5" ph="1"/>
    </row>
    <row r="465" spans="5:5" ht="24">
      <c r="E465" s="5" ph="1"/>
    </row>
    <row r="466" spans="5:5" ht="24">
      <c r="E466" s="5" ph="1"/>
    </row>
    <row r="467" spans="5:5" ht="24">
      <c r="E467" s="5" ph="1"/>
    </row>
    <row r="468" spans="5:5" ht="24">
      <c r="E468" s="5" ph="1"/>
    </row>
    <row r="469" spans="5:5" ht="24">
      <c r="E469" s="5" ph="1"/>
    </row>
    <row r="470" spans="5:5" ht="24">
      <c r="E470" s="5" ph="1"/>
    </row>
    <row r="471" spans="5:5" ht="24">
      <c r="E471" s="5" ph="1"/>
    </row>
    <row r="472" spans="5:5" ht="24">
      <c r="E472" s="5" ph="1"/>
    </row>
    <row r="473" spans="5:5" ht="24">
      <c r="E473" s="5" ph="1"/>
    </row>
    <row r="474" spans="5:5" ht="24">
      <c r="E474" s="5" ph="1"/>
    </row>
    <row r="475" spans="5:5" ht="24">
      <c r="E475" s="5" ph="1"/>
    </row>
    <row r="476" spans="5:5" ht="24">
      <c r="E476" s="5" ph="1"/>
    </row>
    <row r="477" spans="5:5" ht="24">
      <c r="E477" s="5" ph="1"/>
    </row>
    <row r="478" spans="5:5" ht="24">
      <c r="E478" s="5" ph="1"/>
    </row>
    <row r="479" spans="5:5" ht="24">
      <c r="E479" s="5" ph="1"/>
    </row>
    <row r="480" spans="5:5" ht="24">
      <c r="E480" s="5" ph="1"/>
    </row>
    <row r="481" spans="5:5" ht="24">
      <c r="E481" s="5" ph="1"/>
    </row>
    <row r="482" spans="5:5" ht="24">
      <c r="E482" s="5" ph="1"/>
    </row>
    <row r="483" spans="5:5" ht="24">
      <c r="E483" s="5" ph="1"/>
    </row>
    <row r="484" spans="5:5" ht="24">
      <c r="E484" s="5" ph="1"/>
    </row>
    <row r="485" spans="5:5" ht="24">
      <c r="E485" s="5" ph="1"/>
    </row>
    <row r="486" spans="5:5" ht="24">
      <c r="E486" s="5" ph="1"/>
    </row>
    <row r="487" spans="5:5" ht="24">
      <c r="E487" s="5" ph="1"/>
    </row>
    <row r="488" spans="5:5" ht="24">
      <c r="E488" s="5" ph="1"/>
    </row>
    <row r="489" spans="5:5" ht="24">
      <c r="E489" s="5" ph="1"/>
    </row>
    <row r="490" spans="5:5" ht="24">
      <c r="E490" s="5" ph="1"/>
    </row>
    <row r="491" spans="5:5" ht="24">
      <c r="E491" s="5" ph="1"/>
    </row>
    <row r="492" spans="5:5" ht="24">
      <c r="E492" s="5" ph="1"/>
    </row>
    <row r="493" spans="5:5" ht="24">
      <c r="E493" s="5" ph="1"/>
    </row>
    <row r="494" spans="5:5" ht="24">
      <c r="E494" s="5" ph="1"/>
    </row>
    <row r="495" spans="5:5" ht="24">
      <c r="E495" s="5" ph="1"/>
    </row>
    <row r="496" spans="5:5" ht="24">
      <c r="E496" s="5" ph="1"/>
    </row>
    <row r="497" spans="5:5" ht="24">
      <c r="E497" s="5" ph="1"/>
    </row>
    <row r="498" spans="5:5" ht="24">
      <c r="E498" s="5" ph="1"/>
    </row>
    <row r="499" spans="5:5" ht="24">
      <c r="E499" s="5" ph="1"/>
    </row>
    <row r="500" spans="5:5" ht="24">
      <c r="E500" s="5" ph="1"/>
    </row>
    <row r="501" spans="5:5" ht="24">
      <c r="E501" s="5" ph="1"/>
    </row>
    <row r="502" spans="5:5" ht="24">
      <c r="E502" s="5" ph="1"/>
    </row>
    <row r="503" spans="5:5" ht="24">
      <c r="E503" s="5" ph="1"/>
    </row>
    <row r="504" spans="5:5" ht="24">
      <c r="E504" s="5" ph="1"/>
    </row>
    <row r="505" spans="5:5" ht="24">
      <c r="E505" s="5" ph="1"/>
    </row>
    <row r="506" spans="5:5" ht="24">
      <c r="E506" s="5" ph="1"/>
    </row>
    <row r="507" spans="5:5" ht="24">
      <c r="E507" s="5" ph="1"/>
    </row>
    <row r="508" spans="5:5" ht="24">
      <c r="E508" s="5" ph="1"/>
    </row>
    <row r="509" spans="5:5" ht="24">
      <c r="E509" s="5" ph="1"/>
    </row>
    <row r="510" spans="5:5" ht="24">
      <c r="E510" s="5" ph="1"/>
    </row>
    <row r="511" spans="5:5" ht="24">
      <c r="E511" s="5" ph="1"/>
    </row>
    <row r="512" spans="5:5" ht="24">
      <c r="E512" s="5" ph="1"/>
    </row>
    <row r="513" spans="5:5" ht="24">
      <c r="E513" s="5" ph="1"/>
    </row>
    <row r="514" spans="5:5" ht="24">
      <c r="E514" s="5" ph="1"/>
    </row>
    <row r="515" spans="5:5" ht="24">
      <c r="E515" s="5" ph="1"/>
    </row>
    <row r="516" spans="5:5" ht="24">
      <c r="E516" s="5" ph="1"/>
    </row>
    <row r="517" spans="5:5" ht="24">
      <c r="E517" s="5" ph="1"/>
    </row>
    <row r="518" spans="5:5" ht="24">
      <c r="E518" s="5" ph="1"/>
    </row>
    <row r="519" spans="5:5" ht="24">
      <c r="E519" s="5" ph="1"/>
    </row>
    <row r="520" spans="5:5" ht="24">
      <c r="E520" s="5" ph="1"/>
    </row>
    <row r="521" spans="5:5" ht="24">
      <c r="E521" s="5" ph="1"/>
    </row>
    <row r="522" spans="5:5" ht="24">
      <c r="E522" s="5" ph="1"/>
    </row>
    <row r="523" spans="5:5" ht="24">
      <c r="E523" s="5" ph="1"/>
    </row>
    <row r="524" spans="5:5" ht="24">
      <c r="E524" s="5" ph="1"/>
    </row>
    <row r="525" spans="5:5" ht="24">
      <c r="E525" s="5" ph="1"/>
    </row>
    <row r="526" spans="5:5" ht="24">
      <c r="E526" s="5" ph="1"/>
    </row>
    <row r="528" spans="5:5" ht="24">
      <c r="E528" s="5" ph="1"/>
    </row>
    <row r="529" spans="5:5" ht="24">
      <c r="E529" s="5" ph="1"/>
    </row>
    <row r="530" spans="5:5" ht="24">
      <c r="E530" s="5" ph="1"/>
    </row>
    <row r="532" spans="5:5" ht="24">
      <c r="E532" s="5" ph="1"/>
    </row>
    <row r="533" spans="5:5" ht="24">
      <c r="E533" s="5" ph="1"/>
    </row>
    <row r="534" spans="5:5" ht="24">
      <c r="E534" s="5" ph="1"/>
    </row>
    <row r="535" spans="5:5" ht="24">
      <c r="E535" s="5" ph="1"/>
    </row>
    <row r="536" spans="5:5" ht="24">
      <c r="E536" s="5" ph="1"/>
    </row>
    <row r="537" spans="5:5" ht="24">
      <c r="E537" s="5" ph="1"/>
    </row>
    <row r="538" spans="5:5" ht="24">
      <c r="E538" s="5" ph="1"/>
    </row>
    <row r="539" spans="5:5" ht="24">
      <c r="E539" s="5" ph="1"/>
    </row>
    <row r="540" spans="5:5" ht="24">
      <c r="E540" s="5" ph="1"/>
    </row>
    <row r="541" spans="5:5" ht="24">
      <c r="E541" s="5" ph="1"/>
    </row>
    <row r="542" spans="5:5" ht="24">
      <c r="E542" s="5" ph="1"/>
    </row>
    <row r="543" spans="5:5" ht="24">
      <c r="E543" s="5" ph="1"/>
    </row>
    <row r="544" spans="5:5" ht="24">
      <c r="E544" s="5" ph="1"/>
    </row>
    <row r="545" spans="5:5" ht="24">
      <c r="E545" s="5" ph="1"/>
    </row>
    <row r="546" spans="5:5" ht="24">
      <c r="E546" s="5" ph="1"/>
    </row>
    <row r="547" spans="5:5" ht="24">
      <c r="E547" s="5" ph="1"/>
    </row>
    <row r="548" spans="5:5" ht="24">
      <c r="E548" s="5" ph="1"/>
    </row>
    <row r="549" spans="5:5" ht="24">
      <c r="E549" s="5" ph="1"/>
    </row>
    <row r="550" spans="5:5" ht="24">
      <c r="E550" s="5" ph="1"/>
    </row>
    <row r="551" spans="5:5" ht="24">
      <c r="E551" s="5" ph="1"/>
    </row>
    <row r="552" spans="5:5" ht="24">
      <c r="E552" s="5" ph="1"/>
    </row>
    <row r="553" spans="5:5" ht="24">
      <c r="E553" s="5" ph="1"/>
    </row>
    <row r="554" spans="5:5" ht="24">
      <c r="E554" s="5" ph="1"/>
    </row>
    <row r="555" spans="5:5" ht="24">
      <c r="E555" s="5" ph="1"/>
    </row>
    <row r="556" spans="5:5" ht="24">
      <c r="E556" s="5" ph="1"/>
    </row>
    <row r="557" spans="5:5" ht="24">
      <c r="E557" s="5" ph="1"/>
    </row>
    <row r="558" spans="5:5" ht="24">
      <c r="E558" s="5" ph="1"/>
    </row>
    <row r="559" spans="5:5" ht="24">
      <c r="E559" s="5" ph="1"/>
    </row>
    <row r="560" spans="5:5" ht="24">
      <c r="E560" s="5" ph="1"/>
    </row>
    <row r="561" spans="5:5" ht="24">
      <c r="E561" s="5" ph="1"/>
    </row>
    <row r="562" spans="5:5" ht="24">
      <c r="E562" s="5" ph="1"/>
    </row>
    <row r="563" spans="5:5" ht="24">
      <c r="E563" s="5" ph="1"/>
    </row>
    <row r="564" spans="5:5" ht="24">
      <c r="E564" s="5" ph="1"/>
    </row>
    <row r="565" spans="5:5" ht="24">
      <c r="E565" s="5" ph="1"/>
    </row>
    <row r="566" spans="5:5" ht="24">
      <c r="E566" s="5" ph="1"/>
    </row>
    <row r="567" spans="5:5" ht="24">
      <c r="E567" s="5" ph="1"/>
    </row>
    <row r="568" spans="5:5" ht="24">
      <c r="E568" s="5" ph="1"/>
    </row>
    <row r="569" spans="5:5" ht="24">
      <c r="E569" s="5" ph="1"/>
    </row>
    <row r="570" spans="5:5" ht="24">
      <c r="E570" s="5" ph="1"/>
    </row>
    <row r="571" spans="5:5" ht="24">
      <c r="E571" s="5" ph="1"/>
    </row>
    <row r="572" spans="5:5" ht="24">
      <c r="E572" s="5" ph="1"/>
    </row>
    <row r="573" spans="5:5" ht="24">
      <c r="E573" s="5" ph="1"/>
    </row>
    <row r="574" spans="5:5" ht="24">
      <c r="E574" s="5" ph="1"/>
    </row>
    <row r="575" spans="5:5" ht="24">
      <c r="E575" s="5" ph="1"/>
    </row>
    <row r="576" spans="5:5" ht="24">
      <c r="E576" s="5" ph="1"/>
    </row>
    <row r="577" spans="5:5" ht="24">
      <c r="E577" s="5" ph="1"/>
    </row>
    <row r="578" spans="5:5" ht="24">
      <c r="E578" s="5" ph="1"/>
    </row>
    <row r="579" spans="5:5" ht="24">
      <c r="E579" s="5" ph="1"/>
    </row>
    <row r="580" spans="5:5" ht="24">
      <c r="E580" s="5" ph="1"/>
    </row>
    <row r="581" spans="5:5" ht="24">
      <c r="E581" s="5" ph="1"/>
    </row>
    <row r="582" spans="5:5" ht="24">
      <c r="E582" s="5" ph="1"/>
    </row>
    <row r="583" spans="5:5" ht="24">
      <c r="E583" s="5" ph="1"/>
    </row>
    <row r="584" spans="5:5" ht="24">
      <c r="E584" s="5" ph="1"/>
    </row>
    <row r="585" spans="5:5" ht="24">
      <c r="E585" s="5" ph="1"/>
    </row>
    <row r="586" spans="5:5" ht="24">
      <c r="E586" s="5" ph="1"/>
    </row>
    <row r="587" spans="5:5" ht="24">
      <c r="E587" s="5" ph="1"/>
    </row>
    <row r="588" spans="5:5" ht="24">
      <c r="E588" s="5" ph="1"/>
    </row>
    <row r="589" spans="5:5" ht="24">
      <c r="E589" s="5" ph="1"/>
    </row>
    <row r="590" spans="5:5" ht="24">
      <c r="E590" s="5" ph="1"/>
    </row>
    <row r="591" spans="5:5" ht="24">
      <c r="E591" s="5" ph="1"/>
    </row>
    <row r="592" spans="5:5" ht="24">
      <c r="E592" s="5" ph="1"/>
    </row>
    <row r="593" spans="5:5" ht="24">
      <c r="E593" s="5" ph="1"/>
    </row>
    <row r="594" spans="5:5" ht="24">
      <c r="E594" s="5" ph="1"/>
    </row>
    <row r="595" spans="5:5" ht="24">
      <c r="E595" s="5" ph="1"/>
    </row>
    <row r="596" spans="5:5" ht="24">
      <c r="E596" s="5" ph="1"/>
    </row>
    <row r="597" spans="5:5" ht="24">
      <c r="E597" s="5" ph="1"/>
    </row>
    <row r="598" spans="5:5" ht="24">
      <c r="E598" s="5" ph="1"/>
    </row>
    <row r="599" spans="5:5" ht="24">
      <c r="E599" s="5" ph="1"/>
    </row>
    <row r="600" spans="5:5" ht="24">
      <c r="E600" s="5" ph="1"/>
    </row>
    <row r="601" spans="5:5" ht="24">
      <c r="E601" s="5" ph="1"/>
    </row>
    <row r="602" spans="5:5" ht="24">
      <c r="E602" s="5" ph="1"/>
    </row>
    <row r="603" spans="5:5" ht="24">
      <c r="E603" s="5" ph="1"/>
    </row>
    <row r="604" spans="5:5" ht="24">
      <c r="E604" s="5" ph="1"/>
    </row>
    <row r="605" spans="5:5" ht="24">
      <c r="E605" s="5" ph="1"/>
    </row>
    <row r="606" spans="5:5" ht="24">
      <c r="E606" s="5" ph="1"/>
    </row>
    <row r="607" spans="5:5" ht="24">
      <c r="E607" s="5" ph="1"/>
    </row>
    <row r="608" spans="5:5" ht="24">
      <c r="E608" s="5" ph="1"/>
    </row>
    <row r="609" spans="5:5" ht="24">
      <c r="E609" s="5" ph="1"/>
    </row>
    <row r="610" spans="5:5" ht="24">
      <c r="E610" s="5" ph="1"/>
    </row>
    <row r="611" spans="5:5" ht="24">
      <c r="E611" s="5" ph="1"/>
    </row>
    <row r="612" spans="5:5" ht="24">
      <c r="E612" s="5" ph="1"/>
    </row>
    <row r="613" spans="5:5" ht="24">
      <c r="E613" s="5" ph="1"/>
    </row>
    <row r="614" spans="5:5" ht="24">
      <c r="E614" s="5" ph="1"/>
    </row>
    <row r="615" spans="5:5" ht="24">
      <c r="E615" s="5" ph="1"/>
    </row>
    <row r="616" spans="5:5" ht="24">
      <c r="E616" s="5" ph="1"/>
    </row>
    <row r="617" spans="5:5" ht="24">
      <c r="E617" s="5" ph="1"/>
    </row>
    <row r="618" spans="5:5" ht="24">
      <c r="E618" s="5" ph="1"/>
    </row>
    <row r="619" spans="5:5" ht="24">
      <c r="E619" s="5" ph="1"/>
    </row>
    <row r="620" spans="5:5" ht="24">
      <c r="E620" s="5" ph="1"/>
    </row>
    <row r="621" spans="5:5" ht="24">
      <c r="E621" s="5" ph="1"/>
    </row>
    <row r="622" spans="5:5" ht="24">
      <c r="E622" s="5" ph="1"/>
    </row>
    <row r="623" spans="5:5" ht="24">
      <c r="E623" s="5" ph="1"/>
    </row>
    <row r="624" spans="5:5" ht="24">
      <c r="E624" s="5" ph="1"/>
    </row>
    <row r="625" spans="5:5" ht="24">
      <c r="E625" s="5" ph="1"/>
    </row>
    <row r="626" spans="5:5" ht="24">
      <c r="E626" s="5" ph="1"/>
    </row>
  </sheetData>
  <mergeCells count="5">
    <mergeCell ref="D87:E87"/>
    <mergeCell ref="B10:D10"/>
    <mergeCell ref="D113:E113"/>
    <mergeCell ref="D138:E138"/>
    <mergeCell ref="D163:E163"/>
  </mergeCells>
  <phoneticPr fontId="3" type="noConversion"/>
  <pageMargins left="0.7" right="0.7" top="0.75" bottom="0.75" header="0.3" footer="0.3"/>
  <pageSetup paperSize="9" scale="38" orientation="landscape"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17">
    <tabColor theme="7" tint="0.59999389629810485"/>
  </sheetPr>
  <dimension ref="A1:S641"/>
  <sheetViews>
    <sheetView showGridLines="0" topLeftCell="A50" zoomScaleNormal="100" zoomScaleSheetLayoutView="85" workbookViewId="0">
      <selection activeCell="G60" sqref="G60"/>
    </sheetView>
  </sheetViews>
  <sheetFormatPr defaultRowHeight="13.5" outlineLevelRow="1"/>
  <cols>
    <col min="1" max="1" width="3.125" style="5" customWidth="1"/>
    <col min="2" max="2" width="16.125" style="7" customWidth="1"/>
    <col min="3" max="3" width="18.125" style="5" customWidth="1"/>
    <col min="4" max="4" width="16" style="5" customWidth="1"/>
    <col min="5" max="5" width="17.625" style="5" customWidth="1"/>
    <col min="6" max="6" width="18" style="5" customWidth="1"/>
    <col min="7" max="7" width="18.625" style="5" customWidth="1"/>
    <col min="8" max="8" width="19.375" style="5" customWidth="1"/>
    <col min="9" max="9" width="19.125" style="5" customWidth="1"/>
    <col min="10" max="10" width="23" style="5" customWidth="1"/>
    <col min="11" max="11" width="19" style="5" customWidth="1"/>
    <col min="12" max="12" width="20" style="5" customWidth="1"/>
    <col min="13" max="14" width="16.625" style="5" bestFit="1" customWidth="1"/>
    <col min="15" max="15" width="17.625" style="5" bestFit="1" customWidth="1"/>
    <col min="16" max="16" width="16.625" style="5" bestFit="1" customWidth="1"/>
    <col min="17" max="17" width="21.5" style="5" bestFit="1" customWidth="1"/>
    <col min="18" max="18" width="11.5" style="6" bestFit="1" customWidth="1"/>
    <col min="19" max="19" width="11.125" style="5" bestFit="1" customWidth="1"/>
    <col min="20" max="20" width="8.5" style="5" bestFit="1" customWidth="1"/>
    <col min="21" max="257" width="9" style="5"/>
    <col min="258" max="258" width="3.125" style="5" customWidth="1"/>
    <col min="259" max="259" width="7.5" style="5" customWidth="1"/>
    <col min="260" max="260" width="22" style="5" bestFit="1" customWidth="1"/>
    <col min="261" max="261" width="18.625" style="5" customWidth="1"/>
    <col min="262" max="262" width="17" style="5" customWidth="1"/>
    <col min="263" max="263" width="18.125" style="5" customWidth="1"/>
    <col min="264" max="264" width="14.625" style="5" customWidth="1"/>
    <col min="265" max="265" width="18" style="5" customWidth="1"/>
    <col min="266" max="267" width="19.125" style="5" customWidth="1"/>
    <col min="268" max="268" width="17.125" style="5" bestFit="1" customWidth="1"/>
    <col min="269" max="269" width="12.875" style="5" bestFit="1" customWidth="1"/>
    <col min="270" max="270" width="7.5" style="5" bestFit="1" customWidth="1"/>
    <col min="271" max="271" width="14.375" style="5" customWidth="1"/>
    <col min="272" max="272" width="17" style="5" customWidth="1"/>
    <col min="273" max="273" width="15.125" style="5" customWidth="1"/>
    <col min="274" max="274" width="9" style="5" bestFit="1" customWidth="1"/>
    <col min="275" max="275" width="9.125" style="5" bestFit="1" customWidth="1"/>
    <col min="276" max="513" width="9" style="5"/>
    <col min="514" max="514" width="3.125" style="5" customWidth="1"/>
    <col min="515" max="515" width="7.5" style="5" customWidth="1"/>
    <col min="516" max="516" width="22" style="5" bestFit="1" customWidth="1"/>
    <col min="517" max="517" width="18.625" style="5" customWidth="1"/>
    <col min="518" max="518" width="17" style="5" customWidth="1"/>
    <col min="519" max="519" width="18.125" style="5" customWidth="1"/>
    <col min="520" max="520" width="14.625" style="5" customWidth="1"/>
    <col min="521" max="521" width="18" style="5" customWidth="1"/>
    <col min="522" max="523" width="19.125" style="5" customWidth="1"/>
    <col min="524" max="524" width="17.125" style="5" bestFit="1" customWidth="1"/>
    <col min="525" max="525" width="12.875" style="5" bestFit="1" customWidth="1"/>
    <col min="526" max="526" width="7.5" style="5" bestFit="1" customWidth="1"/>
    <col min="527" max="527" width="14.375" style="5" customWidth="1"/>
    <col min="528" max="528" width="17" style="5" customWidth="1"/>
    <col min="529" max="529" width="15.125" style="5" customWidth="1"/>
    <col min="530" max="530" width="9" style="5" bestFit="1" customWidth="1"/>
    <col min="531" max="531" width="9.125" style="5" bestFit="1" customWidth="1"/>
    <col min="532" max="769" width="9" style="5"/>
    <col min="770" max="770" width="3.125" style="5" customWidth="1"/>
    <col min="771" max="771" width="7.5" style="5" customWidth="1"/>
    <col min="772" max="772" width="22" style="5" bestFit="1" customWidth="1"/>
    <col min="773" max="773" width="18.625" style="5" customWidth="1"/>
    <col min="774" max="774" width="17" style="5" customWidth="1"/>
    <col min="775" max="775" width="18.125" style="5" customWidth="1"/>
    <col min="776" max="776" width="14.625" style="5" customWidth="1"/>
    <col min="777" max="777" width="18" style="5" customWidth="1"/>
    <col min="778" max="779" width="19.125" style="5" customWidth="1"/>
    <col min="780" max="780" width="17.125" style="5" bestFit="1" customWidth="1"/>
    <col min="781" max="781" width="12.875" style="5" bestFit="1" customWidth="1"/>
    <col min="782" max="782" width="7.5" style="5" bestFit="1" customWidth="1"/>
    <col min="783" max="783" width="14.375" style="5" customWidth="1"/>
    <col min="784" max="784" width="17" style="5" customWidth="1"/>
    <col min="785" max="785" width="15.125" style="5" customWidth="1"/>
    <col min="786" max="786" width="9" style="5" bestFit="1" customWidth="1"/>
    <col min="787" max="787" width="9.125" style="5" bestFit="1" customWidth="1"/>
    <col min="788" max="1025" width="9" style="5"/>
    <col min="1026" max="1026" width="3.125" style="5" customWidth="1"/>
    <col min="1027" max="1027" width="7.5" style="5" customWidth="1"/>
    <col min="1028" max="1028" width="22" style="5" bestFit="1" customWidth="1"/>
    <col min="1029" max="1029" width="18.625" style="5" customWidth="1"/>
    <col min="1030" max="1030" width="17" style="5" customWidth="1"/>
    <col min="1031" max="1031" width="18.125" style="5" customWidth="1"/>
    <col min="1032" max="1032" width="14.625" style="5" customWidth="1"/>
    <col min="1033" max="1033" width="18" style="5" customWidth="1"/>
    <col min="1034" max="1035" width="19.125" style="5" customWidth="1"/>
    <col min="1036" max="1036" width="17.125" style="5" bestFit="1" customWidth="1"/>
    <col min="1037" max="1037" width="12.875" style="5" bestFit="1" customWidth="1"/>
    <col min="1038" max="1038" width="7.5" style="5" bestFit="1" customWidth="1"/>
    <col min="1039" max="1039" width="14.375" style="5" customWidth="1"/>
    <col min="1040" max="1040" width="17" style="5" customWidth="1"/>
    <col min="1041" max="1041" width="15.125" style="5" customWidth="1"/>
    <col min="1042" max="1042" width="9" style="5" bestFit="1" customWidth="1"/>
    <col min="1043" max="1043" width="9.125" style="5" bestFit="1" customWidth="1"/>
    <col min="1044" max="1281" width="9" style="5"/>
    <col min="1282" max="1282" width="3.125" style="5" customWidth="1"/>
    <col min="1283" max="1283" width="7.5" style="5" customWidth="1"/>
    <col min="1284" max="1284" width="22" style="5" bestFit="1" customWidth="1"/>
    <col min="1285" max="1285" width="18.625" style="5" customWidth="1"/>
    <col min="1286" max="1286" width="17" style="5" customWidth="1"/>
    <col min="1287" max="1287" width="18.125" style="5" customWidth="1"/>
    <col min="1288" max="1288" width="14.625" style="5" customWidth="1"/>
    <col min="1289" max="1289" width="18" style="5" customWidth="1"/>
    <col min="1290" max="1291" width="19.125" style="5" customWidth="1"/>
    <col min="1292" max="1292" width="17.125" style="5" bestFit="1" customWidth="1"/>
    <col min="1293" max="1293" width="12.875" style="5" bestFit="1" customWidth="1"/>
    <col min="1294" max="1294" width="7.5" style="5" bestFit="1" customWidth="1"/>
    <col min="1295" max="1295" width="14.375" style="5" customWidth="1"/>
    <col min="1296" max="1296" width="17" style="5" customWidth="1"/>
    <col min="1297" max="1297" width="15.125" style="5" customWidth="1"/>
    <col min="1298" max="1298" width="9" style="5" bestFit="1" customWidth="1"/>
    <col min="1299" max="1299" width="9.125" style="5" bestFit="1" customWidth="1"/>
    <col min="1300" max="1537" width="9" style="5"/>
    <col min="1538" max="1538" width="3.125" style="5" customWidth="1"/>
    <col min="1539" max="1539" width="7.5" style="5" customWidth="1"/>
    <col min="1540" max="1540" width="22" style="5" bestFit="1" customWidth="1"/>
    <col min="1541" max="1541" width="18.625" style="5" customWidth="1"/>
    <col min="1542" max="1542" width="17" style="5" customWidth="1"/>
    <col min="1543" max="1543" width="18.125" style="5" customWidth="1"/>
    <col min="1544" max="1544" width="14.625" style="5" customWidth="1"/>
    <col min="1545" max="1545" width="18" style="5" customWidth="1"/>
    <col min="1546" max="1547" width="19.125" style="5" customWidth="1"/>
    <col min="1548" max="1548" width="17.125" style="5" bestFit="1" customWidth="1"/>
    <col min="1549" max="1549" width="12.875" style="5" bestFit="1" customWidth="1"/>
    <col min="1550" max="1550" width="7.5" style="5" bestFit="1" customWidth="1"/>
    <col min="1551" max="1551" width="14.375" style="5" customWidth="1"/>
    <col min="1552" max="1552" width="17" style="5" customWidth="1"/>
    <col min="1553" max="1553" width="15.125" style="5" customWidth="1"/>
    <col min="1554" max="1554" width="9" style="5" bestFit="1" customWidth="1"/>
    <col min="1555" max="1555" width="9.125" style="5" bestFit="1" customWidth="1"/>
    <col min="1556" max="1793" width="9" style="5"/>
    <col min="1794" max="1794" width="3.125" style="5" customWidth="1"/>
    <col min="1795" max="1795" width="7.5" style="5" customWidth="1"/>
    <col min="1796" max="1796" width="22" style="5" bestFit="1" customWidth="1"/>
    <col min="1797" max="1797" width="18.625" style="5" customWidth="1"/>
    <col min="1798" max="1798" width="17" style="5" customWidth="1"/>
    <col min="1799" max="1799" width="18.125" style="5" customWidth="1"/>
    <col min="1800" max="1800" width="14.625" style="5" customWidth="1"/>
    <col min="1801" max="1801" width="18" style="5" customWidth="1"/>
    <col min="1802" max="1803" width="19.125" style="5" customWidth="1"/>
    <col min="1804" max="1804" width="17.125" style="5" bestFit="1" customWidth="1"/>
    <col min="1805" max="1805" width="12.875" style="5" bestFit="1" customWidth="1"/>
    <col min="1806" max="1806" width="7.5" style="5" bestFit="1" customWidth="1"/>
    <col min="1807" max="1807" width="14.375" style="5" customWidth="1"/>
    <col min="1808" max="1808" width="17" style="5" customWidth="1"/>
    <col min="1809" max="1809" width="15.125" style="5" customWidth="1"/>
    <col min="1810" max="1810" width="9" style="5" bestFit="1" customWidth="1"/>
    <col min="1811" max="1811" width="9.125" style="5" bestFit="1" customWidth="1"/>
    <col min="1812" max="2049" width="9" style="5"/>
    <col min="2050" max="2050" width="3.125" style="5" customWidth="1"/>
    <col min="2051" max="2051" width="7.5" style="5" customWidth="1"/>
    <col min="2052" max="2052" width="22" style="5" bestFit="1" customWidth="1"/>
    <col min="2053" max="2053" width="18.625" style="5" customWidth="1"/>
    <col min="2054" max="2054" width="17" style="5" customWidth="1"/>
    <col min="2055" max="2055" width="18.125" style="5" customWidth="1"/>
    <col min="2056" max="2056" width="14.625" style="5" customWidth="1"/>
    <col min="2057" max="2057" width="18" style="5" customWidth="1"/>
    <col min="2058" max="2059" width="19.125" style="5" customWidth="1"/>
    <col min="2060" max="2060" width="17.125" style="5" bestFit="1" customWidth="1"/>
    <col min="2061" max="2061" width="12.875" style="5" bestFit="1" customWidth="1"/>
    <col min="2062" max="2062" width="7.5" style="5" bestFit="1" customWidth="1"/>
    <col min="2063" max="2063" width="14.375" style="5" customWidth="1"/>
    <col min="2064" max="2064" width="17" style="5" customWidth="1"/>
    <col min="2065" max="2065" width="15.125" style="5" customWidth="1"/>
    <col min="2066" max="2066" width="9" style="5" bestFit="1" customWidth="1"/>
    <col min="2067" max="2067" width="9.125" style="5" bestFit="1" customWidth="1"/>
    <col min="2068" max="2305" width="9" style="5"/>
    <col min="2306" max="2306" width="3.125" style="5" customWidth="1"/>
    <col min="2307" max="2307" width="7.5" style="5" customWidth="1"/>
    <col min="2308" max="2308" width="22" style="5" bestFit="1" customWidth="1"/>
    <col min="2309" max="2309" width="18.625" style="5" customWidth="1"/>
    <col min="2310" max="2310" width="17" style="5" customWidth="1"/>
    <col min="2311" max="2311" width="18.125" style="5" customWidth="1"/>
    <col min="2312" max="2312" width="14.625" style="5" customWidth="1"/>
    <col min="2313" max="2313" width="18" style="5" customWidth="1"/>
    <col min="2314" max="2315" width="19.125" style="5" customWidth="1"/>
    <col min="2316" max="2316" width="17.125" style="5" bestFit="1" customWidth="1"/>
    <col min="2317" max="2317" width="12.875" style="5" bestFit="1" customWidth="1"/>
    <col min="2318" max="2318" width="7.5" style="5" bestFit="1" customWidth="1"/>
    <col min="2319" max="2319" width="14.375" style="5" customWidth="1"/>
    <col min="2320" max="2320" width="17" style="5" customWidth="1"/>
    <col min="2321" max="2321" width="15.125" style="5" customWidth="1"/>
    <col min="2322" max="2322" width="9" style="5" bestFit="1" customWidth="1"/>
    <col min="2323" max="2323" width="9.125" style="5" bestFit="1" customWidth="1"/>
    <col min="2324" max="2561" width="9" style="5"/>
    <col min="2562" max="2562" width="3.125" style="5" customWidth="1"/>
    <col min="2563" max="2563" width="7.5" style="5" customWidth="1"/>
    <col min="2564" max="2564" width="22" style="5" bestFit="1" customWidth="1"/>
    <col min="2565" max="2565" width="18.625" style="5" customWidth="1"/>
    <col min="2566" max="2566" width="17" style="5" customWidth="1"/>
    <col min="2567" max="2567" width="18.125" style="5" customWidth="1"/>
    <col min="2568" max="2568" width="14.625" style="5" customWidth="1"/>
    <col min="2569" max="2569" width="18" style="5" customWidth="1"/>
    <col min="2570" max="2571" width="19.125" style="5" customWidth="1"/>
    <col min="2572" max="2572" width="17.125" style="5" bestFit="1" customWidth="1"/>
    <col min="2573" max="2573" width="12.875" style="5" bestFit="1" customWidth="1"/>
    <col min="2574" max="2574" width="7.5" style="5" bestFit="1" customWidth="1"/>
    <col min="2575" max="2575" width="14.375" style="5" customWidth="1"/>
    <col min="2576" max="2576" width="17" style="5" customWidth="1"/>
    <col min="2577" max="2577" width="15.125" style="5" customWidth="1"/>
    <col min="2578" max="2578" width="9" style="5" bestFit="1" customWidth="1"/>
    <col min="2579" max="2579" width="9.125" style="5" bestFit="1" customWidth="1"/>
    <col min="2580" max="2817" width="9" style="5"/>
    <col min="2818" max="2818" width="3.125" style="5" customWidth="1"/>
    <col min="2819" max="2819" width="7.5" style="5" customWidth="1"/>
    <col min="2820" max="2820" width="22" style="5" bestFit="1" customWidth="1"/>
    <col min="2821" max="2821" width="18.625" style="5" customWidth="1"/>
    <col min="2822" max="2822" width="17" style="5" customWidth="1"/>
    <col min="2823" max="2823" width="18.125" style="5" customWidth="1"/>
    <col min="2824" max="2824" width="14.625" style="5" customWidth="1"/>
    <col min="2825" max="2825" width="18" style="5" customWidth="1"/>
    <col min="2826" max="2827" width="19.125" style="5" customWidth="1"/>
    <col min="2828" max="2828" width="17.125" style="5" bestFit="1" customWidth="1"/>
    <col min="2829" max="2829" width="12.875" style="5" bestFit="1" customWidth="1"/>
    <col min="2830" max="2830" width="7.5" style="5" bestFit="1" customWidth="1"/>
    <col min="2831" max="2831" width="14.375" style="5" customWidth="1"/>
    <col min="2832" max="2832" width="17" style="5" customWidth="1"/>
    <col min="2833" max="2833" width="15.125" style="5" customWidth="1"/>
    <col min="2834" max="2834" width="9" style="5" bestFit="1" customWidth="1"/>
    <col min="2835" max="2835" width="9.125" style="5" bestFit="1" customWidth="1"/>
    <col min="2836" max="3073" width="9" style="5"/>
    <col min="3074" max="3074" width="3.125" style="5" customWidth="1"/>
    <col min="3075" max="3075" width="7.5" style="5" customWidth="1"/>
    <col min="3076" max="3076" width="22" style="5" bestFit="1" customWidth="1"/>
    <col min="3077" max="3077" width="18.625" style="5" customWidth="1"/>
    <col min="3078" max="3078" width="17" style="5" customWidth="1"/>
    <col min="3079" max="3079" width="18.125" style="5" customWidth="1"/>
    <col min="3080" max="3080" width="14.625" style="5" customWidth="1"/>
    <col min="3081" max="3081" width="18" style="5" customWidth="1"/>
    <col min="3082" max="3083" width="19.125" style="5" customWidth="1"/>
    <col min="3084" max="3084" width="17.125" style="5" bestFit="1" customWidth="1"/>
    <col min="3085" max="3085" width="12.875" style="5" bestFit="1" customWidth="1"/>
    <col min="3086" max="3086" width="7.5" style="5" bestFit="1" customWidth="1"/>
    <col min="3087" max="3087" width="14.375" style="5" customWidth="1"/>
    <col min="3088" max="3088" width="17" style="5" customWidth="1"/>
    <col min="3089" max="3089" width="15.125" style="5" customWidth="1"/>
    <col min="3090" max="3090" width="9" style="5" bestFit="1" customWidth="1"/>
    <col min="3091" max="3091" width="9.125" style="5" bestFit="1" customWidth="1"/>
    <col min="3092" max="3329" width="9" style="5"/>
    <col min="3330" max="3330" width="3.125" style="5" customWidth="1"/>
    <col min="3331" max="3331" width="7.5" style="5" customWidth="1"/>
    <col min="3332" max="3332" width="22" style="5" bestFit="1" customWidth="1"/>
    <col min="3333" max="3333" width="18.625" style="5" customWidth="1"/>
    <col min="3334" max="3334" width="17" style="5" customWidth="1"/>
    <col min="3335" max="3335" width="18.125" style="5" customWidth="1"/>
    <col min="3336" max="3336" width="14.625" style="5" customWidth="1"/>
    <col min="3337" max="3337" width="18" style="5" customWidth="1"/>
    <col min="3338" max="3339" width="19.125" style="5" customWidth="1"/>
    <col min="3340" max="3340" width="17.125" style="5" bestFit="1" customWidth="1"/>
    <col min="3341" max="3341" width="12.875" style="5" bestFit="1" customWidth="1"/>
    <col min="3342" max="3342" width="7.5" style="5" bestFit="1" customWidth="1"/>
    <col min="3343" max="3343" width="14.375" style="5" customWidth="1"/>
    <col min="3344" max="3344" width="17" style="5" customWidth="1"/>
    <col min="3345" max="3345" width="15.125" style="5" customWidth="1"/>
    <col min="3346" max="3346" width="9" style="5" bestFit="1" customWidth="1"/>
    <col min="3347" max="3347" width="9.125" style="5" bestFit="1" customWidth="1"/>
    <col min="3348" max="3585" width="9" style="5"/>
    <col min="3586" max="3586" width="3.125" style="5" customWidth="1"/>
    <col min="3587" max="3587" width="7.5" style="5" customWidth="1"/>
    <col min="3588" max="3588" width="22" style="5" bestFit="1" customWidth="1"/>
    <col min="3589" max="3589" width="18.625" style="5" customWidth="1"/>
    <col min="3590" max="3590" width="17" style="5" customWidth="1"/>
    <col min="3591" max="3591" width="18.125" style="5" customWidth="1"/>
    <col min="3592" max="3592" width="14.625" style="5" customWidth="1"/>
    <col min="3593" max="3593" width="18" style="5" customWidth="1"/>
    <col min="3594" max="3595" width="19.125" style="5" customWidth="1"/>
    <col min="3596" max="3596" width="17.125" style="5" bestFit="1" customWidth="1"/>
    <col min="3597" max="3597" width="12.875" style="5" bestFit="1" customWidth="1"/>
    <col min="3598" max="3598" width="7.5" style="5" bestFit="1" customWidth="1"/>
    <col min="3599" max="3599" width="14.375" style="5" customWidth="1"/>
    <col min="3600" max="3600" width="17" style="5" customWidth="1"/>
    <col min="3601" max="3601" width="15.125" style="5" customWidth="1"/>
    <col min="3602" max="3602" width="9" style="5" bestFit="1" customWidth="1"/>
    <col min="3603" max="3603" width="9.125" style="5" bestFit="1" customWidth="1"/>
    <col min="3604" max="3841" width="9" style="5"/>
    <col min="3842" max="3842" width="3.125" style="5" customWidth="1"/>
    <col min="3843" max="3843" width="7.5" style="5" customWidth="1"/>
    <col min="3844" max="3844" width="22" style="5" bestFit="1" customWidth="1"/>
    <col min="3845" max="3845" width="18.625" style="5" customWidth="1"/>
    <col min="3846" max="3846" width="17" style="5" customWidth="1"/>
    <col min="3847" max="3847" width="18.125" style="5" customWidth="1"/>
    <col min="3848" max="3848" width="14.625" style="5" customWidth="1"/>
    <col min="3849" max="3849" width="18" style="5" customWidth="1"/>
    <col min="3850" max="3851" width="19.125" style="5" customWidth="1"/>
    <col min="3852" max="3852" width="17.125" style="5" bestFit="1" customWidth="1"/>
    <col min="3853" max="3853" width="12.875" style="5" bestFit="1" customWidth="1"/>
    <col min="3854" max="3854" width="7.5" style="5" bestFit="1" customWidth="1"/>
    <col min="3855" max="3855" width="14.375" style="5" customWidth="1"/>
    <col min="3856" max="3856" width="17" style="5" customWidth="1"/>
    <col min="3857" max="3857" width="15.125" style="5" customWidth="1"/>
    <col min="3858" max="3858" width="9" style="5" bestFit="1" customWidth="1"/>
    <col min="3859" max="3859" width="9.125" style="5" bestFit="1" customWidth="1"/>
    <col min="3860" max="4097" width="9" style="5"/>
    <col min="4098" max="4098" width="3.125" style="5" customWidth="1"/>
    <col min="4099" max="4099" width="7.5" style="5" customWidth="1"/>
    <col min="4100" max="4100" width="22" style="5" bestFit="1" customWidth="1"/>
    <col min="4101" max="4101" width="18.625" style="5" customWidth="1"/>
    <col min="4102" max="4102" width="17" style="5" customWidth="1"/>
    <col min="4103" max="4103" width="18.125" style="5" customWidth="1"/>
    <col min="4104" max="4104" width="14.625" style="5" customWidth="1"/>
    <col min="4105" max="4105" width="18" style="5" customWidth="1"/>
    <col min="4106" max="4107" width="19.125" style="5" customWidth="1"/>
    <col min="4108" max="4108" width="17.125" style="5" bestFit="1" customWidth="1"/>
    <col min="4109" max="4109" width="12.875" style="5" bestFit="1" customWidth="1"/>
    <col min="4110" max="4110" width="7.5" style="5" bestFit="1" customWidth="1"/>
    <col min="4111" max="4111" width="14.375" style="5" customWidth="1"/>
    <col min="4112" max="4112" width="17" style="5" customWidth="1"/>
    <col min="4113" max="4113" width="15.125" style="5" customWidth="1"/>
    <col min="4114" max="4114" width="9" style="5" bestFit="1" customWidth="1"/>
    <col min="4115" max="4115" width="9.125" style="5" bestFit="1" customWidth="1"/>
    <col min="4116" max="4353" width="9" style="5"/>
    <col min="4354" max="4354" width="3.125" style="5" customWidth="1"/>
    <col min="4355" max="4355" width="7.5" style="5" customWidth="1"/>
    <col min="4356" max="4356" width="22" style="5" bestFit="1" customWidth="1"/>
    <col min="4357" max="4357" width="18.625" style="5" customWidth="1"/>
    <col min="4358" max="4358" width="17" style="5" customWidth="1"/>
    <col min="4359" max="4359" width="18.125" style="5" customWidth="1"/>
    <col min="4360" max="4360" width="14.625" style="5" customWidth="1"/>
    <col min="4361" max="4361" width="18" style="5" customWidth="1"/>
    <col min="4362" max="4363" width="19.125" style="5" customWidth="1"/>
    <col min="4364" max="4364" width="17.125" style="5" bestFit="1" customWidth="1"/>
    <col min="4365" max="4365" width="12.875" style="5" bestFit="1" customWidth="1"/>
    <col min="4366" max="4366" width="7.5" style="5" bestFit="1" customWidth="1"/>
    <col min="4367" max="4367" width="14.375" style="5" customWidth="1"/>
    <col min="4368" max="4368" width="17" style="5" customWidth="1"/>
    <col min="4369" max="4369" width="15.125" style="5" customWidth="1"/>
    <col min="4370" max="4370" width="9" style="5" bestFit="1" customWidth="1"/>
    <col min="4371" max="4371" width="9.125" style="5" bestFit="1" customWidth="1"/>
    <col min="4372" max="4609" width="9" style="5"/>
    <col min="4610" max="4610" width="3.125" style="5" customWidth="1"/>
    <col min="4611" max="4611" width="7.5" style="5" customWidth="1"/>
    <col min="4612" max="4612" width="22" style="5" bestFit="1" customWidth="1"/>
    <col min="4613" max="4613" width="18.625" style="5" customWidth="1"/>
    <col min="4614" max="4614" width="17" style="5" customWidth="1"/>
    <col min="4615" max="4615" width="18.125" style="5" customWidth="1"/>
    <col min="4616" max="4616" width="14.625" style="5" customWidth="1"/>
    <col min="4617" max="4617" width="18" style="5" customWidth="1"/>
    <col min="4618" max="4619" width="19.125" style="5" customWidth="1"/>
    <col min="4620" max="4620" width="17.125" style="5" bestFit="1" customWidth="1"/>
    <col min="4621" max="4621" width="12.875" style="5" bestFit="1" customWidth="1"/>
    <col min="4622" max="4622" width="7.5" style="5" bestFit="1" customWidth="1"/>
    <col min="4623" max="4623" width="14.375" style="5" customWidth="1"/>
    <col min="4624" max="4624" width="17" style="5" customWidth="1"/>
    <col min="4625" max="4625" width="15.125" style="5" customWidth="1"/>
    <col min="4626" max="4626" width="9" style="5" bestFit="1" customWidth="1"/>
    <col min="4627" max="4627" width="9.125" style="5" bestFit="1" customWidth="1"/>
    <col min="4628" max="4865" width="9" style="5"/>
    <col min="4866" max="4866" width="3.125" style="5" customWidth="1"/>
    <col min="4867" max="4867" width="7.5" style="5" customWidth="1"/>
    <col min="4868" max="4868" width="22" style="5" bestFit="1" customWidth="1"/>
    <col min="4869" max="4869" width="18.625" style="5" customWidth="1"/>
    <col min="4870" max="4870" width="17" style="5" customWidth="1"/>
    <col min="4871" max="4871" width="18.125" style="5" customWidth="1"/>
    <col min="4872" max="4872" width="14.625" style="5" customWidth="1"/>
    <col min="4873" max="4873" width="18" style="5" customWidth="1"/>
    <col min="4874" max="4875" width="19.125" style="5" customWidth="1"/>
    <col min="4876" max="4876" width="17.125" style="5" bestFit="1" customWidth="1"/>
    <col min="4877" max="4877" width="12.875" style="5" bestFit="1" customWidth="1"/>
    <col min="4878" max="4878" width="7.5" style="5" bestFit="1" customWidth="1"/>
    <col min="4879" max="4879" width="14.375" style="5" customWidth="1"/>
    <col min="4880" max="4880" width="17" style="5" customWidth="1"/>
    <col min="4881" max="4881" width="15.125" style="5" customWidth="1"/>
    <col min="4882" max="4882" width="9" style="5" bestFit="1" customWidth="1"/>
    <col min="4883" max="4883" width="9.125" style="5" bestFit="1" customWidth="1"/>
    <col min="4884" max="5121" width="9" style="5"/>
    <col min="5122" max="5122" width="3.125" style="5" customWidth="1"/>
    <col min="5123" max="5123" width="7.5" style="5" customWidth="1"/>
    <col min="5124" max="5124" width="22" style="5" bestFit="1" customWidth="1"/>
    <col min="5125" max="5125" width="18.625" style="5" customWidth="1"/>
    <col min="5126" max="5126" width="17" style="5" customWidth="1"/>
    <col min="5127" max="5127" width="18.125" style="5" customWidth="1"/>
    <col min="5128" max="5128" width="14.625" style="5" customWidth="1"/>
    <col min="5129" max="5129" width="18" style="5" customWidth="1"/>
    <col min="5130" max="5131" width="19.125" style="5" customWidth="1"/>
    <col min="5132" max="5132" width="17.125" style="5" bestFit="1" customWidth="1"/>
    <col min="5133" max="5133" width="12.875" style="5" bestFit="1" customWidth="1"/>
    <col min="5134" max="5134" width="7.5" style="5" bestFit="1" customWidth="1"/>
    <col min="5135" max="5135" width="14.375" style="5" customWidth="1"/>
    <col min="5136" max="5136" width="17" style="5" customWidth="1"/>
    <col min="5137" max="5137" width="15.125" style="5" customWidth="1"/>
    <col min="5138" max="5138" width="9" style="5" bestFit="1" customWidth="1"/>
    <col min="5139" max="5139" width="9.125" style="5" bestFit="1" customWidth="1"/>
    <col min="5140" max="5377" width="9" style="5"/>
    <col min="5378" max="5378" width="3.125" style="5" customWidth="1"/>
    <col min="5379" max="5379" width="7.5" style="5" customWidth="1"/>
    <col min="5380" max="5380" width="22" style="5" bestFit="1" customWidth="1"/>
    <col min="5381" max="5381" width="18.625" style="5" customWidth="1"/>
    <col min="5382" max="5382" width="17" style="5" customWidth="1"/>
    <col min="5383" max="5383" width="18.125" style="5" customWidth="1"/>
    <col min="5384" max="5384" width="14.625" style="5" customWidth="1"/>
    <col min="5385" max="5385" width="18" style="5" customWidth="1"/>
    <col min="5386" max="5387" width="19.125" style="5" customWidth="1"/>
    <col min="5388" max="5388" width="17.125" style="5" bestFit="1" customWidth="1"/>
    <col min="5389" max="5389" width="12.875" style="5" bestFit="1" customWidth="1"/>
    <col min="5390" max="5390" width="7.5" style="5" bestFit="1" customWidth="1"/>
    <col min="5391" max="5391" width="14.375" style="5" customWidth="1"/>
    <col min="5392" max="5392" width="17" style="5" customWidth="1"/>
    <col min="5393" max="5393" width="15.125" style="5" customWidth="1"/>
    <col min="5394" max="5394" width="9" style="5" bestFit="1" customWidth="1"/>
    <col min="5395" max="5395" width="9.125" style="5" bestFit="1" customWidth="1"/>
    <col min="5396" max="5633" width="9" style="5"/>
    <col min="5634" max="5634" width="3.125" style="5" customWidth="1"/>
    <col min="5635" max="5635" width="7.5" style="5" customWidth="1"/>
    <col min="5636" max="5636" width="22" style="5" bestFit="1" customWidth="1"/>
    <col min="5637" max="5637" width="18.625" style="5" customWidth="1"/>
    <col min="5638" max="5638" width="17" style="5" customWidth="1"/>
    <col min="5639" max="5639" width="18.125" style="5" customWidth="1"/>
    <col min="5640" max="5640" width="14.625" style="5" customWidth="1"/>
    <col min="5641" max="5641" width="18" style="5" customWidth="1"/>
    <col min="5642" max="5643" width="19.125" style="5" customWidth="1"/>
    <col min="5644" max="5644" width="17.125" style="5" bestFit="1" customWidth="1"/>
    <col min="5645" max="5645" width="12.875" style="5" bestFit="1" customWidth="1"/>
    <col min="5646" max="5646" width="7.5" style="5" bestFit="1" customWidth="1"/>
    <col min="5647" max="5647" width="14.375" style="5" customWidth="1"/>
    <col min="5648" max="5648" width="17" style="5" customWidth="1"/>
    <col min="5649" max="5649" width="15.125" style="5" customWidth="1"/>
    <col min="5650" max="5650" width="9" style="5" bestFit="1" customWidth="1"/>
    <col min="5651" max="5651" width="9.125" style="5" bestFit="1" customWidth="1"/>
    <col min="5652" max="5889" width="9" style="5"/>
    <col min="5890" max="5890" width="3.125" style="5" customWidth="1"/>
    <col min="5891" max="5891" width="7.5" style="5" customWidth="1"/>
    <col min="5892" max="5892" width="22" style="5" bestFit="1" customWidth="1"/>
    <col min="5893" max="5893" width="18.625" style="5" customWidth="1"/>
    <col min="5894" max="5894" width="17" style="5" customWidth="1"/>
    <col min="5895" max="5895" width="18.125" style="5" customWidth="1"/>
    <col min="5896" max="5896" width="14.625" style="5" customWidth="1"/>
    <col min="5897" max="5897" width="18" style="5" customWidth="1"/>
    <col min="5898" max="5899" width="19.125" style="5" customWidth="1"/>
    <col min="5900" max="5900" width="17.125" style="5" bestFit="1" customWidth="1"/>
    <col min="5901" max="5901" width="12.875" style="5" bestFit="1" customWidth="1"/>
    <col min="5902" max="5902" width="7.5" style="5" bestFit="1" customWidth="1"/>
    <col min="5903" max="5903" width="14.375" style="5" customWidth="1"/>
    <col min="5904" max="5904" width="17" style="5" customWidth="1"/>
    <col min="5905" max="5905" width="15.125" style="5" customWidth="1"/>
    <col min="5906" max="5906" width="9" style="5" bestFit="1" customWidth="1"/>
    <col min="5907" max="5907" width="9.125" style="5" bestFit="1" customWidth="1"/>
    <col min="5908" max="6145" width="9" style="5"/>
    <col min="6146" max="6146" width="3.125" style="5" customWidth="1"/>
    <col min="6147" max="6147" width="7.5" style="5" customWidth="1"/>
    <col min="6148" max="6148" width="22" style="5" bestFit="1" customWidth="1"/>
    <col min="6149" max="6149" width="18.625" style="5" customWidth="1"/>
    <col min="6150" max="6150" width="17" style="5" customWidth="1"/>
    <col min="6151" max="6151" width="18.125" style="5" customWidth="1"/>
    <col min="6152" max="6152" width="14.625" style="5" customWidth="1"/>
    <col min="6153" max="6153" width="18" style="5" customWidth="1"/>
    <col min="6154" max="6155" width="19.125" style="5" customWidth="1"/>
    <col min="6156" max="6156" width="17.125" style="5" bestFit="1" customWidth="1"/>
    <col min="6157" max="6157" width="12.875" style="5" bestFit="1" customWidth="1"/>
    <col min="6158" max="6158" width="7.5" style="5" bestFit="1" customWidth="1"/>
    <col min="6159" max="6159" width="14.375" style="5" customWidth="1"/>
    <col min="6160" max="6160" width="17" style="5" customWidth="1"/>
    <col min="6161" max="6161" width="15.125" style="5" customWidth="1"/>
    <col min="6162" max="6162" width="9" style="5" bestFit="1" customWidth="1"/>
    <col min="6163" max="6163" width="9.125" style="5" bestFit="1" customWidth="1"/>
    <col min="6164" max="6401" width="9" style="5"/>
    <col min="6402" max="6402" width="3.125" style="5" customWidth="1"/>
    <col min="6403" max="6403" width="7.5" style="5" customWidth="1"/>
    <col min="6404" max="6404" width="22" style="5" bestFit="1" customWidth="1"/>
    <col min="6405" max="6405" width="18.625" style="5" customWidth="1"/>
    <col min="6406" max="6406" width="17" style="5" customWidth="1"/>
    <col min="6407" max="6407" width="18.125" style="5" customWidth="1"/>
    <col min="6408" max="6408" width="14.625" style="5" customWidth="1"/>
    <col min="6409" max="6409" width="18" style="5" customWidth="1"/>
    <col min="6410" max="6411" width="19.125" style="5" customWidth="1"/>
    <col min="6412" max="6412" width="17.125" style="5" bestFit="1" customWidth="1"/>
    <col min="6413" max="6413" width="12.875" style="5" bestFit="1" customWidth="1"/>
    <col min="6414" max="6414" width="7.5" style="5" bestFit="1" customWidth="1"/>
    <col min="6415" max="6415" width="14.375" style="5" customWidth="1"/>
    <col min="6416" max="6416" width="17" style="5" customWidth="1"/>
    <col min="6417" max="6417" width="15.125" style="5" customWidth="1"/>
    <col min="6418" max="6418" width="9" style="5" bestFit="1" customWidth="1"/>
    <col min="6419" max="6419" width="9.125" style="5" bestFit="1" customWidth="1"/>
    <col min="6420" max="6657" width="9" style="5"/>
    <col min="6658" max="6658" width="3.125" style="5" customWidth="1"/>
    <col min="6659" max="6659" width="7.5" style="5" customWidth="1"/>
    <col min="6660" max="6660" width="22" style="5" bestFit="1" customWidth="1"/>
    <col min="6661" max="6661" width="18.625" style="5" customWidth="1"/>
    <col min="6662" max="6662" width="17" style="5" customWidth="1"/>
    <col min="6663" max="6663" width="18.125" style="5" customWidth="1"/>
    <col min="6664" max="6664" width="14.625" style="5" customWidth="1"/>
    <col min="6665" max="6665" width="18" style="5" customWidth="1"/>
    <col min="6666" max="6667" width="19.125" style="5" customWidth="1"/>
    <col min="6668" max="6668" width="17.125" style="5" bestFit="1" customWidth="1"/>
    <col min="6669" max="6669" width="12.875" style="5" bestFit="1" customWidth="1"/>
    <col min="6670" max="6670" width="7.5" style="5" bestFit="1" customWidth="1"/>
    <col min="6671" max="6671" width="14.375" style="5" customWidth="1"/>
    <col min="6672" max="6672" width="17" style="5" customWidth="1"/>
    <col min="6673" max="6673" width="15.125" style="5" customWidth="1"/>
    <col min="6674" max="6674" width="9" style="5" bestFit="1" customWidth="1"/>
    <col min="6675" max="6675" width="9.125" style="5" bestFit="1" customWidth="1"/>
    <col min="6676" max="6913" width="9" style="5"/>
    <col min="6914" max="6914" width="3.125" style="5" customWidth="1"/>
    <col min="6915" max="6915" width="7.5" style="5" customWidth="1"/>
    <col min="6916" max="6916" width="22" style="5" bestFit="1" customWidth="1"/>
    <col min="6917" max="6917" width="18.625" style="5" customWidth="1"/>
    <col min="6918" max="6918" width="17" style="5" customWidth="1"/>
    <col min="6919" max="6919" width="18.125" style="5" customWidth="1"/>
    <col min="6920" max="6920" width="14.625" style="5" customWidth="1"/>
    <col min="6921" max="6921" width="18" style="5" customWidth="1"/>
    <col min="6922" max="6923" width="19.125" style="5" customWidth="1"/>
    <col min="6924" max="6924" width="17.125" style="5" bestFit="1" customWidth="1"/>
    <col min="6925" max="6925" width="12.875" style="5" bestFit="1" customWidth="1"/>
    <col min="6926" max="6926" width="7.5" style="5" bestFit="1" customWidth="1"/>
    <col min="6927" max="6927" width="14.375" style="5" customWidth="1"/>
    <col min="6928" max="6928" width="17" style="5" customWidth="1"/>
    <col min="6929" max="6929" width="15.125" style="5" customWidth="1"/>
    <col min="6930" max="6930" width="9" style="5" bestFit="1" customWidth="1"/>
    <col min="6931" max="6931" width="9.125" style="5" bestFit="1" customWidth="1"/>
    <col min="6932" max="7169" width="9" style="5"/>
    <col min="7170" max="7170" width="3.125" style="5" customWidth="1"/>
    <col min="7171" max="7171" width="7.5" style="5" customWidth="1"/>
    <col min="7172" max="7172" width="22" style="5" bestFit="1" customWidth="1"/>
    <col min="7173" max="7173" width="18.625" style="5" customWidth="1"/>
    <col min="7174" max="7174" width="17" style="5" customWidth="1"/>
    <col min="7175" max="7175" width="18.125" style="5" customWidth="1"/>
    <col min="7176" max="7176" width="14.625" style="5" customWidth="1"/>
    <col min="7177" max="7177" width="18" style="5" customWidth="1"/>
    <col min="7178" max="7179" width="19.125" style="5" customWidth="1"/>
    <col min="7180" max="7180" width="17.125" style="5" bestFit="1" customWidth="1"/>
    <col min="7181" max="7181" width="12.875" style="5" bestFit="1" customWidth="1"/>
    <col min="7182" max="7182" width="7.5" style="5" bestFit="1" customWidth="1"/>
    <col min="7183" max="7183" width="14.375" style="5" customWidth="1"/>
    <col min="7184" max="7184" width="17" style="5" customWidth="1"/>
    <col min="7185" max="7185" width="15.125" style="5" customWidth="1"/>
    <col min="7186" max="7186" width="9" style="5" bestFit="1" customWidth="1"/>
    <col min="7187" max="7187" width="9.125" style="5" bestFit="1" customWidth="1"/>
    <col min="7188" max="7425" width="9" style="5"/>
    <col min="7426" max="7426" width="3.125" style="5" customWidth="1"/>
    <col min="7427" max="7427" width="7.5" style="5" customWidth="1"/>
    <col min="7428" max="7428" width="22" style="5" bestFit="1" customWidth="1"/>
    <col min="7429" max="7429" width="18.625" style="5" customWidth="1"/>
    <col min="7430" max="7430" width="17" style="5" customWidth="1"/>
    <col min="7431" max="7431" width="18.125" style="5" customWidth="1"/>
    <col min="7432" max="7432" width="14.625" style="5" customWidth="1"/>
    <col min="7433" max="7433" width="18" style="5" customWidth="1"/>
    <col min="7434" max="7435" width="19.125" style="5" customWidth="1"/>
    <col min="7436" max="7436" width="17.125" style="5" bestFit="1" customWidth="1"/>
    <col min="7437" max="7437" width="12.875" style="5" bestFit="1" customWidth="1"/>
    <col min="7438" max="7438" width="7.5" style="5" bestFit="1" customWidth="1"/>
    <col min="7439" max="7439" width="14.375" style="5" customWidth="1"/>
    <col min="7440" max="7440" width="17" style="5" customWidth="1"/>
    <col min="7441" max="7441" width="15.125" style="5" customWidth="1"/>
    <col min="7442" max="7442" width="9" style="5" bestFit="1" customWidth="1"/>
    <col min="7443" max="7443" width="9.125" style="5" bestFit="1" customWidth="1"/>
    <col min="7444" max="7681" width="9" style="5"/>
    <col min="7682" max="7682" width="3.125" style="5" customWidth="1"/>
    <col min="7683" max="7683" width="7.5" style="5" customWidth="1"/>
    <col min="7684" max="7684" width="22" style="5" bestFit="1" customWidth="1"/>
    <col min="7685" max="7685" width="18.625" style="5" customWidth="1"/>
    <col min="7686" max="7686" width="17" style="5" customWidth="1"/>
    <col min="7687" max="7687" width="18.125" style="5" customWidth="1"/>
    <col min="7688" max="7688" width="14.625" style="5" customWidth="1"/>
    <col min="7689" max="7689" width="18" style="5" customWidth="1"/>
    <col min="7690" max="7691" width="19.125" style="5" customWidth="1"/>
    <col min="7692" max="7692" width="17.125" style="5" bestFit="1" customWidth="1"/>
    <col min="7693" max="7693" width="12.875" style="5" bestFit="1" customWidth="1"/>
    <col min="7694" max="7694" width="7.5" style="5" bestFit="1" customWidth="1"/>
    <col min="7695" max="7695" width="14.375" style="5" customWidth="1"/>
    <col min="7696" max="7696" width="17" style="5" customWidth="1"/>
    <col min="7697" max="7697" width="15.125" style="5" customWidth="1"/>
    <col min="7698" max="7698" width="9" style="5" bestFit="1" customWidth="1"/>
    <col min="7699" max="7699" width="9.125" style="5" bestFit="1" customWidth="1"/>
    <col min="7700" max="7937" width="9" style="5"/>
    <col min="7938" max="7938" width="3.125" style="5" customWidth="1"/>
    <col min="7939" max="7939" width="7.5" style="5" customWidth="1"/>
    <col min="7940" max="7940" width="22" style="5" bestFit="1" customWidth="1"/>
    <col min="7941" max="7941" width="18.625" style="5" customWidth="1"/>
    <col min="7942" max="7942" width="17" style="5" customWidth="1"/>
    <col min="7943" max="7943" width="18.125" style="5" customWidth="1"/>
    <col min="7944" max="7944" width="14.625" style="5" customWidth="1"/>
    <col min="7945" max="7945" width="18" style="5" customWidth="1"/>
    <col min="7946" max="7947" width="19.125" style="5" customWidth="1"/>
    <col min="7948" max="7948" width="17.125" style="5" bestFit="1" customWidth="1"/>
    <col min="7949" max="7949" width="12.875" style="5" bestFit="1" customWidth="1"/>
    <col min="7950" max="7950" width="7.5" style="5" bestFit="1" customWidth="1"/>
    <col min="7951" max="7951" width="14.375" style="5" customWidth="1"/>
    <col min="7952" max="7952" width="17" style="5" customWidth="1"/>
    <col min="7953" max="7953" width="15.125" style="5" customWidth="1"/>
    <col min="7954" max="7954" width="9" style="5" bestFit="1" customWidth="1"/>
    <col min="7955" max="7955" width="9.125" style="5" bestFit="1" customWidth="1"/>
    <col min="7956" max="8193" width="9" style="5"/>
    <col min="8194" max="8194" width="3.125" style="5" customWidth="1"/>
    <col min="8195" max="8195" width="7.5" style="5" customWidth="1"/>
    <col min="8196" max="8196" width="22" style="5" bestFit="1" customWidth="1"/>
    <col min="8197" max="8197" width="18.625" style="5" customWidth="1"/>
    <col min="8198" max="8198" width="17" style="5" customWidth="1"/>
    <col min="8199" max="8199" width="18.125" style="5" customWidth="1"/>
    <col min="8200" max="8200" width="14.625" style="5" customWidth="1"/>
    <col min="8201" max="8201" width="18" style="5" customWidth="1"/>
    <col min="8202" max="8203" width="19.125" style="5" customWidth="1"/>
    <col min="8204" max="8204" width="17.125" style="5" bestFit="1" customWidth="1"/>
    <col min="8205" max="8205" width="12.875" style="5" bestFit="1" customWidth="1"/>
    <col min="8206" max="8206" width="7.5" style="5" bestFit="1" customWidth="1"/>
    <col min="8207" max="8207" width="14.375" style="5" customWidth="1"/>
    <col min="8208" max="8208" width="17" style="5" customWidth="1"/>
    <col min="8209" max="8209" width="15.125" style="5" customWidth="1"/>
    <col min="8210" max="8210" width="9" style="5" bestFit="1" customWidth="1"/>
    <col min="8211" max="8211" width="9.125" style="5" bestFit="1" customWidth="1"/>
    <col min="8212" max="8449" width="9" style="5"/>
    <col min="8450" max="8450" width="3.125" style="5" customWidth="1"/>
    <col min="8451" max="8451" width="7.5" style="5" customWidth="1"/>
    <col min="8452" max="8452" width="22" style="5" bestFit="1" customWidth="1"/>
    <col min="8453" max="8453" width="18.625" style="5" customWidth="1"/>
    <col min="8454" max="8454" width="17" style="5" customWidth="1"/>
    <col min="8455" max="8455" width="18.125" style="5" customWidth="1"/>
    <col min="8456" max="8456" width="14.625" style="5" customWidth="1"/>
    <col min="8457" max="8457" width="18" style="5" customWidth="1"/>
    <col min="8458" max="8459" width="19.125" style="5" customWidth="1"/>
    <col min="8460" max="8460" width="17.125" style="5" bestFit="1" customWidth="1"/>
    <col min="8461" max="8461" width="12.875" style="5" bestFit="1" customWidth="1"/>
    <col min="8462" max="8462" width="7.5" style="5" bestFit="1" customWidth="1"/>
    <col min="8463" max="8463" width="14.375" style="5" customWidth="1"/>
    <col min="8464" max="8464" width="17" style="5" customWidth="1"/>
    <col min="8465" max="8465" width="15.125" style="5" customWidth="1"/>
    <col min="8466" max="8466" width="9" style="5" bestFit="1" customWidth="1"/>
    <col min="8467" max="8467" width="9.125" style="5" bestFit="1" customWidth="1"/>
    <col min="8468" max="8705" width="9" style="5"/>
    <col min="8706" max="8706" width="3.125" style="5" customWidth="1"/>
    <col min="8707" max="8707" width="7.5" style="5" customWidth="1"/>
    <col min="8708" max="8708" width="22" style="5" bestFit="1" customWidth="1"/>
    <col min="8709" max="8709" width="18.625" style="5" customWidth="1"/>
    <col min="8710" max="8710" width="17" style="5" customWidth="1"/>
    <col min="8711" max="8711" width="18.125" style="5" customWidth="1"/>
    <col min="8712" max="8712" width="14.625" style="5" customWidth="1"/>
    <col min="8713" max="8713" width="18" style="5" customWidth="1"/>
    <col min="8714" max="8715" width="19.125" style="5" customWidth="1"/>
    <col min="8716" max="8716" width="17.125" style="5" bestFit="1" customWidth="1"/>
    <col min="8717" max="8717" width="12.875" style="5" bestFit="1" customWidth="1"/>
    <col min="8718" max="8718" width="7.5" style="5" bestFit="1" customWidth="1"/>
    <col min="8719" max="8719" width="14.375" style="5" customWidth="1"/>
    <col min="8720" max="8720" width="17" style="5" customWidth="1"/>
    <col min="8721" max="8721" width="15.125" style="5" customWidth="1"/>
    <col min="8722" max="8722" width="9" style="5" bestFit="1" customWidth="1"/>
    <col min="8723" max="8723" width="9.125" style="5" bestFit="1" customWidth="1"/>
    <col min="8724" max="8961" width="9" style="5"/>
    <col min="8962" max="8962" width="3.125" style="5" customWidth="1"/>
    <col min="8963" max="8963" width="7.5" style="5" customWidth="1"/>
    <col min="8964" max="8964" width="22" style="5" bestFit="1" customWidth="1"/>
    <col min="8965" max="8965" width="18.625" style="5" customWidth="1"/>
    <col min="8966" max="8966" width="17" style="5" customWidth="1"/>
    <col min="8967" max="8967" width="18.125" style="5" customWidth="1"/>
    <col min="8968" max="8968" width="14.625" style="5" customWidth="1"/>
    <col min="8969" max="8969" width="18" style="5" customWidth="1"/>
    <col min="8970" max="8971" width="19.125" style="5" customWidth="1"/>
    <col min="8972" max="8972" width="17.125" style="5" bestFit="1" customWidth="1"/>
    <col min="8973" max="8973" width="12.875" style="5" bestFit="1" customWidth="1"/>
    <col min="8974" max="8974" width="7.5" style="5" bestFit="1" customWidth="1"/>
    <col min="8975" max="8975" width="14.375" style="5" customWidth="1"/>
    <col min="8976" max="8976" width="17" style="5" customWidth="1"/>
    <col min="8977" max="8977" width="15.125" style="5" customWidth="1"/>
    <col min="8978" max="8978" width="9" style="5" bestFit="1" customWidth="1"/>
    <col min="8979" max="8979" width="9.125" style="5" bestFit="1" customWidth="1"/>
    <col min="8980" max="9217" width="9" style="5"/>
    <col min="9218" max="9218" width="3.125" style="5" customWidth="1"/>
    <col min="9219" max="9219" width="7.5" style="5" customWidth="1"/>
    <col min="9220" max="9220" width="22" style="5" bestFit="1" customWidth="1"/>
    <col min="9221" max="9221" width="18.625" style="5" customWidth="1"/>
    <col min="9222" max="9222" width="17" style="5" customWidth="1"/>
    <col min="9223" max="9223" width="18.125" style="5" customWidth="1"/>
    <col min="9224" max="9224" width="14.625" style="5" customWidth="1"/>
    <col min="9225" max="9225" width="18" style="5" customWidth="1"/>
    <col min="9226" max="9227" width="19.125" style="5" customWidth="1"/>
    <col min="9228" max="9228" width="17.125" style="5" bestFit="1" customWidth="1"/>
    <col min="9229" max="9229" width="12.875" style="5" bestFit="1" customWidth="1"/>
    <col min="9230" max="9230" width="7.5" style="5" bestFit="1" customWidth="1"/>
    <col min="9231" max="9231" width="14.375" style="5" customWidth="1"/>
    <col min="9232" max="9232" width="17" style="5" customWidth="1"/>
    <col min="9233" max="9233" width="15.125" style="5" customWidth="1"/>
    <col min="9234" max="9234" width="9" style="5" bestFit="1" customWidth="1"/>
    <col min="9235" max="9235" width="9.125" style="5" bestFit="1" customWidth="1"/>
    <col min="9236" max="9473" width="9" style="5"/>
    <col min="9474" max="9474" width="3.125" style="5" customWidth="1"/>
    <col min="9475" max="9475" width="7.5" style="5" customWidth="1"/>
    <col min="9476" max="9476" width="22" style="5" bestFit="1" customWidth="1"/>
    <col min="9477" max="9477" width="18.625" style="5" customWidth="1"/>
    <col min="9478" max="9478" width="17" style="5" customWidth="1"/>
    <col min="9479" max="9479" width="18.125" style="5" customWidth="1"/>
    <col min="9480" max="9480" width="14.625" style="5" customWidth="1"/>
    <col min="9481" max="9481" width="18" style="5" customWidth="1"/>
    <col min="9482" max="9483" width="19.125" style="5" customWidth="1"/>
    <col min="9484" max="9484" width="17.125" style="5" bestFit="1" customWidth="1"/>
    <col min="9485" max="9485" width="12.875" style="5" bestFit="1" customWidth="1"/>
    <col min="9486" max="9486" width="7.5" style="5" bestFit="1" customWidth="1"/>
    <col min="9487" max="9487" width="14.375" style="5" customWidth="1"/>
    <col min="9488" max="9488" width="17" style="5" customWidth="1"/>
    <col min="9489" max="9489" width="15.125" style="5" customWidth="1"/>
    <col min="9490" max="9490" width="9" style="5" bestFit="1" customWidth="1"/>
    <col min="9491" max="9491" width="9.125" style="5" bestFit="1" customWidth="1"/>
    <col min="9492" max="9729" width="9" style="5"/>
    <col min="9730" max="9730" width="3.125" style="5" customWidth="1"/>
    <col min="9731" max="9731" width="7.5" style="5" customWidth="1"/>
    <col min="9732" max="9732" width="22" style="5" bestFit="1" customWidth="1"/>
    <col min="9733" max="9733" width="18.625" style="5" customWidth="1"/>
    <col min="9734" max="9734" width="17" style="5" customWidth="1"/>
    <col min="9735" max="9735" width="18.125" style="5" customWidth="1"/>
    <col min="9736" max="9736" width="14.625" style="5" customWidth="1"/>
    <col min="9737" max="9737" width="18" style="5" customWidth="1"/>
    <col min="9738" max="9739" width="19.125" style="5" customWidth="1"/>
    <col min="9740" max="9740" width="17.125" style="5" bestFit="1" customWidth="1"/>
    <col min="9741" max="9741" width="12.875" style="5" bestFit="1" customWidth="1"/>
    <col min="9742" max="9742" width="7.5" style="5" bestFit="1" customWidth="1"/>
    <col min="9743" max="9743" width="14.375" style="5" customWidth="1"/>
    <col min="9744" max="9744" width="17" style="5" customWidth="1"/>
    <col min="9745" max="9745" width="15.125" style="5" customWidth="1"/>
    <col min="9746" max="9746" width="9" style="5" bestFit="1" customWidth="1"/>
    <col min="9747" max="9747" width="9.125" style="5" bestFit="1" customWidth="1"/>
    <col min="9748" max="9985" width="9" style="5"/>
    <col min="9986" max="9986" width="3.125" style="5" customWidth="1"/>
    <col min="9987" max="9987" width="7.5" style="5" customWidth="1"/>
    <col min="9988" max="9988" width="22" style="5" bestFit="1" customWidth="1"/>
    <col min="9989" max="9989" width="18.625" style="5" customWidth="1"/>
    <col min="9990" max="9990" width="17" style="5" customWidth="1"/>
    <col min="9991" max="9991" width="18.125" style="5" customWidth="1"/>
    <col min="9992" max="9992" width="14.625" style="5" customWidth="1"/>
    <col min="9993" max="9993" width="18" style="5" customWidth="1"/>
    <col min="9994" max="9995" width="19.125" style="5" customWidth="1"/>
    <col min="9996" max="9996" width="17.125" style="5" bestFit="1" customWidth="1"/>
    <col min="9997" max="9997" width="12.875" style="5" bestFit="1" customWidth="1"/>
    <col min="9998" max="9998" width="7.5" style="5" bestFit="1" customWidth="1"/>
    <col min="9999" max="9999" width="14.375" style="5" customWidth="1"/>
    <col min="10000" max="10000" width="17" style="5" customWidth="1"/>
    <col min="10001" max="10001" width="15.125" style="5" customWidth="1"/>
    <col min="10002" max="10002" width="9" style="5" bestFit="1" customWidth="1"/>
    <col min="10003" max="10003" width="9.125" style="5" bestFit="1" customWidth="1"/>
    <col min="10004" max="10241" width="9" style="5"/>
    <col min="10242" max="10242" width="3.125" style="5" customWidth="1"/>
    <col min="10243" max="10243" width="7.5" style="5" customWidth="1"/>
    <col min="10244" max="10244" width="22" style="5" bestFit="1" customWidth="1"/>
    <col min="10245" max="10245" width="18.625" style="5" customWidth="1"/>
    <col min="10246" max="10246" width="17" style="5" customWidth="1"/>
    <col min="10247" max="10247" width="18.125" style="5" customWidth="1"/>
    <col min="10248" max="10248" width="14.625" style="5" customWidth="1"/>
    <col min="10249" max="10249" width="18" style="5" customWidth="1"/>
    <col min="10250" max="10251" width="19.125" style="5" customWidth="1"/>
    <col min="10252" max="10252" width="17.125" style="5" bestFit="1" customWidth="1"/>
    <col min="10253" max="10253" width="12.875" style="5" bestFit="1" customWidth="1"/>
    <col min="10254" max="10254" width="7.5" style="5" bestFit="1" customWidth="1"/>
    <col min="10255" max="10255" width="14.375" style="5" customWidth="1"/>
    <col min="10256" max="10256" width="17" style="5" customWidth="1"/>
    <col min="10257" max="10257" width="15.125" style="5" customWidth="1"/>
    <col min="10258" max="10258" width="9" style="5" bestFit="1" customWidth="1"/>
    <col min="10259" max="10259" width="9.125" style="5" bestFit="1" customWidth="1"/>
    <col min="10260" max="10497" width="9" style="5"/>
    <col min="10498" max="10498" width="3.125" style="5" customWidth="1"/>
    <col min="10499" max="10499" width="7.5" style="5" customWidth="1"/>
    <col min="10500" max="10500" width="22" style="5" bestFit="1" customWidth="1"/>
    <col min="10501" max="10501" width="18.625" style="5" customWidth="1"/>
    <col min="10502" max="10502" width="17" style="5" customWidth="1"/>
    <col min="10503" max="10503" width="18.125" style="5" customWidth="1"/>
    <col min="10504" max="10504" width="14.625" style="5" customWidth="1"/>
    <col min="10505" max="10505" width="18" style="5" customWidth="1"/>
    <col min="10506" max="10507" width="19.125" style="5" customWidth="1"/>
    <col min="10508" max="10508" width="17.125" style="5" bestFit="1" customWidth="1"/>
    <col min="10509" max="10509" width="12.875" style="5" bestFit="1" customWidth="1"/>
    <col min="10510" max="10510" width="7.5" style="5" bestFit="1" customWidth="1"/>
    <col min="10511" max="10511" width="14.375" style="5" customWidth="1"/>
    <col min="10512" max="10512" width="17" style="5" customWidth="1"/>
    <col min="10513" max="10513" width="15.125" style="5" customWidth="1"/>
    <col min="10514" max="10514" width="9" style="5" bestFit="1" customWidth="1"/>
    <col min="10515" max="10515" width="9.125" style="5" bestFit="1" customWidth="1"/>
    <col min="10516" max="10753" width="9" style="5"/>
    <col min="10754" max="10754" width="3.125" style="5" customWidth="1"/>
    <col min="10755" max="10755" width="7.5" style="5" customWidth="1"/>
    <col min="10756" max="10756" width="22" style="5" bestFit="1" customWidth="1"/>
    <col min="10757" max="10757" width="18.625" style="5" customWidth="1"/>
    <col min="10758" max="10758" width="17" style="5" customWidth="1"/>
    <col min="10759" max="10759" width="18.125" style="5" customWidth="1"/>
    <col min="10760" max="10760" width="14.625" style="5" customWidth="1"/>
    <col min="10761" max="10761" width="18" style="5" customWidth="1"/>
    <col min="10762" max="10763" width="19.125" style="5" customWidth="1"/>
    <col min="10764" max="10764" width="17.125" style="5" bestFit="1" customWidth="1"/>
    <col min="10765" max="10765" width="12.875" style="5" bestFit="1" customWidth="1"/>
    <col min="10766" max="10766" width="7.5" style="5" bestFit="1" customWidth="1"/>
    <col min="10767" max="10767" width="14.375" style="5" customWidth="1"/>
    <col min="10768" max="10768" width="17" style="5" customWidth="1"/>
    <col min="10769" max="10769" width="15.125" style="5" customWidth="1"/>
    <col min="10770" max="10770" width="9" style="5" bestFit="1" customWidth="1"/>
    <col min="10771" max="10771" width="9.125" style="5" bestFit="1" customWidth="1"/>
    <col min="10772" max="11009" width="9" style="5"/>
    <col min="11010" max="11010" width="3.125" style="5" customWidth="1"/>
    <col min="11011" max="11011" width="7.5" style="5" customWidth="1"/>
    <col min="11012" max="11012" width="22" style="5" bestFit="1" customWidth="1"/>
    <col min="11013" max="11013" width="18.625" style="5" customWidth="1"/>
    <col min="11014" max="11014" width="17" style="5" customWidth="1"/>
    <col min="11015" max="11015" width="18.125" style="5" customWidth="1"/>
    <col min="11016" max="11016" width="14.625" style="5" customWidth="1"/>
    <col min="11017" max="11017" width="18" style="5" customWidth="1"/>
    <col min="11018" max="11019" width="19.125" style="5" customWidth="1"/>
    <col min="11020" max="11020" width="17.125" style="5" bestFit="1" customWidth="1"/>
    <col min="11021" max="11021" width="12.875" style="5" bestFit="1" customWidth="1"/>
    <col min="11022" max="11022" width="7.5" style="5" bestFit="1" customWidth="1"/>
    <col min="11023" max="11023" width="14.375" style="5" customWidth="1"/>
    <col min="11024" max="11024" width="17" style="5" customWidth="1"/>
    <col min="11025" max="11025" width="15.125" style="5" customWidth="1"/>
    <col min="11026" max="11026" width="9" style="5" bestFit="1" customWidth="1"/>
    <col min="11027" max="11027" width="9.125" style="5" bestFit="1" customWidth="1"/>
    <col min="11028" max="11265" width="9" style="5"/>
    <col min="11266" max="11266" width="3.125" style="5" customWidth="1"/>
    <col min="11267" max="11267" width="7.5" style="5" customWidth="1"/>
    <col min="11268" max="11268" width="22" style="5" bestFit="1" customWidth="1"/>
    <col min="11269" max="11269" width="18.625" style="5" customWidth="1"/>
    <col min="11270" max="11270" width="17" style="5" customWidth="1"/>
    <col min="11271" max="11271" width="18.125" style="5" customWidth="1"/>
    <col min="11272" max="11272" width="14.625" style="5" customWidth="1"/>
    <col min="11273" max="11273" width="18" style="5" customWidth="1"/>
    <col min="11274" max="11275" width="19.125" style="5" customWidth="1"/>
    <col min="11276" max="11276" width="17.125" style="5" bestFit="1" customWidth="1"/>
    <col min="11277" max="11277" width="12.875" style="5" bestFit="1" customWidth="1"/>
    <col min="11278" max="11278" width="7.5" style="5" bestFit="1" customWidth="1"/>
    <col min="11279" max="11279" width="14.375" style="5" customWidth="1"/>
    <col min="11280" max="11280" width="17" style="5" customWidth="1"/>
    <col min="11281" max="11281" width="15.125" style="5" customWidth="1"/>
    <col min="11282" max="11282" width="9" style="5" bestFit="1" customWidth="1"/>
    <col min="11283" max="11283" width="9.125" style="5" bestFit="1" customWidth="1"/>
    <col min="11284" max="11521" width="9" style="5"/>
    <col min="11522" max="11522" width="3.125" style="5" customWidth="1"/>
    <col min="11523" max="11523" width="7.5" style="5" customWidth="1"/>
    <col min="11524" max="11524" width="22" style="5" bestFit="1" customWidth="1"/>
    <col min="11525" max="11525" width="18.625" style="5" customWidth="1"/>
    <col min="11526" max="11526" width="17" style="5" customWidth="1"/>
    <col min="11527" max="11527" width="18.125" style="5" customWidth="1"/>
    <col min="11528" max="11528" width="14.625" style="5" customWidth="1"/>
    <col min="11529" max="11529" width="18" style="5" customWidth="1"/>
    <col min="11530" max="11531" width="19.125" style="5" customWidth="1"/>
    <col min="11532" max="11532" width="17.125" style="5" bestFit="1" customWidth="1"/>
    <col min="11533" max="11533" width="12.875" style="5" bestFit="1" customWidth="1"/>
    <col min="11534" max="11534" width="7.5" style="5" bestFit="1" customWidth="1"/>
    <col min="11535" max="11535" width="14.375" style="5" customWidth="1"/>
    <col min="11536" max="11536" width="17" style="5" customWidth="1"/>
    <col min="11537" max="11537" width="15.125" style="5" customWidth="1"/>
    <col min="11538" max="11538" width="9" style="5" bestFit="1" customWidth="1"/>
    <col min="11539" max="11539" width="9.125" style="5" bestFit="1" customWidth="1"/>
    <col min="11540" max="11777" width="9" style="5"/>
    <col min="11778" max="11778" width="3.125" style="5" customWidth="1"/>
    <col min="11779" max="11779" width="7.5" style="5" customWidth="1"/>
    <col min="11780" max="11780" width="22" style="5" bestFit="1" customWidth="1"/>
    <col min="11781" max="11781" width="18.625" style="5" customWidth="1"/>
    <col min="11782" max="11782" width="17" style="5" customWidth="1"/>
    <col min="11783" max="11783" width="18.125" style="5" customWidth="1"/>
    <col min="11784" max="11784" width="14.625" style="5" customWidth="1"/>
    <col min="11785" max="11785" width="18" style="5" customWidth="1"/>
    <col min="11786" max="11787" width="19.125" style="5" customWidth="1"/>
    <col min="11788" max="11788" width="17.125" style="5" bestFit="1" customWidth="1"/>
    <col min="11789" max="11789" width="12.875" style="5" bestFit="1" customWidth="1"/>
    <col min="11790" max="11790" width="7.5" style="5" bestFit="1" customWidth="1"/>
    <col min="11791" max="11791" width="14.375" style="5" customWidth="1"/>
    <col min="11792" max="11792" width="17" style="5" customWidth="1"/>
    <col min="11793" max="11793" width="15.125" style="5" customWidth="1"/>
    <col min="11794" max="11794" width="9" style="5" bestFit="1" customWidth="1"/>
    <col min="11795" max="11795" width="9.125" style="5" bestFit="1" customWidth="1"/>
    <col min="11796" max="12033" width="9" style="5"/>
    <col min="12034" max="12034" width="3.125" style="5" customWidth="1"/>
    <col min="12035" max="12035" width="7.5" style="5" customWidth="1"/>
    <col min="12036" max="12036" width="22" style="5" bestFit="1" customWidth="1"/>
    <col min="12037" max="12037" width="18.625" style="5" customWidth="1"/>
    <col min="12038" max="12038" width="17" style="5" customWidth="1"/>
    <col min="12039" max="12039" width="18.125" style="5" customWidth="1"/>
    <col min="12040" max="12040" width="14.625" style="5" customWidth="1"/>
    <col min="12041" max="12041" width="18" style="5" customWidth="1"/>
    <col min="12042" max="12043" width="19.125" style="5" customWidth="1"/>
    <col min="12044" max="12044" width="17.125" style="5" bestFit="1" customWidth="1"/>
    <col min="12045" max="12045" width="12.875" style="5" bestFit="1" customWidth="1"/>
    <col min="12046" max="12046" width="7.5" style="5" bestFit="1" customWidth="1"/>
    <col min="12047" max="12047" width="14.375" style="5" customWidth="1"/>
    <col min="12048" max="12048" width="17" style="5" customWidth="1"/>
    <col min="12049" max="12049" width="15.125" style="5" customWidth="1"/>
    <col min="12050" max="12050" width="9" style="5" bestFit="1" customWidth="1"/>
    <col min="12051" max="12051" width="9.125" style="5" bestFit="1" customWidth="1"/>
    <col min="12052" max="12289" width="9" style="5"/>
    <col min="12290" max="12290" width="3.125" style="5" customWidth="1"/>
    <col min="12291" max="12291" width="7.5" style="5" customWidth="1"/>
    <col min="12292" max="12292" width="22" style="5" bestFit="1" customWidth="1"/>
    <col min="12293" max="12293" width="18.625" style="5" customWidth="1"/>
    <col min="12294" max="12294" width="17" style="5" customWidth="1"/>
    <col min="12295" max="12295" width="18.125" style="5" customWidth="1"/>
    <col min="12296" max="12296" width="14.625" style="5" customWidth="1"/>
    <col min="12297" max="12297" width="18" style="5" customWidth="1"/>
    <col min="12298" max="12299" width="19.125" style="5" customWidth="1"/>
    <col min="12300" max="12300" width="17.125" style="5" bestFit="1" customWidth="1"/>
    <col min="12301" max="12301" width="12.875" style="5" bestFit="1" customWidth="1"/>
    <col min="12302" max="12302" width="7.5" style="5" bestFit="1" customWidth="1"/>
    <col min="12303" max="12303" width="14.375" style="5" customWidth="1"/>
    <col min="12304" max="12304" width="17" style="5" customWidth="1"/>
    <col min="12305" max="12305" width="15.125" style="5" customWidth="1"/>
    <col min="12306" max="12306" width="9" style="5" bestFit="1" customWidth="1"/>
    <col min="12307" max="12307" width="9.125" style="5" bestFit="1" customWidth="1"/>
    <col min="12308" max="12545" width="9" style="5"/>
    <col min="12546" max="12546" width="3.125" style="5" customWidth="1"/>
    <col min="12547" max="12547" width="7.5" style="5" customWidth="1"/>
    <col min="12548" max="12548" width="22" style="5" bestFit="1" customWidth="1"/>
    <col min="12549" max="12549" width="18.625" style="5" customWidth="1"/>
    <col min="12550" max="12550" width="17" style="5" customWidth="1"/>
    <col min="12551" max="12551" width="18.125" style="5" customWidth="1"/>
    <col min="12552" max="12552" width="14.625" style="5" customWidth="1"/>
    <col min="12553" max="12553" width="18" style="5" customWidth="1"/>
    <col min="12554" max="12555" width="19.125" style="5" customWidth="1"/>
    <col min="12556" max="12556" width="17.125" style="5" bestFit="1" customWidth="1"/>
    <col min="12557" max="12557" width="12.875" style="5" bestFit="1" customWidth="1"/>
    <col min="12558" max="12558" width="7.5" style="5" bestFit="1" customWidth="1"/>
    <col min="12559" max="12559" width="14.375" style="5" customWidth="1"/>
    <col min="12560" max="12560" width="17" style="5" customWidth="1"/>
    <col min="12561" max="12561" width="15.125" style="5" customWidth="1"/>
    <col min="12562" max="12562" width="9" style="5" bestFit="1" customWidth="1"/>
    <col min="12563" max="12563" width="9.125" style="5" bestFit="1" customWidth="1"/>
    <col min="12564" max="12801" width="9" style="5"/>
    <col min="12802" max="12802" width="3.125" style="5" customWidth="1"/>
    <col min="12803" max="12803" width="7.5" style="5" customWidth="1"/>
    <col min="12804" max="12804" width="22" style="5" bestFit="1" customWidth="1"/>
    <col min="12805" max="12805" width="18.625" style="5" customWidth="1"/>
    <col min="12806" max="12806" width="17" style="5" customWidth="1"/>
    <col min="12807" max="12807" width="18.125" style="5" customWidth="1"/>
    <col min="12808" max="12808" width="14.625" style="5" customWidth="1"/>
    <col min="12809" max="12809" width="18" style="5" customWidth="1"/>
    <col min="12810" max="12811" width="19.125" style="5" customWidth="1"/>
    <col min="12812" max="12812" width="17.125" style="5" bestFit="1" customWidth="1"/>
    <col min="12813" max="12813" width="12.875" style="5" bestFit="1" customWidth="1"/>
    <col min="12814" max="12814" width="7.5" style="5" bestFit="1" customWidth="1"/>
    <col min="12815" max="12815" width="14.375" style="5" customWidth="1"/>
    <col min="12816" max="12816" width="17" style="5" customWidth="1"/>
    <col min="12817" max="12817" width="15.125" style="5" customWidth="1"/>
    <col min="12818" max="12818" width="9" style="5" bestFit="1" customWidth="1"/>
    <col min="12819" max="12819" width="9.125" style="5" bestFit="1" customWidth="1"/>
    <col min="12820" max="13057" width="9" style="5"/>
    <col min="13058" max="13058" width="3.125" style="5" customWidth="1"/>
    <col min="13059" max="13059" width="7.5" style="5" customWidth="1"/>
    <col min="13060" max="13060" width="22" style="5" bestFit="1" customWidth="1"/>
    <col min="13061" max="13061" width="18.625" style="5" customWidth="1"/>
    <col min="13062" max="13062" width="17" style="5" customWidth="1"/>
    <col min="13063" max="13063" width="18.125" style="5" customWidth="1"/>
    <col min="13064" max="13064" width="14.625" style="5" customWidth="1"/>
    <col min="13065" max="13065" width="18" style="5" customWidth="1"/>
    <col min="13066" max="13067" width="19.125" style="5" customWidth="1"/>
    <col min="13068" max="13068" width="17.125" style="5" bestFit="1" customWidth="1"/>
    <col min="13069" max="13069" width="12.875" style="5" bestFit="1" customWidth="1"/>
    <col min="13070" max="13070" width="7.5" style="5" bestFit="1" customWidth="1"/>
    <col min="13071" max="13071" width="14.375" style="5" customWidth="1"/>
    <col min="13072" max="13072" width="17" style="5" customWidth="1"/>
    <col min="13073" max="13073" width="15.125" style="5" customWidth="1"/>
    <col min="13074" max="13074" width="9" style="5" bestFit="1" customWidth="1"/>
    <col min="13075" max="13075" width="9.125" style="5" bestFit="1" customWidth="1"/>
    <col min="13076" max="13313" width="9" style="5"/>
    <col min="13314" max="13314" width="3.125" style="5" customWidth="1"/>
    <col min="13315" max="13315" width="7.5" style="5" customWidth="1"/>
    <col min="13316" max="13316" width="22" style="5" bestFit="1" customWidth="1"/>
    <col min="13317" max="13317" width="18.625" style="5" customWidth="1"/>
    <col min="13318" max="13318" width="17" style="5" customWidth="1"/>
    <col min="13319" max="13319" width="18.125" style="5" customWidth="1"/>
    <col min="13320" max="13320" width="14.625" style="5" customWidth="1"/>
    <col min="13321" max="13321" width="18" style="5" customWidth="1"/>
    <col min="13322" max="13323" width="19.125" style="5" customWidth="1"/>
    <col min="13324" max="13324" width="17.125" style="5" bestFit="1" customWidth="1"/>
    <col min="13325" max="13325" width="12.875" style="5" bestFit="1" customWidth="1"/>
    <col min="13326" max="13326" width="7.5" style="5" bestFit="1" customWidth="1"/>
    <col min="13327" max="13327" width="14.375" style="5" customWidth="1"/>
    <col min="13328" max="13328" width="17" style="5" customWidth="1"/>
    <col min="13329" max="13329" width="15.125" style="5" customWidth="1"/>
    <col min="13330" max="13330" width="9" style="5" bestFit="1" customWidth="1"/>
    <col min="13331" max="13331" width="9.125" style="5" bestFit="1" customWidth="1"/>
    <col min="13332" max="13569" width="9" style="5"/>
    <col min="13570" max="13570" width="3.125" style="5" customWidth="1"/>
    <col min="13571" max="13571" width="7.5" style="5" customWidth="1"/>
    <col min="13572" max="13572" width="22" style="5" bestFit="1" customWidth="1"/>
    <col min="13573" max="13573" width="18.625" style="5" customWidth="1"/>
    <col min="13574" max="13574" width="17" style="5" customWidth="1"/>
    <col min="13575" max="13575" width="18.125" style="5" customWidth="1"/>
    <col min="13576" max="13576" width="14.625" style="5" customWidth="1"/>
    <col min="13577" max="13577" width="18" style="5" customWidth="1"/>
    <col min="13578" max="13579" width="19.125" style="5" customWidth="1"/>
    <col min="13580" max="13580" width="17.125" style="5" bestFit="1" customWidth="1"/>
    <col min="13581" max="13581" width="12.875" style="5" bestFit="1" customWidth="1"/>
    <col min="13582" max="13582" width="7.5" style="5" bestFit="1" customWidth="1"/>
    <col min="13583" max="13583" width="14.375" style="5" customWidth="1"/>
    <col min="13584" max="13584" width="17" style="5" customWidth="1"/>
    <col min="13585" max="13585" width="15.125" style="5" customWidth="1"/>
    <col min="13586" max="13586" width="9" style="5" bestFit="1" customWidth="1"/>
    <col min="13587" max="13587" width="9.125" style="5" bestFit="1" customWidth="1"/>
    <col min="13588" max="13825" width="9" style="5"/>
    <col min="13826" max="13826" width="3.125" style="5" customWidth="1"/>
    <col min="13827" max="13827" width="7.5" style="5" customWidth="1"/>
    <col min="13828" max="13828" width="22" style="5" bestFit="1" customWidth="1"/>
    <col min="13829" max="13829" width="18.625" style="5" customWidth="1"/>
    <col min="13830" max="13830" width="17" style="5" customWidth="1"/>
    <col min="13831" max="13831" width="18.125" style="5" customWidth="1"/>
    <col min="13832" max="13832" width="14.625" style="5" customWidth="1"/>
    <col min="13833" max="13833" width="18" style="5" customWidth="1"/>
    <col min="13834" max="13835" width="19.125" style="5" customWidth="1"/>
    <col min="13836" max="13836" width="17.125" style="5" bestFit="1" customWidth="1"/>
    <col min="13837" max="13837" width="12.875" style="5" bestFit="1" customWidth="1"/>
    <col min="13838" max="13838" width="7.5" style="5" bestFit="1" customWidth="1"/>
    <col min="13839" max="13839" width="14.375" style="5" customWidth="1"/>
    <col min="13840" max="13840" width="17" style="5" customWidth="1"/>
    <col min="13841" max="13841" width="15.125" style="5" customWidth="1"/>
    <col min="13842" max="13842" width="9" style="5" bestFit="1" customWidth="1"/>
    <col min="13843" max="13843" width="9.125" style="5" bestFit="1" customWidth="1"/>
    <col min="13844" max="14081" width="9" style="5"/>
    <col min="14082" max="14082" width="3.125" style="5" customWidth="1"/>
    <col min="14083" max="14083" width="7.5" style="5" customWidth="1"/>
    <col min="14084" max="14084" width="22" style="5" bestFit="1" customWidth="1"/>
    <col min="14085" max="14085" width="18.625" style="5" customWidth="1"/>
    <col min="14086" max="14086" width="17" style="5" customWidth="1"/>
    <col min="14087" max="14087" width="18.125" style="5" customWidth="1"/>
    <col min="14088" max="14088" width="14.625" style="5" customWidth="1"/>
    <col min="14089" max="14089" width="18" style="5" customWidth="1"/>
    <col min="14090" max="14091" width="19.125" style="5" customWidth="1"/>
    <col min="14092" max="14092" width="17.125" style="5" bestFit="1" customWidth="1"/>
    <col min="14093" max="14093" width="12.875" style="5" bestFit="1" customWidth="1"/>
    <col min="14094" max="14094" width="7.5" style="5" bestFit="1" customWidth="1"/>
    <col min="14095" max="14095" width="14.375" style="5" customWidth="1"/>
    <col min="14096" max="14096" width="17" style="5" customWidth="1"/>
    <col min="14097" max="14097" width="15.125" style="5" customWidth="1"/>
    <col min="14098" max="14098" width="9" style="5" bestFit="1" customWidth="1"/>
    <col min="14099" max="14099" width="9.125" style="5" bestFit="1" customWidth="1"/>
    <col min="14100" max="14337" width="9" style="5"/>
    <col min="14338" max="14338" width="3.125" style="5" customWidth="1"/>
    <col min="14339" max="14339" width="7.5" style="5" customWidth="1"/>
    <col min="14340" max="14340" width="22" style="5" bestFit="1" customWidth="1"/>
    <col min="14341" max="14341" width="18.625" style="5" customWidth="1"/>
    <col min="14342" max="14342" width="17" style="5" customWidth="1"/>
    <col min="14343" max="14343" width="18.125" style="5" customWidth="1"/>
    <col min="14344" max="14344" width="14.625" style="5" customWidth="1"/>
    <col min="14345" max="14345" width="18" style="5" customWidth="1"/>
    <col min="14346" max="14347" width="19.125" style="5" customWidth="1"/>
    <col min="14348" max="14348" width="17.125" style="5" bestFit="1" customWidth="1"/>
    <col min="14349" max="14349" width="12.875" style="5" bestFit="1" customWidth="1"/>
    <col min="14350" max="14350" width="7.5" style="5" bestFit="1" customWidth="1"/>
    <col min="14351" max="14351" width="14.375" style="5" customWidth="1"/>
    <col min="14352" max="14352" width="17" style="5" customWidth="1"/>
    <col min="14353" max="14353" width="15.125" style="5" customWidth="1"/>
    <col min="14354" max="14354" width="9" style="5" bestFit="1" customWidth="1"/>
    <col min="14355" max="14355" width="9.125" style="5" bestFit="1" customWidth="1"/>
    <col min="14356" max="14593" width="9" style="5"/>
    <col min="14594" max="14594" width="3.125" style="5" customWidth="1"/>
    <col min="14595" max="14595" width="7.5" style="5" customWidth="1"/>
    <col min="14596" max="14596" width="22" style="5" bestFit="1" customWidth="1"/>
    <col min="14597" max="14597" width="18.625" style="5" customWidth="1"/>
    <col min="14598" max="14598" width="17" style="5" customWidth="1"/>
    <col min="14599" max="14599" width="18.125" style="5" customWidth="1"/>
    <col min="14600" max="14600" width="14.625" style="5" customWidth="1"/>
    <col min="14601" max="14601" width="18" style="5" customWidth="1"/>
    <col min="14602" max="14603" width="19.125" style="5" customWidth="1"/>
    <col min="14604" max="14604" width="17.125" style="5" bestFit="1" customWidth="1"/>
    <col min="14605" max="14605" width="12.875" style="5" bestFit="1" customWidth="1"/>
    <col min="14606" max="14606" width="7.5" style="5" bestFit="1" customWidth="1"/>
    <col min="14607" max="14607" width="14.375" style="5" customWidth="1"/>
    <col min="14608" max="14608" width="17" style="5" customWidth="1"/>
    <col min="14609" max="14609" width="15.125" style="5" customWidth="1"/>
    <col min="14610" max="14610" width="9" style="5" bestFit="1" customWidth="1"/>
    <col min="14611" max="14611" width="9.125" style="5" bestFit="1" customWidth="1"/>
    <col min="14612" max="14849" width="9" style="5"/>
    <col min="14850" max="14850" width="3.125" style="5" customWidth="1"/>
    <col min="14851" max="14851" width="7.5" style="5" customWidth="1"/>
    <col min="14852" max="14852" width="22" style="5" bestFit="1" customWidth="1"/>
    <col min="14853" max="14853" width="18.625" style="5" customWidth="1"/>
    <col min="14854" max="14854" width="17" style="5" customWidth="1"/>
    <col min="14855" max="14855" width="18.125" style="5" customWidth="1"/>
    <col min="14856" max="14856" width="14.625" style="5" customWidth="1"/>
    <col min="14857" max="14857" width="18" style="5" customWidth="1"/>
    <col min="14858" max="14859" width="19.125" style="5" customWidth="1"/>
    <col min="14860" max="14860" width="17.125" style="5" bestFit="1" customWidth="1"/>
    <col min="14861" max="14861" width="12.875" style="5" bestFit="1" customWidth="1"/>
    <col min="14862" max="14862" width="7.5" style="5" bestFit="1" customWidth="1"/>
    <col min="14863" max="14863" width="14.375" style="5" customWidth="1"/>
    <col min="14864" max="14864" width="17" style="5" customWidth="1"/>
    <col min="14865" max="14865" width="15.125" style="5" customWidth="1"/>
    <col min="14866" max="14866" width="9" style="5" bestFit="1" customWidth="1"/>
    <col min="14867" max="14867" width="9.125" style="5" bestFit="1" customWidth="1"/>
    <col min="14868" max="15105" width="9" style="5"/>
    <col min="15106" max="15106" width="3.125" style="5" customWidth="1"/>
    <col min="15107" max="15107" width="7.5" style="5" customWidth="1"/>
    <col min="15108" max="15108" width="22" style="5" bestFit="1" customWidth="1"/>
    <col min="15109" max="15109" width="18.625" style="5" customWidth="1"/>
    <col min="15110" max="15110" width="17" style="5" customWidth="1"/>
    <col min="15111" max="15111" width="18.125" style="5" customWidth="1"/>
    <col min="15112" max="15112" width="14.625" style="5" customWidth="1"/>
    <col min="15113" max="15113" width="18" style="5" customWidth="1"/>
    <col min="15114" max="15115" width="19.125" style="5" customWidth="1"/>
    <col min="15116" max="15116" width="17.125" style="5" bestFit="1" customWidth="1"/>
    <col min="15117" max="15117" width="12.875" style="5" bestFit="1" customWidth="1"/>
    <col min="15118" max="15118" width="7.5" style="5" bestFit="1" customWidth="1"/>
    <col min="15119" max="15119" width="14.375" style="5" customWidth="1"/>
    <col min="15120" max="15120" width="17" style="5" customWidth="1"/>
    <col min="15121" max="15121" width="15.125" style="5" customWidth="1"/>
    <col min="15122" max="15122" width="9" style="5" bestFit="1" customWidth="1"/>
    <col min="15123" max="15123" width="9.125" style="5" bestFit="1" customWidth="1"/>
    <col min="15124" max="15361" width="9" style="5"/>
    <col min="15362" max="15362" width="3.125" style="5" customWidth="1"/>
    <col min="15363" max="15363" width="7.5" style="5" customWidth="1"/>
    <col min="15364" max="15364" width="22" style="5" bestFit="1" customWidth="1"/>
    <col min="15365" max="15365" width="18.625" style="5" customWidth="1"/>
    <col min="15366" max="15366" width="17" style="5" customWidth="1"/>
    <col min="15367" max="15367" width="18.125" style="5" customWidth="1"/>
    <col min="15368" max="15368" width="14.625" style="5" customWidth="1"/>
    <col min="15369" max="15369" width="18" style="5" customWidth="1"/>
    <col min="15370" max="15371" width="19.125" style="5" customWidth="1"/>
    <col min="15372" max="15372" width="17.125" style="5" bestFit="1" customWidth="1"/>
    <col min="15373" max="15373" width="12.875" style="5" bestFit="1" customWidth="1"/>
    <col min="15374" max="15374" width="7.5" style="5" bestFit="1" customWidth="1"/>
    <col min="15375" max="15375" width="14.375" style="5" customWidth="1"/>
    <col min="15376" max="15376" width="17" style="5" customWidth="1"/>
    <col min="15377" max="15377" width="15.125" style="5" customWidth="1"/>
    <col min="15378" max="15378" width="9" style="5" bestFit="1" customWidth="1"/>
    <col min="15379" max="15379" width="9.125" style="5" bestFit="1" customWidth="1"/>
    <col min="15380" max="15617" width="9" style="5"/>
    <col min="15618" max="15618" width="3.125" style="5" customWidth="1"/>
    <col min="15619" max="15619" width="7.5" style="5" customWidth="1"/>
    <col min="15620" max="15620" width="22" style="5" bestFit="1" customWidth="1"/>
    <col min="15621" max="15621" width="18.625" style="5" customWidth="1"/>
    <col min="15622" max="15622" width="17" style="5" customWidth="1"/>
    <col min="15623" max="15623" width="18.125" style="5" customWidth="1"/>
    <col min="15624" max="15624" width="14.625" style="5" customWidth="1"/>
    <col min="15625" max="15625" width="18" style="5" customWidth="1"/>
    <col min="15626" max="15627" width="19.125" style="5" customWidth="1"/>
    <col min="15628" max="15628" width="17.125" style="5" bestFit="1" customWidth="1"/>
    <col min="15629" max="15629" width="12.875" style="5" bestFit="1" customWidth="1"/>
    <col min="15630" max="15630" width="7.5" style="5" bestFit="1" customWidth="1"/>
    <col min="15631" max="15631" width="14.375" style="5" customWidth="1"/>
    <col min="15632" max="15632" width="17" style="5" customWidth="1"/>
    <col min="15633" max="15633" width="15.125" style="5" customWidth="1"/>
    <col min="15634" max="15634" width="9" style="5" bestFit="1" customWidth="1"/>
    <col min="15635" max="15635" width="9.125" style="5" bestFit="1" customWidth="1"/>
    <col min="15636" max="15873" width="9" style="5"/>
    <col min="15874" max="15874" width="3.125" style="5" customWidth="1"/>
    <col min="15875" max="15875" width="7.5" style="5" customWidth="1"/>
    <col min="15876" max="15876" width="22" style="5" bestFit="1" customWidth="1"/>
    <col min="15877" max="15877" width="18.625" style="5" customWidth="1"/>
    <col min="15878" max="15878" width="17" style="5" customWidth="1"/>
    <col min="15879" max="15879" width="18.125" style="5" customWidth="1"/>
    <col min="15880" max="15880" width="14.625" style="5" customWidth="1"/>
    <col min="15881" max="15881" width="18" style="5" customWidth="1"/>
    <col min="15882" max="15883" width="19.125" style="5" customWidth="1"/>
    <col min="15884" max="15884" width="17.125" style="5" bestFit="1" customWidth="1"/>
    <col min="15885" max="15885" width="12.875" style="5" bestFit="1" customWidth="1"/>
    <col min="15886" max="15886" width="7.5" style="5" bestFit="1" customWidth="1"/>
    <col min="15887" max="15887" width="14.375" style="5" customWidth="1"/>
    <col min="15888" max="15888" width="17" style="5" customWidth="1"/>
    <col min="15889" max="15889" width="15.125" style="5" customWidth="1"/>
    <col min="15890" max="15890" width="9" style="5" bestFit="1" customWidth="1"/>
    <col min="15891" max="15891" width="9.125" style="5" bestFit="1" customWidth="1"/>
    <col min="15892" max="16129" width="9" style="5"/>
    <col min="16130" max="16130" width="3.125" style="5" customWidth="1"/>
    <col min="16131" max="16131" width="7.5" style="5" customWidth="1"/>
    <col min="16132" max="16132" width="22" style="5" bestFit="1" customWidth="1"/>
    <col min="16133" max="16133" width="18.625" style="5" customWidth="1"/>
    <col min="16134" max="16134" width="17" style="5" customWidth="1"/>
    <col min="16135" max="16135" width="18.125" style="5" customWidth="1"/>
    <col min="16136" max="16136" width="14.625" style="5" customWidth="1"/>
    <col min="16137" max="16137" width="18" style="5" customWidth="1"/>
    <col min="16138" max="16139" width="19.125" style="5" customWidth="1"/>
    <col min="16140" max="16140" width="17.125" style="5" bestFit="1" customWidth="1"/>
    <col min="16141" max="16141" width="12.875" style="5" bestFit="1" customWidth="1"/>
    <col min="16142" max="16142" width="7.5" style="5" bestFit="1" customWidth="1"/>
    <col min="16143" max="16143" width="14.375" style="5" customWidth="1"/>
    <col min="16144" max="16144" width="17" style="5" customWidth="1"/>
    <col min="16145" max="16145" width="15.125" style="5" customWidth="1"/>
    <col min="16146" max="16146" width="9" style="5" bestFit="1" customWidth="1"/>
    <col min="16147" max="16147" width="9.125" style="5" bestFit="1" customWidth="1"/>
    <col min="16148" max="16384" width="9" style="5"/>
  </cols>
  <sheetData>
    <row r="1" spans="1:19" ht="14.25" thickBot="1">
      <c r="A1" s="14"/>
      <c r="B1" s="13"/>
    </row>
    <row r="2" spans="1:19" s="11" customFormat="1" ht="27" thickBot="1">
      <c r="A2" s="12"/>
      <c r="B2" s="134" t="s">
        <v>1404</v>
      </c>
      <c r="C2" s="135" t="s">
        <v>1428</v>
      </c>
      <c r="F2" s="122" t="s">
        <v>1405</v>
      </c>
      <c r="R2" s="2"/>
    </row>
    <row r="4" spans="1:19">
      <c r="B4" s="13" t="s">
        <v>427</v>
      </c>
    </row>
    <row r="5" spans="1:19" s="95" customFormat="1" ht="14.25" thickBot="1">
      <c r="B5" s="127" t="s">
        <v>410</v>
      </c>
      <c r="C5" s="127" t="s">
        <v>405</v>
      </c>
      <c r="D5" s="127"/>
      <c r="E5" s="127" t="s">
        <v>406</v>
      </c>
      <c r="F5" s="127" t="s">
        <v>407</v>
      </c>
      <c r="G5" s="127" t="s">
        <v>62</v>
      </c>
      <c r="H5" s="127" t="s">
        <v>275</v>
      </c>
      <c r="S5" s="111"/>
    </row>
    <row r="6" spans="1:19" s="95" customFormat="1">
      <c r="B6" s="126">
        <f>RoS!B36</f>
        <v>43563</v>
      </c>
      <c r="C6" s="95" t="str">
        <f>RoS!C36</f>
        <v>울트라브이</v>
      </c>
      <c r="E6" s="95">
        <f>RoS!D36</f>
        <v>165000</v>
      </c>
      <c r="F6" s="411">
        <f>E6/$E$10</f>
        <v>1</v>
      </c>
      <c r="G6" s="98">
        <f>ROUND($G$10*F6,)</f>
        <v>241041998</v>
      </c>
      <c r="H6" s="117"/>
      <c r="S6" s="111"/>
    </row>
    <row r="7" spans="1:19" s="95" customFormat="1">
      <c r="C7" s="95">
        <f>RoS!C27</f>
        <v>0</v>
      </c>
      <c r="E7" s="95">
        <f>RoS!D27</f>
        <v>0</v>
      </c>
      <c r="F7" s="411">
        <f>E7/$E$10</f>
        <v>0</v>
      </c>
      <c r="G7" s="98">
        <f>ROUND($G$10*F7,)</f>
        <v>0</v>
      </c>
      <c r="H7" s="117"/>
      <c r="S7" s="111"/>
    </row>
    <row r="8" spans="1:19" s="95" customFormat="1">
      <c r="C8" s="95">
        <f>RoS!C28</f>
        <v>0</v>
      </c>
      <c r="E8" s="95">
        <f>RoS!D28</f>
        <v>0</v>
      </c>
      <c r="F8" s="411">
        <f>E8/$E$10</f>
        <v>0</v>
      </c>
      <c r="G8" s="98">
        <f>ROUND($G$10*F8,)</f>
        <v>0</v>
      </c>
      <c r="H8" s="112"/>
      <c r="S8" s="111"/>
    </row>
    <row r="9" spans="1:19" s="95" customFormat="1">
      <c r="C9" s="95">
        <f>RoS!C29</f>
        <v>0</v>
      </c>
      <c r="E9" s="95">
        <f>RoS!D29</f>
        <v>0</v>
      </c>
      <c r="F9" s="411">
        <f>E9/$E$10</f>
        <v>0</v>
      </c>
      <c r="G9" s="98">
        <f>ROUND($G$10*F9,)</f>
        <v>0</v>
      </c>
      <c r="H9" s="112"/>
      <c r="S9" s="111"/>
    </row>
    <row r="10" spans="1:19" s="95" customFormat="1" ht="14.25" thickBot="1">
      <c r="B10" s="2007" t="s">
        <v>142</v>
      </c>
      <c r="C10" s="2007"/>
      <c r="D10" s="2007"/>
      <c r="E10" s="115">
        <f>SUM(E6:E9)</f>
        <v>165000</v>
      </c>
      <c r="F10" s="116">
        <f>SUM(F6:F9)</f>
        <v>1</v>
      </c>
      <c r="G10" s="115">
        <f>BS!L123</f>
        <v>241041998</v>
      </c>
      <c r="H10" s="116"/>
      <c r="S10" s="111"/>
    </row>
    <row r="11" spans="1:19" s="95" customFormat="1" ht="14.25" thickTop="1">
      <c r="B11" s="118"/>
      <c r="C11" s="118"/>
      <c r="D11" s="118"/>
      <c r="E11" s="119"/>
      <c r="F11" s="120"/>
      <c r="G11" s="120"/>
      <c r="R11" s="111"/>
    </row>
    <row r="12" spans="1:19" s="95" customFormat="1" ht="14.25" thickBot="1">
      <c r="B12" s="127"/>
      <c r="C12" s="127" t="s">
        <v>1411</v>
      </c>
      <c r="D12" s="127" t="s">
        <v>109</v>
      </c>
      <c r="R12" s="111"/>
    </row>
    <row r="13" spans="1:19" s="95" customFormat="1">
      <c r="B13" s="138" t="s">
        <v>407</v>
      </c>
      <c r="C13" s="402">
        <f>RoS!N28</f>
        <v>1</v>
      </c>
      <c r="D13" s="137">
        <f>1-C13</f>
        <v>0</v>
      </c>
      <c r="R13" s="111"/>
    </row>
    <row r="14" spans="1:19" s="95" customFormat="1">
      <c r="R14" s="111"/>
    </row>
    <row r="15" spans="1:19" s="95" customFormat="1">
      <c r="R15" s="111"/>
    </row>
    <row r="16" spans="1:19" s="95" customFormat="1">
      <c r="B16" s="119" t="s">
        <v>428</v>
      </c>
      <c r="R16" s="111"/>
    </row>
    <row r="17" spans="2:18" s="95" customFormat="1" ht="14.25" thickBot="1">
      <c r="B17" s="128" t="s">
        <v>1429</v>
      </c>
      <c r="C17" s="128" t="s">
        <v>1430</v>
      </c>
      <c r="D17" s="128" t="s">
        <v>1431</v>
      </c>
      <c r="R17" s="111"/>
    </row>
    <row r="18" spans="2:18" s="95" customFormat="1">
      <c r="B18" s="123">
        <v>43830</v>
      </c>
      <c r="C18" s="312">
        <v>168.58</v>
      </c>
      <c r="D18" s="312">
        <v>165.74</v>
      </c>
      <c r="R18" s="111"/>
    </row>
    <row r="19" spans="2:18" s="95" customFormat="1">
      <c r="B19" s="123">
        <v>44196</v>
      </c>
      <c r="C19" s="312">
        <v>170.88</v>
      </c>
      <c r="D19" s="312">
        <v>166.96</v>
      </c>
      <c r="R19" s="111"/>
    </row>
    <row r="20" spans="2:18" s="95" customFormat="1">
      <c r="B20" s="123">
        <v>44561</v>
      </c>
      <c r="C20" s="312">
        <v>177.43</v>
      </c>
      <c r="D20" s="312">
        <v>186.26</v>
      </c>
      <c r="R20" s="111"/>
    </row>
    <row r="21" spans="2:18" s="95" customFormat="1">
      <c r="B21" s="123">
        <v>44926</v>
      </c>
      <c r="C21" s="312">
        <v>191.57</v>
      </c>
      <c r="D21" s="312">
        <v>181.44</v>
      </c>
      <c r="R21" s="111"/>
    </row>
    <row r="22" spans="2:18" s="95" customFormat="1">
      <c r="B22" s="123">
        <v>45291</v>
      </c>
      <c r="C22" s="312">
        <v>184.22</v>
      </c>
      <c r="D22" s="312">
        <v>180.84</v>
      </c>
      <c r="R22" s="111"/>
    </row>
    <row r="23" spans="2:18" s="95" customFormat="1">
      <c r="B23" s="123">
        <v>45657</v>
      </c>
      <c r="C23" s="312">
        <v>189.2</v>
      </c>
      <c r="D23" s="312">
        <v>201.27</v>
      </c>
      <c r="R23" s="111"/>
    </row>
    <row r="24" spans="2:18" s="95" customFormat="1">
      <c r="B24" s="123">
        <v>46022</v>
      </c>
      <c r="C24" s="312">
        <v>197.78</v>
      </c>
      <c r="D24" s="312">
        <v>204.76</v>
      </c>
      <c r="R24" s="111"/>
    </row>
    <row r="25" spans="2:18" s="95" customFormat="1">
      <c r="B25" s="123">
        <v>46203</v>
      </c>
      <c r="C25" s="312">
        <f>환율!C17</f>
        <v>216.23</v>
      </c>
      <c r="D25" s="312">
        <f>환율!C18</f>
        <v>226.97</v>
      </c>
      <c r="R25" s="111"/>
    </row>
    <row r="26" spans="2:18" s="95" customFormat="1">
      <c r="R26" s="111"/>
    </row>
    <row r="27" spans="2:18" s="95" customFormat="1">
      <c r="R27" s="111"/>
    </row>
    <row r="28" spans="2:18" s="95" customFormat="1">
      <c r="B28" s="119" t="s">
        <v>429</v>
      </c>
      <c r="R28" s="111"/>
    </row>
    <row r="29" spans="2:18" s="95" customFormat="1">
      <c r="B29" s="119"/>
      <c r="R29" s="111"/>
    </row>
    <row r="30" spans="2:18" s="95" customFormat="1">
      <c r="B30" s="119" t="s">
        <v>3411</v>
      </c>
      <c r="R30" s="111"/>
    </row>
    <row r="31" spans="2:18" s="113" customFormat="1" ht="14.25" thickBot="1">
      <c r="B31" s="128" t="s">
        <v>410</v>
      </c>
      <c r="C31" s="128" t="s">
        <v>423</v>
      </c>
      <c r="D31" s="128" t="s">
        <v>141</v>
      </c>
      <c r="E31" s="128" t="s">
        <v>417</v>
      </c>
      <c r="F31" s="128" t="s">
        <v>424</v>
      </c>
      <c r="G31" s="128" t="s">
        <v>421</v>
      </c>
      <c r="H31" s="128" t="s">
        <v>411</v>
      </c>
      <c r="I31" s="128" t="s">
        <v>412</v>
      </c>
      <c r="J31" s="128" t="s">
        <v>416</v>
      </c>
      <c r="K31" s="128" t="s">
        <v>241</v>
      </c>
      <c r="L31" s="95"/>
      <c r="M31" s="95"/>
    </row>
    <row r="32" spans="2:18" s="113" customFormat="1">
      <c r="B32" s="130" t="s">
        <v>1432</v>
      </c>
      <c r="C32" s="130"/>
      <c r="D32" s="131">
        <v>206241</v>
      </c>
      <c r="E32" s="131">
        <v>0</v>
      </c>
      <c r="F32" s="131"/>
      <c r="G32" s="131">
        <v>0</v>
      </c>
      <c r="H32" s="131"/>
      <c r="I32" s="131"/>
      <c r="J32" s="131"/>
      <c r="K32" s="130"/>
      <c r="L32" s="95"/>
      <c r="M32" s="95"/>
    </row>
    <row r="33" spans="2:18" s="113" customFormat="1">
      <c r="C33" s="113" t="s">
        <v>148</v>
      </c>
      <c r="D33" s="124"/>
      <c r="E33" s="124"/>
      <c r="F33" s="124"/>
      <c r="G33" s="124">
        <v>-193769.3</v>
      </c>
      <c r="H33" s="124"/>
      <c r="I33" s="124"/>
      <c r="J33" s="124"/>
      <c r="L33" s="95"/>
      <c r="M33" s="95"/>
    </row>
    <row r="34" spans="2:18" s="113" customFormat="1">
      <c r="C34" s="113" t="s">
        <v>375</v>
      </c>
      <c r="D34" s="124"/>
      <c r="E34" s="124"/>
      <c r="F34" s="124"/>
      <c r="G34" s="124"/>
      <c r="H34" s="124"/>
      <c r="I34" s="124"/>
      <c r="J34" s="124"/>
      <c r="L34" s="95"/>
      <c r="M34" s="95"/>
    </row>
    <row r="35" spans="2:18" s="95" customFormat="1">
      <c r="B35" s="132">
        <v>43830</v>
      </c>
      <c r="C35" s="133"/>
      <c r="D35" s="133">
        <f>SUM(D32:D34)</f>
        <v>206241</v>
      </c>
      <c r="E35" s="133">
        <f t="shared" ref="E35:G35" si="0">SUM(E32:E34)</f>
        <v>0</v>
      </c>
      <c r="F35" s="133">
        <f t="shared" si="0"/>
        <v>0</v>
      </c>
      <c r="G35" s="133">
        <f t="shared" si="0"/>
        <v>-193769.3</v>
      </c>
      <c r="H35" s="131">
        <v>22456.199999999983</v>
      </c>
      <c r="I35" s="131">
        <v>9984.5</v>
      </c>
      <c r="J35" s="131">
        <f>H35-I35</f>
        <v>12471.699999999983</v>
      </c>
      <c r="K35" s="401">
        <f>SUM(D35:G35)-J35</f>
        <v>2.9103830456733704E-11</v>
      </c>
    </row>
    <row r="36" spans="2:18" s="95" customFormat="1">
      <c r="B36" s="126"/>
      <c r="C36" s="113" t="s">
        <v>164</v>
      </c>
      <c r="D36" s="124">
        <v>390670</v>
      </c>
      <c r="E36" s="124">
        <f>-E35</f>
        <v>0</v>
      </c>
      <c r="F36" s="124"/>
      <c r="G36" s="124"/>
      <c r="H36" s="124"/>
      <c r="I36" s="124"/>
      <c r="J36" s="124"/>
    </row>
    <row r="37" spans="2:18" s="95" customFormat="1">
      <c r="B37" s="126"/>
      <c r="C37" s="113" t="s">
        <v>148</v>
      </c>
      <c r="D37" s="124"/>
      <c r="E37" s="124"/>
      <c r="F37" s="124"/>
      <c r="G37" s="124">
        <v>-367392.57</v>
      </c>
      <c r="H37" s="124"/>
      <c r="I37" s="124"/>
      <c r="J37" s="124"/>
    </row>
    <row r="38" spans="2:18" s="95" customFormat="1">
      <c r="B38" s="126"/>
      <c r="C38" s="113" t="s">
        <v>375</v>
      </c>
      <c r="D38" s="124"/>
      <c r="E38" s="124"/>
      <c r="F38" s="124"/>
      <c r="G38" s="124"/>
      <c r="H38" s="124"/>
      <c r="I38" s="124"/>
      <c r="J38" s="124"/>
    </row>
    <row r="39" spans="2:18" s="95" customFormat="1">
      <c r="B39" s="132">
        <v>44196</v>
      </c>
      <c r="C39" s="133"/>
      <c r="D39" s="133">
        <f>SUM(D35:D38)</f>
        <v>596911</v>
      </c>
      <c r="E39" s="133">
        <f>SUM(E35:E38)</f>
        <v>0</v>
      </c>
      <c r="F39" s="133">
        <f>SUM(F35:F38)</f>
        <v>0</v>
      </c>
      <c r="G39" s="133">
        <f>SUM(G35:G38)</f>
        <v>-561161.87</v>
      </c>
      <c r="H39" s="131">
        <v>119028.33759999998</v>
      </c>
      <c r="I39" s="131">
        <v>83279.209999999992</v>
      </c>
      <c r="J39" s="131">
        <f>H39-I39</f>
        <v>35749.127599999993</v>
      </c>
      <c r="K39" s="401">
        <f>SUM(D39:G39)-J39</f>
        <v>2.4000000121304765E-3</v>
      </c>
    </row>
    <row r="40" spans="2:18" s="95" customFormat="1">
      <c r="B40" s="126"/>
      <c r="C40" s="113" t="s">
        <v>164</v>
      </c>
      <c r="D40" s="95">
        <v>193592</v>
      </c>
      <c r="H40" s="124"/>
      <c r="I40" s="124"/>
      <c r="J40" s="124"/>
      <c r="K40" s="673"/>
    </row>
    <row r="41" spans="2:18" s="95" customFormat="1">
      <c r="C41" s="113" t="s">
        <v>148</v>
      </c>
      <c r="D41" s="124"/>
      <c r="E41" s="124"/>
      <c r="F41" s="124"/>
      <c r="G41" s="124">
        <v>-731466.12000000011</v>
      </c>
      <c r="H41" s="124"/>
      <c r="I41" s="124"/>
      <c r="J41" s="124"/>
      <c r="K41" s="124"/>
    </row>
    <row r="42" spans="2:18" s="95" customFormat="1">
      <c r="B42" s="126"/>
      <c r="C42" s="113" t="s">
        <v>375</v>
      </c>
      <c r="D42" s="124"/>
      <c r="E42" s="124"/>
      <c r="F42" s="124"/>
      <c r="G42" s="124"/>
      <c r="H42" s="124"/>
      <c r="I42" s="124"/>
      <c r="J42" s="124"/>
      <c r="K42" s="124"/>
      <c r="N42" s="124"/>
      <c r="O42" s="124"/>
      <c r="P42" s="124"/>
      <c r="Q42" s="124"/>
      <c r="R42" s="125"/>
    </row>
    <row r="43" spans="2:18" s="95" customFormat="1">
      <c r="B43" s="132">
        <v>44561</v>
      </c>
      <c r="C43" s="133"/>
      <c r="D43" s="133">
        <f>SUM(D39:D42)</f>
        <v>790503</v>
      </c>
      <c r="E43" s="133">
        <f>SUM(E39:E42)</f>
        <v>0</v>
      </c>
      <c r="F43" s="133">
        <f>SUM(F39:F42)</f>
        <v>0</v>
      </c>
      <c r="G43" s="133">
        <f>SUM(G39:G42)</f>
        <v>-1292627.9900000002</v>
      </c>
      <c r="H43" s="131">
        <v>34122.089999999851</v>
      </c>
      <c r="I43" s="131">
        <v>536247.08000000007</v>
      </c>
      <c r="J43" s="131">
        <f>H43-I43</f>
        <v>-502124.99000000022</v>
      </c>
      <c r="K43" s="133">
        <f>SUM(D43:G43)-J43</f>
        <v>0</v>
      </c>
      <c r="N43" s="124"/>
      <c r="O43" s="124"/>
      <c r="P43" s="124"/>
      <c r="Q43" s="124"/>
      <c r="R43" s="125"/>
    </row>
    <row r="44" spans="2:18" s="95" customFormat="1">
      <c r="B44" s="126"/>
      <c r="C44" s="113" t="s">
        <v>164</v>
      </c>
      <c r="D44" s="95">
        <v>200037</v>
      </c>
      <c r="H44" s="124"/>
      <c r="I44" s="124"/>
      <c r="J44" s="124"/>
      <c r="K44" s="673"/>
    </row>
    <row r="45" spans="2:18" s="95" customFormat="1">
      <c r="C45" s="113" t="s">
        <v>148</v>
      </c>
      <c r="D45" s="124"/>
      <c r="E45" s="124"/>
      <c r="F45" s="124"/>
      <c r="G45" s="124">
        <v>-7905.9699999999939</v>
      </c>
      <c r="H45" s="124"/>
      <c r="I45" s="124"/>
      <c r="J45" s="124"/>
      <c r="K45" s="124"/>
      <c r="N45" s="124"/>
      <c r="O45" s="124"/>
      <c r="P45" s="124"/>
      <c r="Q45" s="124"/>
      <c r="R45" s="125"/>
    </row>
    <row r="46" spans="2:18" s="95" customFormat="1">
      <c r="B46" s="126"/>
      <c r="C46" s="113" t="s">
        <v>375</v>
      </c>
      <c r="D46" s="124"/>
      <c r="E46" s="124"/>
      <c r="F46" s="124"/>
      <c r="G46" s="124"/>
      <c r="H46" s="124"/>
      <c r="I46" s="124"/>
      <c r="J46" s="124"/>
      <c r="K46" s="124"/>
      <c r="N46" s="124"/>
      <c r="O46" s="124"/>
      <c r="P46" s="124"/>
      <c r="Q46" s="124"/>
      <c r="R46" s="125"/>
    </row>
    <row r="47" spans="2:18" s="95" customFormat="1">
      <c r="B47" s="132">
        <v>44926</v>
      </c>
      <c r="C47" s="133"/>
      <c r="D47" s="133">
        <f>SUM(D43:D46)</f>
        <v>990540</v>
      </c>
      <c r="E47" s="133">
        <f>SUM(E43:E46)</f>
        <v>0</v>
      </c>
      <c r="F47" s="133">
        <f>SUM(F43:F46)</f>
        <v>0</v>
      </c>
      <c r="G47" s="133">
        <f>SUM(G43:G46)</f>
        <v>-1300533.9600000002</v>
      </c>
      <c r="H47" s="131">
        <v>61562.573431999757</v>
      </c>
      <c r="I47" s="131">
        <v>371556.52999999997</v>
      </c>
      <c r="J47" s="131">
        <f>H47-I47</f>
        <v>-309993.9565680002</v>
      </c>
      <c r="K47" s="133">
        <f>SUM(D47:G47)-J47</f>
        <v>-3.4319999977014959E-3</v>
      </c>
      <c r="N47" s="124"/>
      <c r="O47" s="124"/>
      <c r="P47" s="124"/>
      <c r="Q47" s="124"/>
      <c r="R47" s="125"/>
    </row>
    <row r="48" spans="2:18" s="95" customFormat="1">
      <c r="B48" s="126"/>
      <c r="C48" s="113" t="s">
        <v>164</v>
      </c>
      <c r="D48" s="95">
        <v>143564</v>
      </c>
      <c r="H48" s="124"/>
      <c r="I48" s="124"/>
      <c r="J48" s="124"/>
      <c r="K48" s="673"/>
    </row>
    <row r="49" spans="2:18" s="95" customFormat="1">
      <c r="C49" s="113" t="s">
        <v>148</v>
      </c>
      <c r="D49" s="124"/>
      <c r="E49" s="124"/>
      <c r="F49" s="124"/>
      <c r="G49" s="124">
        <v>-61.419999999998822</v>
      </c>
      <c r="H49" s="124"/>
      <c r="I49" s="124"/>
      <c r="J49" s="124"/>
      <c r="K49" s="124"/>
      <c r="N49" s="124"/>
      <c r="O49" s="124"/>
      <c r="P49" s="124"/>
      <c r="Q49" s="124"/>
      <c r="R49" s="125"/>
    </row>
    <row r="50" spans="2:18" s="95" customFormat="1">
      <c r="B50" s="126"/>
      <c r="C50" s="113" t="s">
        <v>375</v>
      </c>
      <c r="D50" s="124"/>
      <c r="E50" s="124"/>
      <c r="F50" s="124"/>
      <c r="G50" s="124"/>
      <c r="H50" s="124"/>
      <c r="I50" s="124"/>
      <c r="J50" s="124"/>
      <c r="K50" s="124"/>
      <c r="N50" s="124"/>
      <c r="O50" s="124"/>
      <c r="P50" s="124"/>
      <c r="Q50" s="124"/>
      <c r="R50" s="125"/>
    </row>
    <row r="51" spans="2:18" s="95" customFormat="1">
      <c r="B51" s="132">
        <v>45291</v>
      </c>
      <c r="C51" s="133"/>
      <c r="D51" s="133">
        <f>SUM(D47:D50)</f>
        <v>1134104</v>
      </c>
      <c r="E51" s="133">
        <f>SUM(E47:E50)</f>
        <v>0</v>
      </c>
      <c r="F51" s="133">
        <f>SUM(F47:F50)</f>
        <v>0</v>
      </c>
      <c r="G51" s="133">
        <f>SUM(G47:G50)</f>
        <v>-1300595.3800000001</v>
      </c>
      <c r="H51" s="131">
        <v>125617.52999999982</v>
      </c>
      <c r="I51" s="131">
        <v>292108.90999999997</v>
      </c>
      <c r="J51" s="131">
        <f>H51-I51</f>
        <v>-166491.38000000015</v>
      </c>
      <c r="K51" s="133">
        <f>SUM(D51:G51)-J51</f>
        <v>0</v>
      </c>
      <c r="N51" s="124"/>
      <c r="O51" s="124"/>
      <c r="P51" s="124"/>
      <c r="Q51" s="124"/>
      <c r="R51" s="125"/>
    </row>
    <row r="52" spans="2:18" s="95" customFormat="1">
      <c r="B52" s="126"/>
      <c r="C52" s="113" t="s">
        <v>164</v>
      </c>
      <c r="D52" s="95">
        <v>72643</v>
      </c>
      <c r="H52" s="124"/>
      <c r="I52" s="124"/>
      <c r="J52" s="124"/>
      <c r="K52" s="673"/>
    </row>
    <row r="53" spans="2:18" s="95" customFormat="1">
      <c r="C53" s="113" t="s">
        <v>148</v>
      </c>
      <c r="D53" s="124"/>
      <c r="E53" s="124"/>
      <c r="F53" s="124"/>
      <c r="G53" s="124">
        <v>-7915.0499999999956</v>
      </c>
      <c r="H53" s="124"/>
      <c r="I53" s="124"/>
      <c r="J53" s="124"/>
      <c r="K53" s="124"/>
      <c r="N53" s="124"/>
      <c r="O53" s="124"/>
      <c r="P53" s="124"/>
      <c r="Q53" s="124"/>
      <c r="R53" s="125"/>
    </row>
    <row r="54" spans="2:18" s="95" customFormat="1">
      <c r="B54" s="126"/>
      <c r="C54" s="113" t="s">
        <v>375</v>
      </c>
      <c r="D54" s="124"/>
      <c r="E54" s="124"/>
      <c r="F54" s="124"/>
      <c r="G54" s="124"/>
      <c r="H54" s="124"/>
      <c r="I54" s="124"/>
      <c r="J54" s="124"/>
      <c r="K54" s="124"/>
      <c r="N54" s="124"/>
      <c r="O54" s="124"/>
      <c r="P54" s="124"/>
      <c r="Q54" s="124"/>
      <c r="R54" s="125"/>
    </row>
    <row r="55" spans="2:18" s="95" customFormat="1">
      <c r="B55" s="132">
        <v>45657</v>
      </c>
      <c r="C55" s="133"/>
      <c r="D55" s="133">
        <f>SUM(D51:D54)</f>
        <v>1206747</v>
      </c>
      <c r="E55" s="133">
        <f>SUM(E51:E54)</f>
        <v>0</v>
      </c>
      <c r="F55" s="133">
        <f>SUM(F51:F54)</f>
        <v>0</v>
      </c>
      <c r="G55" s="133">
        <f>SUM(G51:G54)</f>
        <v>-1308510.4300000002</v>
      </c>
      <c r="H55" s="131">
        <v>70509.320000000007</v>
      </c>
      <c r="I55" s="131">
        <v>172272.75</v>
      </c>
      <c r="J55" s="131">
        <f>H55-I55</f>
        <v>-101763.43</v>
      </c>
      <c r="K55" s="133">
        <f>SUM(D55:G55)-J55</f>
        <v>-1.7462298274040222E-10</v>
      </c>
      <c r="N55" s="124"/>
      <c r="O55" s="124"/>
      <c r="P55" s="124"/>
      <c r="Q55" s="124"/>
      <c r="R55" s="125"/>
    </row>
    <row r="56" spans="2:18" s="95" customFormat="1">
      <c r="C56" s="113" t="s">
        <v>148</v>
      </c>
      <c r="D56" s="124"/>
      <c r="E56" s="124"/>
      <c r="F56" s="124"/>
      <c r="G56" s="124">
        <v>-109857.11</v>
      </c>
      <c r="H56" s="124"/>
      <c r="I56" s="124"/>
      <c r="J56" s="124"/>
      <c r="K56" s="124"/>
      <c r="N56" s="124"/>
      <c r="O56" s="124"/>
      <c r="P56" s="124"/>
      <c r="Q56" s="124"/>
      <c r="R56" s="125"/>
    </row>
    <row r="57" spans="2:18" s="95" customFormat="1">
      <c r="C57" s="113" t="s">
        <v>164</v>
      </c>
      <c r="D57" s="124">
        <v>141730</v>
      </c>
      <c r="E57" s="124"/>
      <c r="F57" s="124"/>
      <c r="G57" s="124"/>
      <c r="H57" s="124"/>
      <c r="I57" s="124"/>
      <c r="J57" s="124"/>
      <c r="K57" s="124"/>
      <c r="N57" s="124"/>
      <c r="O57" s="124"/>
      <c r="P57" s="124"/>
      <c r="Q57" s="124"/>
      <c r="R57" s="125"/>
    </row>
    <row r="58" spans="2:18" s="95" customFormat="1">
      <c r="B58" s="126"/>
      <c r="C58" s="113" t="s">
        <v>375</v>
      </c>
      <c r="D58" s="124"/>
      <c r="E58" s="124"/>
      <c r="F58" s="124"/>
      <c r="G58" s="124"/>
      <c r="H58" s="124"/>
      <c r="I58" s="124"/>
      <c r="J58" s="124"/>
      <c r="K58" s="124"/>
      <c r="N58" s="124"/>
      <c r="O58" s="124"/>
      <c r="P58" s="124"/>
      <c r="Q58" s="124"/>
      <c r="R58" s="125"/>
    </row>
    <row r="59" spans="2:18" s="95" customFormat="1">
      <c r="B59" s="132">
        <f>B24</f>
        <v>46022</v>
      </c>
      <c r="C59" s="133"/>
      <c r="D59" s="133">
        <f>SUM(D55:D58)</f>
        <v>1348477</v>
      </c>
      <c r="E59" s="133">
        <f>SUM(E55:E58)</f>
        <v>0</v>
      </c>
      <c r="F59" s="133">
        <f>SUM(F55:F58)</f>
        <v>0</v>
      </c>
      <c r="G59" s="133">
        <f>SUM(G55:G58)</f>
        <v>-1418367.5400000003</v>
      </c>
      <c r="H59" s="131">
        <v>180382.21000000008</v>
      </c>
      <c r="I59" s="131">
        <v>250272.75</v>
      </c>
      <c r="J59" s="131">
        <f>H59-I59</f>
        <v>-69890.539999999921</v>
      </c>
      <c r="K59" s="133">
        <f>SUM(D59:G59)-J59</f>
        <v>-3.4924596548080444E-10</v>
      </c>
      <c r="N59" s="124"/>
      <c r="O59" s="124"/>
      <c r="P59" s="124"/>
      <c r="Q59" s="124"/>
      <c r="R59" s="125"/>
    </row>
    <row r="60" spans="2:18" s="95" customFormat="1">
      <c r="C60" s="113" t="s">
        <v>148</v>
      </c>
      <c r="D60" s="124"/>
      <c r="E60" s="124"/>
      <c r="F60" s="124"/>
      <c r="G60" s="124">
        <f>상해_PL!G84</f>
        <v>79967.25</v>
      </c>
      <c r="H60" s="124"/>
      <c r="I60" s="124"/>
      <c r="J60" s="124"/>
      <c r="K60" s="124"/>
      <c r="N60" s="124"/>
      <c r="O60" s="124"/>
      <c r="P60" s="124"/>
      <c r="Q60" s="124"/>
      <c r="R60" s="125"/>
    </row>
    <row r="61" spans="2:18" s="95" customFormat="1">
      <c r="C61" s="113" t="s">
        <v>164</v>
      </c>
      <c r="D61" s="124">
        <v>0</v>
      </c>
      <c r="E61" s="124"/>
      <c r="F61" s="124"/>
      <c r="G61" s="124"/>
      <c r="H61" s="124"/>
      <c r="I61" s="124"/>
      <c r="J61" s="124"/>
      <c r="K61" s="124"/>
      <c r="N61" s="124"/>
      <c r="O61" s="124"/>
      <c r="P61" s="124"/>
      <c r="Q61" s="124"/>
      <c r="R61" s="125"/>
    </row>
    <row r="62" spans="2:18" s="95" customFormat="1">
      <c r="B62" s="126"/>
      <c r="C62" s="113" t="s">
        <v>375</v>
      </c>
      <c r="D62" s="124"/>
      <c r="E62" s="124"/>
      <c r="F62" s="124"/>
      <c r="G62" s="124"/>
      <c r="H62" s="124"/>
      <c r="I62" s="124"/>
      <c r="J62" s="124"/>
      <c r="K62" s="124"/>
      <c r="N62" s="124"/>
      <c r="O62" s="124"/>
      <c r="P62" s="124"/>
      <c r="Q62" s="124"/>
      <c r="R62" s="125"/>
    </row>
    <row r="63" spans="2:18" s="95" customFormat="1">
      <c r="B63" s="132">
        <f>B25</f>
        <v>46203</v>
      </c>
      <c r="C63" s="133"/>
      <c r="D63" s="133">
        <f>SUM(D59:D62)</f>
        <v>1348477</v>
      </c>
      <c r="E63" s="133">
        <f>SUM(E59:E62)</f>
        <v>0</v>
      </c>
      <c r="F63" s="133">
        <f>SUM(F59:F62)</f>
        <v>0</v>
      </c>
      <c r="G63" s="133">
        <f>SUM(G59:G62)</f>
        <v>-1338400.2900000003</v>
      </c>
      <c r="H63" s="131">
        <f>상해_BS!G5</f>
        <v>10076.709999999999</v>
      </c>
      <c r="I63" s="131">
        <f>상해_BS!G75</f>
        <v>0</v>
      </c>
      <c r="J63" s="131">
        <f>H63-I63</f>
        <v>10076.709999999999</v>
      </c>
      <c r="K63" s="133">
        <f>SUM(D63:G63)-J63</f>
        <v>-2.6921043172478676E-10</v>
      </c>
      <c r="N63" s="124"/>
      <c r="O63" s="124"/>
      <c r="P63" s="124"/>
      <c r="Q63" s="124"/>
      <c r="R63" s="125"/>
    </row>
    <row r="64" spans="2:18" s="95" customFormat="1">
      <c r="B64" s="123"/>
      <c r="C64" s="124"/>
      <c r="D64" s="124"/>
      <c r="E64" s="124"/>
      <c r="F64" s="124"/>
      <c r="G64" s="124"/>
      <c r="H64" s="124"/>
      <c r="I64" s="124"/>
      <c r="J64" s="124"/>
      <c r="K64" s="124"/>
      <c r="N64" s="124"/>
      <c r="O64" s="124"/>
      <c r="P64" s="124"/>
      <c r="Q64" s="124"/>
      <c r="R64" s="125"/>
    </row>
    <row r="65" spans="2:18" s="95" customFormat="1">
      <c r="B65" s="123"/>
      <c r="C65" s="124"/>
      <c r="D65" s="124"/>
      <c r="E65" s="124"/>
      <c r="F65" s="124"/>
      <c r="G65" s="124"/>
      <c r="H65" s="124"/>
      <c r="I65" s="124"/>
      <c r="J65" s="124"/>
      <c r="K65" s="124"/>
      <c r="N65" s="124"/>
      <c r="O65" s="124"/>
      <c r="P65" s="124"/>
      <c r="Q65" s="124"/>
      <c r="R65" s="125"/>
    </row>
    <row r="66" spans="2:18" s="95" customFormat="1">
      <c r="B66" s="123"/>
      <c r="C66" s="124"/>
      <c r="D66" s="124"/>
      <c r="E66" s="124"/>
      <c r="F66" s="124"/>
      <c r="G66" s="124"/>
      <c r="H66" s="124"/>
      <c r="I66" s="124"/>
      <c r="J66" s="124"/>
      <c r="K66" s="124"/>
      <c r="N66" s="124"/>
      <c r="O66" s="124"/>
      <c r="P66" s="124"/>
      <c r="Q66" s="124"/>
      <c r="R66" s="125"/>
    </row>
    <row r="67" spans="2:18" s="95" customFormat="1">
      <c r="B67" s="136" t="s">
        <v>437</v>
      </c>
      <c r="C67" s="124"/>
      <c r="D67" s="124"/>
      <c r="E67" s="124"/>
      <c r="F67" s="124"/>
      <c r="G67" s="124"/>
      <c r="H67" s="124"/>
      <c r="I67" s="124"/>
      <c r="J67" s="124"/>
      <c r="K67" s="124"/>
      <c r="N67" s="124"/>
      <c r="O67" s="124"/>
      <c r="P67" s="124"/>
      <c r="Q67" s="124"/>
      <c r="R67" s="125"/>
    </row>
    <row r="68" spans="2:18" s="95" customFormat="1" ht="27.75" thickBot="1">
      <c r="B68" s="128" t="s">
        <v>410</v>
      </c>
      <c r="C68" s="128" t="s">
        <v>439</v>
      </c>
      <c r="D68" s="128" t="s">
        <v>440</v>
      </c>
      <c r="E68" s="128" t="s">
        <v>441</v>
      </c>
      <c r="F68" s="128" t="s">
        <v>445</v>
      </c>
      <c r="G68" s="147" t="s">
        <v>443</v>
      </c>
      <c r="H68" s="128" t="s">
        <v>93</v>
      </c>
      <c r="I68" s="128" t="s">
        <v>438</v>
      </c>
      <c r="J68" s="129" t="s">
        <v>425</v>
      </c>
      <c r="K68" s="129" t="s">
        <v>241</v>
      </c>
      <c r="N68" s="124"/>
      <c r="O68" s="124"/>
      <c r="P68" s="124"/>
      <c r="Q68" s="124"/>
      <c r="R68" s="125"/>
    </row>
    <row r="69" spans="2:18" s="95" customFormat="1">
      <c r="B69" s="126">
        <v>43830</v>
      </c>
      <c r="C69" s="124">
        <f>ROUND(H35*VLOOKUP(B69,$B$18:$D$24,3,0),)</f>
        <v>3721891</v>
      </c>
      <c r="D69" s="124">
        <f>ROUND(I35*VLOOKUP(B69,$B$18:$D$24,3,0),)</f>
        <v>1654831</v>
      </c>
      <c r="E69" s="124">
        <f>C69-D69</f>
        <v>2067060</v>
      </c>
      <c r="F69" s="124">
        <f>D85+E85</f>
        <v>35040000</v>
      </c>
      <c r="G69" s="124">
        <f>G82</f>
        <v>0</v>
      </c>
      <c r="H69" s="124">
        <f>ROUND(G33*VLOOKUP(B69,$B$18:$D$27,2,0),)</f>
        <v>-32665629</v>
      </c>
      <c r="I69" s="124">
        <f>SUM(F69:H69)</f>
        <v>2374371</v>
      </c>
      <c r="J69" s="124">
        <f>E69-I69</f>
        <v>-307311</v>
      </c>
      <c r="K69" s="111">
        <f>C69-D69-(I69+J69)</f>
        <v>0</v>
      </c>
      <c r="L69" s="124"/>
      <c r="M69" s="124"/>
      <c r="N69" s="124"/>
      <c r="O69" s="124"/>
      <c r="P69" s="124"/>
      <c r="Q69" s="124"/>
      <c r="R69" s="125"/>
    </row>
    <row r="70" spans="2:18" s="95" customFormat="1">
      <c r="B70" s="126">
        <v>44196</v>
      </c>
      <c r="C70" s="124">
        <f>ROUND(H39*VLOOKUP(B70,$B$18:$D$24,3,0),)</f>
        <v>19872971</v>
      </c>
      <c r="D70" s="124">
        <f>ROUND(I39*VLOOKUP(B70,$B$18:$D$24,3,0),)</f>
        <v>13904297</v>
      </c>
      <c r="E70" s="124">
        <f>C70-D70</f>
        <v>5968674</v>
      </c>
      <c r="F70" s="124">
        <f>D89+E89</f>
        <v>102171428</v>
      </c>
      <c r="G70" s="124">
        <f>G85</f>
        <v>-32665629</v>
      </c>
      <c r="H70" s="124">
        <f>ROUND(G37*VLOOKUP(B70,$B$18:$D$27,2,0),)</f>
        <v>-62780042</v>
      </c>
      <c r="I70" s="124">
        <f>SUM(F70:H70)</f>
        <v>6725757</v>
      </c>
      <c r="J70" s="124">
        <f>E70-I70</f>
        <v>-757083</v>
      </c>
      <c r="K70" s="111">
        <f>C70-D70-(I70+J70)</f>
        <v>0</v>
      </c>
      <c r="L70" s="124"/>
      <c r="M70" s="124"/>
      <c r="N70" s="124"/>
      <c r="O70" s="124"/>
      <c r="P70" s="124"/>
      <c r="Q70" s="124"/>
      <c r="R70" s="125"/>
    </row>
    <row r="71" spans="2:18" s="95" customFormat="1">
      <c r="B71" s="126">
        <v>44561</v>
      </c>
      <c r="C71" s="124">
        <f>ROUND(H43*VLOOKUP(B71,$B$18:$D$24,3,0),)</f>
        <v>6355580</v>
      </c>
      <c r="D71" s="124">
        <f>ROUND(I43*VLOOKUP(B71,$B$18:$D$24,3,0),)</f>
        <v>99881381</v>
      </c>
      <c r="E71" s="124">
        <f>C71-D71</f>
        <v>-93525801</v>
      </c>
      <c r="F71" s="124">
        <f>D93+E93</f>
        <v>135290992</v>
      </c>
      <c r="G71" s="124">
        <f>G89</f>
        <v>-95445671</v>
      </c>
      <c r="H71" s="124">
        <f>ROUND(G41*VLOOKUP(B71,$B$18:$D$27,2,0),)</f>
        <v>-129784034</v>
      </c>
      <c r="I71" s="124">
        <f>SUM(F71:H71)</f>
        <v>-89938713</v>
      </c>
      <c r="J71" s="124">
        <f>E71-I71</f>
        <v>-3587088</v>
      </c>
      <c r="K71" s="111">
        <f>C71-D71-(I71+J71)</f>
        <v>0</v>
      </c>
      <c r="L71" s="124"/>
      <c r="M71" s="124"/>
      <c r="N71" s="124"/>
      <c r="O71" s="124"/>
      <c r="P71" s="124"/>
      <c r="Q71" s="124"/>
      <c r="R71" s="125"/>
    </row>
    <row r="72" spans="2:18" s="95" customFormat="1">
      <c r="B72" s="126">
        <v>44926</v>
      </c>
      <c r="C72" s="124">
        <f>ROUND(H47*VLOOKUP(B72,$B$18:$D$24,3,0),)</f>
        <v>11169913</v>
      </c>
      <c r="D72" s="124">
        <f>ROUND(I47*VLOOKUP(B72,$B$18:$D$24,3,0),)</f>
        <v>67415217</v>
      </c>
      <c r="E72" s="124">
        <f t="shared" ref="E72:E75" si="1">C72-D72</f>
        <v>-56245304</v>
      </c>
      <c r="F72" s="124">
        <f>D97+E97</f>
        <v>171764800</v>
      </c>
      <c r="G72" s="124">
        <f>G93</f>
        <v>-225229705</v>
      </c>
      <c r="H72" s="124">
        <f>ROUND(G45*VLOOKUP(B72,$B$18:$D$27,2,0),)</f>
        <v>-1514547</v>
      </c>
      <c r="I72" s="124">
        <f t="shared" ref="I72:I75" si="2">SUM(F72:H72)</f>
        <v>-54979452</v>
      </c>
      <c r="J72" s="124">
        <f t="shared" ref="J72:J75" si="3">E72-I72</f>
        <v>-1265852</v>
      </c>
      <c r="K72" s="111">
        <f t="shared" ref="K72:K75" si="4">C72-D72-(I72+J72)</f>
        <v>0</v>
      </c>
      <c r="L72" s="124"/>
      <c r="M72" s="124"/>
      <c r="N72" s="124"/>
      <c r="O72" s="124"/>
      <c r="P72" s="124"/>
      <c r="Q72" s="124"/>
      <c r="R72" s="125"/>
    </row>
    <row r="73" spans="2:18" s="95" customFormat="1">
      <c r="B73" s="126">
        <v>45291</v>
      </c>
      <c r="C73" s="124">
        <f>ROUND(H51*VLOOKUP(B73,$B$18:$D$24,3,0),)</f>
        <v>22716674</v>
      </c>
      <c r="D73" s="124">
        <f>ROUND(I51*VLOOKUP(B73,$B$18:$D$24,3,0),)</f>
        <v>52824975</v>
      </c>
      <c r="E73" s="124">
        <f t="shared" si="1"/>
        <v>-30108301</v>
      </c>
      <c r="F73" s="124">
        <f>D101+E101</f>
        <v>198841998</v>
      </c>
      <c r="G73" s="124">
        <f>G97</f>
        <v>-226744252</v>
      </c>
      <c r="H73" s="124">
        <f>ROUND(G49*VLOOKUP(B73,$B$18:$D$27,2,0),)</f>
        <v>-11315</v>
      </c>
      <c r="I73" s="124">
        <f t="shared" si="2"/>
        <v>-27913569</v>
      </c>
      <c r="J73" s="124">
        <f t="shared" si="3"/>
        <v>-2194732</v>
      </c>
      <c r="K73" s="111">
        <f t="shared" si="4"/>
        <v>0</v>
      </c>
      <c r="L73" s="124"/>
      <c r="M73" s="124"/>
      <c r="N73" s="124"/>
      <c r="O73" s="124"/>
      <c r="P73" s="124"/>
      <c r="Q73" s="124"/>
      <c r="R73" s="125"/>
    </row>
    <row r="74" spans="2:18" s="95" customFormat="1">
      <c r="B74" s="126">
        <v>45657</v>
      </c>
      <c r="C74" s="124">
        <f>ROUND(H55*VLOOKUP(B74,$B$18:$D$24,3,0),)</f>
        <v>14191411</v>
      </c>
      <c r="D74" s="124">
        <f>ROUND(I55*VLOOKUP(B74,$B$18:$D$24,3,0),)</f>
        <v>34673336</v>
      </c>
      <c r="E74" s="124">
        <f t="shared" si="1"/>
        <v>-20481925</v>
      </c>
      <c r="F74" s="124">
        <f>D105+E105</f>
        <v>212641998</v>
      </c>
      <c r="G74" s="124">
        <f>G101</f>
        <v>-226755567</v>
      </c>
      <c r="H74" s="124">
        <f>ROUND(G53*VLOOKUP(B74,$B$18:$D$27,2,0),)</f>
        <v>-1497527</v>
      </c>
      <c r="I74" s="124">
        <f t="shared" si="2"/>
        <v>-15611096</v>
      </c>
      <c r="J74" s="124">
        <f t="shared" si="3"/>
        <v>-4870829</v>
      </c>
      <c r="K74" s="111">
        <f t="shared" si="4"/>
        <v>0</v>
      </c>
      <c r="L74" s="124"/>
      <c r="M74" s="124"/>
      <c r="N74" s="124"/>
      <c r="O74" s="124"/>
      <c r="P74" s="124"/>
      <c r="Q74" s="124"/>
      <c r="R74" s="125"/>
    </row>
    <row r="75" spans="2:18" s="95" customFormat="1">
      <c r="B75" s="126">
        <f>B59</f>
        <v>46022</v>
      </c>
      <c r="C75" s="124">
        <f>ROUND(H59*VLOOKUP(B75,$B$18:$D$24,3,0),)</f>
        <v>36935061</v>
      </c>
      <c r="D75" s="124">
        <f>ROUND(I59*VLOOKUP(B75,$B$18:$D$24,3,0),)</f>
        <v>51245848</v>
      </c>
      <c r="E75" s="124">
        <f t="shared" si="1"/>
        <v>-14310787</v>
      </c>
      <c r="F75" s="124">
        <f>D109+E109</f>
        <v>241041998</v>
      </c>
      <c r="G75" s="124">
        <f>G105</f>
        <v>-228253094</v>
      </c>
      <c r="H75" s="124">
        <f>ROUND(G56*VLOOKUP(B75,$B$18:$D$27,2,0),)</f>
        <v>-21727539</v>
      </c>
      <c r="I75" s="124">
        <f t="shared" si="2"/>
        <v>-8938635</v>
      </c>
      <c r="J75" s="124">
        <f t="shared" si="3"/>
        <v>-5372152</v>
      </c>
      <c r="K75" s="111">
        <f t="shared" si="4"/>
        <v>0</v>
      </c>
      <c r="L75" s="124"/>
      <c r="M75" s="124"/>
      <c r="N75" s="124"/>
      <c r="O75" s="124"/>
      <c r="P75" s="124"/>
      <c r="Q75" s="124"/>
      <c r="R75" s="125"/>
    </row>
    <row r="76" spans="2:18" s="95" customFormat="1">
      <c r="B76" s="126">
        <f>B63</f>
        <v>46203</v>
      </c>
      <c r="C76" s="124">
        <f>ROUND(H63*VLOOKUP(B76,$B$18:$D$26,3,0),)</f>
        <v>2287111</v>
      </c>
      <c r="D76" s="124">
        <f>ROUND(I63*VLOOKUP(B76,$B$18:$D$26,3,0),)</f>
        <v>0</v>
      </c>
      <c r="E76" s="124">
        <f t="shared" ref="E76" si="5">C76-D76</f>
        <v>2287111</v>
      </c>
      <c r="F76" s="124">
        <f>D113+E113</f>
        <v>241041998</v>
      </c>
      <c r="G76" s="124">
        <f>G109</f>
        <v>-249980633</v>
      </c>
      <c r="H76" s="124">
        <f>ROUND(G60*VLOOKUP(B76,$B$18:$D$27,2,0),)</f>
        <v>17291318</v>
      </c>
      <c r="I76" s="124">
        <f t="shared" ref="I76" si="6">SUM(F76:H76)</f>
        <v>8352683</v>
      </c>
      <c r="J76" s="124">
        <f t="shared" ref="J76" si="7">E76-I76</f>
        <v>-6065572</v>
      </c>
      <c r="K76" s="111">
        <f t="shared" ref="K76" si="8">C76-D76-(I76+J76)</f>
        <v>0</v>
      </c>
      <c r="L76" s="124"/>
      <c r="M76" s="124"/>
      <c r="N76" s="124"/>
      <c r="O76" s="124"/>
      <c r="P76" s="124"/>
      <c r="Q76" s="124"/>
      <c r="R76" s="125"/>
    </row>
    <row r="77" spans="2:18" s="95" customFormat="1">
      <c r="B77" s="126"/>
      <c r="C77" s="124"/>
      <c r="D77" s="124"/>
      <c r="E77" s="124"/>
      <c r="F77" s="124"/>
      <c r="G77" s="124"/>
      <c r="H77" s="124"/>
      <c r="I77" s="124"/>
      <c r="J77" s="124"/>
      <c r="K77" s="111"/>
      <c r="L77" s="124"/>
      <c r="M77" s="124"/>
      <c r="N77" s="124"/>
      <c r="O77" s="124"/>
      <c r="P77" s="124"/>
      <c r="Q77" s="124"/>
      <c r="R77" s="125"/>
    </row>
    <row r="78" spans="2:18" s="95" customFormat="1">
      <c r="B78" s="126"/>
      <c r="C78" s="124"/>
      <c r="D78" s="124"/>
      <c r="E78" s="124"/>
      <c r="F78" s="124"/>
      <c r="G78" s="124"/>
      <c r="H78" s="124"/>
      <c r="I78" s="124"/>
      <c r="J78" s="124"/>
      <c r="K78" s="111"/>
      <c r="L78" s="124"/>
      <c r="M78" s="124"/>
      <c r="N78" s="124"/>
      <c r="O78" s="124"/>
      <c r="P78" s="124"/>
      <c r="Q78" s="124"/>
      <c r="R78" s="125"/>
    </row>
    <row r="79" spans="2:18" s="95" customFormat="1">
      <c r="B79" s="123"/>
      <c r="C79" s="124"/>
      <c r="D79" s="124"/>
      <c r="E79" s="124"/>
      <c r="F79" s="124"/>
      <c r="G79" s="124"/>
      <c r="H79" s="124"/>
      <c r="I79" s="124"/>
      <c r="J79" s="124"/>
      <c r="K79" s="124"/>
      <c r="L79" s="124"/>
      <c r="M79" s="124"/>
      <c r="N79" s="124"/>
      <c r="O79" s="124"/>
      <c r="P79" s="124"/>
      <c r="Q79" s="124"/>
      <c r="R79" s="125"/>
    </row>
    <row r="80" spans="2:18" s="95" customFormat="1">
      <c r="B80" s="136" t="s">
        <v>442</v>
      </c>
      <c r="C80" s="124"/>
      <c r="D80" s="124"/>
      <c r="E80" s="124"/>
      <c r="F80" s="124"/>
      <c r="G80" s="124"/>
      <c r="H80" s="124"/>
      <c r="I80" s="124"/>
      <c r="J80" s="124"/>
      <c r="K80" s="124"/>
      <c r="L80" s="124"/>
      <c r="M80" s="124"/>
      <c r="N80" s="124"/>
      <c r="O80" s="124"/>
      <c r="P80" s="124"/>
      <c r="Q80" s="124"/>
      <c r="R80" s="125"/>
    </row>
    <row r="81" spans="2:18" s="95" customFormat="1" ht="14.25" thickBot="1">
      <c r="B81" s="128" t="s">
        <v>410</v>
      </c>
      <c r="C81" s="128" t="s">
        <v>422</v>
      </c>
      <c r="D81" s="128" t="s">
        <v>141</v>
      </c>
      <c r="E81" s="128" t="s">
        <v>417</v>
      </c>
      <c r="F81" s="128" t="s">
        <v>424</v>
      </c>
      <c r="G81" s="128" t="s">
        <v>73</v>
      </c>
      <c r="H81" s="128" t="s">
        <v>416</v>
      </c>
      <c r="I81" s="128" t="s">
        <v>240</v>
      </c>
      <c r="J81" s="111"/>
      <c r="K81" s="124"/>
      <c r="L81" s="124"/>
      <c r="M81" s="124"/>
      <c r="N81" s="124"/>
      <c r="O81" s="124"/>
      <c r="P81" s="125"/>
    </row>
    <row r="82" spans="2:18" s="95" customFormat="1">
      <c r="B82" s="130" t="s">
        <v>1432</v>
      </c>
      <c r="C82" s="130"/>
      <c r="D82" s="131">
        <v>35040000</v>
      </c>
      <c r="E82" s="131">
        <v>0</v>
      </c>
      <c r="F82" s="131">
        <v>0</v>
      </c>
      <c r="G82" s="131">
        <v>0</v>
      </c>
      <c r="H82" s="131">
        <f>SUM(D82:G82)</f>
        <v>35040000</v>
      </c>
      <c r="I82" s="130"/>
      <c r="J82" s="125"/>
      <c r="K82" s="124"/>
      <c r="L82" s="124"/>
      <c r="M82" s="124"/>
      <c r="N82" s="124"/>
      <c r="O82" s="124"/>
      <c r="P82" s="125"/>
    </row>
    <row r="83" spans="2:18" s="95" customFormat="1">
      <c r="B83" s="113"/>
      <c r="C83" s="113" t="s">
        <v>148</v>
      </c>
      <c r="D83" s="124"/>
      <c r="E83" s="124"/>
      <c r="F83" s="124"/>
      <c r="G83" s="124">
        <f>H69</f>
        <v>-32665629</v>
      </c>
      <c r="H83" s="124"/>
      <c r="I83" s="113"/>
      <c r="J83" s="125"/>
      <c r="K83" s="124"/>
      <c r="L83" s="124"/>
      <c r="M83" s="124"/>
      <c r="N83" s="124"/>
      <c r="O83" s="124"/>
      <c r="P83" s="125"/>
    </row>
    <row r="84" spans="2:18" s="95" customFormat="1">
      <c r="B84" s="113"/>
      <c r="C84" s="113" t="s">
        <v>375</v>
      </c>
      <c r="D84" s="124"/>
      <c r="E84" s="124"/>
      <c r="F84" s="124">
        <f>J69-F82</f>
        <v>-307311</v>
      </c>
      <c r="G84" s="124"/>
      <c r="H84" s="124"/>
      <c r="I84" s="113"/>
      <c r="J84" s="125"/>
      <c r="K84" s="124"/>
      <c r="L84" s="124"/>
      <c r="M84" s="124"/>
      <c r="N84" s="124"/>
      <c r="O84" s="124"/>
      <c r="P84" s="125"/>
    </row>
    <row r="85" spans="2:18" s="95" customFormat="1">
      <c r="B85" s="132">
        <v>43830</v>
      </c>
      <c r="C85" s="133"/>
      <c r="D85" s="133">
        <f>SUM(D82:D84)</f>
        <v>35040000</v>
      </c>
      <c r="E85" s="133">
        <f t="shared" ref="E85:G85" si="9">SUM(E82:E84)</f>
        <v>0</v>
      </c>
      <c r="F85" s="133">
        <f t="shared" si="9"/>
        <v>-307311</v>
      </c>
      <c r="G85" s="133">
        <f t="shared" si="9"/>
        <v>-32665629</v>
      </c>
      <c r="H85" s="131">
        <f>E69</f>
        <v>2067060</v>
      </c>
      <c r="I85" s="133">
        <f>SUM(D85:G85)-SUM(H85)</f>
        <v>0</v>
      </c>
      <c r="K85" s="124"/>
      <c r="L85" s="124"/>
      <c r="M85" s="124"/>
      <c r="N85" s="124"/>
      <c r="O85" s="124"/>
      <c r="P85" s="125"/>
    </row>
    <row r="86" spans="2:18" s="95" customFormat="1">
      <c r="B86" s="126"/>
      <c r="C86" s="113" t="s">
        <v>164</v>
      </c>
      <c r="D86" s="124">
        <v>67131428</v>
      </c>
      <c r="E86" s="124"/>
      <c r="G86" s="124"/>
      <c r="H86" s="124"/>
      <c r="J86" s="125"/>
      <c r="K86" s="124"/>
      <c r="L86" s="124"/>
      <c r="M86" s="124"/>
      <c r="N86" s="124"/>
      <c r="O86" s="124"/>
      <c r="P86" s="125"/>
    </row>
    <row r="87" spans="2:18" s="95" customFormat="1">
      <c r="B87" s="126"/>
      <c r="C87" s="113" t="s">
        <v>148</v>
      </c>
      <c r="D87" s="124"/>
      <c r="E87" s="124"/>
      <c r="G87" s="124">
        <f>H70</f>
        <v>-62780042</v>
      </c>
      <c r="H87" s="124"/>
      <c r="J87" s="125"/>
      <c r="K87" s="124"/>
      <c r="L87" s="124"/>
      <c r="M87" s="124"/>
      <c r="N87" s="124"/>
      <c r="O87" s="124"/>
      <c r="P87" s="125"/>
    </row>
    <row r="88" spans="2:18" s="95" customFormat="1">
      <c r="B88" s="126"/>
      <c r="C88" s="113" t="s">
        <v>375</v>
      </c>
      <c r="D88" s="124"/>
      <c r="E88" s="124"/>
      <c r="F88" s="124">
        <f>J70-F85</f>
        <v>-449772</v>
      </c>
      <c r="G88" s="124"/>
      <c r="H88" s="124"/>
      <c r="J88" s="125"/>
      <c r="K88" s="124"/>
      <c r="L88" s="124"/>
      <c r="M88" s="124"/>
      <c r="N88" s="124"/>
      <c r="O88" s="124"/>
      <c r="P88" s="125"/>
    </row>
    <row r="89" spans="2:18" s="95" customFormat="1">
      <c r="B89" s="132">
        <v>44196</v>
      </c>
      <c r="C89" s="133"/>
      <c r="D89" s="133">
        <f>SUM(D85:D88)</f>
        <v>102171428</v>
      </c>
      <c r="E89" s="133">
        <f>SUM(E85:E88)</f>
        <v>0</v>
      </c>
      <c r="F89" s="133">
        <f>SUM(F85:F88)</f>
        <v>-757083</v>
      </c>
      <c r="G89" s="133">
        <f>SUM(G85:G88)</f>
        <v>-95445671</v>
      </c>
      <c r="H89" s="131">
        <f>E70</f>
        <v>5968674</v>
      </c>
      <c r="I89" s="133">
        <f>SUM(D89:G89)-SUM(H89)</f>
        <v>0</v>
      </c>
      <c r="K89" s="124"/>
      <c r="L89" s="124"/>
      <c r="M89" s="124"/>
      <c r="N89" s="124"/>
      <c r="O89" s="124"/>
      <c r="P89" s="125"/>
    </row>
    <row r="90" spans="2:18" s="95" customFormat="1">
      <c r="C90" s="113" t="s">
        <v>164</v>
      </c>
      <c r="D90" s="124">
        <v>33119564</v>
      </c>
      <c r="E90" s="124"/>
      <c r="F90" s="124"/>
      <c r="G90" s="124"/>
      <c r="H90" s="124"/>
      <c r="I90" s="124"/>
      <c r="J90" s="124"/>
      <c r="K90" s="124"/>
      <c r="L90" s="124"/>
      <c r="M90" s="124"/>
      <c r="N90" s="124"/>
      <c r="O90" s="124"/>
      <c r="P90" s="124"/>
      <c r="Q90" s="124"/>
      <c r="R90" s="125"/>
    </row>
    <row r="91" spans="2:18" s="95" customFormat="1">
      <c r="C91" s="113" t="s">
        <v>148</v>
      </c>
      <c r="D91" s="124"/>
      <c r="E91" s="124"/>
      <c r="F91" s="124"/>
      <c r="G91" s="124">
        <f>H71</f>
        <v>-129784034</v>
      </c>
      <c r="H91" s="124"/>
      <c r="I91" s="124"/>
      <c r="J91" s="124"/>
      <c r="K91" s="124"/>
      <c r="L91" s="124"/>
      <c r="M91" s="124"/>
      <c r="N91" s="124"/>
      <c r="O91" s="124"/>
      <c r="P91" s="124"/>
      <c r="Q91" s="124"/>
      <c r="R91" s="125"/>
    </row>
    <row r="92" spans="2:18" s="95" customFormat="1">
      <c r="B92" s="126"/>
      <c r="C92" s="113" t="s">
        <v>375</v>
      </c>
      <c r="D92" s="124"/>
      <c r="E92" s="124"/>
      <c r="F92" s="124">
        <f>J71-F89</f>
        <v>-2830005</v>
      </c>
      <c r="G92" s="124"/>
      <c r="H92" s="124"/>
      <c r="I92" s="124"/>
      <c r="J92" s="124"/>
      <c r="K92" s="124"/>
      <c r="L92" s="124"/>
      <c r="M92" s="124"/>
      <c r="N92" s="124"/>
      <c r="O92" s="124"/>
      <c r="P92" s="124"/>
      <c r="Q92" s="124"/>
      <c r="R92" s="125"/>
    </row>
    <row r="93" spans="2:18" s="95" customFormat="1">
      <c r="B93" s="132">
        <v>44561</v>
      </c>
      <c r="C93" s="133"/>
      <c r="D93" s="133">
        <f>SUM(D89:D92)</f>
        <v>135290992</v>
      </c>
      <c r="E93" s="133">
        <f>SUM(E89:E92)</f>
        <v>0</v>
      </c>
      <c r="F93" s="133">
        <f>SUM(F89:F92)</f>
        <v>-3587088</v>
      </c>
      <c r="G93" s="133">
        <f>SUM(G89:G92)</f>
        <v>-225229705</v>
      </c>
      <c r="H93" s="131">
        <f>E71</f>
        <v>-93525801</v>
      </c>
      <c r="I93" s="133">
        <f>SUM(D93:G93)-SUM(H93)</f>
        <v>0</v>
      </c>
      <c r="J93" s="124"/>
      <c r="K93" s="124"/>
      <c r="L93" s="124"/>
      <c r="M93" s="124"/>
      <c r="N93" s="124"/>
      <c r="O93" s="124"/>
      <c r="P93" s="124"/>
      <c r="Q93" s="124"/>
      <c r="R93" s="125"/>
    </row>
    <row r="94" spans="2:18" s="95" customFormat="1">
      <c r="C94" s="113" t="s">
        <v>164</v>
      </c>
      <c r="D94" s="124">
        <v>36473808</v>
      </c>
      <c r="E94" s="124"/>
      <c r="F94" s="124"/>
      <c r="G94" s="124"/>
      <c r="H94" s="124"/>
      <c r="I94" s="124"/>
      <c r="J94" s="124"/>
      <c r="K94" s="124"/>
      <c r="L94" s="124"/>
      <c r="M94" s="124"/>
      <c r="N94" s="124"/>
      <c r="O94" s="124"/>
      <c r="P94" s="124"/>
      <c r="Q94" s="124"/>
      <c r="R94" s="125"/>
    </row>
    <row r="95" spans="2:18" s="95" customFormat="1">
      <c r="C95" s="113" t="s">
        <v>148</v>
      </c>
      <c r="D95" s="124"/>
      <c r="E95" s="124"/>
      <c r="F95" s="124"/>
      <c r="G95" s="124">
        <f>H72</f>
        <v>-1514547</v>
      </c>
      <c r="H95" s="124"/>
      <c r="I95" s="124"/>
      <c r="J95" s="124"/>
      <c r="K95" s="124"/>
      <c r="L95" s="124"/>
      <c r="M95" s="124"/>
      <c r="N95" s="124"/>
      <c r="O95" s="124"/>
      <c r="P95" s="124"/>
      <c r="Q95" s="124"/>
      <c r="R95" s="125"/>
    </row>
    <row r="96" spans="2:18" s="95" customFormat="1">
      <c r="B96" s="126"/>
      <c r="C96" s="113" t="s">
        <v>375</v>
      </c>
      <c r="D96" s="124"/>
      <c r="E96" s="124"/>
      <c r="F96" s="124">
        <f>J72-F93</f>
        <v>2321236</v>
      </c>
      <c r="G96" s="124"/>
      <c r="H96" s="124"/>
      <c r="I96" s="124"/>
      <c r="J96" s="124"/>
      <c r="K96" s="124"/>
      <c r="L96" s="124"/>
      <c r="M96" s="124"/>
      <c r="N96" s="124"/>
      <c r="O96" s="124"/>
      <c r="P96" s="124"/>
      <c r="Q96" s="124"/>
      <c r="R96" s="125"/>
    </row>
    <row r="97" spans="2:18" s="95" customFormat="1">
      <c r="B97" s="132">
        <v>44926</v>
      </c>
      <c r="C97" s="133"/>
      <c r="D97" s="133">
        <f>SUM(D93:D96)</f>
        <v>171764800</v>
      </c>
      <c r="E97" s="133">
        <f>SUM(E93:E96)</f>
        <v>0</v>
      </c>
      <c r="F97" s="133">
        <f>SUM(F93:F96)</f>
        <v>-1265852</v>
      </c>
      <c r="G97" s="133">
        <f>SUM(G93:G96)</f>
        <v>-226744252</v>
      </c>
      <c r="H97" s="131">
        <f>E72</f>
        <v>-56245304</v>
      </c>
      <c r="I97" s="133">
        <f>SUM(D97:G97)-SUM(H97)</f>
        <v>0</v>
      </c>
      <c r="J97" s="124"/>
      <c r="K97" s="124"/>
      <c r="L97" s="124"/>
      <c r="M97" s="124"/>
      <c r="N97" s="124"/>
      <c r="O97" s="124"/>
      <c r="P97" s="124"/>
      <c r="Q97" s="124"/>
      <c r="R97" s="125"/>
    </row>
    <row r="98" spans="2:18" s="95" customFormat="1">
      <c r="C98" s="113" t="s">
        <v>164</v>
      </c>
      <c r="D98" s="124">
        <v>27077198</v>
      </c>
      <c r="E98" s="124"/>
      <c r="F98" s="124"/>
      <c r="G98" s="124"/>
      <c r="H98" s="124"/>
      <c r="I98" s="124"/>
      <c r="J98" s="124"/>
      <c r="K98" s="124"/>
      <c r="L98" s="124"/>
      <c r="M98" s="124"/>
      <c r="N98" s="124"/>
      <c r="O98" s="124"/>
      <c r="P98" s="124"/>
      <c r="Q98" s="124"/>
      <c r="R98" s="125"/>
    </row>
    <row r="99" spans="2:18" s="95" customFormat="1">
      <c r="C99" s="113" t="s">
        <v>148</v>
      </c>
      <c r="D99" s="124"/>
      <c r="E99" s="124"/>
      <c r="F99" s="124"/>
      <c r="G99" s="124">
        <f>H73</f>
        <v>-11315</v>
      </c>
      <c r="H99" s="124"/>
      <c r="I99" s="124"/>
      <c r="J99" s="124"/>
      <c r="K99" s="124"/>
      <c r="L99" s="124"/>
      <c r="M99" s="124"/>
      <c r="N99" s="124"/>
      <c r="O99" s="124"/>
      <c r="P99" s="124"/>
      <c r="Q99" s="124"/>
      <c r="R99" s="125"/>
    </row>
    <row r="100" spans="2:18" s="95" customFormat="1">
      <c r="B100" s="126"/>
      <c r="C100" s="113" t="s">
        <v>375</v>
      </c>
      <c r="D100" s="124"/>
      <c r="E100" s="124"/>
      <c r="F100" s="124">
        <f>J73-F97</f>
        <v>-928880</v>
      </c>
      <c r="G100" s="124"/>
      <c r="H100" s="124"/>
      <c r="I100" s="124"/>
      <c r="J100" s="124"/>
      <c r="K100" s="124"/>
      <c r="L100" s="124"/>
      <c r="M100" s="124"/>
      <c r="N100" s="124"/>
      <c r="O100" s="124"/>
      <c r="P100" s="124"/>
      <c r="Q100" s="124"/>
      <c r="R100" s="125"/>
    </row>
    <row r="101" spans="2:18" s="95" customFormat="1">
      <c r="B101" s="132">
        <v>45291</v>
      </c>
      <c r="C101" s="133"/>
      <c r="D101" s="133">
        <f>SUM(D97:D100)</f>
        <v>198841998</v>
      </c>
      <c r="E101" s="133">
        <f>SUM(E97:E100)</f>
        <v>0</v>
      </c>
      <c r="F101" s="133">
        <f>SUM(F97:F100)</f>
        <v>-2194732</v>
      </c>
      <c r="G101" s="133">
        <f>SUM(G97:G100)</f>
        <v>-226755567</v>
      </c>
      <c r="H101" s="131">
        <f>E73</f>
        <v>-30108301</v>
      </c>
      <c r="I101" s="133">
        <f>SUM(D101:G101)-SUM(H101)</f>
        <v>0</v>
      </c>
      <c r="J101" s="124"/>
      <c r="K101" s="124"/>
      <c r="L101" s="124"/>
      <c r="M101" s="124"/>
      <c r="N101" s="124"/>
      <c r="O101" s="124"/>
      <c r="P101" s="124"/>
      <c r="Q101" s="124"/>
      <c r="R101" s="125"/>
    </row>
    <row r="102" spans="2:18" s="95" customFormat="1">
      <c r="C102" s="113" t="s">
        <v>164</v>
      </c>
      <c r="D102" s="124">
        <v>13800000</v>
      </c>
      <c r="E102" s="124"/>
      <c r="F102" s="124"/>
      <c r="G102" s="124"/>
      <c r="H102" s="124"/>
      <c r="I102" s="124"/>
      <c r="J102" s="124"/>
      <c r="K102" s="124"/>
      <c r="L102" s="124"/>
      <c r="M102" s="124"/>
      <c r="N102" s="124"/>
      <c r="O102" s="124"/>
      <c r="P102" s="124"/>
      <c r="Q102" s="124"/>
      <c r="R102" s="125"/>
    </row>
    <row r="103" spans="2:18" s="95" customFormat="1">
      <c r="C103" s="113" t="s">
        <v>148</v>
      </c>
      <c r="D103" s="124"/>
      <c r="E103" s="124"/>
      <c r="F103" s="124"/>
      <c r="G103" s="124">
        <f>H74</f>
        <v>-1497527</v>
      </c>
      <c r="H103" s="124"/>
      <c r="I103" s="124"/>
      <c r="J103" s="124"/>
      <c r="K103" s="124"/>
      <c r="L103" s="124"/>
      <c r="M103" s="124"/>
      <c r="N103" s="124"/>
      <c r="O103" s="124"/>
      <c r="P103" s="124"/>
      <c r="Q103" s="124"/>
      <c r="R103" s="125"/>
    </row>
    <row r="104" spans="2:18" s="95" customFormat="1">
      <c r="B104" s="126"/>
      <c r="C104" s="113" t="s">
        <v>375</v>
      </c>
      <c r="D104" s="124"/>
      <c r="E104" s="124"/>
      <c r="F104" s="124">
        <f>J74-F101</f>
        <v>-2676097</v>
      </c>
      <c r="G104" s="124"/>
      <c r="H104" s="124"/>
      <c r="I104" s="124"/>
      <c r="J104" s="124"/>
      <c r="K104" s="124"/>
      <c r="L104" s="124"/>
      <c r="M104" s="124"/>
      <c r="N104" s="124"/>
      <c r="O104" s="124"/>
      <c r="P104" s="124"/>
      <c r="Q104" s="124"/>
      <c r="R104" s="125"/>
    </row>
    <row r="105" spans="2:18" s="95" customFormat="1">
      <c r="B105" s="132">
        <v>45657</v>
      </c>
      <c r="C105" s="133"/>
      <c r="D105" s="133">
        <f>SUM(D101:D104)</f>
        <v>212641998</v>
      </c>
      <c r="E105" s="133">
        <f>SUM(E101:E104)</f>
        <v>0</v>
      </c>
      <c r="F105" s="133">
        <f>SUM(F101:F104)</f>
        <v>-4870829</v>
      </c>
      <c r="G105" s="133">
        <f>SUM(G101:G104)</f>
        <v>-228253094</v>
      </c>
      <c r="H105" s="131">
        <f>E74</f>
        <v>-20481925</v>
      </c>
      <c r="I105" s="133">
        <f>SUM(D105:G105)-SUM(H105)</f>
        <v>0</v>
      </c>
      <c r="J105" s="124"/>
      <c r="K105" s="124"/>
      <c r="L105" s="124"/>
      <c r="M105" s="124"/>
      <c r="N105" s="124"/>
      <c r="O105" s="124"/>
      <c r="P105" s="124"/>
      <c r="Q105" s="124"/>
      <c r="R105" s="125"/>
    </row>
    <row r="106" spans="2:18" s="95" customFormat="1">
      <c r="C106" s="113" t="s">
        <v>148</v>
      </c>
      <c r="D106" s="124"/>
      <c r="E106" s="124"/>
      <c r="F106" s="124"/>
      <c r="G106" s="124">
        <f>H75</f>
        <v>-21727539</v>
      </c>
      <c r="H106" s="124"/>
      <c r="I106" s="124"/>
      <c r="J106" s="124"/>
      <c r="K106" s="124"/>
      <c r="L106" s="124"/>
      <c r="M106" s="124"/>
      <c r="N106" s="124"/>
      <c r="O106" s="124"/>
      <c r="P106" s="124"/>
      <c r="Q106" s="124"/>
      <c r="R106" s="125"/>
    </row>
    <row r="107" spans="2:18" s="95" customFormat="1">
      <c r="C107" s="113" t="s">
        <v>598</v>
      </c>
      <c r="D107" s="124">
        <v>28400000</v>
      </c>
      <c r="E107" s="124"/>
      <c r="F107" s="124"/>
      <c r="G107" s="124"/>
      <c r="H107" s="124"/>
      <c r="I107" s="124"/>
      <c r="J107" s="124"/>
      <c r="K107" s="124"/>
      <c r="L107" s="124"/>
      <c r="M107" s="124"/>
      <c r="N107" s="124"/>
      <c r="O107" s="124"/>
      <c r="P107" s="124"/>
      <c r="Q107" s="124"/>
      <c r="R107" s="125"/>
    </row>
    <row r="108" spans="2:18" s="95" customFormat="1">
      <c r="B108" s="126"/>
      <c r="C108" s="113" t="s">
        <v>375</v>
      </c>
      <c r="D108" s="124"/>
      <c r="E108" s="124"/>
      <c r="F108" s="124">
        <f>J75-F105</f>
        <v>-501323</v>
      </c>
      <c r="G108" s="124"/>
      <c r="H108" s="124"/>
      <c r="I108" s="124"/>
      <c r="J108" s="124"/>
      <c r="K108" s="124"/>
      <c r="L108" s="124"/>
      <c r="M108" s="124"/>
      <c r="N108" s="124"/>
      <c r="O108" s="124"/>
      <c r="P108" s="124"/>
      <c r="Q108" s="124"/>
      <c r="R108" s="125"/>
    </row>
    <row r="109" spans="2:18" s="95" customFormat="1">
      <c r="B109" s="132">
        <f>B75</f>
        <v>46022</v>
      </c>
      <c r="C109" s="133"/>
      <c r="D109" s="133">
        <f>SUM(D105:D108)</f>
        <v>241041998</v>
      </c>
      <c r="E109" s="133">
        <f>SUM(E105:E108)</f>
        <v>0</v>
      </c>
      <c r="F109" s="133">
        <f>SUM(F105:F108)</f>
        <v>-5372152</v>
      </c>
      <c r="G109" s="133">
        <f>SUM(G105:G108)</f>
        <v>-249980633</v>
      </c>
      <c r="H109" s="131">
        <f>E75</f>
        <v>-14310787</v>
      </c>
      <c r="I109" s="133">
        <f>SUM(D109:G109)-SUM(H109)</f>
        <v>0</v>
      </c>
      <c r="J109" s="124"/>
      <c r="K109" s="124"/>
      <c r="L109" s="124"/>
      <c r="M109" s="124"/>
      <c r="N109" s="124"/>
      <c r="O109" s="124"/>
      <c r="P109" s="124"/>
      <c r="Q109" s="124"/>
      <c r="R109" s="125"/>
    </row>
    <row r="110" spans="2:18" s="95" customFormat="1">
      <c r="C110" s="113" t="s">
        <v>148</v>
      </c>
      <c r="D110" s="124"/>
      <c r="E110" s="124"/>
      <c r="F110" s="124"/>
      <c r="G110" s="124">
        <f>H76</f>
        <v>17291318</v>
      </c>
      <c r="H110" s="124"/>
      <c r="I110" s="124"/>
      <c r="J110" s="124"/>
      <c r="K110" s="124"/>
      <c r="L110" s="124"/>
      <c r="M110" s="124"/>
      <c r="N110" s="124"/>
      <c r="O110" s="124"/>
      <c r="P110" s="124"/>
      <c r="Q110" s="124"/>
      <c r="R110" s="125"/>
    </row>
    <row r="111" spans="2:18" s="95" customFormat="1">
      <c r="C111" s="113" t="s">
        <v>598</v>
      </c>
      <c r="D111" s="124">
        <v>0</v>
      </c>
      <c r="E111" s="124"/>
      <c r="F111" s="124"/>
      <c r="G111" s="124"/>
      <c r="H111" s="124"/>
      <c r="I111" s="124"/>
      <c r="J111" s="124"/>
      <c r="K111" s="124"/>
      <c r="L111" s="124"/>
      <c r="M111" s="124"/>
      <c r="N111" s="124"/>
      <c r="O111" s="124"/>
      <c r="P111" s="124"/>
      <c r="Q111" s="124"/>
      <c r="R111" s="125"/>
    </row>
    <row r="112" spans="2:18" s="95" customFormat="1">
      <c r="B112" s="126"/>
      <c r="C112" s="113" t="s">
        <v>375</v>
      </c>
      <c r="D112" s="124"/>
      <c r="E112" s="124"/>
      <c r="F112" s="124">
        <f>J76-F109</f>
        <v>-693420</v>
      </c>
      <c r="G112" s="124"/>
      <c r="H112" s="124"/>
      <c r="I112" s="124"/>
      <c r="J112" s="124"/>
      <c r="K112" s="124"/>
      <c r="L112" s="124"/>
      <c r="M112" s="124"/>
      <c r="N112" s="124"/>
      <c r="O112" s="124"/>
      <c r="P112" s="124"/>
      <c r="Q112" s="124"/>
      <c r="R112" s="125"/>
    </row>
    <row r="113" spans="2:18" s="95" customFormat="1">
      <c r="B113" s="132">
        <f>B79</f>
        <v>0</v>
      </c>
      <c r="C113" s="133"/>
      <c r="D113" s="133">
        <f>SUM(D109:D112)</f>
        <v>241041998</v>
      </c>
      <c r="E113" s="133">
        <f>SUM(E109:E112)</f>
        <v>0</v>
      </c>
      <c r="F113" s="133">
        <f>SUM(F109:F112)</f>
        <v>-6065572</v>
      </c>
      <c r="G113" s="133">
        <f>SUM(G109:G112)</f>
        <v>-232689315</v>
      </c>
      <c r="H113" s="131">
        <f>E76</f>
        <v>2287111</v>
      </c>
      <c r="I113" s="133">
        <f>SUM(D113:G113)-SUM(H113)</f>
        <v>0</v>
      </c>
      <c r="J113" s="124"/>
      <c r="K113" s="124"/>
      <c r="L113" s="124"/>
      <c r="M113" s="124"/>
      <c r="N113" s="124"/>
      <c r="O113" s="124"/>
      <c r="P113" s="124"/>
      <c r="Q113" s="124"/>
      <c r="R113" s="125"/>
    </row>
    <row r="114" spans="2:18" s="95" customFormat="1">
      <c r="C114" s="124"/>
      <c r="D114" s="124">
        <f>D113-BS!L123</f>
        <v>0</v>
      </c>
      <c r="E114" s="124">
        <f>E113-BS!L125</f>
        <v>0</v>
      </c>
      <c r="F114" s="124">
        <f>F113-BS!L135</f>
        <v>0</v>
      </c>
      <c r="G114" s="124">
        <f>G113-BS!L143</f>
        <v>0</v>
      </c>
      <c r="H114" s="124"/>
      <c r="I114" s="124"/>
      <c r="J114" s="124"/>
      <c r="K114" s="124"/>
      <c r="L114" s="124"/>
      <c r="M114" s="124"/>
      <c r="N114" s="124"/>
      <c r="O114" s="124"/>
      <c r="P114" s="124"/>
      <c r="Q114" s="124"/>
      <c r="R114" s="125"/>
    </row>
    <row r="115" spans="2:18" s="95" customFormat="1">
      <c r="C115" s="124"/>
      <c r="D115" s="124"/>
      <c r="E115" s="124"/>
      <c r="F115" s="124"/>
      <c r="G115" s="124"/>
      <c r="H115" s="124"/>
      <c r="I115" s="124"/>
      <c r="J115" s="124"/>
      <c r="K115" s="124"/>
      <c r="L115" s="124"/>
      <c r="M115" s="124"/>
      <c r="N115" s="124"/>
      <c r="O115" s="124"/>
      <c r="P115" s="124"/>
      <c r="Q115" s="124"/>
      <c r="R115" s="125"/>
    </row>
    <row r="116" spans="2:18" s="95" customFormat="1">
      <c r="C116" s="124"/>
      <c r="D116" s="124"/>
      <c r="E116" s="124"/>
      <c r="F116" s="124"/>
      <c r="G116" s="124"/>
      <c r="H116" s="124"/>
      <c r="I116" s="124"/>
      <c r="J116" s="124"/>
      <c r="K116" s="124"/>
      <c r="L116" s="124"/>
      <c r="M116" s="124"/>
      <c r="N116" s="124"/>
      <c r="O116" s="124"/>
      <c r="P116" s="124"/>
      <c r="Q116" s="124"/>
      <c r="R116" s="125"/>
    </row>
    <row r="117" spans="2:18" s="95" customFormat="1">
      <c r="C117" s="124"/>
      <c r="D117" s="124"/>
      <c r="E117" s="124"/>
      <c r="F117" s="124"/>
      <c r="G117" s="124"/>
      <c r="H117" s="124"/>
      <c r="I117" s="124"/>
      <c r="J117" s="124"/>
      <c r="K117" s="124"/>
      <c r="L117" s="124"/>
      <c r="M117" s="124"/>
      <c r="N117" s="124"/>
      <c r="O117" s="124"/>
      <c r="P117" s="124"/>
      <c r="Q117" s="124"/>
      <c r="R117" s="125"/>
    </row>
    <row r="118" spans="2:18" s="95" customFormat="1">
      <c r="B118" s="119" t="s">
        <v>430</v>
      </c>
      <c r="C118" s="124"/>
      <c r="D118" s="124"/>
      <c r="E118" s="124"/>
      <c r="F118" s="124"/>
      <c r="G118" s="124"/>
      <c r="H118" s="124"/>
      <c r="I118" s="124"/>
      <c r="J118" s="124"/>
      <c r="K118" s="124"/>
      <c r="L118" s="124"/>
      <c r="M118" s="124"/>
      <c r="N118" s="124"/>
      <c r="O118" s="124"/>
      <c r="P118" s="124"/>
      <c r="Q118" s="124"/>
      <c r="R118" s="125"/>
    </row>
    <row r="119" spans="2:18" s="95" customFormat="1">
      <c r="R119" s="111"/>
    </row>
    <row r="120" spans="2:18" s="95" customFormat="1">
      <c r="B120" s="139" t="s">
        <v>277</v>
      </c>
      <c r="C120" s="142" t="s">
        <v>431</v>
      </c>
      <c r="D120" s="124"/>
      <c r="E120" s="124"/>
      <c r="F120" s="124"/>
      <c r="G120" s="124"/>
      <c r="H120" s="124"/>
      <c r="I120" s="124"/>
      <c r="J120" s="124"/>
      <c r="R120" s="111"/>
    </row>
    <row r="121" spans="2:18" s="95" customFormat="1" hidden="1" outlineLevel="1">
      <c r="C121" s="95" t="s">
        <v>444</v>
      </c>
      <c r="D121" s="124"/>
      <c r="E121" s="124"/>
      <c r="F121" s="124"/>
      <c r="G121" s="124"/>
      <c r="H121" s="124"/>
      <c r="I121" s="124"/>
    </row>
    <row r="122" spans="2:18" s="95" customFormat="1" hidden="1" outlineLevel="1">
      <c r="D122" s="124"/>
      <c r="E122" s="124"/>
      <c r="F122" s="124"/>
      <c r="G122" s="124"/>
      <c r="H122" s="124"/>
      <c r="I122" s="124"/>
    </row>
    <row r="123" spans="2:18" hidden="1" outlineLevel="1">
      <c r="B123" s="5"/>
      <c r="C123" s="119" t="s">
        <v>432</v>
      </c>
      <c r="D123" s="95"/>
      <c r="E123" s="95"/>
      <c r="F123" s="95"/>
      <c r="G123" s="95"/>
      <c r="H123" s="95"/>
      <c r="I123" s="95"/>
      <c r="R123" s="5"/>
    </row>
    <row r="124" spans="2:18" ht="14.25" hidden="1" outlineLevel="1" thickBot="1">
      <c r="B124" s="5"/>
      <c r="C124" s="95"/>
      <c r="D124" s="1996" t="s">
        <v>146</v>
      </c>
      <c r="E124" s="1996"/>
      <c r="F124" s="114" t="s">
        <v>435</v>
      </c>
      <c r="G124" s="114" t="s">
        <v>434</v>
      </c>
      <c r="H124" s="114" t="s">
        <v>109</v>
      </c>
      <c r="I124" s="95"/>
      <c r="R124" s="5"/>
    </row>
    <row r="125" spans="2:18" hidden="1" outlineLevel="1">
      <c r="B125" s="5"/>
      <c r="C125" s="95"/>
      <c r="D125" s="95" t="s">
        <v>93</v>
      </c>
      <c r="E125" s="95"/>
      <c r="F125" s="95">
        <f>G99</f>
        <v>-11315</v>
      </c>
      <c r="G125" s="95">
        <f>ROUND(F125*$C$13,)</f>
        <v>-11315</v>
      </c>
      <c r="H125" s="95">
        <f>F125-G125</f>
        <v>0</v>
      </c>
      <c r="I125" s="95"/>
      <c r="R125" s="5"/>
    </row>
    <row r="126" spans="2:18" hidden="1" outlineLevel="1">
      <c r="B126" s="5"/>
      <c r="C126" s="95"/>
      <c r="D126" s="95" t="s">
        <v>453</v>
      </c>
      <c r="E126" s="95"/>
      <c r="F126" s="95">
        <v>0</v>
      </c>
      <c r="G126" s="95">
        <f>F126</f>
        <v>0</v>
      </c>
      <c r="H126" s="95">
        <f t="shared" ref="H126:H127" si="10">F126-G126</f>
        <v>0</v>
      </c>
      <c r="I126" s="95"/>
      <c r="R126" s="5"/>
    </row>
    <row r="127" spans="2:18" hidden="1" outlineLevel="1">
      <c r="B127" s="5"/>
      <c r="C127" s="95"/>
      <c r="D127" s="95" t="s">
        <v>454</v>
      </c>
      <c r="E127" s="95"/>
      <c r="F127" s="95">
        <v>0</v>
      </c>
      <c r="G127" s="95">
        <f>F127</f>
        <v>0</v>
      </c>
      <c r="H127" s="95">
        <f t="shared" si="10"/>
        <v>0</v>
      </c>
      <c r="I127" s="95"/>
      <c r="R127" s="5"/>
    </row>
    <row r="128" spans="2:18" hidden="1" outlineLevel="1">
      <c r="B128" s="5"/>
      <c r="C128" s="95"/>
      <c r="D128" s="95" t="s">
        <v>449</v>
      </c>
      <c r="E128" s="95"/>
      <c r="F128" s="95">
        <v>0</v>
      </c>
      <c r="G128" s="95">
        <f>ROUND(F128*$C$13,)</f>
        <v>0</v>
      </c>
      <c r="H128" s="95">
        <f>F128-G128</f>
        <v>0</v>
      </c>
      <c r="I128" s="95"/>
      <c r="R128" s="5"/>
    </row>
    <row r="129" spans="2:18" hidden="1" outlineLevel="1">
      <c r="B129" s="5"/>
      <c r="C129" s="95"/>
      <c r="D129" s="95" t="s">
        <v>450</v>
      </c>
      <c r="E129" s="95"/>
      <c r="F129" s="95">
        <v>0</v>
      </c>
      <c r="G129" s="95">
        <f>ROUND(F129*$C$13,)</f>
        <v>0</v>
      </c>
      <c r="H129" s="95">
        <f>F129-G129</f>
        <v>0</v>
      </c>
      <c r="I129" s="95"/>
      <c r="R129" s="5"/>
    </row>
    <row r="130" spans="2:18" hidden="1" outlineLevel="1">
      <c r="B130" s="5"/>
      <c r="C130" s="95"/>
      <c r="D130" s="144" t="s">
        <v>451</v>
      </c>
      <c r="E130" s="144"/>
      <c r="F130" s="144">
        <f>SUM(F125:F129)</f>
        <v>-11315</v>
      </c>
      <c r="G130" s="144">
        <f>SUM(G125:G129)</f>
        <v>-11315</v>
      </c>
      <c r="H130" s="144">
        <f t="shared" ref="H130" si="11">SUM(H125:H129)</f>
        <v>0</v>
      </c>
      <c r="I130" s="95"/>
      <c r="R130" s="5"/>
    </row>
    <row r="131" spans="2:18" hidden="1" outlineLevel="1">
      <c r="B131" s="5"/>
      <c r="C131" s="95"/>
      <c r="D131" s="95"/>
      <c r="E131" s="95"/>
      <c r="F131" s="95"/>
      <c r="G131" s="95"/>
      <c r="H131" s="95"/>
      <c r="I131" s="95"/>
      <c r="R131" s="5"/>
    </row>
    <row r="132" spans="2:18" hidden="1" outlineLevel="1">
      <c r="B132" s="5"/>
      <c r="C132" s="95"/>
      <c r="D132" s="121" t="s">
        <v>180</v>
      </c>
      <c r="E132" s="121"/>
      <c r="F132" s="121">
        <f>F100</f>
        <v>-928880</v>
      </c>
      <c r="G132" s="121">
        <f>ROUND(F132*$C$13,)</f>
        <v>-928880</v>
      </c>
      <c r="H132" s="121">
        <f>F132-G132</f>
        <v>0</v>
      </c>
      <c r="I132" s="95"/>
      <c r="R132" s="5"/>
    </row>
    <row r="133" spans="2:18" hidden="1" outlineLevel="1">
      <c r="R133" s="5"/>
    </row>
    <row r="134" spans="2:18" hidden="1" outlineLevel="1">
      <c r="B134" s="5"/>
      <c r="C134" s="95"/>
      <c r="D134" s="95"/>
      <c r="E134" s="95"/>
      <c r="F134" s="95"/>
      <c r="G134" s="95"/>
      <c r="H134" s="95"/>
      <c r="R134" s="5"/>
    </row>
    <row r="135" spans="2:18" hidden="1" outlineLevel="1">
      <c r="B135" s="5"/>
      <c r="C135" s="10" t="s">
        <v>170</v>
      </c>
      <c r="E135" s="95"/>
      <c r="F135" s="10" t="s">
        <v>169</v>
      </c>
      <c r="H135" s="95"/>
      <c r="R135" s="5"/>
    </row>
    <row r="136" spans="2:18" hidden="1" outlineLevel="1">
      <c r="B136" s="5"/>
      <c r="E136" s="95"/>
      <c r="F136" s="2"/>
      <c r="G136" s="2"/>
      <c r="H136" s="95"/>
      <c r="R136" s="5"/>
    </row>
    <row r="137" spans="2:18" ht="15.75" hidden="1" outlineLevel="1">
      <c r="B137" s="5"/>
      <c r="C137" s="9" t="s">
        <v>168</v>
      </c>
      <c r="D137" s="9" t="s">
        <v>154</v>
      </c>
      <c r="E137" s="95"/>
      <c r="F137" s="9" t="s">
        <v>168</v>
      </c>
      <c r="G137" s="9" t="s">
        <v>154</v>
      </c>
      <c r="H137" s="95"/>
      <c r="R137" s="5"/>
    </row>
    <row r="138" spans="2:18" hidden="1" outlineLevel="1">
      <c r="B138" s="5"/>
      <c r="C138" s="5" t="s">
        <v>167</v>
      </c>
      <c r="D138" s="2">
        <f>H97*$C$13</f>
        <v>-56245304</v>
      </c>
      <c r="E138" s="95"/>
      <c r="F138" s="5" t="s">
        <v>157</v>
      </c>
      <c r="G138" s="2">
        <f>H101</f>
        <v>-30108301</v>
      </c>
      <c r="H138" s="95"/>
      <c r="R138" s="5"/>
    </row>
    <row r="139" spans="2:18" hidden="1" outlineLevel="1">
      <c r="B139" s="5"/>
      <c r="C139" s="5" t="s">
        <v>166</v>
      </c>
      <c r="D139" s="2"/>
      <c r="E139" s="95"/>
      <c r="F139" s="5" t="s">
        <v>165</v>
      </c>
      <c r="G139" s="145">
        <f>$C$13</f>
        <v>1</v>
      </c>
      <c r="H139" s="95"/>
      <c r="R139" s="5"/>
    </row>
    <row r="140" spans="2:18" hidden="1" outlineLevel="1">
      <c r="B140" s="5"/>
      <c r="C140" s="5" t="s">
        <v>164</v>
      </c>
      <c r="D140" s="2">
        <f>D98</f>
        <v>27077198</v>
      </c>
      <c r="E140" s="95"/>
      <c r="F140" s="5" t="s">
        <v>163</v>
      </c>
      <c r="G140" s="2">
        <f>ROUNDUP(G138*G139,0)</f>
        <v>-30108301</v>
      </c>
      <c r="H140" s="95"/>
      <c r="R140" s="5"/>
    </row>
    <row r="141" spans="2:18" hidden="1" outlineLevel="1">
      <c r="B141" s="5"/>
      <c r="C141" s="5" t="s">
        <v>162</v>
      </c>
      <c r="D141" s="2">
        <f>G130</f>
        <v>-11315</v>
      </c>
      <c r="E141" s="95"/>
      <c r="F141" s="5" t="s">
        <v>161</v>
      </c>
      <c r="G141" s="2">
        <v>0</v>
      </c>
      <c r="H141" s="95"/>
      <c r="R141" s="5"/>
    </row>
    <row r="142" spans="2:18" hidden="1" outlineLevel="1">
      <c r="B142" s="5"/>
      <c r="C142" s="95" t="s">
        <v>456</v>
      </c>
      <c r="D142" s="95">
        <v>0</v>
      </c>
      <c r="E142" s="95"/>
      <c r="F142" s="5" t="s">
        <v>159</v>
      </c>
      <c r="G142" s="2">
        <v>0</v>
      </c>
      <c r="H142" s="95"/>
      <c r="R142" s="5"/>
    </row>
    <row r="143" spans="2:18" ht="14.25" hidden="1" outlineLevel="1" thickBot="1">
      <c r="B143" s="5"/>
      <c r="C143" s="8" t="s">
        <v>160</v>
      </c>
      <c r="D143" s="141">
        <f>G132</f>
        <v>-928880</v>
      </c>
      <c r="E143" s="95"/>
      <c r="F143" s="8" t="s">
        <v>157</v>
      </c>
      <c r="G143" s="141">
        <f>D144</f>
        <v>-30108301</v>
      </c>
      <c r="H143" s="95"/>
      <c r="R143" s="5"/>
    </row>
    <row r="144" spans="2:18" ht="14.25" hidden="1" outlineLevel="1" thickTop="1">
      <c r="B144" s="5"/>
      <c r="C144" s="5" t="s">
        <v>158</v>
      </c>
      <c r="D144" s="2">
        <f>SUM(D138:D143)</f>
        <v>-30108301</v>
      </c>
      <c r="E144" s="95"/>
      <c r="F144" s="5" t="s">
        <v>156</v>
      </c>
      <c r="G144" s="143">
        <f>G140-G143+G141+G142</f>
        <v>0</v>
      </c>
      <c r="H144" s="541" t="s">
        <v>610</v>
      </c>
      <c r="R144" s="5"/>
    </row>
    <row r="145" spans="2:18" ht="24" hidden="1" outlineLevel="1">
      <c r="B145" s="5"/>
      <c r="E145" s="5" ph="1"/>
      <c r="R145" s="5"/>
    </row>
    <row r="146" spans="2:18" s="95" customFormat="1" collapsed="1">
      <c r="B146" s="139" t="s">
        <v>343</v>
      </c>
      <c r="C146" s="142" t="s">
        <v>431</v>
      </c>
      <c r="D146" s="124"/>
      <c r="E146" s="124"/>
      <c r="F146" s="124"/>
      <c r="G146" s="124"/>
      <c r="H146" s="124"/>
      <c r="I146" s="124"/>
      <c r="J146" s="124"/>
      <c r="R146" s="111"/>
    </row>
    <row r="147" spans="2:18" s="95" customFormat="1" hidden="1" outlineLevel="1">
      <c r="C147" s="95" t="s">
        <v>444</v>
      </c>
      <c r="D147" s="124"/>
      <c r="E147" s="124"/>
      <c r="F147" s="124"/>
      <c r="G147" s="124"/>
      <c r="H147" s="124"/>
      <c r="I147" s="124"/>
    </row>
    <row r="148" spans="2:18" s="95" customFormat="1" hidden="1" outlineLevel="1">
      <c r="D148" s="124"/>
      <c r="E148" s="124"/>
      <c r="F148" s="124"/>
      <c r="G148" s="124"/>
      <c r="H148" s="124"/>
      <c r="I148" s="124"/>
    </row>
    <row r="149" spans="2:18" hidden="1" outlineLevel="1">
      <c r="B149" s="5"/>
      <c r="C149" s="119" t="s">
        <v>432</v>
      </c>
      <c r="D149" s="95"/>
      <c r="E149" s="95"/>
      <c r="F149" s="95"/>
      <c r="G149" s="95"/>
      <c r="H149" s="95"/>
      <c r="I149" s="95"/>
      <c r="R149" s="5"/>
    </row>
    <row r="150" spans="2:18" ht="14.25" hidden="1" outlineLevel="1" thickBot="1">
      <c r="B150" s="5"/>
      <c r="C150" s="95"/>
      <c r="D150" s="1996" t="s">
        <v>146</v>
      </c>
      <c r="E150" s="1996"/>
      <c r="F150" s="114" t="s">
        <v>435</v>
      </c>
      <c r="G150" s="114" t="s">
        <v>434</v>
      </c>
      <c r="H150" s="114" t="s">
        <v>109</v>
      </c>
      <c r="I150" s="95"/>
      <c r="R150" s="5"/>
    </row>
    <row r="151" spans="2:18" hidden="1" outlineLevel="1">
      <c r="B151" s="5"/>
      <c r="C151" s="95"/>
      <c r="D151" s="95" t="s">
        <v>93</v>
      </c>
      <c r="E151" s="95"/>
      <c r="F151" s="95">
        <f>G103</f>
        <v>-1497527</v>
      </c>
      <c r="G151" s="95">
        <f>ROUND(F151*$C$13,)</f>
        <v>-1497527</v>
      </c>
      <c r="H151" s="95">
        <f>F151-G151</f>
        <v>0</v>
      </c>
      <c r="I151" s="95"/>
      <c r="R151" s="5"/>
    </row>
    <row r="152" spans="2:18" hidden="1" outlineLevel="1">
      <c r="B152" s="5"/>
      <c r="C152" s="95"/>
      <c r="D152" s="95" t="s">
        <v>453</v>
      </c>
      <c r="E152" s="95"/>
      <c r="F152" s="95">
        <v>0</v>
      </c>
      <c r="G152" s="95">
        <f>F152</f>
        <v>0</v>
      </c>
      <c r="H152" s="95">
        <f t="shared" ref="H152:H153" si="12">F152-G152</f>
        <v>0</v>
      </c>
      <c r="I152" s="95"/>
      <c r="R152" s="5"/>
    </row>
    <row r="153" spans="2:18" hidden="1" outlineLevel="1">
      <c r="B153" s="5"/>
      <c r="C153" s="95"/>
      <c r="D153" s="95" t="s">
        <v>454</v>
      </c>
      <c r="E153" s="95"/>
      <c r="F153" s="95">
        <v>0</v>
      </c>
      <c r="G153" s="95">
        <f>F153</f>
        <v>0</v>
      </c>
      <c r="H153" s="95">
        <f t="shared" si="12"/>
        <v>0</v>
      </c>
      <c r="I153" s="95"/>
      <c r="R153" s="5"/>
    </row>
    <row r="154" spans="2:18" hidden="1" outlineLevel="1">
      <c r="B154" s="5"/>
      <c r="C154" s="95"/>
      <c r="D154" s="95" t="s">
        <v>449</v>
      </c>
      <c r="E154" s="95"/>
      <c r="F154" s="95">
        <v>0</v>
      </c>
      <c r="G154" s="95">
        <f>ROUND(F154*$C$13,)</f>
        <v>0</v>
      </c>
      <c r="H154" s="95">
        <f>F154-G154</f>
        <v>0</v>
      </c>
      <c r="I154" s="95"/>
      <c r="R154" s="5"/>
    </row>
    <row r="155" spans="2:18" hidden="1" outlineLevel="1">
      <c r="B155" s="5"/>
      <c r="C155" s="95"/>
      <c r="D155" s="95" t="s">
        <v>450</v>
      </c>
      <c r="E155" s="95"/>
      <c r="F155" s="95">
        <v>0</v>
      </c>
      <c r="G155" s="95">
        <f>ROUND(F155*$C$13,)</f>
        <v>0</v>
      </c>
      <c r="H155" s="95">
        <f>F155-G155</f>
        <v>0</v>
      </c>
      <c r="I155" s="95"/>
      <c r="R155" s="5"/>
    </row>
    <row r="156" spans="2:18" hidden="1" outlineLevel="1">
      <c r="B156" s="5"/>
      <c r="C156" s="95"/>
      <c r="D156" s="144" t="s">
        <v>451</v>
      </c>
      <c r="E156" s="144"/>
      <c r="F156" s="144">
        <f>SUM(F151:F155)</f>
        <v>-1497527</v>
      </c>
      <c r="G156" s="144">
        <f>SUM(G151:G155)</f>
        <v>-1497527</v>
      </c>
      <c r="H156" s="144">
        <f t="shared" ref="H156" si="13">SUM(H151:H155)</f>
        <v>0</v>
      </c>
      <c r="I156" s="95"/>
      <c r="R156" s="5"/>
    </row>
    <row r="157" spans="2:18" hidden="1" outlineLevel="1">
      <c r="B157" s="5"/>
      <c r="C157" s="95"/>
      <c r="D157" s="95"/>
      <c r="E157" s="95"/>
      <c r="F157" s="95"/>
      <c r="G157" s="95"/>
      <c r="H157" s="95"/>
      <c r="I157" s="95"/>
      <c r="R157" s="5"/>
    </row>
    <row r="158" spans="2:18" hidden="1" outlineLevel="1">
      <c r="B158" s="5"/>
      <c r="C158" s="95"/>
      <c r="D158" s="121" t="s">
        <v>180</v>
      </c>
      <c r="E158" s="121"/>
      <c r="F158" s="121">
        <f>F104</f>
        <v>-2676097</v>
      </c>
      <c r="G158" s="121">
        <f>ROUND(F158*$C$13,)</f>
        <v>-2676097</v>
      </c>
      <c r="H158" s="121">
        <f>F158-G158</f>
        <v>0</v>
      </c>
      <c r="I158" s="95"/>
      <c r="R158" s="5"/>
    </row>
    <row r="159" spans="2:18" hidden="1" outlineLevel="1">
      <c r="R159" s="5"/>
    </row>
    <row r="160" spans="2:18" hidden="1" outlineLevel="1">
      <c r="B160" s="5"/>
      <c r="C160" s="95"/>
      <c r="D160" s="95"/>
      <c r="E160" s="95"/>
      <c r="F160" s="95"/>
      <c r="G160" s="95"/>
      <c r="H160" s="95"/>
      <c r="R160" s="5"/>
    </row>
    <row r="161" spans="2:18" hidden="1" outlineLevel="1">
      <c r="B161" s="5"/>
      <c r="C161" s="10" t="s">
        <v>170</v>
      </c>
      <c r="E161" s="95"/>
      <c r="F161" s="10" t="s">
        <v>169</v>
      </c>
      <c r="H161" s="95"/>
      <c r="R161" s="5"/>
    </row>
    <row r="162" spans="2:18" hidden="1" outlineLevel="1">
      <c r="B162" s="5"/>
      <c r="E162" s="95"/>
      <c r="F162" s="2"/>
      <c r="G162" s="2"/>
      <c r="H162" s="95"/>
      <c r="R162" s="5"/>
    </row>
    <row r="163" spans="2:18" ht="15.75" hidden="1" outlineLevel="1">
      <c r="B163" s="5"/>
      <c r="C163" s="9" t="s">
        <v>168</v>
      </c>
      <c r="D163" s="9" t="s">
        <v>154</v>
      </c>
      <c r="E163" s="95"/>
      <c r="F163" s="9" t="s">
        <v>168</v>
      </c>
      <c r="G163" s="9" t="s">
        <v>154</v>
      </c>
      <c r="H163" s="95"/>
      <c r="R163" s="5"/>
    </row>
    <row r="164" spans="2:18" hidden="1" outlineLevel="1">
      <c r="B164" s="5"/>
      <c r="C164" s="5" t="s">
        <v>167</v>
      </c>
      <c r="D164" s="2">
        <f>D144</f>
        <v>-30108301</v>
      </c>
      <c r="E164" s="95"/>
      <c r="F164" s="5" t="s">
        <v>157</v>
      </c>
      <c r="G164" s="2">
        <f>H105</f>
        <v>-20481925</v>
      </c>
      <c r="H164" s="95"/>
      <c r="R164" s="5"/>
    </row>
    <row r="165" spans="2:18" hidden="1" outlineLevel="1">
      <c r="B165" s="5"/>
      <c r="C165" s="5" t="s">
        <v>166</v>
      </c>
      <c r="D165" s="2"/>
      <c r="E165" s="95"/>
      <c r="F165" s="5" t="s">
        <v>165</v>
      </c>
      <c r="G165" s="145">
        <f>$C$13</f>
        <v>1</v>
      </c>
      <c r="H165" s="95"/>
      <c r="R165" s="5"/>
    </row>
    <row r="166" spans="2:18" hidden="1" outlineLevel="1">
      <c r="B166" s="5"/>
      <c r="C166" s="5" t="s">
        <v>164</v>
      </c>
      <c r="D166" s="2">
        <f>D102</f>
        <v>13800000</v>
      </c>
      <c r="E166" s="95"/>
      <c r="F166" s="5" t="s">
        <v>163</v>
      </c>
      <c r="G166" s="2">
        <f>ROUNDUP(G164*G165,0)</f>
        <v>-20481925</v>
      </c>
      <c r="H166" s="95"/>
      <c r="R166" s="5"/>
    </row>
    <row r="167" spans="2:18" hidden="1" outlineLevel="1">
      <c r="B167" s="5"/>
      <c r="C167" s="5" t="s">
        <v>162</v>
      </c>
      <c r="D167" s="2">
        <f>G156</f>
        <v>-1497527</v>
      </c>
      <c r="E167" s="95"/>
      <c r="F167" s="5" t="s">
        <v>161</v>
      </c>
      <c r="G167" s="2">
        <v>0</v>
      </c>
      <c r="H167" s="95"/>
      <c r="R167" s="5"/>
    </row>
    <row r="168" spans="2:18" hidden="1" outlineLevel="1">
      <c r="B168" s="5"/>
      <c r="C168" s="95" t="s">
        <v>456</v>
      </c>
      <c r="D168" s="95">
        <v>0</v>
      </c>
      <c r="E168" s="95"/>
      <c r="F168" s="5" t="s">
        <v>159</v>
      </c>
      <c r="G168" s="2">
        <v>0</v>
      </c>
      <c r="H168" s="95"/>
      <c r="R168" s="5"/>
    </row>
    <row r="169" spans="2:18" ht="14.25" hidden="1" outlineLevel="1" thickBot="1">
      <c r="B169" s="5"/>
      <c r="C169" s="8" t="s">
        <v>160</v>
      </c>
      <c r="D169" s="141">
        <f>G158</f>
        <v>-2676097</v>
      </c>
      <c r="E169" s="95"/>
      <c r="F169" s="8" t="s">
        <v>157</v>
      </c>
      <c r="G169" s="141">
        <f>D170</f>
        <v>-20481925</v>
      </c>
      <c r="H169" s="95"/>
      <c r="R169" s="5"/>
    </row>
    <row r="170" spans="2:18" ht="14.25" hidden="1" outlineLevel="1" thickTop="1">
      <c r="B170" s="5"/>
      <c r="C170" s="5" t="s">
        <v>158</v>
      </c>
      <c r="D170" s="2">
        <f>SUM(D164:D169)</f>
        <v>-20481925</v>
      </c>
      <c r="E170" s="95"/>
      <c r="F170" s="5" t="s">
        <v>156</v>
      </c>
      <c r="G170" s="143">
        <f>G166-G169+G167+G168</f>
        <v>0</v>
      </c>
      <c r="H170" s="541" t="s">
        <v>610</v>
      </c>
      <c r="R170" s="5"/>
    </row>
    <row r="171" spans="2:18" ht="24" hidden="1" outlineLevel="1">
      <c r="B171" s="5"/>
      <c r="E171" s="5" ph="1"/>
      <c r="R171" s="5"/>
    </row>
    <row r="172" spans="2:18" s="95" customFormat="1" collapsed="1">
      <c r="B172" s="139" t="s">
        <v>1542</v>
      </c>
      <c r="C172" s="142" t="s">
        <v>431</v>
      </c>
      <c r="D172" s="124"/>
      <c r="E172" s="124"/>
      <c r="F172" s="124"/>
      <c r="G172" s="124"/>
      <c r="H172" s="124"/>
      <c r="I172" s="124"/>
      <c r="J172" s="124"/>
      <c r="R172" s="111"/>
    </row>
    <row r="173" spans="2:18" s="95" customFormat="1" outlineLevel="1">
      <c r="C173" s="95" t="s">
        <v>444</v>
      </c>
      <c r="D173" s="124"/>
      <c r="E173" s="124"/>
      <c r="F173" s="124"/>
      <c r="G173" s="124"/>
      <c r="H173" s="124"/>
      <c r="I173" s="124"/>
    </row>
    <row r="174" spans="2:18" s="95" customFormat="1" outlineLevel="1">
      <c r="D174" s="124"/>
      <c r="E174" s="124"/>
      <c r="F174" s="124"/>
      <c r="G174" s="124"/>
      <c r="H174" s="124"/>
      <c r="I174" s="124"/>
    </row>
    <row r="175" spans="2:18" outlineLevel="1">
      <c r="B175" s="5"/>
      <c r="C175" s="119" t="s">
        <v>432</v>
      </c>
      <c r="D175" s="95"/>
      <c r="E175" s="95"/>
      <c r="F175" s="95"/>
      <c r="G175" s="95"/>
      <c r="H175" s="95"/>
      <c r="I175" s="95"/>
      <c r="R175" s="5"/>
    </row>
    <row r="176" spans="2:18" ht="14.25" outlineLevel="1" thickBot="1">
      <c r="B176" s="5"/>
      <c r="C176" s="95"/>
      <c r="D176" s="1996" t="s">
        <v>146</v>
      </c>
      <c r="E176" s="1996"/>
      <c r="F176" s="114" t="s">
        <v>435</v>
      </c>
      <c r="G176" s="114" t="s">
        <v>434</v>
      </c>
      <c r="H176" s="114" t="s">
        <v>109</v>
      </c>
      <c r="I176" s="95"/>
      <c r="R176" s="5"/>
    </row>
    <row r="177" spans="2:18" outlineLevel="1">
      <c r="B177" s="5"/>
      <c r="C177" s="95"/>
      <c r="D177" s="95" t="s">
        <v>93</v>
      </c>
      <c r="E177" s="95"/>
      <c r="F177" s="95">
        <f>G106</f>
        <v>-21727539</v>
      </c>
      <c r="G177" s="95">
        <f>ROUND(F177*$C$13,)</f>
        <v>-21727539</v>
      </c>
      <c r="H177" s="95">
        <f>F177-G177</f>
        <v>0</v>
      </c>
      <c r="I177" s="95"/>
      <c r="R177" s="5"/>
    </row>
    <row r="178" spans="2:18" outlineLevel="1">
      <c r="B178" s="5"/>
      <c r="C178" s="95"/>
      <c r="D178" s="95" t="s">
        <v>453</v>
      </c>
      <c r="E178" s="95"/>
      <c r="F178" s="95">
        <v>0</v>
      </c>
      <c r="G178" s="95">
        <f>F178</f>
        <v>0</v>
      </c>
      <c r="H178" s="95">
        <f t="shared" ref="H178:H179" si="14">F178-G178</f>
        <v>0</v>
      </c>
      <c r="I178" s="95"/>
      <c r="R178" s="5"/>
    </row>
    <row r="179" spans="2:18" outlineLevel="1">
      <c r="B179" s="5"/>
      <c r="C179" s="95"/>
      <c r="D179" s="95" t="s">
        <v>454</v>
      </c>
      <c r="E179" s="95"/>
      <c r="F179" s="95">
        <v>0</v>
      </c>
      <c r="G179" s="95">
        <f>F179</f>
        <v>0</v>
      </c>
      <c r="H179" s="95">
        <f t="shared" si="14"/>
        <v>0</v>
      </c>
      <c r="I179" s="95"/>
      <c r="R179" s="5"/>
    </row>
    <row r="180" spans="2:18" outlineLevel="1">
      <c r="B180" s="5"/>
      <c r="C180" s="95"/>
      <c r="D180" s="95" t="s">
        <v>449</v>
      </c>
      <c r="E180" s="95"/>
      <c r="F180" s="95">
        <v>0</v>
      </c>
      <c r="G180" s="95">
        <f>ROUND(F180*$C$13,)</f>
        <v>0</v>
      </c>
      <c r="H180" s="95">
        <f>F180-G180</f>
        <v>0</v>
      </c>
      <c r="I180" s="95"/>
      <c r="R180" s="5"/>
    </row>
    <row r="181" spans="2:18" outlineLevel="1">
      <c r="B181" s="5"/>
      <c r="C181" s="95"/>
      <c r="D181" s="95" t="s">
        <v>450</v>
      </c>
      <c r="E181" s="95"/>
      <c r="F181" s="95">
        <v>0</v>
      </c>
      <c r="G181" s="95">
        <f>ROUND(F181*$C$13,)</f>
        <v>0</v>
      </c>
      <c r="H181" s="95">
        <f>F181-G181</f>
        <v>0</v>
      </c>
      <c r="I181" s="95"/>
      <c r="R181" s="5"/>
    </row>
    <row r="182" spans="2:18" outlineLevel="1">
      <c r="B182" s="5"/>
      <c r="C182" s="95"/>
      <c r="D182" s="144" t="s">
        <v>451</v>
      </c>
      <c r="E182" s="144"/>
      <c r="F182" s="144">
        <f>SUM(F177:F181)</f>
        <v>-21727539</v>
      </c>
      <c r="G182" s="144">
        <f>SUM(G177:G181)</f>
        <v>-21727539</v>
      </c>
      <c r="H182" s="144">
        <f t="shared" ref="H182" si="15">SUM(H177:H181)</f>
        <v>0</v>
      </c>
      <c r="I182" s="95"/>
      <c r="R182" s="5"/>
    </row>
    <row r="183" spans="2:18" outlineLevel="1">
      <c r="B183" s="5"/>
      <c r="C183" s="95"/>
      <c r="D183" s="95"/>
      <c r="E183" s="95"/>
      <c r="F183" s="95"/>
      <c r="G183" s="95"/>
      <c r="H183" s="95"/>
      <c r="I183" s="95"/>
      <c r="R183" s="5"/>
    </row>
    <row r="184" spans="2:18" outlineLevel="1">
      <c r="B184" s="5"/>
      <c r="C184" s="95"/>
      <c r="D184" s="121" t="s">
        <v>180</v>
      </c>
      <c r="E184" s="121"/>
      <c r="F184" s="121">
        <f>F108</f>
        <v>-501323</v>
      </c>
      <c r="G184" s="121">
        <f>ROUND(F184*$C$13,)</f>
        <v>-501323</v>
      </c>
      <c r="H184" s="121">
        <f>F184-G184</f>
        <v>0</v>
      </c>
      <c r="I184" s="95"/>
      <c r="R184" s="5"/>
    </row>
    <row r="185" spans="2:18" outlineLevel="1">
      <c r="R185" s="5"/>
    </row>
    <row r="186" spans="2:18" outlineLevel="1">
      <c r="B186" s="5"/>
      <c r="C186" s="95"/>
      <c r="D186" s="95"/>
      <c r="E186" s="95"/>
      <c r="F186" s="95"/>
      <c r="G186" s="95"/>
      <c r="H186" s="95"/>
      <c r="R186" s="5"/>
    </row>
    <row r="187" spans="2:18" outlineLevel="1">
      <c r="B187" s="5"/>
      <c r="C187" s="10" t="s">
        <v>170</v>
      </c>
      <c r="E187" s="95"/>
      <c r="F187" s="10" t="s">
        <v>169</v>
      </c>
      <c r="H187" s="95"/>
      <c r="R187" s="5"/>
    </row>
    <row r="188" spans="2:18" outlineLevel="1">
      <c r="B188" s="5"/>
      <c r="E188" s="95"/>
      <c r="F188" s="2"/>
      <c r="G188" s="2"/>
      <c r="H188" s="95"/>
      <c r="R188" s="5"/>
    </row>
    <row r="189" spans="2:18" ht="15.75" outlineLevel="1">
      <c r="B189" s="5"/>
      <c r="C189" s="9" t="s">
        <v>168</v>
      </c>
      <c r="D189" s="9" t="s">
        <v>154</v>
      </c>
      <c r="E189" s="95"/>
      <c r="F189" s="9" t="s">
        <v>168</v>
      </c>
      <c r="G189" s="9" t="s">
        <v>154</v>
      </c>
      <c r="H189" s="95"/>
      <c r="R189" s="5"/>
    </row>
    <row r="190" spans="2:18" outlineLevel="1">
      <c r="B190" s="5"/>
      <c r="C190" s="5" t="s">
        <v>167</v>
      </c>
      <c r="D190" s="2">
        <f>D170</f>
        <v>-20481925</v>
      </c>
      <c r="E190" s="95"/>
      <c r="F190" s="5" t="s">
        <v>157</v>
      </c>
      <c r="G190" s="2">
        <f>H109</f>
        <v>-14310787</v>
      </c>
      <c r="H190" s="95"/>
      <c r="R190" s="5"/>
    </row>
    <row r="191" spans="2:18" outlineLevel="1">
      <c r="B191" s="5"/>
      <c r="C191" s="5" t="s">
        <v>166</v>
      </c>
      <c r="D191" s="2"/>
      <c r="E191" s="95"/>
      <c r="F191" s="5" t="s">
        <v>165</v>
      </c>
      <c r="G191" s="145">
        <f>$C$13</f>
        <v>1</v>
      </c>
      <c r="H191" s="95"/>
      <c r="R191" s="5"/>
    </row>
    <row r="192" spans="2:18" outlineLevel="1">
      <c r="B192" s="5"/>
      <c r="C192" s="5" t="s">
        <v>164</v>
      </c>
      <c r="D192" s="2">
        <f>D107</f>
        <v>28400000</v>
      </c>
      <c r="E192" s="95"/>
      <c r="F192" s="5" t="s">
        <v>163</v>
      </c>
      <c r="G192" s="2">
        <f>ROUNDUP(G190*G191,0)</f>
        <v>-14310787</v>
      </c>
      <c r="H192" s="95"/>
      <c r="R192" s="5"/>
    </row>
    <row r="193" spans="2:18" outlineLevel="1">
      <c r="B193" s="5"/>
      <c r="C193" s="5" t="s">
        <v>162</v>
      </c>
      <c r="D193" s="2">
        <f>G182</f>
        <v>-21727539</v>
      </c>
      <c r="E193" s="95"/>
      <c r="F193" s="5" t="s">
        <v>161</v>
      </c>
      <c r="G193" s="2">
        <v>0</v>
      </c>
      <c r="H193" s="95"/>
      <c r="R193" s="5"/>
    </row>
    <row r="194" spans="2:18" outlineLevel="1">
      <c r="B194" s="5"/>
      <c r="C194" s="95" t="s">
        <v>456</v>
      </c>
      <c r="D194" s="95">
        <v>0</v>
      </c>
      <c r="E194" s="95"/>
      <c r="F194" s="5" t="s">
        <v>159</v>
      </c>
      <c r="G194" s="2">
        <v>0</v>
      </c>
      <c r="H194" s="95"/>
      <c r="R194" s="5"/>
    </row>
    <row r="195" spans="2:18" ht="14.25" outlineLevel="1" thickBot="1">
      <c r="B195" s="5"/>
      <c r="C195" s="8" t="s">
        <v>160</v>
      </c>
      <c r="D195" s="141">
        <f>G184</f>
        <v>-501323</v>
      </c>
      <c r="E195" s="95"/>
      <c r="F195" s="8" t="s">
        <v>157</v>
      </c>
      <c r="G195" s="141">
        <f>D196</f>
        <v>-14310787</v>
      </c>
      <c r="H195" s="95"/>
      <c r="R195" s="5"/>
    </row>
    <row r="196" spans="2:18" ht="14.25" outlineLevel="1" thickTop="1">
      <c r="B196" s="5"/>
      <c r="C196" s="5" t="s">
        <v>158</v>
      </c>
      <c r="D196" s="2">
        <f>SUM(D190:D195)</f>
        <v>-14310787</v>
      </c>
      <c r="E196" s="95"/>
      <c r="F196" s="5" t="s">
        <v>156</v>
      </c>
      <c r="G196" s="143">
        <f>G192-G195+G193+G194</f>
        <v>0</v>
      </c>
      <c r="H196" s="541"/>
      <c r="R196" s="5"/>
    </row>
    <row r="197" spans="2:18" outlineLevel="1"/>
    <row r="198" spans="2:18" s="95" customFormat="1">
      <c r="B198" s="139" t="s">
        <v>1544</v>
      </c>
      <c r="C198" s="142" t="s">
        <v>431</v>
      </c>
      <c r="D198" s="124"/>
      <c r="E198" s="124"/>
      <c r="F198" s="124"/>
      <c r="G198" s="124"/>
      <c r="H198" s="124"/>
      <c r="I198" s="124"/>
      <c r="J198" s="124"/>
      <c r="R198" s="111"/>
    </row>
    <row r="199" spans="2:18" s="95" customFormat="1" outlineLevel="1">
      <c r="C199" s="95" t="s">
        <v>444</v>
      </c>
      <c r="D199" s="124"/>
      <c r="E199" s="124"/>
      <c r="F199" s="124"/>
      <c r="G199" s="124"/>
      <c r="H199" s="124"/>
      <c r="I199" s="124"/>
    </row>
    <row r="200" spans="2:18" s="95" customFormat="1" outlineLevel="1">
      <c r="D200" s="124"/>
      <c r="E200" s="124"/>
      <c r="F200" s="124"/>
      <c r="G200" s="124"/>
      <c r="H200" s="124"/>
      <c r="I200" s="124"/>
    </row>
    <row r="201" spans="2:18" outlineLevel="1">
      <c r="B201" s="5"/>
      <c r="C201" s="119" t="s">
        <v>432</v>
      </c>
      <c r="D201" s="95"/>
      <c r="E201" s="95"/>
      <c r="F201" s="95"/>
      <c r="G201" s="95"/>
      <c r="H201" s="95"/>
      <c r="I201" s="95"/>
      <c r="R201" s="5"/>
    </row>
    <row r="202" spans="2:18" ht="14.25" outlineLevel="1" thickBot="1">
      <c r="B202" s="5"/>
      <c r="C202" s="95"/>
      <c r="D202" s="1996" t="s">
        <v>146</v>
      </c>
      <c r="E202" s="1996"/>
      <c r="F202" s="114" t="s">
        <v>435</v>
      </c>
      <c r="G202" s="114" t="s">
        <v>434</v>
      </c>
      <c r="H202" s="114" t="s">
        <v>109</v>
      </c>
      <c r="I202" s="95"/>
      <c r="R202" s="5"/>
    </row>
    <row r="203" spans="2:18" outlineLevel="1">
      <c r="B203" s="5"/>
      <c r="C203" s="95"/>
      <c r="D203" s="95" t="s">
        <v>93</v>
      </c>
      <c r="E203" s="95"/>
      <c r="F203" s="95">
        <f>G110</f>
        <v>17291318</v>
      </c>
      <c r="G203" s="95">
        <f>ROUND(F203*$C$13,)</f>
        <v>17291318</v>
      </c>
      <c r="H203" s="95">
        <f>F203-G203</f>
        <v>0</v>
      </c>
      <c r="I203" s="95"/>
      <c r="R203" s="5"/>
    </row>
    <row r="204" spans="2:18" outlineLevel="1">
      <c r="B204" s="5"/>
      <c r="C204" s="95"/>
      <c r="D204" s="95" t="s">
        <v>453</v>
      </c>
      <c r="E204" s="95"/>
      <c r="F204" s="95">
        <v>0</v>
      </c>
      <c r="G204" s="95">
        <f>F204</f>
        <v>0</v>
      </c>
      <c r="H204" s="95">
        <f t="shared" ref="H204:H205" si="16">F204-G204</f>
        <v>0</v>
      </c>
      <c r="I204" s="95"/>
      <c r="R204" s="5"/>
    </row>
    <row r="205" spans="2:18" outlineLevel="1">
      <c r="B205" s="5"/>
      <c r="C205" s="95"/>
      <c r="D205" s="95" t="s">
        <v>454</v>
      </c>
      <c r="E205" s="95"/>
      <c r="F205" s="95">
        <v>0</v>
      </c>
      <c r="G205" s="95">
        <f>F205</f>
        <v>0</v>
      </c>
      <c r="H205" s="95">
        <f t="shared" si="16"/>
        <v>0</v>
      </c>
      <c r="I205" s="95"/>
      <c r="R205" s="5"/>
    </row>
    <row r="206" spans="2:18" outlineLevel="1">
      <c r="B206" s="5"/>
      <c r="C206" s="95"/>
      <c r="D206" s="95" t="s">
        <v>449</v>
      </c>
      <c r="E206" s="95"/>
      <c r="F206" s="95">
        <v>0</v>
      </c>
      <c r="G206" s="95">
        <f>ROUND(F206*$C$13,)</f>
        <v>0</v>
      </c>
      <c r="H206" s="95">
        <f>F206-G206</f>
        <v>0</v>
      </c>
      <c r="I206" s="95"/>
      <c r="R206" s="5"/>
    </row>
    <row r="207" spans="2:18" outlineLevel="1">
      <c r="B207" s="5"/>
      <c r="C207" s="95"/>
      <c r="D207" s="95" t="s">
        <v>450</v>
      </c>
      <c r="E207" s="95"/>
      <c r="F207" s="95">
        <v>0</v>
      </c>
      <c r="G207" s="95">
        <f>ROUND(F207*$C$13,)</f>
        <v>0</v>
      </c>
      <c r="H207" s="95">
        <f>F207-G207</f>
        <v>0</v>
      </c>
      <c r="I207" s="95"/>
      <c r="R207" s="5"/>
    </row>
    <row r="208" spans="2:18" outlineLevel="1">
      <c r="B208" s="5"/>
      <c r="C208" s="95"/>
      <c r="D208" s="144" t="s">
        <v>451</v>
      </c>
      <c r="E208" s="144"/>
      <c r="F208" s="144">
        <f>SUM(F203:F207)</f>
        <v>17291318</v>
      </c>
      <c r="G208" s="144">
        <f>SUM(G203:G207)</f>
        <v>17291318</v>
      </c>
      <c r="H208" s="144">
        <f t="shared" ref="H208" si="17">SUM(H203:H207)</f>
        <v>0</v>
      </c>
      <c r="I208" s="95"/>
      <c r="R208" s="5"/>
    </row>
    <row r="209" spans="2:18" outlineLevel="1">
      <c r="B209" s="5"/>
      <c r="C209" s="95"/>
      <c r="D209" s="95"/>
      <c r="E209" s="95"/>
      <c r="F209" s="95"/>
      <c r="G209" s="95"/>
      <c r="H209" s="95"/>
      <c r="I209" s="95"/>
      <c r="R209" s="5"/>
    </row>
    <row r="210" spans="2:18" outlineLevel="1">
      <c r="B210" s="5"/>
      <c r="C210" s="95"/>
      <c r="D210" s="121" t="s">
        <v>180</v>
      </c>
      <c r="E210" s="121"/>
      <c r="F210" s="121">
        <f>F112</f>
        <v>-693420</v>
      </c>
      <c r="G210" s="121">
        <f>ROUND(F210*$C$13,)</f>
        <v>-693420</v>
      </c>
      <c r="H210" s="121">
        <f>F210-G210</f>
        <v>0</v>
      </c>
      <c r="I210" s="95"/>
      <c r="R210" s="5"/>
    </row>
    <row r="211" spans="2:18" outlineLevel="1">
      <c r="R211" s="5"/>
    </row>
    <row r="212" spans="2:18" outlineLevel="1">
      <c r="B212" s="5"/>
      <c r="C212" s="95"/>
      <c r="D212" s="95"/>
      <c r="E212" s="95"/>
      <c r="F212" s="95"/>
      <c r="G212" s="95"/>
      <c r="H212" s="95"/>
      <c r="R212" s="5"/>
    </row>
    <row r="213" spans="2:18" outlineLevel="1">
      <c r="B213" s="5"/>
      <c r="C213" s="10" t="s">
        <v>170</v>
      </c>
      <c r="E213" s="95"/>
      <c r="F213" s="10" t="s">
        <v>169</v>
      </c>
      <c r="H213" s="95"/>
      <c r="R213" s="5"/>
    </row>
    <row r="214" spans="2:18" outlineLevel="1">
      <c r="B214" s="5"/>
      <c r="E214" s="95"/>
      <c r="F214" s="2"/>
      <c r="G214" s="2"/>
      <c r="H214" s="95"/>
      <c r="R214" s="5"/>
    </row>
    <row r="215" spans="2:18" ht="15.75" outlineLevel="1">
      <c r="B215" s="5"/>
      <c r="C215" s="9" t="s">
        <v>168</v>
      </c>
      <c r="D215" s="9" t="s">
        <v>154</v>
      </c>
      <c r="E215" s="95"/>
      <c r="F215" s="9" t="s">
        <v>168</v>
      </c>
      <c r="G215" s="9" t="s">
        <v>154</v>
      </c>
      <c r="H215" s="95"/>
      <c r="R215" s="5"/>
    </row>
    <row r="216" spans="2:18" outlineLevel="1">
      <c r="B216" s="5"/>
      <c r="C216" s="5" t="s">
        <v>167</v>
      </c>
      <c r="D216" s="2">
        <f>D196</f>
        <v>-14310787</v>
      </c>
      <c r="E216" s="95"/>
      <c r="F216" s="5" t="s">
        <v>157</v>
      </c>
      <c r="G216" s="2">
        <f>H113</f>
        <v>2287111</v>
      </c>
      <c r="H216" s="95"/>
      <c r="R216" s="5"/>
    </row>
    <row r="217" spans="2:18" outlineLevel="1">
      <c r="B217" s="5"/>
      <c r="C217" s="5" t="s">
        <v>166</v>
      </c>
      <c r="D217" s="2"/>
      <c r="E217" s="95"/>
      <c r="F217" s="5" t="s">
        <v>165</v>
      </c>
      <c r="G217" s="145">
        <f>$C$13</f>
        <v>1</v>
      </c>
      <c r="H217" s="95"/>
      <c r="R217" s="5"/>
    </row>
    <row r="218" spans="2:18" outlineLevel="1">
      <c r="B218" s="5"/>
      <c r="C218" s="5" t="s">
        <v>164</v>
      </c>
      <c r="D218" s="2">
        <f>D133</f>
        <v>0</v>
      </c>
      <c r="E218" s="95"/>
      <c r="F218" s="5" t="s">
        <v>163</v>
      </c>
      <c r="G218" s="2">
        <f>ROUNDUP(G216*G217,0)</f>
        <v>2287111</v>
      </c>
      <c r="H218" s="95"/>
      <c r="R218" s="5"/>
    </row>
    <row r="219" spans="2:18" outlineLevel="1">
      <c r="B219" s="5"/>
      <c r="C219" s="5" t="s">
        <v>162</v>
      </c>
      <c r="D219" s="2">
        <f>G208</f>
        <v>17291318</v>
      </c>
      <c r="E219" s="95"/>
      <c r="F219" s="5" t="s">
        <v>161</v>
      </c>
      <c r="G219" s="2">
        <v>0</v>
      </c>
      <c r="H219" s="95"/>
      <c r="R219" s="5"/>
    </row>
    <row r="220" spans="2:18" outlineLevel="1">
      <c r="B220" s="5"/>
      <c r="C220" s="95" t="s">
        <v>456</v>
      </c>
      <c r="D220" s="95">
        <v>0</v>
      </c>
      <c r="E220" s="95"/>
      <c r="F220" s="5" t="s">
        <v>159</v>
      </c>
      <c r="G220" s="2">
        <v>0</v>
      </c>
      <c r="H220" s="95"/>
      <c r="R220" s="5"/>
    </row>
    <row r="221" spans="2:18" ht="14.25" outlineLevel="1" thickBot="1">
      <c r="B221" s="5"/>
      <c r="C221" s="8" t="s">
        <v>160</v>
      </c>
      <c r="D221" s="141">
        <f>G210</f>
        <v>-693420</v>
      </c>
      <c r="E221" s="95"/>
      <c r="F221" s="8" t="s">
        <v>157</v>
      </c>
      <c r="G221" s="141">
        <f>D222</f>
        <v>2287111</v>
      </c>
      <c r="H221" s="95"/>
      <c r="R221" s="5"/>
    </row>
    <row r="222" spans="2:18" ht="14.25" outlineLevel="1" thickTop="1">
      <c r="B222" s="5"/>
      <c r="C222" s="5" t="s">
        <v>158</v>
      </c>
      <c r="D222" s="2">
        <f>SUM(D216:D221)</f>
        <v>2287111</v>
      </c>
      <c r="E222" s="95"/>
      <c r="F222" s="5" t="s">
        <v>156</v>
      </c>
      <c r="G222" s="143">
        <f>G218-G221+G219+G220</f>
        <v>0</v>
      </c>
      <c r="H222" s="541"/>
      <c r="R222" s="5"/>
    </row>
    <row r="223" spans="2:18" ht="24" outlineLevel="1">
      <c r="B223" s="5"/>
      <c r="E223" s="5" ph="1"/>
      <c r="R223" s="5"/>
    </row>
    <row r="224" spans="2:18" ht="24">
      <c r="B224" s="5"/>
      <c r="E224" s="5" ph="1"/>
      <c r="R224" s="5"/>
    </row>
    <row r="227" spans="5:5" s="5" customFormat="1" ht="24">
      <c r="E227" s="5" ph="1"/>
    </row>
    <row r="232" spans="5:5" s="5" customFormat="1" ht="24">
      <c r="E232" s="5" ph="1"/>
    </row>
    <row r="234" spans="5:5" s="5" customFormat="1" ht="24">
      <c r="E234" s="5" ph="1"/>
    </row>
    <row r="235" spans="5:5" s="5" customFormat="1" ht="24">
      <c r="E235" s="5" ph="1"/>
    </row>
    <row r="237" spans="5:5" s="5" customFormat="1" ht="24">
      <c r="E237" s="5" ph="1"/>
    </row>
    <row r="238" spans="5:5" s="5" customFormat="1" ht="24">
      <c r="E238" s="5" ph="1"/>
    </row>
    <row r="240" spans="5:5" s="5" customFormat="1" ht="24">
      <c r="E240" s="5" ph="1"/>
    </row>
    <row r="242" spans="5:5" s="5" customFormat="1" ht="24">
      <c r="E242" s="5" ph="1"/>
    </row>
    <row r="243" spans="5:5" s="5" customFormat="1" ht="24">
      <c r="E243" s="5" ph="1"/>
    </row>
    <row r="245" spans="5:5" s="5" customFormat="1" ht="24">
      <c r="E245" s="5" ph="1"/>
    </row>
    <row r="246" spans="5:5" s="5" customFormat="1" ht="24">
      <c r="E246" s="5" ph="1"/>
    </row>
    <row r="248" spans="5:5" s="5" customFormat="1" ht="24">
      <c r="E248" s="5" ph="1"/>
    </row>
    <row r="251" spans="5:5" s="5" customFormat="1" ht="24">
      <c r="E251" s="5" ph="1"/>
    </row>
    <row r="252" spans="5:5" s="5" customFormat="1" ht="24">
      <c r="E252" s="5" ph="1"/>
    </row>
    <row r="254" spans="5:5" s="5" customFormat="1" ht="24">
      <c r="E254" s="5" ph="1"/>
    </row>
    <row r="255" spans="5:5" s="5" customFormat="1" ht="24">
      <c r="E255" s="5" ph="1"/>
    </row>
    <row r="258" spans="5:5" s="5" customFormat="1" ht="24">
      <c r="E258" s="5" ph="1"/>
    </row>
    <row r="259" spans="5:5" s="5" customFormat="1" ht="24">
      <c r="E259" s="5" ph="1"/>
    </row>
    <row r="261" spans="5:5" s="5" customFormat="1" ht="24">
      <c r="E261" s="5" ph="1"/>
    </row>
    <row r="262" spans="5:5" s="5" customFormat="1" ht="24">
      <c r="E262" s="5" ph="1"/>
    </row>
    <row r="264" spans="5:5" s="5" customFormat="1" ht="24">
      <c r="E264" s="5" ph="1"/>
    </row>
    <row r="266" spans="5:5" s="5" customFormat="1" ht="24">
      <c r="E266" s="5" ph="1"/>
    </row>
    <row r="267" spans="5:5" s="5" customFormat="1" ht="24">
      <c r="E267" s="5" ph="1"/>
    </row>
    <row r="269" spans="5:5" s="5" customFormat="1" ht="24">
      <c r="E269" s="5" ph="1"/>
    </row>
    <row r="270" spans="5:5" s="5" customFormat="1" ht="24">
      <c r="E270" s="5" ph="1"/>
    </row>
    <row r="272" spans="5:5" s="5" customFormat="1" ht="24">
      <c r="E272" s="5" ph="1"/>
    </row>
    <row r="275" spans="5:5" s="5" customFormat="1" ht="24">
      <c r="E275" s="5" ph="1"/>
    </row>
    <row r="276" spans="5:5" s="5" customFormat="1" ht="24">
      <c r="E276" s="5" ph="1"/>
    </row>
    <row r="278" spans="5:5" s="5" customFormat="1" ht="24">
      <c r="E278" s="5" ph="1"/>
    </row>
    <row r="279" spans="5:5" s="5" customFormat="1" ht="24">
      <c r="E279" s="5" ph="1"/>
    </row>
    <row r="280" spans="5:5" s="5" customFormat="1" ht="24">
      <c r="E280" s="5" ph="1"/>
    </row>
    <row r="281" spans="5:5" s="5" customFormat="1" ht="24">
      <c r="E281" s="5" ph="1"/>
    </row>
    <row r="282" spans="5:5" s="5" customFormat="1" ht="24">
      <c r="E282" s="5" ph="1"/>
    </row>
    <row r="284" spans="5:5" s="5" customFormat="1" ht="24">
      <c r="E284" s="5" ph="1"/>
    </row>
    <row r="285" spans="5:5" s="5" customFormat="1" ht="24">
      <c r="E285" s="5" ph="1"/>
    </row>
    <row r="286" spans="5:5" s="5" customFormat="1" ht="24">
      <c r="E286" s="5" ph="1"/>
    </row>
    <row r="287" spans="5:5" s="5" customFormat="1" ht="24">
      <c r="E287" s="5" ph="1"/>
    </row>
    <row r="288" spans="5:5" s="5" customFormat="1" ht="24">
      <c r="E288" s="5" ph="1"/>
    </row>
    <row r="289" spans="5:5" s="5" customFormat="1" ht="24">
      <c r="E289" s="5" ph="1"/>
    </row>
    <row r="291" spans="5:5" s="5" customFormat="1" ht="24">
      <c r="E291" s="5" ph="1"/>
    </row>
    <row r="292" spans="5:5" s="5" customFormat="1" ht="24">
      <c r="E292" s="5" ph="1"/>
    </row>
    <row r="293" spans="5:5" s="5" customFormat="1" ht="24">
      <c r="E293" s="5" ph="1"/>
    </row>
    <row r="294" spans="5:5" s="5" customFormat="1" ht="24">
      <c r="E294" s="5" ph="1"/>
    </row>
    <row r="295" spans="5:5" s="5" customFormat="1" ht="24">
      <c r="E295" s="5" ph="1"/>
    </row>
    <row r="297" spans="5:5" s="5" customFormat="1" ht="24">
      <c r="E297" s="5" ph="1"/>
    </row>
    <row r="298" spans="5:5" s="5" customFormat="1" ht="24">
      <c r="E298" s="5" ph="1"/>
    </row>
    <row r="299" spans="5:5" s="5" customFormat="1" ht="24">
      <c r="E299" s="5" ph="1"/>
    </row>
    <row r="300" spans="5:5" s="5" customFormat="1" ht="24">
      <c r="E300" s="5" ph="1"/>
    </row>
    <row r="301" spans="5:5" s="5" customFormat="1" ht="24">
      <c r="E301" s="5" ph="1"/>
    </row>
    <row r="302" spans="5:5" s="5" customFormat="1" ht="24">
      <c r="E302" s="5" ph="1"/>
    </row>
    <row r="303" spans="5:5" s="5" customFormat="1" ht="24">
      <c r="E303" s="5" ph="1"/>
    </row>
    <row r="304" spans="5:5" s="5" customFormat="1" ht="24">
      <c r="E304" s="5" ph="1"/>
    </row>
    <row r="305" spans="5:5" s="5" customFormat="1" ht="24">
      <c r="E305" s="5" ph="1"/>
    </row>
    <row r="307" spans="5:5" s="5" customFormat="1" ht="24">
      <c r="E307" s="5" ph="1"/>
    </row>
    <row r="308" spans="5:5" s="5" customFormat="1" ht="24">
      <c r="E308" s="5" ph="1"/>
    </row>
    <row r="309" spans="5:5" s="5" customFormat="1" ht="24">
      <c r="E309" s="5" ph="1"/>
    </row>
    <row r="310" spans="5:5" s="5" customFormat="1" ht="24">
      <c r="E310" s="5" ph="1"/>
    </row>
    <row r="311" spans="5:5" s="5" customFormat="1" ht="24">
      <c r="E311" s="5" ph="1"/>
    </row>
    <row r="313" spans="5:5" s="5" customFormat="1" ht="24">
      <c r="E313" s="5" ph="1"/>
    </row>
    <row r="314" spans="5:5" s="5" customFormat="1" ht="24">
      <c r="E314" s="5" ph="1"/>
    </row>
    <row r="315" spans="5:5" s="5" customFormat="1" ht="24">
      <c r="E315" s="5" ph="1"/>
    </row>
    <row r="316" spans="5:5" s="5" customFormat="1" ht="24">
      <c r="E316" s="5" ph="1"/>
    </row>
    <row r="317" spans="5:5" s="5" customFormat="1" ht="24">
      <c r="E317" s="5" ph="1"/>
    </row>
    <row r="318" spans="5:5" s="5" customFormat="1" ht="24">
      <c r="E318" s="5" ph="1"/>
    </row>
    <row r="319" spans="5:5" s="5" customFormat="1" ht="24">
      <c r="E319" s="5" ph="1"/>
    </row>
    <row r="320" spans="5:5" s="5" customFormat="1" ht="24">
      <c r="E320" s="5" ph="1"/>
    </row>
    <row r="321" spans="5:5" s="5" customFormat="1" ht="24">
      <c r="E321" s="5" ph="1"/>
    </row>
    <row r="325" spans="5:5" s="5" customFormat="1" ht="24">
      <c r="E325" s="5" ph="1"/>
    </row>
    <row r="327" spans="5:5" s="5" customFormat="1" ht="24">
      <c r="E327" s="5" ph="1"/>
    </row>
    <row r="328" spans="5:5" s="5" customFormat="1" ht="24">
      <c r="E328" s="5" ph="1"/>
    </row>
    <row r="330" spans="5:5" s="5" customFormat="1" ht="24">
      <c r="E330" s="5" ph="1"/>
    </row>
    <row r="331" spans="5:5" s="5" customFormat="1" ht="24">
      <c r="E331" s="5" ph="1"/>
    </row>
    <row r="333" spans="5:5" s="5" customFormat="1" ht="24">
      <c r="E333" s="5" ph="1"/>
    </row>
    <row r="335" spans="5:5" s="5" customFormat="1" ht="24">
      <c r="E335" s="5" ph="1"/>
    </row>
    <row r="336" spans="5:5" s="5" customFormat="1" ht="24">
      <c r="E336" s="5" ph="1"/>
    </row>
    <row r="338" spans="5:5" s="5" customFormat="1" ht="24">
      <c r="E338" s="5" ph="1"/>
    </row>
    <row r="339" spans="5:5" s="5" customFormat="1" ht="24">
      <c r="E339" s="5" ph="1"/>
    </row>
    <row r="341" spans="5:5" s="5" customFormat="1" ht="24">
      <c r="E341" s="5" ph="1"/>
    </row>
    <row r="344" spans="5:5" s="5" customFormat="1" ht="24">
      <c r="E344" s="5" ph="1"/>
    </row>
    <row r="345" spans="5:5" s="5" customFormat="1" ht="24">
      <c r="E345" s="5" ph="1"/>
    </row>
    <row r="347" spans="5:5" s="5" customFormat="1" ht="24">
      <c r="E347" s="5" ph="1"/>
    </row>
    <row r="348" spans="5:5" s="5" customFormat="1" ht="24">
      <c r="E348" s="5" ph="1"/>
    </row>
    <row r="351" spans="5:5" s="5" customFormat="1" ht="24">
      <c r="E351" s="5" ph="1"/>
    </row>
    <row r="352" spans="5:5" s="5" customFormat="1" ht="24">
      <c r="E352" s="5" ph="1"/>
    </row>
    <row r="354" spans="5:5" s="5" customFormat="1" ht="24">
      <c r="E354" s="5" ph="1"/>
    </row>
    <row r="355" spans="5:5" s="5" customFormat="1" ht="24">
      <c r="E355" s="5" ph="1"/>
    </row>
    <row r="357" spans="5:5" s="5" customFormat="1" ht="24">
      <c r="E357" s="5" ph="1"/>
    </row>
    <row r="359" spans="5:5" s="5" customFormat="1" ht="24">
      <c r="E359" s="5" ph="1"/>
    </row>
    <row r="360" spans="5:5" s="5" customFormat="1" ht="24">
      <c r="E360" s="5" ph="1"/>
    </row>
    <row r="362" spans="5:5" s="5" customFormat="1" ht="24">
      <c r="E362" s="5" ph="1"/>
    </row>
    <row r="363" spans="5:5" s="5" customFormat="1" ht="24">
      <c r="E363" s="5" ph="1"/>
    </row>
    <row r="365" spans="5:5" s="5" customFormat="1" ht="24">
      <c r="E365" s="5" ph="1"/>
    </row>
    <row r="368" spans="5:5" s="5" customFormat="1" ht="24">
      <c r="E368" s="5" ph="1"/>
    </row>
    <row r="369" spans="5:5" s="5" customFormat="1" ht="24">
      <c r="E369" s="5" ph="1"/>
    </row>
    <row r="371" spans="5:5" s="5" customFormat="1" ht="24">
      <c r="E371" s="5" ph="1"/>
    </row>
    <row r="372" spans="5:5" s="5" customFormat="1" ht="24">
      <c r="E372" s="5" ph="1"/>
    </row>
    <row r="373" spans="5:5" s="5" customFormat="1" ht="24">
      <c r="E373" s="5" ph="1"/>
    </row>
    <row r="374" spans="5:5" s="5" customFormat="1" ht="24">
      <c r="E374" s="5" ph="1"/>
    </row>
    <row r="375" spans="5:5" s="5" customFormat="1" ht="24">
      <c r="E375" s="5" ph="1"/>
    </row>
    <row r="377" spans="5:5" s="5" customFormat="1" ht="24">
      <c r="E377" s="5" ph="1"/>
    </row>
    <row r="378" spans="5:5" s="5" customFormat="1" ht="24">
      <c r="E378" s="5" ph="1"/>
    </row>
    <row r="379" spans="5:5" s="5" customFormat="1" ht="24">
      <c r="E379" s="5" ph="1"/>
    </row>
    <row r="380" spans="5:5" s="5" customFormat="1" ht="24">
      <c r="E380" s="5" ph="1"/>
    </row>
    <row r="381" spans="5:5" s="5" customFormat="1" ht="24">
      <c r="E381" s="5" ph="1"/>
    </row>
    <row r="382" spans="5:5" s="5" customFormat="1" ht="24">
      <c r="E382" s="5" ph="1"/>
    </row>
    <row r="384" spans="5:5" s="5" customFormat="1" ht="24">
      <c r="E384" s="5" ph="1"/>
    </row>
    <row r="385" spans="5:5" s="5" customFormat="1" ht="24">
      <c r="E385" s="5" ph="1"/>
    </row>
    <row r="386" spans="5:5" s="5" customFormat="1" ht="24">
      <c r="E386" s="5" ph="1"/>
    </row>
    <row r="387" spans="5:5" s="5" customFormat="1" ht="24">
      <c r="E387" s="5" ph="1"/>
    </row>
    <row r="388" spans="5:5" s="5" customFormat="1" ht="24">
      <c r="E388" s="5" ph="1"/>
    </row>
    <row r="390" spans="5:5" s="5" customFormat="1" ht="24">
      <c r="E390" s="5" ph="1"/>
    </row>
    <row r="391" spans="5:5" s="5" customFormat="1" ht="24">
      <c r="E391" s="5" ph="1"/>
    </row>
    <row r="392" spans="5:5" s="5" customFormat="1" ht="24">
      <c r="E392" s="5" ph="1"/>
    </row>
    <row r="393" spans="5:5" s="5" customFormat="1" ht="24">
      <c r="E393" s="5" ph="1"/>
    </row>
    <row r="394" spans="5:5" s="5" customFormat="1" ht="24">
      <c r="E394" s="5" ph="1"/>
    </row>
    <row r="395" spans="5:5" s="5" customFormat="1" ht="24">
      <c r="E395" s="5" ph="1"/>
    </row>
    <row r="396" spans="5:5" s="5" customFormat="1" ht="24">
      <c r="E396" s="5" ph="1"/>
    </row>
    <row r="397" spans="5:5" s="5" customFormat="1" ht="24">
      <c r="E397" s="5" ph="1"/>
    </row>
    <row r="398" spans="5:5" s="5" customFormat="1" ht="24">
      <c r="E398" s="5" ph="1"/>
    </row>
    <row r="400" spans="5:5" s="5" customFormat="1" ht="24">
      <c r="E400" s="5" ph="1"/>
    </row>
    <row r="401" spans="5:5" s="5" customFormat="1" ht="24">
      <c r="E401" s="5" ph="1"/>
    </row>
    <row r="402" spans="5:5" s="5" customFormat="1" ht="24">
      <c r="E402" s="5" ph="1"/>
    </row>
    <row r="403" spans="5:5" s="5" customFormat="1" ht="24">
      <c r="E403" s="5" ph="1"/>
    </row>
    <row r="404" spans="5:5" s="5" customFormat="1" ht="24">
      <c r="E404" s="5" ph="1"/>
    </row>
    <row r="406" spans="5:5" s="5" customFormat="1" ht="24">
      <c r="E406" s="5" ph="1"/>
    </row>
    <row r="407" spans="5:5" s="5" customFormat="1" ht="24">
      <c r="E407" s="5" ph="1"/>
    </row>
    <row r="408" spans="5:5" s="5" customFormat="1" ht="24">
      <c r="E408" s="5" ph="1"/>
    </row>
    <row r="409" spans="5:5" s="5" customFormat="1" ht="24">
      <c r="E409" s="5" ph="1"/>
    </row>
    <row r="410" spans="5:5" s="5" customFormat="1" ht="24">
      <c r="E410" s="5" ph="1"/>
    </row>
    <row r="411" spans="5:5" s="5" customFormat="1" ht="24">
      <c r="E411" s="5" ph="1"/>
    </row>
    <row r="412" spans="5:5" s="5" customFormat="1" ht="24">
      <c r="E412" s="5" ph="1"/>
    </row>
    <row r="413" spans="5:5" s="5" customFormat="1" ht="24">
      <c r="E413" s="5" ph="1"/>
    </row>
    <row r="414" spans="5:5" s="5" customFormat="1" ht="24">
      <c r="E414" s="5" ph="1"/>
    </row>
    <row r="416" spans="5:5" s="5" customFormat="1" ht="24">
      <c r="E416" s="5" ph="1"/>
    </row>
    <row r="417" spans="5:5" s="5" customFormat="1" ht="24">
      <c r="E417" s="5" ph="1"/>
    </row>
    <row r="418" spans="5:5" s="5" customFormat="1" ht="24">
      <c r="E418" s="5" ph="1"/>
    </row>
    <row r="419" spans="5:5" s="5" customFormat="1" ht="24">
      <c r="E419" s="5" ph="1"/>
    </row>
    <row r="420" spans="5:5" s="5" customFormat="1" ht="24">
      <c r="E420" s="5" ph="1"/>
    </row>
    <row r="422" spans="5:5" s="5" customFormat="1" ht="24">
      <c r="E422" s="5" ph="1"/>
    </row>
    <row r="423" spans="5:5" s="5" customFormat="1" ht="24">
      <c r="E423" s="5" ph="1"/>
    </row>
    <row r="424" spans="5:5" s="5" customFormat="1" ht="24">
      <c r="E424" s="5" ph="1"/>
    </row>
    <row r="425" spans="5:5" s="5" customFormat="1" ht="24">
      <c r="E425" s="5" ph="1"/>
    </row>
    <row r="426" spans="5:5" s="5" customFormat="1" ht="24">
      <c r="E426" s="5" ph="1"/>
    </row>
    <row r="427" spans="5:5" s="5" customFormat="1" ht="24">
      <c r="E427" s="5" ph="1"/>
    </row>
    <row r="428" spans="5:5" s="5" customFormat="1" ht="24">
      <c r="E428" s="5" ph="1"/>
    </row>
    <row r="429" spans="5:5" s="5" customFormat="1" ht="24">
      <c r="E429" s="5" ph="1"/>
    </row>
    <row r="430" spans="5:5" s="5" customFormat="1" ht="24">
      <c r="E430" s="5" ph="1"/>
    </row>
    <row r="431" spans="5:5" s="5" customFormat="1" ht="24">
      <c r="E431" s="5" ph="1"/>
    </row>
    <row r="432" spans="5:5" s="5" customFormat="1" ht="24">
      <c r="E432" s="5" ph="1"/>
    </row>
    <row r="433" spans="5:5" s="5" customFormat="1" ht="24">
      <c r="E433" s="5" ph="1"/>
    </row>
    <row r="434" spans="5:5" s="5" customFormat="1" ht="24">
      <c r="E434" s="5" ph="1"/>
    </row>
    <row r="435" spans="5:5" s="5" customFormat="1" ht="24">
      <c r="E435" s="5" ph="1"/>
    </row>
    <row r="436" spans="5:5" s="5" customFormat="1" ht="24">
      <c r="E436" s="5" ph="1"/>
    </row>
    <row r="438" spans="5:5" s="5" customFormat="1" ht="24">
      <c r="E438" s="5" ph="1"/>
    </row>
    <row r="439" spans="5:5" s="5" customFormat="1" ht="24">
      <c r="E439" s="5" ph="1"/>
    </row>
    <row r="440" spans="5:5" s="5" customFormat="1" ht="24">
      <c r="E440" s="5" ph="1"/>
    </row>
    <row r="442" spans="5:5" s="5" customFormat="1" ht="24">
      <c r="E442" s="5" ph="1"/>
    </row>
    <row r="444" spans="5:5" s="5" customFormat="1" ht="24">
      <c r="E444" s="5" ph="1"/>
    </row>
    <row r="445" spans="5:5" s="5" customFormat="1" ht="24">
      <c r="E445" s="5" ph="1"/>
    </row>
    <row r="446" spans="5:5" s="5" customFormat="1" ht="24">
      <c r="E446" s="5" ph="1"/>
    </row>
    <row r="447" spans="5:5" s="5" customFormat="1" ht="24">
      <c r="E447" s="5" ph="1"/>
    </row>
    <row r="448" spans="5:5" s="5" customFormat="1" ht="24">
      <c r="E448" s="5" ph="1"/>
    </row>
    <row r="449" spans="5:5" s="5" customFormat="1" ht="24">
      <c r="E449" s="5" ph="1"/>
    </row>
    <row r="450" spans="5:5" s="5" customFormat="1" ht="24">
      <c r="E450" s="5" ph="1"/>
    </row>
    <row r="451" spans="5:5" s="5" customFormat="1" ht="24">
      <c r="E451" s="5" ph="1"/>
    </row>
    <row r="452" spans="5:5" s="5" customFormat="1" ht="24">
      <c r="E452" s="5" ph="1"/>
    </row>
    <row r="453" spans="5:5" s="5" customFormat="1" ht="24">
      <c r="E453" s="5" ph="1"/>
    </row>
    <row r="454" spans="5:5" s="5" customFormat="1" ht="24">
      <c r="E454" s="5" ph="1"/>
    </row>
    <row r="455" spans="5:5" s="5" customFormat="1" ht="24">
      <c r="E455" s="5" ph="1"/>
    </row>
    <row r="456" spans="5:5" s="5" customFormat="1" ht="24">
      <c r="E456" s="5" ph="1"/>
    </row>
    <row r="457" spans="5:5" s="5" customFormat="1" ht="24">
      <c r="E457" s="5" ph="1"/>
    </row>
    <row r="458" spans="5:5" s="5" customFormat="1" ht="24">
      <c r="E458" s="5" ph="1"/>
    </row>
    <row r="460" spans="5:5" s="5" customFormat="1" ht="24">
      <c r="E460" s="5" ph="1"/>
    </row>
    <row r="461" spans="5:5" s="5" customFormat="1" ht="24">
      <c r="E461" s="5" ph="1"/>
    </row>
    <row r="462" spans="5:5" s="5" customFormat="1" ht="24">
      <c r="E462" s="5" ph="1"/>
    </row>
    <row r="464" spans="5:5" s="5" customFormat="1" ht="24">
      <c r="E464" s="5" ph="1"/>
    </row>
    <row r="465" spans="2:18" ht="24">
      <c r="B465" s="5"/>
      <c r="E465" s="5" ph="1"/>
      <c r="R465" s="5"/>
    </row>
    <row r="466" spans="2:18" ht="24">
      <c r="B466" s="5"/>
      <c r="E466" s="5" ph="1"/>
      <c r="R466" s="5"/>
    </row>
    <row r="467" spans="2:18" ht="24">
      <c r="B467" s="5"/>
      <c r="E467" s="5" ph="1"/>
      <c r="R467" s="5"/>
    </row>
    <row r="468" spans="2:18" ht="24">
      <c r="B468" s="5"/>
      <c r="E468" s="5" ph="1"/>
      <c r="R468" s="5"/>
    </row>
    <row r="469" spans="2:18" ht="24">
      <c r="B469" s="5"/>
      <c r="E469" s="5" ph="1"/>
      <c r="R469" s="5"/>
    </row>
    <row r="470" spans="2:18" ht="24">
      <c r="B470" s="5"/>
      <c r="E470" s="5" ph="1"/>
      <c r="R470" s="5"/>
    </row>
    <row r="471" spans="2:18" ht="24">
      <c r="B471" s="5"/>
      <c r="E471" s="5" ph="1"/>
      <c r="R471" s="5"/>
    </row>
    <row r="472" spans="2:18" ht="24">
      <c r="B472" s="5"/>
      <c r="E472" s="5" ph="1"/>
      <c r="R472" s="5"/>
    </row>
    <row r="473" spans="2:18" ht="24">
      <c r="B473" s="5"/>
      <c r="E473" s="5" ph="1"/>
      <c r="R473" s="5"/>
    </row>
    <row r="474" spans="2:18" ht="24">
      <c r="B474" s="5"/>
      <c r="E474" s="5" ph="1"/>
      <c r="R474" s="5"/>
    </row>
    <row r="475" spans="2:18" ht="24">
      <c r="B475" s="5"/>
      <c r="E475" s="5" ph="1"/>
      <c r="R475" s="5"/>
    </row>
    <row r="476" spans="2:18" ht="24">
      <c r="B476" s="5"/>
      <c r="E476" s="5" ph="1"/>
      <c r="R476" s="5"/>
    </row>
    <row r="477" spans="2:18" ht="24">
      <c r="B477" s="5"/>
      <c r="E477" s="5" ph="1"/>
      <c r="R477" s="5"/>
    </row>
    <row r="478" spans="2:18" ht="24">
      <c r="B478" s="5"/>
      <c r="E478" s="5" ph="1"/>
      <c r="R478" s="5"/>
    </row>
    <row r="479" spans="2:18" ht="24">
      <c r="E479" s="5" ph="1"/>
    </row>
    <row r="480" spans="2:18" ht="24">
      <c r="E480" s="5" ph="1"/>
    </row>
    <row r="481" spans="5:5" ht="24">
      <c r="E481" s="5" ph="1"/>
    </row>
    <row r="482" spans="5:5" ht="24">
      <c r="E482" s="5" ph="1"/>
    </row>
    <row r="483" spans="5:5" ht="24">
      <c r="E483" s="5" ph="1"/>
    </row>
    <row r="484" spans="5:5" ht="24">
      <c r="E484" s="5" ph="1"/>
    </row>
    <row r="485" spans="5:5" ht="24">
      <c r="E485" s="5" ph="1"/>
    </row>
    <row r="486" spans="5:5" ht="24">
      <c r="E486" s="5" ph="1"/>
    </row>
    <row r="487" spans="5:5" ht="24">
      <c r="E487" s="5" ph="1"/>
    </row>
    <row r="488" spans="5:5" ht="24">
      <c r="E488" s="5" ph="1"/>
    </row>
    <row r="489" spans="5:5" ht="24">
      <c r="E489" s="5" ph="1"/>
    </row>
    <row r="490" spans="5:5" ht="24">
      <c r="E490" s="5" ph="1"/>
    </row>
    <row r="491" spans="5:5" ht="24">
      <c r="E491" s="5" ph="1"/>
    </row>
    <row r="492" spans="5:5" ht="24">
      <c r="E492" s="5" ph="1"/>
    </row>
    <row r="493" spans="5:5" ht="24">
      <c r="E493" s="5" ph="1"/>
    </row>
    <row r="494" spans="5:5" ht="24">
      <c r="E494" s="5" ph="1"/>
    </row>
    <row r="495" spans="5:5" ht="24">
      <c r="E495" s="5" ph="1"/>
    </row>
    <row r="496" spans="5:5" ht="24">
      <c r="E496" s="5" ph="1"/>
    </row>
    <row r="497" spans="5:5" ht="24">
      <c r="E497" s="5" ph="1"/>
    </row>
    <row r="498" spans="5:5" ht="24">
      <c r="E498" s="5" ph="1"/>
    </row>
    <row r="499" spans="5:5" ht="24">
      <c r="E499" s="5" ph="1"/>
    </row>
    <row r="500" spans="5:5" ht="24">
      <c r="E500" s="5" ph="1"/>
    </row>
    <row r="501" spans="5:5" ht="24">
      <c r="E501" s="5" ph="1"/>
    </row>
    <row r="502" spans="5:5" ht="24">
      <c r="E502" s="5" ph="1"/>
    </row>
    <row r="503" spans="5:5" ht="24">
      <c r="E503" s="5" ph="1"/>
    </row>
    <row r="504" spans="5:5" ht="24">
      <c r="E504" s="5" ph="1"/>
    </row>
    <row r="506" spans="5:5" ht="24">
      <c r="E506" s="5" ph="1"/>
    </row>
    <row r="507" spans="5:5" ht="24">
      <c r="E507" s="5" ph="1"/>
    </row>
    <row r="508" spans="5:5" ht="24">
      <c r="E508" s="5" ph="1"/>
    </row>
    <row r="509" spans="5:5" ht="24">
      <c r="E509" s="5" ph="1"/>
    </row>
    <row r="510" spans="5:5" ht="24">
      <c r="E510" s="5" ph="1"/>
    </row>
    <row r="511" spans="5:5" ht="24">
      <c r="E511" s="5" ph="1"/>
    </row>
    <row r="512" spans="5:5" ht="24">
      <c r="E512" s="5" ph="1"/>
    </row>
    <row r="513" spans="5:5" ht="24">
      <c r="E513" s="5" ph="1"/>
    </row>
    <row r="514" spans="5:5" ht="24">
      <c r="E514" s="5" ph="1"/>
    </row>
    <row r="516" spans="5:5" ht="24">
      <c r="E516" s="5" ph="1"/>
    </row>
    <row r="517" spans="5:5" ht="24">
      <c r="E517" s="5" ph="1"/>
    </row>
    <row r="518" spans="5:5" ht="24">
      <c r="E518" s="5" ph="1"/>
    </row>
    <row r="519" spans="5:5" ht="24">
      <c r="E519" s="5" ph="1"/>
    </row>
    <row r="520" spans="5:5" ht="24">
      <c r="E520" s="5" ph="1"/>
    </row>
    <row r="522" spans="5:5" ht="24">
      <c r="E522" s="5" ph="1"/>
    </row>
    <row r="523" spans="5:5" ht="24">
      <c r="E523" s="5" ph="1"/>
    </row>
    <row r="524" spans="5:5" ht="24">
      <c r="E524" s="5" ph="1"/>
    </row>
    <row r="525" spans="5:5" ht="24">
      <c r="E525" s="5" ph="1"/>
    </row>
    <row r="526" spans="5:5" ht="24">
      <c r="E526" s="5" ph="1"/>
    </row>
    <row r="527" spans="5:5" ht="24">
      <c r="E527" s="5" ph="1"/>
    </row>
    <row r="528" spans="5:5" ht="24">
      <c r="E528" s="5" ph="1"/>
    </row>
    <row r="529" spans="5:5" ht="24">
      <c r="E529" s="5" ph="1"/>
    </row>
    <row r="530" spans="5:5" ht="24">
      <c r="E530" s="5" ph="1"/>
    </row>
    <row r="531" spans="5:5" ht="24">
      <c r="E531" s="5" ph="1"/>
    </row>
    <row r="532" spans="5:5" ht="24">
      <c r="E532" s="5" ph="1"/>
    </row>
    <row r="533" spans="5:5" ht="24">
      <c r="E533" s="5" ph="1"/>
    </row>
    <row r="534" spans="5:5" ht="24">
      <c r="E534" s="5" ph="1"/>
    </row>
    <row r="535" spans="5:5" ht="24">
      <c r="E535" s="5" ph="1"/>
    </row>
    <row r="536" spans="5:5" ht="24">
      <c r="E536" s="5" ph="1"/>
    </row>
    <row r="538" spans="5:5" ht="24">
      <c r="E538" s="5" ph="1"/>
    </row>
    <row r="539" spans="5:5" ht="24">
      <c r="E539" s="5" ph="1"/>
    </row>
    <row r="540" spans="5:5" ht="24">
      <c r="E540" s="5" ph="1"/>
    </row>
    <row r="542" spans="5:5" ht="24">
      <c r="E542" s="5" ph="1"/>
    </row>
    <row r="544" spans="5:5" ht="24">
      <c r="E544" s="5" ph="1"/>
    </row>
    <row r="545" spans="5:5" ht="24">
      <c r="E545" s="5" ph="1"/>
    </row>
    <row r="546" spans="5:5" ht="24">
      <c r="E546" s="5" ph="1"/>
    </row>
    <row r="547" spans="5:5" ht="24">
      <c r="E547" s="5" ph="1"/>
    </row>
    <row r="548" spans="5:5" ht="24">
      <c r="E548" s="5" ph="1"/>
    </row>
    <row r="549" spans="5:5" ht="24">
      <c r="E549" s="5" ph="1"/>
    </row>
    <row r="550" spans="5:5" ht="24">
      <c r="E550" s="5" ph="1"/>
    </row>
    <row r="551" spans="5:5" ht="24">
      <c r="E551" s="5" ph="1"/>
    </row>
    <row r="552" spans="5:5" ht="24">
      <c r="E552" s="5" ph="1"/>
    </row>
    <row r="553" spans="5:5" ht="24">
      <c r="E553" s="5" ph="1"/>
    </row>
    <row r="554" spans="5:5" ht="24">
      <c r="E554" s="5" ph="1"/>
    </row>
    <row r="555" spans="5:5" ht="24">
      <c r="E555" s="5" ph="1"/>
    </row>
    <row r="556" spans="5:5" ht="24">
      <c r="E556" s="5" ph="1"/>
    </row>
    <row r="557" spans="5:5" ht="24">
      <c r="E557" s="5" ph="1"/>
    </row>
    <row r="558" spans="5:5" ht="24">
      <c r="E558" s="5" ph="1"/>
    </row>
    <row r="560" spans="5:5" ht="24">
      <c r="E560" s="5" ph="1"/>
    </row>
    <row r="561" spans="5:5" ht="24">
      <c r="E561" s="5" ph="1"/>
    </row>
    <row r="562" spans="5:5" ht="24">
      <c r="E562" s="5" ph="1"/>
    </row>
    <row r="564" spans="5:5" ht="24">
      <c r="E564" s="5" ph="1"/>
    </row>
    <row r="565" spans="5:5" ht="24">
      <c r="E565" s="5" ph="1"/>
    </row>
    <row r="566" spans="5:5" ht="24">
      <c r="E566" s="5" ph="1"/>
    </row>
    <row r="567" spans="5:5" ht="24">
      <c r="E567" s="5" ph="1"/>
    </row>
    <row r="568" spans="5:5" ht="24">
      <c r="E568" s="5" ph="1"/>
    </row>
    <row r="569" spans="5:5" ht="24">
      <c r="E569" s="5" ph="1"/>
    </row>
    <row r="570" spans="5:5" ht="24">
      <c r="E570" s="5" ph="1"/>
    </row>
    <row r="571" spans="5:5" ht="24">
      <c r="E571" s="5" ph="1"/>
    </row>
    <row r="572" spans="5:5" ht="24">
      <c r="E572" s="5" ph="1"/>
    </row>
    <row r="573" spans="5:5" ht="24">
      <c r="E573" s="5" ph="1"/>
    </row>
    <row r="574" spans="5:5" ht="24">
      <c r="E574" s="5" ph="1"/>
    </row>
    <row r="575" spans="5:5" ht="24">
      <c r="E575" s="5" ph="1"/>
    </row>
    <row r="576" spans="5:5" ht="24">
      <c r="E576" s="5" ph="1"/>
    </row>
    <row r="577" spans="5:5" ht="24">
      <c r="E577" s="5" ph="1"/>
    </row>
    <row r="578" spans="5:5" ht="24">
      <c r="E578" s="5" ph="1"/>
    </row>
    <row r="579" spans="5:5" ht="24">
      <c r="E579" s="5" ph="1"/>
    </row>
    <row r="580" spans="5:5" ht="24">
      <c r="E580" s="5" ph="1"/>
    </row>
    <row r="581" spans="5:5" ht="24">
      <c r="E581" s="5" ph="1"/>
    </row>
    <row r="582" spans="5:5" ht="24">
      <c r="E582" s="5" ph="1"/>
    </row>
    <row r="583" spans="5:5" ht="24">
      <c r="E583" s="5" ph="1"/>
    </row>
    <row r="584" spans="5:5" ht="24">
      <c r="E584" s="5" ph="1"/>
    </row>
    <row r="585" spans="5:5" ht="24">
      <c r="E585" s="5" ph="1"/>
    </row>
    <row r="586" spans="5:5" ht="24">
      <c r="E586" s="5" ph="1"/>
    </row>
    <row r="587" spans="5:5" ht="24">
      <c r="E587" s="5" ph="1"/>
    </row>
    <row r="588" spans="5:5" ht="24">
      <c r="E588" s="5" ph="1"/>
    </row>
    <row r="589" spans="5:5" ht="24">
      <c r="E589" s="5" ph="1"/>
    </row>
    <row r="590" spans="5:5" ht="24">
      <c r="E590" s="5" ph="1"/>
    </row>
    <row r="591" spans="5:5" ht="24">
      <c r="E591" s="5" ph="1"/>
    </row>
    <row r="592" spans="5:5" ht="24">
      <c r="E592" s="5" ph="1"/>
    </row>
    <row r="593" spans="5:5" ht="24">
      <c r="E593" s="5" ph="1"/>
    </row>
    <row r="594" spans="5:5" ht="24">
      <c r="E594" s="5" ph="1"/>
    </row>
    <row r="595" spans="5:5" ht="24">
      <c r="E595" s="5" ph="1"/>
    </row>
    <row r="596" spans="5:5" ht="24">
      <c r="E596" s="5" ph="1"/>
    </row>
    <row r="597" spans="5:5" ht="24">
      <c r="E597" s="5" ph="1"/>
    </row>
    <row r="598" spans="5:5" ht="24">
      <c r="E598" s="5" ph="1"/>
    </row>
    <row r="599" spans="5:5" ht="24">
      <c r="E599" s="5" ph="1"/>
    </row>
    <row r="600" spans="5:5" ht="24">
      <c r="E600" s="5" ph="1"/>
    </row>
    <row r="601" spans="5:5" ht="24">
      <c r="E601" s="5" ph="1"/>
    </row>
    <row r="602" spans="5:5" ht="24">
      <c r="E602" s="5" ph="1"/>
    </row>
    <row r="603" spans="5:5" ht="24">
      <c r="E603" s="5" ph="1"/>
    </row>
    <row r="604" spans="5:5" ht="24">
      <c r="E604" s="5" ph="1"/>
    </row>
    <row r="605" spans="5:5" ht="24">
      <c r="E605" s="5" ph="1"/>
    </row>
    <row r="606" spans="5:5" ht="24">
      <c r="E606" s="5" ph="1"/>
    </row>
    <row r="607" spans="5:5" ht="24">
      <c r="E607" s="5" ph="1"/>
    </row>
    <row r="608" spans="5:5" ht="24">
      <c r="E608" s="5" ph="1"/>
    </row>
    <row r="609" spans="5:5" ht="24">
      <c r="E609" s="5" ph="1"/>
    </row>
    <row r="610" spans="5:5" ht="24">
      <c r="E610" s="5" ph="1"/>
    </row>
    <row r="611" spans="5:5" ht="24">
      <c r="E611" s="5" ph="1"/>
    </row>
    <row r="612" spans="5:5" ht="24">
      <c r="E612" s="5" ph="1"/>
    </row>
    <row r="613" spans="5:5" ht="24">
      <c r="E613" s="5" ph="1"/>
    </row>
    <row r="614" spans="5:5" ht="24">
      <c r="E614" s="5" ph="1"/>
    </row>
    <row r="615" spans="5:5" ht="24">
      <c r="E615" s="5" ph="1"/>
    </row>
    <row r="616" spans="5:5" ht="24">
      <c r="E616" s="5" ph="1"/>
    </row>
    <row r="617" spans="5:5" ht="24">
      <c r="E617" s="5" ph="1"/>
    </row>
    <row r="618" spans="5:5" ht="24">
      <c r="E618" s="5" ph="1"/>
    </row>
    <row r="619" spans="5:5" ht="24">
      <c r="E619" s="5" ph="1"/>
    </row>
    <row r="620" spans="5:5" ht="24">
      <c r="E620" s="5" ph="1"/>
    </row>
    <row r="621" spans="5:5" ht="24">
      <c r="E621" s="5" ph="1"/>
    </row>
    <row r="622" spans="5:5" ht="24">
      <c r="E622" s="5" ph="1"/>
    </row>
    <row r="623" spans="5:5" ht="24">
      <c r="E623" s="5" ph="1"/>
    </row>
    <row r="624" spans="5:5" ht="24">
      <c r="E624" s="5" ph="1"/>
    </row>
    <row r="625" spans="5:5" ht="24">
      <c r="E625" s="5" ph="1"/>
    </row>
    <row r="626" spans="5:5" ht="24">
      <c r="E626" s="5" ph="1"/>
    </row>
    <row r="627" spans="5:5" ht="24">
      <c r="E627" s="5" ph="1"/>
    </row>
    <row r="628" spans="5:5" ht="24">
      <c r="E628" s="5" ph="1"/>
    </row>
    <row r="629" spans="5:5" ht="24">
      <c r="E629" s="5" ph="1"/>
    </row>
    <row r="630" spans="5:5" ht="24">
      <c r="E630" s="5" ph="1"/>
    </row>
    <row r="631" spans="5:5" ht="24">
      <c r="E631" s="5" ph="1"/>
    </row>
    <row r="632" spans="5:5" ht="24">
      <c r="E632" s="5" ph="1"/>
    </row>
    <row r="633" spans="5:5" ht="24">
      <c r="E633" s="5" ph="1"/>
    </row>
    <row r="634" spans="5:5" ht="24">
      <c r="E634" s="5" ph="1"/>
    </row>
    <row r="635" spans="5:5" ht="24">
      <c r="E635" s="5" ph="1"/>
    </row>
    <row r="636" spans="5:5" ht="24">
      <c r="E636" s="5" ph="1"/>
    </row>
    <row r="637" spans="5:5" ht="24">
      <c r="E637" s="5" ph="1"/>
    </row>
    <row r="638" spans="5:5" ht="24">
      <c r="E638" s="5" ph="1"/>
    </row>
    <row r="639" spans="5:5" ht="24">
      <c r="E639" s="5" ph="1"/>
    </row>
    <row r="640" spans="5:5" ht="24">
      <c r="E640" s="5" ph="1"/>
    </row>
    <row r="641" spans="5:5" ht="24">
      <c r="E641" s="5" ph="1"/>
    </row>
  </sheetData>
  <mergeCells count="5">
    <mergeCell ref="D202:E202"/>
    <mergeCell ref="D124:E124"/>
    <mergeCell ref="B10:D10"/>
    <mergeCell ref="D150:E150"/>
    <mergeCell ref="D176:E176"/>
  </mergeCells>
  <phoneticPr fontId="3" type="noConversion"/>
  <pageMargins left="0.7" right="0.7" top="0.75" bottom="0.75" header="0.3" footer="0.3"/>
  <pageSetup paperSize="9" scale="38" orientation="landscape"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19">
    <tabColor theme="7" tint="0.59999389629810485"/>
  </sheetPr>
  <dimension ref="A1:S465"/>
  <sheetViews>
    <sheetView showGridLines="0" topLeftCell="A3" zoomScale="85" zoomScaleNormal="85" zoomScaleSheetLayoutView="85" workbookViewId="0">
      <selection activeCell="K43" sqref="K43"/>
    </sheetView>
  </sheetViews>
  <sheetFormatPr defaultRowHeight="15" customHeight="1"/>
  <cols>
    <col min="1" max="1" width="3.125" style="5" customWidth="1"/>
    <col min="2" max="2" width="16.125" style="7" customWidth="1"/>
    <col min="3" max="3" width="18.125" style="5" customWidth="1"/>
    <col min="4" max="4" width="16" style="5" customWidth="1"/>
    <col min="5" max="5" width="17.625" style="5" customWidth="1"/>
    <col min="6" max="6" width="22.625" style="5" customWidth="1"/>
    <col min="7" max="7" width="19.625" style="5" customWidth="1"/>
    <col min="8" max="8" width="19.375" style="5" customWidth="1"/>
    <col min="9" max="9" width="19.125" style="5" customWidth="1"/>
    <col min="10" max="10" width="20.125" style="5" customWidth="1"/>
    <col min="11" max="11" width="19" style="5" customWidth="1"/>
    <col min="12" max="12" width="20" style="5" customWidth="1"/>
    <col min="13" max="16" width="16.625" style="5" bestFit="1" customWidth="1"/>
    <col min="17" max="17" width="21.5" style="5" bestFit="1" customWidth="1"/>
    <col min="18" max="18" width="11.5" style="6" bestFit="1" customWidth="1"/>
    <col min="19" max="19" width="11.125" style="5" bestFit="1" customWidth="1"/>
    <col min="20" max="20" width="8.5" style="5" bestFit="1" customWidth="1"/>
    <col min="21" max="257" width="9" style="5"/>
    <col min="258" max="258" width="3.125" style="5" customWidth="1"/>
    <col min="259" max="259" width="7.5" style="5" customWidth="1"/>
    <col min="260" max="260" width="22" style="5" bestFit="1" customWidth="1"/>
    <col min="261" max="261" width="18.625" style="5" customWidth="1"/>
    <col min="262" max="262" width="17" style="5" customWidth="1"/>
    <col min="263" max="263" width="18.125" style="5" customWidth="1"/>
    <col min="264" max="264" width="14.625" style="5" customWidth="1"/>
    <col min="265" max="265" width="18" style="5" customWidth="1"/>
    <col min="266" max="267" width="19.125" style="5" customWidth="1"/>
    <col min="268" max="268" width="17.125" style="5" bestFit="1" customWidth="1"/>
    <col min="269" max="269" width="12.875" style="5" bestFit="1" customWidth="1"/>
    <col min="270" max="270" width="7.5" style="5" bestFit="1" customWidth="1"/>
    <col min="271" max="271" width="14.375" style="5" customWidth="1"/>
    <col min="272" max="272" width="17" style="5" customWidth="1"/>
    <col min="273" max="273" width="15.125" style="5" customWidth="1"/>
    <col min="274" max="274" width="9" style="5" bestFit="1" customWidth="1"/>
    <col min="275" max="275" width="9.125" style="5" bestFit="1" customWidth="1"/>
    <col min="276" max="513" width="9" style="5"/>
    <col min="514" max="514" width="3.125" style="5" customWidth="1"/>
    <col min="515" max="515" width="7.5" style="5" customWidth="1"/>
    <col min="516" max="516" width="22" style="5" bestFit="1" customWidth="1"/>
    <col min="517" max="517" width="18.625" style="5" customWidth="1"/>
    <col min="518" max="518" width="17" style="5" customWidth="1"/>
    <col min="519" max="519" width="18.125" style="5" customWidth="1"/>
    <col min="520" max="520" width="14.625" style="5" customWidth="1"/>
    <col min="521" max="521" width="18" style="5" customWidth="1"/>
    <col min="522" max="523" width="19.125" style="5" customWidth="1"/>
    <col min="524" max="524" width="17.125" style="5" bestFit="1" customWidth="1"/>
    <col min="525" max="525" width="12.875" style="5" bestFit="1" customWidth="1"/>
    <col min="526" max="526" width="7.5" style="5" bestFit="1" customWidth="1"/>
    <col min="527" max="527" width="14.375" style="5" customWidth="1"/>
    <col min="528" max="528" width="17" style="5" customWidth="1"/>
    <col min="529" max="529" width="15.125" style="5" customWidth="1"/>
    <col min="530" max="530" width="9" style="5" bestFit="1" customWidth="1"/>
    <col min="531" max="531" width="9.125" style="5" bestFit="1" customWidth="1"/>
    <col min="532" max="769" width="9" style="5"/>
    <col min="770" max="770" width="3.125" style="5" customWidth="1"/>
    <col min="771" max="771" width="7.5" style="5" customWidth="1"/>
    <col min="772" max="772" width="22" style="5" bestFit="1" customWidth="1"/>
    <col min="773" max="773" width="18.625" style="5" customWidth="1"/>
    <col min="774" max="774" width="17" style="5" customWidth="1"/>
    <col min="775" max="775" width="18.125" style="5" customWidth="1"/>
    <col min="776" max="776" width="14.625" style="5" customWidth="1"/>
    <col min="777" max="777" width="18" style="5" customWidth="1"/>
    <col min="778" max="779" width="19.125" style="5" customWidth="1"/>
    <col min="780" max="780" width="17.125" style="5" bestFit="1" customWidth="1"/>
    <col min="781" max="781" width="12.875" style="5" bestFit="1" customWidth="1"/>
    <col min="782" max="782" width="7.5" style="5" bestFit="1" customWidth="1"/>
    <col min="783" max="783" width="14.375" style="5" customWidth="1"/>
    <col min="784" max="784" width="17" style="5" customWidth="1"/>
    <col min="785" max="785" width="15.125" style="5" customWidth="1"/>
    <col min="786" max="786" width="9" style="5" bestFit="1" customWidth="1"/>
    <col min="787" max="787" width="9.125" style="5" bestFit="1" customWidth="1"/>
    <col min="788" max="1025" width="9" style="5"/>
    <col min="1026" max="1026" width="3.125" style="5" customWidth="1"/>
    <col min="1027" max="1027" width="7.5" style="5" customWidth="1"/>
    <col min="1028" max="1028" width="22" style="5" bestFit="1" customWidth="1"/>
    <col min="1029" max="1029" width="18.625" style="5" customWidth="1"/>
    <col min="1030" max="1030" width="17" style="5" customWidth="1"/>
    <col min="1031" max="1031" width="18.125" style="5" customWidth="1"/>
    <col min="1032" max="1032" width="14.625" style="5" customWidth="1"/>
    <col min="1033" max="1033" width="18" style="5" customWidth="1"/>
    <col min="1034" max="1035" width="19.125" style="5" customWidth="1"/>
    <col min="1036" max="1036" width="17.125" style="5" bestFit="1" customWidth="1"/>
    <col min="1037" max="1037" width="12.875" style="5" bestFit="1" customWidth="1"/>
    <col min="1038" max="1038" width="7.5" style="5" bestFit="1" customWidth="1"/>
    <col min="1039" max="1039" width="14.375" style="5" customWidth="1"/>
    <col min="1040" max="1040" width="17" style="5" customWidth="1"/>
    <col min="1041" max="1041" width="15.125" style="5" customWidth="1"/>
    <col min="1042" max="1042" width="9" style="5" bestFit="1" customWidth="1"/>
    <col min="1043" max="1043" width="9.125" style="5" bestFit="1" customWidth="1"/>
    <col min="1044" max="1281" width="9" style="5"/>
    <col min="1282" max="1282" width="3.125" style="5" customWidth="1"/>
    <col min="1283" max="1283" width="7.5" style="5" customWidth="1"/>
    <col min="1284" max="1284" width="22" style="5" bestFit="1" customWidth="1"/>
    <col min="1285" max="1285" width="18.625" style="5" customWidth="1"/>
    <col min="1286" max="1286" width="17" style="5" customWidth="1"/>
    <col min="1287" max="1287" width="18.125" style="5" customWidth="1"/>
    <col min="1288" max="1288" width="14.625" style="5" customWidth="1"/>
    <col min="1289" max="1289" width="18" style="5" customWidth="1"/>
    <col min="1290" max="1291" width="19.125" style="5" customWidth="1"/>
    <col min="1292" max="1292" width="17.125" style="5" bestFit="1" customWidth="1"/>
    <col min="1293" max="1293" width="12.875" style="5" bestFit="1" customWidth="1"/>
    <col min="1294" max="1294" width="7.5" style="5" bestFit="1" customWidth="1"/>
    <col min="1295" max="1295" width="14.375" style="5" customWidth="1"/>
    <col min="1296" max="1296" width="17" style="5" customWidth="1"/>
    <col min="1297" max="1297" width="15.125" style="5" customWidth="1"/>
    <col min="1298" max="1298" width="9" style="5" bestFit="1" customWidth="1"/>
    <col min="1299" max="1299" width="9.125" style="5" bestFit="1" customWidth="1"/>
    <col min="1300" max="1537" width="9" style="5"/>
    <col min="1538" max="1538" width="3.125" style="5" customWidth="1"/>
    <col min="1539" max="1539" width="7.5" style="5" customWidth="1"/>
    <col min="1540" max="1540" width="22" style="5" bestFit="1" customWidth="1"/>
    <col min="1541" max="1541" width="18.625" style="5" customWidth="1"/>
    <col min="1542" max="1542" width="17" style="5" customWidth="1"/>
    <col min="1543" max="1543" width="18.125" style="5" customWidth="1"/>
    <col min="1544" max="1544" width="14.625" style="5" customWidth="1"/>
    <col min="1545" max="1545" width="18" style="5" customWidth="1"/>
    <col min="1546" max="1547" width="19.125" style="5" customWidth="1"/>
    <col min="1548" max="1548" width="17.125" style="5" bestFit="1" customWidth="1"/>
    <col min="1549" max="1549" width="12.875" style="5" bestFit="1" customWidth="1"/>
    <col min="1550" max="1550" width="7.5" style="5" bestFit="1" customWidth="1"/>
    <col min="1551" max="1551" width="14.375" style="5" customWidth="1"/>
    <col min="1552" max="1552" width="17" style="5" customWidth="1"/>
    <col min="1553" max="1553" width="15.125" style="5" customWidth="1"/>
    <col min="1554" max="1554" width="9" style="5" bestFit="1" customWidth="1"/>
    <col min="1555" max="1555" width="9.125" style="5" bestFit="1" customWidth="1"/>
    <col min="1556" max="1793" width="9" style="5"/>
    <col min="1794" max="1794" width="3.125" style="5" customWidth="1"/>
    <col min="1795" max="1795" width="7.5" style="5" customWidth="1"/>
    <col min="1796" max="1796" width="22" style="5" bestFit="1" customWidth="1"/>
    <col min="1797" max="1797" width="18.625" style="5" customWidth="1"/>
    <col min="1798" max="1798" width="17" style="5" customWidth="1"/>
    <col min="1799" max="1799" width="18.125" style="5" customWidth="1"/>
    <col min="1800" max="1800" width="14.625" style="5" customWidth="1"/>
    <col min="1801" max="1801" width="18" style="5" customWidth="1"/>
    <col min="1802" max="1803" width="19.125" style="5" customWidth="1"/>
    <col min="1804" max="1804" width="17.125" style="5" bestFit="1" customWidth="1"/>
    <col min="1805" max="1805" width="12.875" style="5" bestFit="1" customWidth="1"/>
    <col min="1806" max="1806" width="7.5" style="5" bestFit="1" customWidth="1"/>
    <col min="1807" max="1807" width="14.375" style="5" customWidth="1"/>
    <col min="1808" max="1808" width="17" style="5" customWidth="1"/>
    <col min="1809" max="1809" width="15.125" style="5" customWidth="1"/>
    <col min="1810" max="1810" width="9" style="5" bestFit="1" customWidth="1"/>
    <col min="1811" max="1811" width="9.125" style="5" bestFit="1" customWidth="1"/>
    <col min="1812" max="2049" width="9" style="5"/>
    <col min="2050" max="2050" width="3.125" style="5" customWidth="1"/>
    <col min="2051" max="2051" width="7.5" style="5" customWidth="1"/>
    <col min="2052" max="2052" width="22" style="5" bestFit="1" customWidth="1"/>
    <col min="2053" max="2053" width="18.625" style="5" customWidth="1"/>
    <col min="2054" max="2054" width="17" style="5" customWidth="1"/>
    <col min="2055" max="2055" width="18.125" style="5" customWidth="1"/>
    <col min="2056" max="2056" width="14.625" style="5" customWidth="1"/>
    <col min="2057" max="2057" width="18" style="5" customWidth="1"/>
    <col min="2058" max="2059" width="19.125" style="5" customWidth="1"/>
    <col min="2060" max="2060" width="17.125" style="5" bestFit="1" customWidth="1"/>
    <col min="2061" max="2061" width="12.875" style="5" bestFit="1" customWidth="1"/>
    <col min="2062" max="2062" width="7.5" style="5" bestFit="1" customWidth="1"/>
    <col min="2063" max="2063" width="14.375" style="5" customWidth="1"/>
    <col min="2064" max="2064" width="17" style="5" customWidth="1"/>
    <col min="2065" max="2065" width="15.125" style="5" customWidth="1"/>
    <col min="2066" max="2066" width="9" style="5" bestFit="1" customWidth="1"/>
    <col min="2067" max="2067" width="9.125" style="5" bestFit="1" customWidth="1"/>
    <col min="2068" max="2305" width="9" style="5"/>
    <col min="2306" max="2306" width="3.125" style="5" customWidth="1"/>
    <col min="2307" max="2307" width="7.5" style="5" customWidth="1"/>
    <col min="2308" max="2308" width="22" style="5" bestFit="1" customWidth="1"/>
    <col min="2309" max="2309" width="18.625" style="5" customWidth="1"/>
    <col min="2310" max="2310" width="17" style="5" customWidth="1"/>
    <col min="2311" max="2311" width="18.125" style="5" customWidth="1"/>
    <col min="2312" max="2312" width="14.625" style="5" customWidth="1"/>
    <col min="2313" max="2313" width="18" style="5" customWidth="1"/>
    <col min="2314" max="2315" width="19.125" style="5" customWidth="1"/>
    <col min="2316" max="2316" width="17.125" style="5" bestFit="1" customWidth="1"/>
    <col min="2317" max="2317" width="12.875" style="5" bestFit="1" customWidth="1"/>
    <col min="2318" max="2318" width="7.5" style="5" bestFit="1" customWidth="1"/>
    <col min="2319" max="2319" width="14.375" style="5" customWidth="1"/>
    <col min="2320" max="2320" width="17" style="5" customWidth="1"/>
    <col min="2321" max="2321" width="15.125" style="5" customWidth="1"/>
    <col min="2322" max="2322" width="9" style="5" bestFit="1" customWidth="1"/>
    <col min="2323" max="2323" width="9.125" style="5" bestFit="1" customWidth="1"/>
    <col min="2324" max="2561" width="9" style="5"/>
    <col min="2562" max="2562" width="3.125" style="5" customWidth="1"/>
    <col min="2563" max="2563" width="7.5" style="5" customWidth="1"/>
    <col min="2564" max="2564" width="22" style="5" bestFit="1" customWidth="1"/>
    <col min="2565" max="2565" width="18.625" style="5" customWidth="1"/>
    <col min="2566" max="2566" width="17" style="5" customWidth="1"/>
    <col min="2567" max="2567" width="18.125" style="5" customWidth="1"/>
    <col min="2568" max="2568" width="14.625" style="5" customWidth="1"/>
    <col min="2569" max="2569" width="18" style="5" customWidth="1"/>
    <col min="2570" max="2571" width="19.125" style="5" customWidth="1"/>
    <col min="2572" max="2572" width="17.125" style="5" bestFit="1" customWidth="1"/>
    <col min="2573" max="2573" width="12.875" style="5" bestFit="1" customWidth="1"/>
    <col min="2574" max="2574" width="7.5" style="5" bestFit="1" customWidth="1"/>
    <col min="2575" max="2575" width="14.375" style="5" customWidth="1"/>
    <col min="2576" max="2576" width="17" style="5" customWidth="1"/>
    <col min="2577" max="2577" width="15.125" style="5" customWidth="1"/>
    <col min="2578" max="2578" width="9" style="5" bestFit="1" customWidth="1"/>
    <col min="2579" max="2579" width="9.125" style="5" bestFit="1" customWidth="1"/>
    <col min="2580" max="2817" width="9" style="5"/>
    <col min="2818" max="2818" width="3.125" style="5" customWidth="1"/>
    <col min="2819" max="2819" width="7.5" style="5" customWidth="1"/>
    <col min="2820" max="2820" width="22" style="5" bestFit="1" customWidth="1"/>
    <col min="2821" max="2821" width="18.625" style="5" customWidth="1"/>
    <col min="2822" max="2822" width="17" style="5" customWidth="1"/>
    <col min="2823" max="2823" width="18.125" style="5" customWidth="1"/>
    <col min="2824" max="2824" width="14.625" style="5" customWidth="1"/>
    <col min="2825" max="2825" width="18" style="5" customWidth="1"/>
    <col min="2826" max="2827" width="19.125" style="5" customWidth="1"/>
    <col min="2828" max="2828" width="17.125" style="5" bestFit="1" customWidth="1"/>
    <col min="2829" max="2829" width="12.875" style="5" bestFit="1" customWidth="1"/>
    <col min="2830" max="2830" width="7.5" style="5" bestFit="1" customWidth="1"/>
    <col min="2831" max="2831" width="14.375" style="5" customWidth="1"/>
    <col min="2832" max="2832" width="17" style="5" customWidth="1"/>
    <col min="2833" max="2833" width="15.125" style="5" customWidth="1"/>
    <col min="2834" max="2834" width="9" style="5" bestFit="1" customWidth="1"/>
    <col min="2835" max="2835" width="9.125" style="5" bestFit="1" customWidth="1"/>
    <col min="2836" max="3073" width="9" style="5"/>
    <col min="3074" max="3074" width="3.125" style="5" customWidth="1"/>
    <col min="3075" max="3075" width="7.5" style="5" customWidth="1"/>
    <col min="3076" max="3076" width="22" style="5" bestFit="1" customWidth="1"/>
    <col min="3077" max="3077" width="18.625" style="5" customWidth="1"/>
    <col min="3078" max="3078" width="17" style="5" customWidth="1"/>
    <col min="3079" max="3079" width="18.125" style="5" customWidth="1"/>
    <col min="3080" max="3080" width="14.625" style="5" customWidth="1"/>
    <col min="3081" max="3081" width="18" style="5" customWidth="1"/>
    <col min="3082" max="3083" width="19.125" style="5" customWidth="1"/>
    <col min="3084" max="3084" width="17.125" style="5" bestFit="1" customWidth="1"/>
    <col min="3085" max="3085" width="12.875" style="5" bestFit="1" customWidth="1"/>
    <col min="3086" max="3086" width="7.5" style="5" bestFit="1" customWidth="1"/>
    <col min="3087" max="3087" width="14.375" style="5" customWidth="1"/>
    <col min="3088" max="3088" width="17" style="5" customWidth="1"/>
    <col min="3089" max="3089" width="15.125" style="5" customWidth="1"/>
    <col min="3090" max="3090" width="9" style="5" bestFit="1" customWidth="1"/>
    <col min="3091" max="3091" width="9.125" style="5" bestFit="1" customWidth="1"/>
    <col min="3092" max="3329" width="9" style="5"/>
    <col min="3330" max="3330" width="3.125" style="5" customWidth="1"/>
    <col min="3331" max="3331" width="7.5" style="5" customWidth="1"/>
    <col min="3332" max="3332" width="22" style="5" bestFit="1" customWidth="1"/>
    <col min="3333" max="3333" width="18.625" style="5" customWidth="1"/>
    <col min="3334" max="3334" width="17" style="5" customWidth="1"/>
    <col min="3335" max="3335" width="18.125" style="5" customWidth="1"/>
    <col min="3336" max="3336" width="14.625" style="5" customWidth="1"/>
    <col min="3337" max="3337" width="18" style="5" customWidth="1"/>
    <col min="3338" max="3339" width="19.125" style="5" customWidth="1"/>
    <col min="3340" max="3340" width="17.125" style="5" bestFit="1" customWidth="1"/>
    <col min="3341" max="3341" width="12.875" style="5" bestFit="1" customWidth="1"/>
    <col min="3342" max="3342" width="7.5" style="5" bestFit="1" customWidth="1"/>
    <col min="3343" max="3343" width="14.375" style="5" customWidth="1"/>
    <col min="3344" max="3344" width="17" style="5" customWidth="1"/>
    <col min="3345" max="3345" width="15.125" style="5" customWidth="1"/>
    <col min="3346" max="3346" width="9" style="5" bestFit="1" customWidth="1"/>
    <col min="3347" max="3347" width="9.125" style="5" bestFit="1" customWidth="1"/>
    <col min="3348" max="3585" width="9" style="5"/>
    <col min="3586" max="3586" width="3.125" style="5" customWidth="1"/>
    <col min="3587" max="3587" width="7.5" style="5" customWidth="1"/>
    <col min="3588" max="3588" width="22" style="5" bestFit="1" customWidth="1"/>
    <col min="3589" max="3589" width="18.625" style="5" customWidth="1"/>
    <col min="3590" max="3590" width="17" style="5" customWidth="1"/>
    <col min="3591" max="3591" width="18.125" style="5" customWidth="1"/>
    <col min="3592" max="3592" width="14.625" style="5" customWidth="1"/>
    <col min="3593" max="3593" width="18" style="5" customWidth="1"/>
    <col min="3594" max="3595" width="19.125" style="5" customWidth="1"/>
    <col min="3596" max="3596" width="17.125" style="5" bestFit="1" customWidth="1"/>
    <col min="3597" max="3597" width="12.875" style="5" bestFit="1" customWidth="1"/>
    <col min="3598" max="3598" width="7.5" style="5" bestFit="1" customWidth="1"/>
    <col min="3599" max="3599" width="14.375" style="5" customWidth="1"/>
    <col min="3600" max="3600" width="17" style="5" customWidth="1"/>
    <col min="3601" max="3601" width="15.125" style="5" customWidth="1"/>
    <col min="3602" max="3602" width="9" style="5" bestFit="1" customWidth="1"/>
    <col min="3603" max="3603" width="9.125" style="5" bestFit="1" customWidth="1"/>
    <col min="3604" max="3841" width="9" style="5"/>
    <col min="3842" max="3842" width="3.125" style="5" customWidth="1"/>
    <col min="3843" max="3843" width="7.5" style="5" customWidth="1"/>
    <col min="3844" max="3844" width="22" style="5" bestFit="1" customWidth="1"/>
    <col min="3845" max="3845" width="18.625" style="5" customWidth="1"/>
    <col min="3846" max="3846" width="17" style="5" customWidth="1"/>
    <col min="3847" max="3847" width="18.125" style="5" customWidth="1"/>
    <col min="3848" max="3848" width="14.625" style="5" customWidth="1"/>
    <col min="3849" max="3849" width="18" style="5" customWidth="1"/>
    <col min="3850" max="3851" width="19.125" style="5" customWidth="1"/>
    <col min="3852" max="3852" width="17.125" style="5" bestFit="1" customWidth="1"/>
    <col min="3853" max="3853" width="12.875" style="5" bestFit="1" customWidth="1"/>
    <col min="3854" max="3854" width="7.5" style="5" bestFit="1" customWidth="1"/>
    <col min="3855" max="3855" width="14.375" style="5" customWidth="1"/>
    <col min="3856" max="3856" width="17" style="5" customWidth="1"/>
    <col min="3857" max="3857" width="15.125" style="5" customWidth="1"/>
    <col min="3858" max="3858" width="9" style="5" bestFit="1" customWidth="1"/>
    <col min="3859" max="3859" width="9.125" style="5" bestFit="1" customWidth="1"/>
    <col min="3860" max="4097" width="9" style="5"/>
    <col min="4098" max="4098" width="3.125" style="5" customWidth="1"/>
    <col min="4099" max="4099" width="7.5" style="5" customWidth="1"/>
    <col min="4100" max="4100" width="22" style="5" bestFit="1" customWidth="1"/>
    <col min="4101" max="4101" width="18.625" style="5" customWidth="1"/>
    <col min="4102" max="4102" width="17" style="5" customWidth="1"/>
    <col min="4103" max="4103" width="18.125" style="5" customWidth="1"/>
    <col min="4104" max="4104" width="14.625" style="5" customWidth="1"/>
    <col min="4105" max="4105" width="18" style="5" customWidth="1"/>
    <col min="4106" max="4107" width="19.125" style="5" customWidth="1"/>
    <col min="4108" max="4108" width="17.125" style="5" bestFit="1" customWidth="1"/>
    <col min="4109" max="4109" width="12.875" style="5" bestFit="1" customWidth="1"/>
    <col min="4110" max="4110" width="7.5" style="5" bestFit="1" customWidth="1"/>
    <col min="4111" max="4111" width="14.375" style="5" customWidth="1"/>
    <col min="4112" max="4112" width="17" style="5" customWidth="1"/>
    <col min="4113" max="4113" width="15.125" style="5" customWidth="1"/>
    <col min="4114" max="4114" width="9" style="5" bestFit="1" customWidth="1"/>
    <col min="4115" max="4115" width="9.125" style="5" bestFit="1" customWidth="1"/>
    <col min="4116" max="4353" width="9" style="5"/>
    <col min="4354" max="4354" width="3.125" style="5" customWidth="1"/>
    <col min="4355" max="4355" width="7.5" style="5" customWidth="1"/>
    <col min="4356" max="4356" width="22" style="5" bestFit="1" customWidth="1"/>
    <col min="4357" max="4357" width="18.625" style="5" customWidth="1"/>
    <col min="4358" max="4358" width="17" style="5" customWidth="1"/>
    <col min="4359" max="4359" width="18.125" style="5" customWidth="1"/>
    <col min="4360" max="4360" width="14.625" style="5" customWidth="1"/>
    <col min="4361" max="4361" width="18" style="5" customWidth="1"/>
    <col min="4362" max="4363" width="19.125" style="5" customWidth="1"/>
    <col min="4364" max="4364" width="17.125" style="5" bestFit="1" customWidth="1"/>
    <col min="4365" max="4365" width="12.875" style="5" bestFit="1" customWidth="1"/>
    <col min="4366" max="4366" width="7.5" style="5" bestFit="1" customWidth="1"/>
    <col min="4367" max="4367" width="14.375" style="5" customWidth="1"/>
    <col min="4368" max="4368" width="17" style="5" customWidth="1"/>
    <col min="4369" max="4369" width="15.125" style="5" customWidth="1"/>
    <col min="4370" max="4370" width="9" style="5" bestFit="1" customWidth="1"/>
    <col min="4371" max="4371" width="9.125" style="5" bestFit="1" customWidth="1"/>
    <col min="4372" max="4609" width="9" style="5"/>
    <col min="4610" max="4610" width="3.125" style="5" customWidth="1"/>
    <col min="4611" max="4611" width="7.5" style="5" customWidth="1"/>
    <col min="4612" max="4612" width="22" style="5" bestFit="1" customWidth="1"/>
    <col min="4613" max="4613" width="18.625" style="5" customWidth="1"/>
    <col min="4614" max="4614" width="17" style="5" customWidth="1"/>
    <col min="4615" max="4615" width="18.125" style="5" customWidth="1"/>
    <col min="4616" max="4616" width="14.625" style="5" customWidth="1"/>
    <col min="4617" max="4617" width="18" style="5" customWidth="1"/>
    <col min="4618" max="4619" width="19.125" style="5" customWidth="1"/>
    <col min="4620" max="4620" width="17.125" style="5" bestFit="1" customWidth="1"/>
    <col min="4621" max="4621" width="12.875" style="5" bestFit="1" customWidth="1"/>
    <col min="4622" max="4622" width="7.5" style="5" bestFit="1" customWidth="1"/>
    <col min="4623" max="4623" width="14.375" style="5" customWidth="1"/>
    <col min="4624" max="4624" width="17" style="5" customWidth="1"/>
    <col min="4625" max="4625" width="15.125" style="5" customWidth="1"/>
    <col min="4626" max="4626" width="9" style="5" bestFit="1" customWidth="1"/>
    <col min="4627" max="4627" width="9.125" style="5" bestFit="1" customWidth="1"/>
    <col min="4628" max="4865" width="9" style="5"/>
    <col min="4866" max="4866" width="3.125" style="5" customWidth="1"/>
    <col min="4867" max="4867" width="7.5" style="5" customWidth="1"/>
    <col min="4868" max="4868" width="22" style="5" bestFit="1" customWidth="1"/>
    <col min="4869" max="4869" width="18.625" style="5" customWidth="1"/>
    <col min="4870" max="4870" width="17" style="5" customWidth="1"/>
    <col min="4871" max="4871" width="18.125" style="5" customWidth="1"/>
    <col min="4872" max="4872" width="14.625" style="5" customWidth="1"/>
    <col min="4873" max="4873" width="18" style="5" customWidth="1"/>
    <col min="4874" max="4875" width="19.125" style="5" customWidth="1"/>
    <col min="4876" max="4876" width="17.125" style="5" bestFit="1" customWidth="1"/>
    <col min="4877" max="4877" width="12.875" style="5" bestFit="1" customWidth="1"/>
    <col min="4878" max="4878" width="7.5" style="5" bestFit="1" customWidth="1"/>
    <col min="4879" max="4879" width="14.375" style="5" customWidth="1"/>
    <col min="4880" max="4880" width="17" style="5" customWidth="1"/>
    <col min="4881" max="4881" width="15.125" style="5" customWidth="1"/>
    <col min="4882" max="4882" width="9" style="5" bestFit="1" customWidth="1"/>
    <col min="4883" max="4883" width="9.125" style="5" bestFit="1" customWidth="1"/>
    <col min="4884" max="5121" width="9" style="5"/>
    <col min="5122" max="5122" width="3.125" style="5" customWidth="1"/>
    <col min="5123" max="5123" width="7.5" style="5" customWidth="1"/>
    <col min="5124" max="5124" width="22" style="5" bestFit="1" customWidth="1"/>
    <col min="5125" max="5125" width="18.625" style="5" customWidth="1"/>
    <col min="5126" max="5126" width="17" style="5" customWidth="1"/>
    <col min="5127" max="5127" width="18.125" style="5" customWidth="1"/>
    <col min="5128" max="5128" width="14.625" style="5" customWidth="1"/>
    <col min="5129" max="5129" width="18" style="5" customWidth="1"/>
    <col min="5130" max="5131" width="19.125" style="5" customWidth="1"/>
    <col min="5132" max="5132" width="17.125" style="5" bestFit="1" customWidth="1"/>
    <col min="5133" max="5133" width="12.875" style="5" bestFit="1" customWidth="1"/>
    <col min="5134" max="5134" width="7.5" style="5" bestFit="1" customWidth="1"/>
    <col min="5135" max="5135" width="14.375" style="5" customWidth="1"/>
    <col min="5136" max="5136" width="17" style="5" customWidth="1"/>
    <col min="5137" max="5137" width="15.125" style="5" customWidth="1"/>
    <col min="5138" max="5138" width="9" style="5" bestFit="1" customWidth="1"/>
    <col min="5139" max="5139" width="9.125" style="5" bestFit="1" customWidth="1"/>
    <col min="5140" max="5377" width="9" style="5"/>
    <col min="5378" max="5378" width="3.125" style="5" customWidth="1"/>
    <col min="5379" max="5379" width="7.5" style="5" customWidth="1"/>
    <col min="5380" max="5380" width="22" style="5" bestFit="1" customWidth="1"/>
    <col min="5381" max="5381" width="18.625" style="5" customWidth="1"/>
    <col min="5382" max="5382" width="17" style="5" customWidth="1"/>
    <col min="5383" max="5383" width="18.125" style="5" customWidth="1"/>
    <col min="5384" max="5384" width="14.625" style="5" customWidth="1"/>
    <col min="5385" max="5385" width="18" style="5" customWidth="1"/>
    <col min="5386" max="5387" width="19.125" style="5" customWidth="1"/>
    <col min="5388" max="5388" width="17.125" style="5" bestFit="1" customWidth="1"/>
    <col min="5389" max="5389" width="12.875" style="5" bestFit="1" customWidth="1"/>
    <col min="5390" max="5390" width="7.5" style="5" bestFit="1" customWidth="1"/>
    <col min="5391" max="5391" width="14.375" style="5" customWidth="1"/>
    <col min="5392" max="5392" width="17" style="5" customWidth="1"/>
    <col min="5393" max="5393" width="15.125" style="5" customWidth="1"/>
    <col min="5394" max="5394" width="9" style="5" bestFit="1" customWidth="1"/>
    <col min="5395" max="5395" width="9.125" style="5" bestFit="1" customWidth="1"/>
    <col min="5396" max="5633" width="9" style="5"/>
    <col min="5634" max="5634" width="3.125" style="5" customWidth="1"/>
    <col min="5635" max="5635" width="7.5" style="5" customWidth="1"/>
    <col min="5636" max="5636" width="22" style="5" bestFit="1" customWidth="1"/>
    <col min="5637" max="5637" width="18.625" style="5" customWidth="1"/>
    <col min="5638" max="5638" width="17" style="5" customWidth="1"/>
    <col min="5639" max="5639" width="18.125" style="5" customWidth="1"/>
    <col min="5640" max="5640" width="14.625" style="5" customWidth="1"/>
    <col min="5641" max="5641" width="18" style="5" customWidth="1"/>
    <col min="5642" max="5643" width="19.125" style="5" customWidth="1"/>
    <col min="5644" max="5644" width="17.125" style="5" bestFit="1" customWidth="1"/>
    <col min="5645" max="5645" width="12.875" style="5" bestFit="1" customWidth="1"/>
    <col min="5646" max="5646" width="7.5" style="5" bestFit="1" customWidth="1"/>
    <col min="5647" max="5647" width="14.375" style="5" customWidth="1"/>
    <col min="5648" max="5648" width="17" style="5" customWidth="1"/>
    <col min="5649" max="5649" width="15.125" style="5" customWidth="1"/>
    <col min="5650" max="5650" width="9" style="5" bestFit="1" customWidth="1"/>
    <col min="5651" max="5651" width="9.125" style="5" bestFit="1" customWidth="1"/>
    <col min="5652" max="5889" width="9" style="5"/>
    <col min="5890" max="5890" width="3.125" style="5" customWidth="1"/>
    <col min="5891" max="5891" width="7.5" style="5" customWidth="1"/>
    <col min="5892" max="5892" width="22" style="5" bestFit="1" customWidth="1"/>
    <col min="5893" max="5893" width="18.625" style="5" customWidth="1"/>
    <col min="5894" max="5894" width="17" style="5" customWidth="1"/>
    <col min="5895" max="5895" width="18.125" style="5" customWidth="1"/>
    <col min="5896" max="5896" width="14.625" style="5" customWidth="1"/>
    <col min="5897" max="5897" width="18" style="5" customWidth="1"/>
    <col min="5898" max="5899" width="19.125" style="5" customWidth="1"/>
    <col min="5900" max="5900" width="17.125" style="5" bestFit="1" customWidth="1"/>
    <col min="5901" max="5901" width="12.875" style="5" bestFit="1" customWidth="1"/>
    <col min="5902" max="5902" width="7.5" style="5" bestFit="1" customWidth="1"/>
    <col min="5903" max="5903" width="14.375" style="5" customWidth="1"/>
    <col min="5904" max="5904" width="17" style="5" customWidth="1"/>
    <col min="5905" max="5905" width="15.125" style="5" customWidth="1"/>
    <col min="5906" max="5906" width="9" style="5" bestFit="1" customWidth="1"/>
    <col min="5907" max="5907" width="9.125" style="5" bestFit="1" customWidth="1"/>
    <col min="5908" max="6145" width="9" style="5"/>
    <col min="6146" max="6146" width="3.125" style="5" customWidth="1"/>
    <col min="6147" max="6147" width="7.5" style="5" customWidth="1"/>
    <col min="6148" max="6148" width="22" style="5" bestFit="1" customWidth="1"/>
    <col min="6149" max="6149" width="18.625" style="5" customWidth="1"/>
    <col min="6150" max="6150" width="17" style="5" customWidth="1"/>
    <col min="6151" max="6151" width="18.125" style="5" customWidth="1"/>
    <col min="6152" max="6152" width="14.625" style="5" customWidth="1"/>
    <col min="6153" max="6153" width="18" style="5" customWidth="1"/>
    <col min="6154" max="6155" width="19.125" style="5" customWidth="1"/>
    <col min="6156" max="6156" width="17.125" style="5" bestFit="1" customWidth="1"/>
    <col min="6157" max="6157" width="12.875" style="5" bestFit="1" customWidth="1"/>
    <col min="6158" max="6158" width="7.5" style="5" bestFit="1" customWidth="1"/>
    <col min="6159" max="6159" width="14.375" style="5" customWidth="1"/>
    <col min="6160" max="6160" width="17" style="5" customWidth="1"/>
    <col min="6161" max="6161" width="15.125" style="5" customWidth="1"/>
    <col min="6162" max="6162" width="9" style="5" bestFit="1" customWidth="1"/>
    <col min="6163" max="6163" width="9.125" style="5" bestFit="1" customWidth="1"/>
    <col min="6164" max="6401" width="9" style="5"/>
    <col min="6402" max="6402" width="3.125" style="5" customWidth="1"/>
    <col min="6403" max="6403" width="7.5" style="5" customWidth="1"/>
    <col min="6404" max="6404" width="22" style="5" bestFit="1" customWidth="1"/>
    <col min="6405" max="6405" width="18.625" style="5" customWidth="1"/>
    <col min="6406" max="6406" width="17" style="5" customWidth="1"/>
    <col min="6407" max="6407" width="18.125" style="5" customWidth="1"/>
    <col min="6408" max="6408" width="14.625" style="5" customWidth="1"/>
    <col min="6409" max="6409" width="18" style="5" customWidth="1"/>
    <col min="6410" max="6411" width="19.125" style="5" customWidth="1"/>
    <col min="6412" max="6412" width="17.125" style="5" bestFit="1" customWidth="1"/>
    <col min="6413" max="6413" width="12.875" style="5" bestFit="1" customWidth="1"/>
    <col min="6414" max="6414" width="7.5" style="5" bestFit="1" customWidth="1"/>
    <col min="6415" max="6415" width="14.375" style="5" customWidth="1"/>
    <col min="6416" max="6416" width="17" style="5" customWidth="1"/>
    <col min="6417" max="6417" width="15.125" style="5" customWidth="1"/>
    <col min="6418" max="6418" width="9" style="5" bestFit="1" customWidth="1"/>
    <col min="6419" max="6419" width="9.125" style="5" bestFit="1" customWidth="1"/>
    <col min="6420" max="6657" width="9" style="5"/>
    <col min="6658" max="6658" width="3.125" style="5" customWidth="1"/>
    <col min="6659" max="6659" width="7.5" style="5" customWidth="1"/>
    <col min="6660" max="6660" width="22" style="5" bestFit="1" customWidth="1"/>
    <col min="6661" max="6661" width="18.625" style="5" customWidth="1"/>
    <col min="6662" max="6662" width="17" style="5" customWidth="1"/>
    <col min="6663" max="6663" width="18.125" style="5" customWidth="1"/>
    <col min="6664" max="6664" width="14.625" style="5" customWidth="1"/>
    <col min="6665" max="6665" width="18" style="5" customWidth="1"/>
    <col min="6666" max="6667" width="19.125" style="5" customWidth="1"/>
    <col min="6668" max="6668" width="17.125" style="5" bestFit="1" customWidth="1"/>
    <col min="6669" max="6669" width="12.875" style="5" bestFit="1" customWidth="1"/>
    <col min="6670" max="6670" width="7.5" style="5" bestFit="1" customWidth="1"/>
    <col min="6671" max="6671" width="14.375" style="5" customWidth="1"/>
    <col min="6672" max="6672" width="17" style="5" customWidth="1"/>
    <col min="6673" max="6673" width="15.125" style="5" customWidth="1"/>
    <col min="6674" max="6674" width="9" style="5" bestFit="1" customWidth="1"/>
    <col min="6675" max="6675" width="9.125" style="5" bestFit="1" customWidth="1"/>
    <col min="6676" max="6913" width="9" style="5"/>
    <col min="6914" max="6914" width="3.125" style="5" customWidth="1"/>
    <col min="6915" max="6915" width="7.5" style="5" customWidth="1"/>
    <col min="6916" max="6916" width="22" style="5" bestFit="1" customWidth="1"/>
    <col min="6917" max="6917" width="18.625" style="5" customWidth="1"/>
    <col min="6918" max="6918" width="17" style="5" customWidth="1"/>
    <col min="6919" max="6919" width="18.125" style="5" customWidth="1"/>
    <col min="6920" max="6920" width="14.625" style="5" customWidth="1"/>
    <col min="6921" max="6921" width="18" style="5" customWidth="1"/>
    <col min="6922" max="6923" width="19.125" style="5" customWidth="1"/>
    <col min="6924" max="6924" width="17.125" style="5" bestFit="1" customWidth="1"/>
    <col min="6925" max="6925" width="12.875" style="5" bestFit="1" customWidth="1"/>
    <col min="6926" max="6926" width="7.5" style="5" bestFit="1" customWidth="1"/>
    <col min="6927" max="6927" width="14.375" style="5" customWidth="1"/>
    <col min="6928" max="6928" width="17" style="5" customWidth="1"/>
    <col min="6929" max="6929" width="15.125" style="5" customWidth="1"/>
    <col min="6930" max="6930" width="9" style="5" bestFit="1" customWidth="1"/>
    <col min="6931" max="6931" width="9.125" style="5" bestFit="1" customWidth="1"/>
    <col min="6932" max="7169" width="9" style="5"/>
    <col min="7170" max="7170" width="3.125" style="5" customWidth="1"/>
    <col min="7171" max="7171" width="7.5" style="5" customWidth="1"/>
    <col min="7172" max="7172" width="22" style="5" bestFit="1" customWidth="1"/>
    <col min="7173" max="7173" width="18.625" style="5" customWidth="1"/>
    <col min="7174" max="7174" width="17" style="5" customWidth="1"/>
    <col min="7175" max="7175" width="18.125" style="5" customWidth="1"/>
    <col min="7176" max="7176" width="14.625" style="5" customWidth="1"/>
    <col min="7177" max="7177" width="18" style="5" customWidth="1"/>
    <col min="7178" max="7179" width="19.125" style="5" customWidth="1"/>
    <col min="7180" max="7180" width="17.125" style="5" bestFit="1" customWidth="1"/>
    <col min="7181" max="7181" width="12.875" style="5" bestFit="1" customWidth="1"/>
    <col min="7182" max="7182" width="7.5" style="5" bestFit="1" customWidth="1"/>
    <col min="7183" max="7183" width="14.375" style="5" customWidth="1"/>
    <col min="7184" max="7184" width="17" style="5" customWidth="1"/>
    <col min="7185" max="7185" width="15.125" style="5" customWidth="1"/>
    <col min="7186" max="7186" width="9" style="5" bestFit="1" customWidth="1"/>
    <col min="7187" max="7187" width="9.125" style="5" bestFit="1" customWidth="1"/>
    <col min="7188" max="7425" width="9" style="5"/>
    <col min="7426" max="7426" width="3.125" style="5" customWidth="1"/>
    <col min="7427" max="7427" width="7.5" style="5" customWidth="1"/>
    <col min="7428" max="7428" width="22" style="5" bestFit="1" customWidth="1"/>
    <col min="7429" max="7429" width="18.625" style="5" customWidth="1"/>
    <col min="7430" max="7430" width="17" style="5" customWidth="1"/>
    <col min="7431" max="7431" width="18.125" style="5" customWidth="1"/>
    <col min="7432" max="7432" width="14.625" style="5" customWidth="1"/>
    <col min="7433" max="7433" width="18" style="5" customWidth="1"/>
    <col min="7434" max="7435" width="19.125" style="5" customWidth="1"/>
    <col min="7436" max="7436" width="17.125" style="5" bestFit="1" customWidth="1"/>
    <col min="7437" max="7437" width="12.875" style="5" bestFit="1" customWidth="1"/>
    <col min="7438" max="7438" width="7.5" style="5" bestFit="1" customWidth="1"/>
    <col min="7439" max="7439" width="14.375" style="5" customWidth="1"/>
    <col min="7440" max="7440" width="17" style="5" customWidth="1"/>
    <col min="7441" max="7441" width="15.125" style="5" customWidth="1"/>
    <col min="7442" max="7442" width="9" style="5" bestFit="1" customWidth="1"/>
    <col min="7443" max="7443" width="9.125" style="5" bestFit="1" customWidth="1"/>
    <col min="7444" max="7681" width="9" style="5"/>
    <col min="7682" max="7682" width="3.125" style="5" customWidth="1"/>
    <col min="7683" max="7683" width="7.5" style="5" customWidth="1"/>
    <col min="7684" max="7684" width="22" style="5" bestFit="1" customWidth="1"/>
    <col min="7685" max="7685" width="18.625" style="5" customWidth="1"/>
    <col min="7686" max="7686" width="17" style="5" customWidth="1"/>
    <col min="7687" max="7687" width="18.125" style="5" customWidth="1"/>
    <col min="7688" max="7688" width="14.625" style="5" customWidth="1"/>
    <col min="7689" max="7689" width="18" style="5" customWidth="1"/>
    <col min="7690" max="7691" width="19.125" style="5" customWidth="1"/>
    <col min="7692" max="7692" width="17.125" style="5" bestFit="1" customWidth="1"/>
    <col min="7693" max="7693" width="12.875" style="5" bestFit="1" customWidth="1"/>
    <col min="7694" max="7694" width="7.5" style="5" bestFit="1" customWidth="1"/>
    <col min="7695" max="7695" width="14.375" style="5" customWidth="1"/>
    <col min="7696" max="7696" width="17" style="5" customWidth="1"/>
    <col min="7697" max="7697" width="15.125" style="5" customWidth="1"/>
    <col min="7698" max="7698" width="9" style="5" bestFit="1" customWidth="1"/>
    <col min="7699" max="7699" width="9.125" style="5" bestFit="1" customWidth="1"/>
    <col min="7700" max="7937" width="9" style="5"/>
    <col min="7938" max="7938" width="3.125" style="5" customWidth="1"/>
    <col min="7939" max="7939" width="7.5" style="5" customWidth="1"/>
    <col min="7940" max="7940" width="22" style="5" bestFit="1" customWidth="1"/>
    <col min="7941" max="7941" width="18.625" style="5" customWidth="1"/>
    <col min="7942" max="7942" width="17" style="5" customWidth="1"/>
    <col min="7943" max="7943" width="18.125" style="5" customWidth="1"/>
    <col min="7944" max="7944" width="14.625" style="5" customWidth="1"/>
    <col min="7945" max="7945" width="18" style="5" customWidth="1"/>
    <col min="7946" max="7947" width="19.125" style="5" customWidth="1"/>
    <col min="7948" max="7948" width="17.125" style="5" bestFit="1" customWidth="1"/>
    <col min="7949" max="7949" width="12.875" style="5" bestFit="1" customWidth="1"/>
    <col min="7950" max="7950" width="7.5" style="5" bestFit="1" customWidth="1"/>
    <col min="7951" max="7951" width="14.375" style="5" customWidth="1"/>
    <col min="7952" max="7952" width="17" style="5" customWidth="1"/>
    <col min="7953" max="7953" width="15.125" style="5" customWidth="1"/>
    <col min="7954" max="7954" width="9" style="5" bestFit="1" customWidth="1"/>
    <col min="7955" max="7955" width="9.125" style="5" bestFit="1" customWidth="1"/>
    <col min="7956" max="8193" width="9" style="5"/>
    <col min="8194" max="8194" width="3.125" style="5" customWidth="1"/>
    <col min="8195" max="8195" width="7.5" style="5" customWidth="1"/>
    <col min="8196" max="8196" width="22" style="5" bestFit="1" customWidth="1"/>
    <col min="8197" max="8197" width="18.625" style="5" customWidth="1"/>
    <col min="8198" max="8198" width="17" style="5" customWidth="1"/>
    <col min="8199" max="8199" width="18.125" style="5" customWidth="1"/>
    <col min="8200" max="8200" width="14.625" style="5" customWidth="1"/>
    <col min="8201" max="8201" width="18" style="5" customWidth="1"/>
    <col min="8202" max="8203" width="19.125" style="5" customWidth="1"/>
    <col min="8204" max="8204" width="17.125" style="5" bestFit="1" customWidth="1"/>
    <col min="8205" max="8205" width="12.875" style="5" bestFit="1" customWidth="1"/>
    <col min="8206" max="8206" width="7.5" style="5" bestFit="1" customWidth="1"/>
    <col min="8207" max="8207" width="14.375" style="5" customWidth="1"/>
    <col min="8208" max="8208" width="17" style="5" customWidth="1"/>
    <col min="8209" max="8209" width="15.125" style="5" customWidth="1"/>
    <col min="8210" max="8210" width="9" style="5" bestFit="1" customWidth="1"/>
    <col min="8211" max="8211" width="9.125" style="5" bestFit="1" customWidth="1"/>
    <col min="8212" max="8449" width="9" style="5"/>
    <col min="8450" max="8450" width="3.125" style="5" customWidth="1"/>
    <col min="8451" max="8451" width="7.5" style="5" customWidth="1"/>
    <col min="8452" max="8452" width="22" style="5" bestFit="1" customWidth="1"/>
    <col min="8453" max="8453" width="18.625" style="5" customWidth="1"/>
    <col min="8454" max="8454" width="17" style="5" customWidth="1"/>
    <col min="8455" max="8455" width="18.125" style="5" customWidth="1"/>
    <col min="8456" max="8456" width="14.625" style="5" customWidth="1"/>
    <col min="8457" max="8457" width="18" style="5" customWidth="1"/>
    <col min="8458" max="8459" width="19.125" style="5" customWidth="1"/>
    <col min="8460" max="8460" width="17.125" style="5" bestFit="1" customWidth="1"/>
    <col min="8461" max="8461" width="12.875" style="5" bestFit="1" customWidth="1"/>
    <col min="8462" max="8462" width="7.5" style="5" bestFit="1" customWidth="1"/>
    <col min="8463" max="8463" width="14.375" style="5" customWidth="1"/>
    <col min="8464" max="8464" width="17" style="5" customWidth="1"/>
    <col min="8465" max="8465" width="15.125" style="5" customWidth="1"/>
    <col min="8466" max="8466" width="9" style="5" bestFit="1" customWidth="1"/>
    <col min="8467" max="8467" width="9.125" style="5" bestFit="1" customWidth="1"/>
    <col min="8468" max="8705" width="9" style="5"/>
    <col min="8706" max="8706" width="3.125" style="5" customWidth="1"/>
    <col min="8707" max="8707" width="7.5" style="5" customWidth="1"/>
    <col min="8708" max="8708" width="22" style="5" bestFit="1" customWidth="1"/>
    <col min="8709" max="8709" width="18.625" style="5" customWidth="1"/>
    <col min="8710" max="8710" width="17" style="5" customWidth="1"/>
    <col min="8711" max="8711" width="18.125" style="5" customWidth="1"/>
    <col min="8712" max="8712" width="14.625" style="5" customWidth="1"/>
    <col min="8713" max="8713" width="18" style="5" customWidth="1"/>
    <col min="8714" max="8715" width="19.125" style="5" customWidth="1"/>
    <col min="8716" max="8716" width="17.125" style="5" bestFit="1" customWidth="1"/>
    <col min="8717" max="8717" width="12.875" style="5" bestFit="1" customWidth="1"/>
    <col min="8718" max="8718" width="7.5" style="5" bestFit="1" customWidth="1"/>
    <col min="8719" max="8719" width="14.375" style="5" customWidth="1"/>
    <col min="8720" max="8720" width="17" style="5" customWidth="1"/>
    <col min="8721" max="8721" width="15.125" style="5" customWidth="1"/>
    <col min="8722" max="8722" width="9" style="5" bestFit="1" customWidth="1"/>
    <col min="8723" max="8723" width="9.125" style="5" bestFit="1" customWidth="1"/>
    <col min="8724" max="8961" width="9" style="5"/>
    <col min="8962" max="8962" width="3.125" style="5" customWidth="1"/>
    <col min="8963" max="8963" width="7.5" style="5" customWidth="1"/>
    <col min="8964" max="8964" width="22" style="5" bestFit="1" customWidth="1"/>
    <col min="8965" max="8965" width="18.625" style="5" customWidth="1"/>
    <col min="8966" max="8966" width="17" style="5" customWidth="1"/>
    <col min="8967" max="8967" width="18.125" style="5" customWidth="1"/>
    <col min="8968" max="8968" width="14.625" style="5" customWidth="1"/>
    <col min="8969" max="8969" width="18" style="5" customWidth="1"/>
    <col min="8970" max="8971" width="19.125" style="5" customWidth="1"/>
    <col min="8972" max="8972" width="17.125" style="5" bestFit="1" customWidth="1"/>
    <col min="8973" max="8973" width="12.875" style="5" bestFit="1" customWidth="1"/>
    <col min="8974" max="8974" width="7.5" style="5" bestFit="1" customWidth="1"/>
    <col min="8975" max="8975" width="14.375" style="5" customWidth="1"/>
    <col min="8976" max="8976" width="17" style="5" customWidth="1"/>
    <col min="8977" max="8977" width="15.125" style="5" customWidth="1"/>
    <col min="8978" max="8978" width="9" style="5" bestFit="1" customWidth="1"/>
    <col min="8979" max="8979" width="9.125" style="5" bestFit="1" customWidth="1"/>
    <col min="8980" max="9217" width="9" style="5"/>
    <col min="9218" max="9218" width="3.125" style="5" customWidth="1"/>
    <col min="9219" max="9219" width="7.5" style="5" customWidth="1"/>
    <col min="9220" max="9220" width="22" style="5" bestFit="1" customWidth="1"/>
    <col min="9221" max="9221" width="18.625" style="5" customWidth="1"/>
    <col min="9222" max="9222" width="17" style="5" customWidth="1"/>
    <col min="9223" max="9223" width="18.125" style="5" customWidth="1"/>
    <col min="9224" max="9224" width="14.625" style="5" customWidth="1"/>
    <col min="9225" max="9225" width="18" style="5" customWidth="1"/>
    <col min="9226" max="9227" width="19.125" style="5" customWidth="1"/>
    <col min="9228" max="9228" width="17.125" style="5" bestFit="1" customWidth="1"/>
    <col min="9229" max="9229" width="12.875" style="5" bestFit="1" customWidth="1"/>
    <col min="9230" max="9230" width="7.5" style="5" bestFit="1" customWidth="1"/>
    <col min="9231" max="9231" width="14.375" style="5" customWidth="1"/>
    <col min="9232" max="9232" width="17" style="5" customWidth="1"/>
    <col min="9233" max="9233" width="15.125" style="5" customWidth="1"/>
    <col min="9234" max="9234" width="9" style="5" bestFit="1" customWidth="1"/>
    <col min="9235" max="9235" width="9.125" style="5" bestFit="1" customWidth="1"/>
    <col min="9236" max="9473" width="9" style="5"/>
    <col min="9474" max="9474" width="3.125" style="5" customWidth="1"/>
    <col min="9475" max="9475" width="7.5" style="5" customWidth="1"/>
    <col min="9476" max="9476" width="22" style="5" bestFit="1" customWidth="1"/>
    <col min="9477" max="9477" width="18.625" style="5" customWidth="1"/>
    <col min="9478" max="9478" width="17" style="5" customWidth="1"/>
    <col min="9479" max="9479" width="18.125" style="5" customWidth="1"/>
    <col min="9480" max="9480" width="14.625" style="5" customWidth="1"/>
    <col min="9481" max="9481" width="18" style="5" customWidth="1"/>
    <col min="9482" max="9483" width="19.125" style="5" customWidth="1"/>
    <col min="9484" max="9484" width="17.125" style="5" bestFit="1" customWidth="1"/>
    <col min="9485" max="9485" width="12.875" style="5" bestFit="1" customWidth="1"/>
    <col min="9486" max="9486" width="7.5" style="5" bestFit="1" customWidth="1"/>
    <col min="9487" max="9487" width="14.375" style="5" customWidth="1"/>
    <col min="9488" max="9488" width="17" style="5" customWidth="1"/>
    <col min="9489" max="9489" width="15.125" style="5" customWidth="1"/>
    <col min="9490" max="9490" width="9" style="5" bestFit="1" customWidth="1"/>
    <col min="9491" max="9491" width="9.125" style="5" bestFit="1" customWidth="1"/>
    <col min="9492" max="9729" width="9" style="5"/>
    <col min="9730" max="9730" width="3.125" style="5" customWidth="1"/>
    <col min="9731" max="9731" width="7.5" style="5" customWidth="1"/>
    <col min="9732" max="9732" width="22" style="5" bestFit="1" customWidth="1"/>
    <col min="9733" max="9733" width="18.625" style="5" customWidth="1"/>
    <col min="9734" max="9734" width="17" style="5" customWidth="1"/>
    <col min="9735" max="9735" width="18.125" style="5" customWidth="1"/>
    <col min="9736" max="9736" width="14.625" style="5" customWidth="1"/>
    <col min="9737" max="9737" width="18" style="5" customWidth="1"/>
    <col min="9738" max="9739" width="19.125" style="5" customWidth="1"/>
    <col min="9740" max="9740" width="17.125" style="5" bestFit="1" customWidth="1"/>
    <col min="9741" max="9741" width="12.875" style="5" bestFit="1" customWidth="1"/>
    <col min="9742" max="9742" width="7.5" style="5" bestFit="1" customWidth="1"/>
    <col min="9743" max="9743" width="14.375" style="5" customWidth="1"/>
    <col min="9744" max="9744" width="17" style="5" customWidth="1"/>
    <col min="9745" max="9745" width="15.125" style="5" customWidth="1"/>
    <col min="9746" max="9746" width="9" style="5" bestFit="1" customWidth="1"/>
    <col min="9747" max="9747" width="9.125" style="5" bestFit="1" customWidth="1"/>
    <col min="9748" max="9985" width="9" style="5"/>
    <col min="9986" max="9986" width="3.125" style="5" customWidth="1"/>
    <col min="9987" max="9987" width="7.5" style="5" customWidth="1"/>
    <col min="9988" max="9988" width="22" style="5" bestFit="1" customWidth="1"/>
    <col min="9989" max="9989" width="18.625" style="5" customWidth="1"/>
    <col min="9990" max="9990" width="17" style="5" customWidth="1"/>
    <col min="9991" max="9991" width="18.125" style="5" customWidth="1"/>
    <col min="9992" max="9992" width="14.625" style="5" customWidth="1"/>
    <col min="9993" max="9993" width="18" style="5" customWidth="1"/>
    <col min="9994" max="9995" width="19.125" style="5" customWidth="1"/>
    <col min="9996" max="9996" width="17.125" style="5" bestFit="1" customWidth="1"/>
    <col min="9997" max="9997" width="12.875" style="5" bestFit="1" customWidth="1"/>
    <col min="9998" max="9998" width="7.5" style="5" bestFit="1" customWidth="1"/>
    <col min="9999" max="9999" width="14.375" style="5" customWidth="1"/>
    <col min="10000" max="10000" width="17" style="5" customWidth="1"/>
    <col min="10001" max="10001" width="15.125" style="5" customWidth="1"/>
    <col min="10002" max="10002" width="9" style="5" bestFit="1" customWidth="1"/>
    <col min="10003" max="10003" width="9.125" style="5" bestFit="1" customWidth="1"/>
    <col min="10004" max="10241" width="9" style="5"/>
    <col min="10242" max="10242" width="3.125" style="5" customWidth="1"/>
    <col min="10243" max="10243" width="7.5" style="5" customWidth="1"/>
    <col min="10244" max="10244" width="22" style="5" bestFit="1" customWidth="1"/>
    <col min="10245" max="10245" width="18.625" style="5" customWidth="1"/>
    <col min="10246" max="10246" width="17" style="5" customWidth="1"/>
    <col min="10247" max="10247" width="18.125" style="5" customWidth="1"/>
    <col min="10248" max="10248" width="14.625" style="5" customWidth="1"/>
    <col min="10249" max="10249" width="18" style="5" customWidth="1"/>
    <col min="10250" max="10251" width="19.125" style="5" customWidth="1"/>
    <col min="10252" max="10252" width="17.125" style="5" bestFit="1" customWidth="1"/>
    <col min="10253" max="10253" width="12.875" style="5" bestFit="1" customWidth="1"/>
    <col min="10254" max="10254" width="7.5" style="5" bestFit="1" customWidth="1"/>
    <col min="10255" max="10255" width="14.375" style="5" customWidth="1"/>
    <col min="10256" max="10256" width="17" style="5" customWidth="1"/>
    <col min="10257" max="10257" width="15.125" style="5" customWidth="1"/>
    <col min="10258" max="10258" width="9" style="5" bestFit="1" customWidth="1"/>
    <col min="10259" max="10259" width="9.125" style="5" bestFit="1" customWidth="1"/>
    <col min="10260" max="10497" width="9" style="5"/>
    <col min="10498" max="10498" width="3.125" style="5" customWidth="1"/>
    <col min="10499" max="10499" width="7.5" style="5" customWidth="1"/>
    <col min="10500" max="10500" width="22" style="5" bestFit="1" customWidth="1"/>
    <col min="10501" max="10501" width="18.625" style="5" customWidth="1"/>
    <col min="10502" max="10502" width="17" style="5" customWidth="1"/>
    <col min="10503" max="10503" width="18.125" style="5" customWidth="1"/>
    <col min="10504" max="10504" width="14.625" style="5" customWidth="1"/>
    <col min="10505" max="10505" width="18" style="5" customWidth="1"/>
    <col min="10506" max="10507" width="19.125" style="5" customWidth="1"/>
    <col min="10508" max="10508" width="17.125" style="5" bestFit="1" customWidth="1"/>
    <col min="10509" max="10509" width="12.875" style="5" bestFit="1" customWidth="1"/>
    <col min="10510" max="10510" width="7.5" style="5" bestFit="1" customWidth="1"/>
    <col min="10511" max="10511" width="14.375" style="5" customWidth="1"/>
    <col min="10512" max="10512" width="17" style="5" customWidth="1"/>
    <col min="10513" max="10513" width="15.125" style="5" customWidth="1"/>
    <col min="10514" max="10514" width="9" style="5" bestFit="1" customWidth="1"/>
    <col min="10515" max="10515" width="9.125" style="5" bestFit="1" customWidth="1"/>
    <col min="10516" max="10753" width="9" style="5"/>
    <col min="10754" max="10754" width="3.125" style="5" customWidth="1"/>
    <col min="10755" max="10755" width="7.5" style="5" customWidth="1"/>
    <col min="10756" max="10756" width="22" style="5" bestFit="1" customWidth="1"/>
    <col min="10757" max="10757" width="18.625" style="5" customWidth="1"/>
    <col min="10758" max="10758" width="17" style="5" customWidth="1"/>
    <col min="10759" max="10759" width="18.125" style="5" customWidth="1"/>
    <col min="10760" max="10760" width="14.625" style="5" customWidth="1"/>
    <col min="10761" max="10761" width="18" style="5" customWidth="1"/>
    <col min="10762" max="10763" width="19.125" style="5" customWidth="1"/>
    <col min="10764" max="10764" width="17.125" style="5" bestFit="1" customWidth="1"/>
    <col min="10765" max="10765" width="12.875" style="5" bestFit="1" customWidth="1"/>
    <col min="10766" max="10766" width="7.5" style="5" bestFit="1" customWidth="1"/>
    <col min="10767" max="10767" width="14.375" style="5" customWidth="1"/>
    <col min="10768" max="10768" width="17" style="5" customWidth="1"/>
    <col min="10769" max="10769" width="15.125" style="5" customWidth="1"/>
    <col min="10770" max="10770" width="9" style="5" bestFit="1" customWidth="1"/>
    <col min="10771" max="10771" width="9.125" style="5" bestFit="1" customWidth="1"/>
    <col min="10772" max="11009" width="9" style="5"/>
    <col min="11010" max="11010" width="3.125" style="5" customWidth="1"/>
    <col min="11011" max="11011" width="7.5" style="5" customWidth="1"/>
    <col min="11012" max="11012" width="22" style="5" bestFit="1" customWidth="1"/>
    <col min="11013" max="11013" width="18.625" style="5" customWidth="1"/>
    <col min="11014" max="11014" width="17" style="5" customWidth="1"/>
    <col min="11015" max="11015" width="18.125" style="5" customWidth="1"/>
    <col min="11016" max="11016" width="14.625" style="5" customWidth="1"/>
    <col min="11017" max="11017" width="18" style="5" customWidth="1"/>
    <col min="11018" max="11019" width="19.125" style="5" customWidth="1"/>
    <col min="11020" max="11020" width="17.125" style="5" bestFit="1" customWidth="1"/>
    <col min="11021" max="11021" width="12.875" style="5" bestFit="1" customWidth="1"/>
    <col min="11022" max="11022" width="7.5" style="5" bestFit="1" customWidth="1"/>
    <col min="11023" max="11023" width="14.375" style="5" customWidth="1"/>
    <col min="11024" max="11024" width="17" style="5" customWidth="1"/>
    <col min="11025" max="11025" width="15.125" style="5" customWidth="1"/>
    <col min="11026" max="11026" width="9" style="5" bestFit="1" customWidth="1"/>
    <col min="11027" max="11027" width="9.125" style="5" bestFit="1" customWidth="1"/>
    <col min="11028" max="11265" width="9" style="5"/>
    <col min="11266" max="11266" width="3.125" style="5" customWidth="1"/>
    <col min="11267" max="11267" width="7.5" style="5" customWidth="1"/>
    <col min="11268" max="11268" width="22" style="5" bestFit="1" customWidth="1"/>
    <col min="11269" max="11269" width="18.625" style="5" customWidth="1"/>
    <col min="11270" max="11270" width="17" style="5" customWidth="1"/>
    <col min="11271" max="11271" width="18.125" style="5" customWidth="1"/>
    <col min="11272" max="11272" width="14.625" style="5" customWidth="1"/>
    <col min="11273" max="11273" width="18" style="5" customWidth="1"/>
    <col min="11274" max="11275" width="19.125" style="5" customWidth="1"/>
    <col min="11276" max="11276" width="17.125" style="5" bestFit="1" customWidth="1"/>
    <col min="11277" max="11277" width="12.875" style="5" bestFit="1" customWidth="1"/>
    <col min="11278" max="11278" width="7.5" style="5" bestFit="1" customWidth="1"/>
    <col min="11279" max="11279" width="14.375" style="5" customWidth="1"/>
    <col min="11280" max="11280" width="17" style="5" customWidth="1"/>
    <col min="11281" max="11281" width="15.125" style="5" customWidth="1"/>
    <col min="11282" max="11282" width="9" style="5" bestFit="1" customWidth="1"/>
    <col min="11283" max="11283" width="9.125" style="5" bestFit="1" customWidth="1"/>
    <col min="11284" max="11521" width="9" style="5"/>
    <col min="11522" max="11522" width="3.125" style="5" customWidth="1"/>
    <col min="11523" max="11523" width="7.5" style="5" customWidth="1"/>
    <col min="11524" max="11524" width="22" style="5" bestFit="1" customWidth="1"/>
    <col min="11525" max="11525" width="18.625" style="5" customWidth="1"/>
    <col min="11526" max="11526" width="17" style="5" customWidth="1"/>
    <col min="11527" max="11527" width="18.125" style="5" customWidth="1"/>
    <col min="11528" max="11528" width="14.625" style="5" customWidth="1"/>
    <col min="11529" max="11529" width="18" style="5" customWidth="1"/>
    <col min="11530" max="11531" width="19.125" style="5" customWidth="1"/>
    <col min="11532" max="11532" width="17.125" style="5" bestFit="1" customWidth="1"/>
    <col min="11533" max="11533" width="12.875" style="5" bestFit="1" customWidth="1"/>
    <col min="11534" max="11534" width="7.5" style="5" bestFit="1" customWidth="1"/>
    <col min="11535" max="11535" width="14.375" style="5" customWidth="1"/>
    <col min="11536" max="11536" width="17" style="5" customWidth="1"/>
    <col min="11537" max="11537" width="15.125" style="5" customWidth="1"/>
    <col min="11538" max="11538" width="9" style="5" bestFit="1" customWidth="1"/>
    <col min="11539" max="11539" width="9.125" style="5" bestFit="1" customWidth="1"/>
    <col min="11540" max="11777" width="9" style="5"/>
    <col min="11778" max="11778" width="3.125" style="5" customWidth="1"/>
    <col min="11779" max="11779" width="7.5" style="5" customWidth="1"/>
    <col min="11780" max="11780" width="22" style="5" bestFit="1" customWidth="1"/>
    <col min="11781" max="11781" width="18.625" style="5" customWidth="1"/>
    <col min="11782" max="11782" width="17" style="5" customWidth="1"/>
    <col min="11783" max="11783" width="18.125" style="5" customWidth="1"/>
    <col min="11784" max="11784" width="14.625" style="5" customWidth="1"/>
    <col min="11785" max="11785" width="18" style="5" customWidth="1"/>
    <col min="11786" max="11787" width="19.125" style="5" customWidth="1"/>
    <col min="11788" max="11788" width="17.125" style="5" bestFit="1" customWidth="1"/>
    <col min="11789" max="11789" width="12.875" style="5" bestFit="1" customWidth="1"/>
    <col min="11790" max="11790" width="7.5" style="5" bestFit="1" customWidth="1"/>
    <col min="11791" max="11791" width="14.375" style="5" customWidth="1"/>
    <col min="11792" max="11792" width="17" style="5" customWidth="1"/>
    <col min="11793" max="11793" width="15.125" style="5" customWidth="1"/>
    <col min="11794" max="11794" width="9" style="5" bestFit="1" customWidth="1"/>
    <col min="11795" max="11795" width="9.125" style="5" bestFit="1" customWidth="1"/>
    <col min="11796" max="12033" width="9" style="5"/>
    <col min="12034" max="12034" width="3.125" style="5" customWidth="1"/>
    <col min="12035" max="12035" width="7.5" style="5" customWidth="1"/>
    <col min="12036" max="12036" width="22" style="5" bestFit="1" customWidth="1"/>
    <col min="12037" max="12037" width="18.625" style="5" customWidth="1"/>
    <col min="12038" max="12038" width="17" style="5" customWidth="1"/>
    <col min="12039" max="12039" width="18.125" style="5" customWidth="1"/>
    <col min="12040" max="12040" width="14.625" style="5" customWidth="1"/>
    <col min="12041" max="12041" width="18" style="5" customWidth="1"/>
    <col min="12042" max="12043" width="19.125" style="5" customWidth="1"/>
    <col min="12044" max="12044" width="17.125" style="5" bestFit="1" customWidth="1"/>
    <col min="12045" max="12045" width="12.875" style="5" bestFit="1" customWidth="1"/>
    <col min="12046" max="12046" width="7.5" style="5" bestFit="1" customWidth="1"/>
    <col min="12047" max="12047" width="14.375" style="5" customWidth="1"/>
    <col min="12048" max="12048" width="17" style="5" customWidth="1"/>
    <col min="12049" max="12049" width="15.125" style="5" customWidth="1"/>
    <col min="12050" max="12050" width="9" style="5" bestFit="1" customWidth="1"/>
    <col min="12051" max="12051" width="9.125" style="5" bestFit="1" customWidth="1"/>
    <col min="12052" max="12289" width="9" style="5"/>
    <col min="12290" max="12290" width="3.125" style="5" customWidth="1"/>
    <col min="12291" max="12291" width="7.5" style="5" customWidth="1"/>
    <col min="12292" max="12292" width="22" style="5" bestFit="1" customWidth="1"/>
    <col min="12293" max="12293" width="18.625" style="5" customWidth="1"/>
    <col min="12294" max="12294" width="17" style="5" customWidth="1"/>
    <col min="12295" max="12295" width="18.125" style="5" customWidth="1"/>
    <col min="12296" max="12296" width="14.625" style="5" customWidth="1"/>
    <col min="12297" max="12297" width="18" style="5" customWidth="1"/>
    <col min="12298" max="12299" width="19.125" style="5" customWidth="1"/>
    <col min="12300" max="12300" width="17.125" style="5" bestFit="1" customWidth="1"/>
    <col min="12301" max="12301" width="12.875" style="5" bestFit="1" customWidth="1"/>
    <col min="12302" max="12302" width="7.5" style="5" bestFit="1" customWidth="1"/>
    <col min="12303" max="12303" width="14.375" style="5" customWidth="1"/>
    <col min="12304" max="12304" width="17" style="5" customWidth="1"/>
    <col min="12305" max="12305" width="15.125" style="5" customWidth="1"/>
    <col min="12306" max="12306" width="9" style="5" bestFit="1" customWidth="1"/>
    <col min="12307" max="12307" width="9.125" style="5" bestFit="1" customWidth="1"/>
    <col min="12308" max="12545" width="9" style="5"/>
    <col min="12546" max="12546" width="3.125" style="5" customWidth="1"/>
    <col min="12547" max="12547" width="7.5" style="5" customWidth="1"/>
    <col min="12548" max="12548" width="22" style="5" bestFit="1" customWidth="1"/>
    <col min="12549" max="12549" width="18.625" style="5" customWidth="1"/>
    <col min="12550" max="12550" width="17" style="5" customWidth="1"/>
    <col min="12551" max="12551" width="18.125" style="5" customWidth="1"/>
    <col min="12552" max="12552" width="14.625" style="5" customWidth="1"/>
    <col min="12553" max="12553" width="18" style="5" customWidth="1"/>
    <col min="12554" max="12555" width="19.125" style="5" customWidth="1"/>
    <col min="12556" max="12556" width="17.125" style="5" bestFit="1" customWidth="1"/>
    <col min="12557" max="12557" width="12.875" style="5" bestFit="1" customWidth="1"/>
    <col min="12558" max="12558" width="7.5" style="5" bestFit="1" customWidth="1"/>
    <col min="12559" max="12559" width="14.375" style="5" customWidth="1"/>
    <col min="12560" max="12560" width="17" style="5" customWidth="1"/>
    <col min="12561" max="12561" width="15.125" style="5" customWidth="1"/>
    <col min="12562" max="12562" width="9" style="5" bestFit="1" customWidth="1"/>
    <col min="12563" max="12563" width="9.125" style="5" bestFit="1" customWidth="1"/>
    <col min="12564" max="12801" width="9" style="5"/>
    <col min="12802" max="12802" width="3.125" style="5" customWidth="1"/>
    <col min="12803" max="12803" width="7.5" style="5" customWidth="1"/>
    <col min="12804" max="12804" width="22" style="5" bestFit="1" customWidth="1"/>
    <col min="12805" max="12805" width="18.625" style="5" customWidth="1"/>
    <col min="12806" max="12806" width="17" style="5" customWidth="1"/>
    <col min="12807" max="12807" width="18.125" style="5" customWidth="1"/>
    <col min="12808" max="12808" width="14.625" style="5" customWidth="1"/>
    <col min="12809" max="12809" width="18" style="5" customWidth="1"/>
    <col min="12810" max="12811" width="19.125" style="5" customWidth="1"/>
    <col min="12812" max="12812" width="17.125" style="5" bestFit="1" customWidth="1"/>
    <col min="12813" max="12813" width="12.875" style="5" bestFit="1" customWidth="1"/>
    <col min="12814" max="12814" width="7.5" style="5" bestFit="1" customWidth="1"/>
    <col min="12815" max="12815" width="14.375" style="5" customWidth="1"/>
    <col min="12816" max="12816" width="17" style="5" customWidth="1"/>
    <col min="12817" max="12817" width="15.125" style="5" customWidth="1"/>
    <col min="12818" max="12818" width="9" style="5" bestFit="1" customWidth="1"/>
    <col min="12819" max="12819" width="9.125" style="5" bestFit="1" customWidth="1"/>
    <col min="12820" max="13057" width="9" style="5"/>
    <col min="13058" max="13058" width="3.125" style="5" customWidth="1"/>
    <col min="13059" max="13059" width="7.5" style="5" customWidth="1"/>
    <col min="13060" max="13060" width="22" style="5" bestFit="1" customWidth="1"/>
    <col min="13061" max="13061" width="18.625" style="5" customWidth="1"/>
    <col min="13062" max="13062" width="17" style="5" customWidth="1"/>
    <col min="13063" max="13063" width="18.125" style="5" customWidth="1"/>
    <col min="13064" max="13064" width="14.625" style="5" customWidth="1"/>
    <col min="13065" max="13065" width="18" style="5" customWidth="1"/>
    <col min="13066" max="13067" width="19.125" style="5" customWidth="1"/>
    <col min="13068" max="13068" width="17.125" style="5" bestFit="1" customWidth="1"/>
    <col min="13069" max="13069" width="12.875" style="5" bestFit="1" customWidth="1"/>
    <col min="13070" max="13070" width="7.5" style="5" bestFit="1" customWidth="1"/>
    <col min="13071" max="13071" width="14.375" style="5" customWidth="1"/>
    <col min="13072" max="13072" width="17" style="5" customWidth="1"/>
    <col min="13073" max="13073" width="15.125" style="5" customWidth="1"/>
    <col min="13074" max="13074" width="9" style="5" bestFit="1" customWidth="1"/>
    <col min="13075" max="13075" width="9.125" style="5" bestFit="1" customWidth="1"/>
    <col min="13076" max="13313" width="9" style="5"/>
    <col min="13314" max="13314" width="3.125" style="5" customWidth="1"/>
    <col min="13315" max="13315" width="7.5" style="5" customWidth="1"/>
    <col min="13316" max="13316" width="22" style="5" bestFit="1" customWidth="1"/>
    <col min="13317" max="13317" width="18.625" style="5" customWidth="1"/>
    <col min="13318" max="13318" width="17" style="5" customWidth="1"/>
    <col min="13319" max="13319" width="18.125" style="5" customWidth="1"/>
    <col min="13320" max="13320" width="14.625" style="5" customWidth="1"/>
    <col min="13321" max="13321" width="18" style="5" customWidth="1"/>
    <col min="13322" max="13323" width="19.125" style="5" customWidth="1"/>
    <col min="13324" max="13324" width="17.125" style="5" bestFit="1" customWidth="1"/>
    <col min="13325" max="13325" width="12.875" style="5" bestFit="1" customWidth="1"/>
    <col min="13326" max="13326" width="7.5" style="5" bestFit="1" customWidth="1"/>
    <col min="13327" max="13327" width="14.375" style="5" customWidth="1"/>
    <col min="13328" max="13328" width="17" style="5" customWidth="1"/>
    <col min="13329" max="13329" width="15.125" style="5" customWidth="1"/>
    <col min="13330" max="13330" width="9" style="5" bestFit="1" customWidth="1"/>
    <col min="13331" max="13331" width="9.125" style="5" bestFit="1" customWidth="1"/>
    <col min="13332" max="13569" width="9" style="5"/>
    <col min="13570" max="13570" width="3.125" style="5" customWidth="1"/>
    <col min="13571" max="13571" width="7.5" style="5" customWidth="1"/>
    <col min="13572" max="13572" width="22" style="5" bestFit="1" customWidth="1"/>
    <col min="13573" max="13573" width="18.625" style="5" customWidth="1"/>
    <col min="13574" max="13574" width="17" style="5" customWidth="1"/>
    <col min="13575" max="13575" width="18.125" style="5" customWidth="1"/>
    <col min="13576" max="13576" width="14.625" style="5" customWidth="1"/>
    <col min="13577" max="13577" width="18" style="5" customWidth="1"/>
    <col min="13578" max="13579" width="19.125" style="5" customWidth="1"/>
    <col min="13580" max="13580" width="17.125" style="5" bestFit="1" customWidth="1"/>
    <col min="13581" max="13581" width="12.875" style="5" bestFit="1" customWidth="1"/>
    <col min="13582" max="13582" width="7.5" style="5" bestFit="1" customWidth="1"/>
    <col min="13583" max="13583" width="14.375" style="5" customWidth="1"/>
    <col min="13584" max="13584" width="17" style="5" customWidth="1"/>
    <col min="13585" max="13585" width="15.125" style="5" customWidth="1"/>
    <col min="13586" max="13586" width="9" style="5" bestFit="1" customWidth="1"/>
    <col min="13587" max="13587" width="9.125" style="5" bestFit="1" customWidth="1"/>
    <col min="13588" max="13825" width="9" style="5"/>
    <col min="13826" max="13826" width="3.125" style="5" customWidth="1"/>
    <col min="13827" max="13827" width="7.5" style="5" customWidth="1"/>
    <col min="13828" max="13828" width="22" style="5" bestFit="1" customWidth="1"/>
    <col min="13829" max="13829" width="18.625" style="5" customWidth="1"/>
    <col min="13830" max="13830" width="17" style="5" customWidth="1"/>
    <col min="13831" max="13831" width="18.125" style="5" customWidth="1"/>
    <col min="13832" max="13832" width="14.625" style="5" customWidth="1"/>
    <col min="13833" max="13833" width="18" style="5" customWidth="1"/>
    <col min="13834" max="13835" width="19.125" style="5" customWidth="1"/>
    <col min="13836" max="13836" width="17.125" style="5" bestFit="1" customWidth="1"/>
    <col min="13837" max="13837" width="12.875" style="5" bestFit="1" customWidth="1"/>
    <col min="13838" max="13838" width="7.5" style="5" bestFit="1" customWidth="1"/>
    <col min="13839" max="13839" width="14.375" style="5" customWidth="1"/>
    <col min="13840" max="13840" width="17" style="5" customWidth="1"/>
    <col min="13841" max="13841" width="15.125" style="5" customWidth="1"/>
    <col min="13842" max="13842" width="9" style="5" bestFit="1" customWidth="1"/>
    <col min="13843" max="13843" width="9.125" style="5" bestFit="1" customWidth="1"/>
    <col min="13844" max="14081" width="9" style="5"/>
    <col min="14082" max="14082" width="3.125" style="5" customWidth="1"/>
    <col min="14083" max="14083" width="7.5" style="5" customWidth="1"/>
    <col min="14084" max="14084" width="22" style="5" bestFit="1" customWidth="1"/>
    <col min="14085" max="14085" width="18.625" style="5" customWidth="1"/>
    <col min="14086" max="14086" width="17" style="5" customWidth="1"/>
    <col min="14087" max="14087" width="18.125" style="5" customWidth="1"/>
    <col min="14088" max="14088" width="14.625" style="5" customWidth="1"/>
    <col min="14089" max="14089" width="18" style="5" customWidth="1"/>
    <col min="14090" max="14091" width="19.125" style="5" customWidth="1"/>
    <col min="14092" max="14092" width="17.125" style="5" bestFit="1" customWidth="1"/>
    <col min="14093" max="14093" width="12.875" style="5" bestFit="1" customWidth="1"/>
    <col min="14094" max="14094" width="7.5" style="5" bestFit="1" customWidth="1"/>
    <col min="14095" max="14095" width="14.375" style="5" customWidth="1"/>
    <col min="14096" max="14096" width="17" style="5" customWidth="1"/>
    <col min="14097" max="14097" width="15.125" style="5" customWidth="1"/>
    <col min="14098" max="14098" width="9" style="5" bestFit="1" customWidth="1"/>
    <col min="14099" max="14099" width="9.125" style="5" bestFit="1" customWidth="1"/>
    <col min="14100" max="14337" width="9" style="5"/>
    <col min="14338" max="14338" width="3.125" style="5" customWidth="1"/>
    <col min="14339" max="14339" width="7.5" style="5" customWidth="1"/>
    <col min="14340" max="14340" width="22" style="5" bestFit="1" customWidth="1"/>
    <col min="14341" max="14341" width="18.625" style="5" customWidth="1"/>
    <col min="14342" max="14342" width="17" style="5" customWidth="1"/>
    <col min="14343" max="14343" width="18.125" style="5" customWidth="1"/>
    <col min="14344" max="14344" width="14.625" style="5" customWidth="1"/>
    <col min="14345" max="14345" width="18" style="5" customWidth="1"/>
    <col min="14346" max="14347" width="19.125" style="5" customWidth="1"/>
    <col min="14348" max="14348" width="17.125" style="5" bestFit="1" customWidth="1"/>
    <col min="14349" max="14349" width="12.875" style="5" bestFit="1" customWidth="1"/>
    <col min="14350" max="14350" width="7.5" style="5" bestFit="1" customWidth="1"/>
    <col min="14351" max="14351" width="14.375" style="5" customWidth="1"/>
    <col min="14352" max="14352" width="17" style="5" customWidth="1"/>
    <col min="14353" max="14353" width="15.125" style="5" customWidth="1"/>
    <col min="14354" max="14354" width="9" style="5" bestFit="1" customWidth="1"/>
    <col min="14355" max="14355" width="9.125" style="5" bestFit="1" customWidth="1"/>
    <col min="14356" max="14593" width="9" style="5"/>
    <col min="14594" max="14594" width="3.125" style="5" customWidth="1"/>
    <col min="14595" max="14595" width="7.5" style="5" customWidth="1"/>
    <col min="14596" max="14596" width="22" style="5" bestFit="1" customWidth="1"/>
    <col min="14597" max="14597" width="18.625" style="5" customWidth="1"/>
    <col min="14598" max="14598" width="17" style="5" customWidth="1"/>
    <col min="14599" max="14599" width="18.125" style="5" customWidth="1"/>
    <col min="14600" max="14600" width="14.625" style="5" customWidth="1"/>
    <col min="14601" max="14601" width="18" style="5" customWidth="1"/>
    <col min="14602" max="14603" width="19.125" style="5" customWidth="1"/>
    <col min="14604" max="14604" width="17.125" style="5" bestFit="1" customWidth="1"/>
    <col min="14605" max="14605" width="12.875" style="5" bestFit="1" customWidth="1"/>
    <col min="14606" max="14606" width="7.5" style="5" bestFit="1" customWidth="1"/>
    <col min="14607" max="14607" width="14.375" style="5" customWidth="1"/>
    <col min="14608" max="14608" width="17" style="5" customWidth="1"/>
    <col min="14609" max="14609" width="15.125" style="5" customWidth="1"/>
    <col min="14610" max="14610" width="9" style="5" bestFit="1" customWidth="1"/>
    <col min="14611" max="14611" width="9.125" style="5" bestFit="1" customWidth="1"/>
    <col min="14612" max="14849" width="9" style="5"/>
    <col min="14850" max="14850" width="3.125" style="5" customWidth="1"/>
    <col min="14851" max="14851" width="7.5" style="5" customWidth="1"/>
    <col min="14852" max="14852" width="22" style="5" bestFit="1" customWidth="1"/>
    <col min="14853" max="14853" width="18.625" style="5" customWidth="1"/>
    <col min="14854" max="14854" width="17" style="5" customWidth="1"/>
    <col min="14855" max="14855" width="18.125" style="5" customWidth="1"/>
    <col min="14856" max="14856" width="14.625" style="5" customWidth="1"/>
    <col min="14857" max="14857" width="18" style="5" customWidth="1"/>
    <col min="14858" max="14859" width="19.125" style="5" customWidth="1"/>
    <col min="14860" max="14860" width="17.125" style="5" bestFit="1" customWidth="1"/>
    <col min="14861" max="14861" width="12.875" style="5" bestFit="1" customWidth="1"/>
    <col min="14862" max="14862" width="7.5" style="5" bestFit="1" customWidth="1"/>
    <col min="14863" max="14863" width="14.375" style="5" customWidth="1"/>
    <col min="14864" max="14864" width="17" style="5" customWidth="1"/>
    <col min="14865" max="14865" width="15.125" style="5" customWidth="1"/>
    <col min="14866" max="14866" width="9" style="5" bestFit="1" customWidth="1"/>
    <col min="14867" max="14867" width="9.125" style="5" bestFit="1" customWidth="1"/>
    <col min="14868" max="15105" width="9" style="5"/>
    <col min="15106" max="15106" width="3.125" style="5" customWidth="1"/>
    <col min="15107" max="15107" width="7.5" style="5" customWidth="1"/>
    <col min="15108" max="15108" width="22" style="5" bestFit="1" customWidth="1"/>
    <col min="15109" max="15109" width="18.625" style="5" customWidth="1"/>
    <col min="15110" max="15110" width="17" style="5" customWidth="1"/>
    <col min="15111" max="15111" width="18.125" style="5" customWidth="1"/>
    <col min="15112" max="15112" width="14.625" style="5" customWidth="1"/>
    <col min="15113" max="15113" width="18" style="5" customWidth="1"/>
    <col min="15114" max="15115" width="19.125" style="5" customWidth="1"/>
    <col min="15116" max="15116" width="17.125" style="5" bestFit="1" customWidth="1"/>
    <col min="15117" max="15117" width="12.875" style="5" bestFit="1" customWidth="1"/>
    <col min="15118" max="15118" width="7.5" style="5" bestFit="1" customWidth="1"/>
    <col min="15119" max="15119" width="14.375" style="5" customWidth="1"/>
    <col min="15120" max="15120" width="17" style="5" customWidth="1"/>
    <col min="15121" max="15121" width="15.125" style="5" customWidth="1"/>
    <col min="15122" max="15122" width="9" style="5" bestFit="1" customWidth="1"/>
    <col min="15123" max="15123" width="9.125" style="5" bestFit="1" customWidth="1"/>
    <col min="15124" max="15361" width="9" style="5"/>
    <col min="15362" max="15362" width="3.125" style="5" customWidth="1"/>
    <col min="15363" max="15363" width="7.5" style="5" customWidth="1"/>
    <col min="15364" max="15364" width="22" style="5" bestFit="1" customWidth="1"/>
    <col min="15365" max="15365" width="18.625" style="5" customWidth="1"/>
    <col min="15366" max="15366" width="17" style="5" customWidth="1"/>
    <col min="15367" max="15367" width="18.125" style="5" customWidth="1"/>
    <col min="15368" max="15368" width="14.625" style="5" customWidth="1"/>
    <col min="15369" max="15369" width="18" style="5" customWidth="1"/>
    <col min="15370" max="15371" width="19.125" style="5" customWidth="1"/>
    <col min="15372" max="15372" width="17.125" style="5" bestFit="1" customWidth="1"/>
    <col min="15373" max="15373" width="12.875" style="5" bestFit="1" customWidth="1"/>
    <col min="15374" max="15374" width="7.5" style="5" bestFit="1" customWidth="1"/>
    <col min="15375" max="15375" width="14.375" style="5" customWidth="1"/>
    <col min="15376" max="15376" width="17" style="5" customWidth="1"/>
    <col min="15377" max="15377" width="15.125" style="5" customWidth="1"/>
    <col min="15378" max="15378" width="9" style="5" bestFit="1" customWidth="1"/>
    <col min="15379" max="15379" width="9.125" style="5" bestFit="1" customWidth="1"/>
    <col min="15380" max="15617" width="9" style="5"/>
    <col min="15618" max="15618" width="3.125" style="5" customWidth="1"/>
    <col min="15619" max="15619" width="7.5" style="5" customWidth="1"/>
    <col min="15620" max="15620" width="22" style="5" bestFit="1" customWidth="1"/>
    <col min="15621" max="15621" width="18.625" style="5" customWidth="1"/>
    <col min="15622" max="15622" width="17" style="5" customWidth="1"/>
    <col min="15623" max="15623" width="18.125" style="5" customWidth="1"/>
    <col min="15624" max="15624" width="14.625" style="5" customWidth="1"/>
    <col min="15625" max="15625" width="18" style="5" customWidth="1"/>
    <col min="15626" max="15627" width="19.125" style="5" customWidth="1"/>
    <col min="15628" max="15628" width="17.125" style="5" bestFit="1" customWidth="1"/>
    <col min="15629" max="15629" width="12.875" style="5" bestFit="1" customWidth="1"/>
    <col min="15630" max="15630" width="7.5" style="5" bestFit="1" customWidth="1"/>
    <col min="15631" max="15631" width="14.375" style="5" customWidth="1"/>
    <col min="15632" max="15632" width="17" style="5" customWidth="1"/>
    <col min="15633" max="15633" width="15.125" style="5" customWidth="1"/>
    <col min="15634" max="15634" width="9" style="5" bestFit="1" customWidth="1"/>
    <col min="15635" max="15635" width="9.125" style="5" bestFit="1" customWidth="1"/>
    <col min="15636" max="15873" width="9" style="5"/>
    <col min="15874" max="15874" width="3.125" style="5" customWidth="1"/>
    <col min="15875" max="15875" width="7.5" style="5" customWidth="1"/>
    <col min="15876" max="15876" width="22" style="5" bestFit="1" customWidth="1"/>
    <col min="15877" max="15877" width="18.625" style="5" customWidth="1"/>
    <col min="15878" max="15878" width="17" style="5" customWidth="1"/>
    <col min="15879" max="15879" width="18.125" style="5" customWidth="1"/>
    <col min="15880" max="15880" width="14.625" style="5" customWidth="1"/>
    <col min="15881" max="15881" width="18" style="5" customWidth="1"/>
    <col min="15882" max="15883" width="19.125" style="5" customWidth="1"/>
    <col min="15884" max="15884" width="17.125" style="5" bestFit="1" customWidth="1"/>
    <col min="15885" max="15885" width="12.875" style="5" bestFit="1" customWidth="1"/>
    <col min="15886" max="15886" width="7.5" style="5" bestFit="1" customWidth="1"/>
    <col min="15887" max="15887" width="14.375" style="5" customWidth="1"/>
    <col min="15888" max="15888" width="17" style="5" customWidth="1"/>
    <col min="15889" max="15889" width="15.125" style="5" customWidth="1"/>
    <col min="15890" max="15890" width="9" style="5" bestFit="1" customWidth="1"/>
    <col min="15891" max="15891" width="9.125" style="5" bestFit="1" customWidth="1"/>
    <col min="15892" max="16129" width="9" style="5"/>
    <col min="16130" max="16130" width="3.125" style="5" customWidth="1"/>
    <col min="16131" max="16131" width="7.5" style="5" customWidth="1"/>
    <col min="16132" max="16132" width="22" style="5" bestFit="1" customWidth="1"/>
    <col min="16133" max="16133" width="18.625" style="5" customWidth="1"/>
    <col min="16134" max="16134" width="17" style="5" customWidth="1"/>
    <col min="16135" max="16135" width="18.125" style="5" customWidth="1"/>
    <col min="16136" max="16136" width="14.625" style="5" customWidth="1"/>
    <col min="16137" max="16137" width="18" style="5" customWidth="1"/>
    <col min="16138" max="16139" width="19.125" style="5" customWidth="1"/>
    <col min="16140" max="16140" width="17.125" style="5" bestFit="1" customWidth="1"/>
    <col min="16141" max="16141" width="12.875" style="5" bestFit="1" customWidth="1"/>
    <col min="16142" max="16142" width="7.5" style="5" bestFit="1" customWidth="1"/>
    <col min="16143" max="16143" width="14.375" style="5" customWidth="1"/>
    <col min="16144" max="16144" width="17" style="5" customWidth="1"/>
    <col min="16145" max="16145" width="15.125" style="5" customWidth="1"/>
    <col min="16146" max="16146" width="9" style="5" bestFit="1" customWidth="1"/>
    <col min="16147" max="16147" width="9.125" style="5" bestFit="1" customWidth="1"/>
    <col min="16148" max="16384" width="9" style="5"/>
  </cols>
  <sheetData>
    <row r="1" spans="1:19" ht="21.75" customHeight="1" thickBot="1">
      <c r="A1" s="14"/>
      <c r="B1" s="13"/>
    </row>
    <row r="2" spans="1:19" s="11" customFormat="1" ht="21.75" customHeight="1" thickBot="1">
      <c r="A2" s="12"/>
      <c r="B2" s="134" t="s">
        <v>1397</v>
      </c>
      <c r="C2" s="135" t="s">
        <v>1399</v>
      </c>
      <c r="F2" s="122" t="s">
        <v>1400</v>
      </c>
      <c r="G2" s="122" t="s">
        <v>1419</v>
      </c>
      <c r="R2" s="2"/>
    </row>
    <row r="4" spans="1:19" ht="15" customHeight="1">
      <c r="B4" s="13" t="s">
        <v>427</v>
      </c>
    </row>
    <row r="5" spans="1:19" s="95" customFormat="1" ht="15" customHeight="1" thickBot="1">
      <c r="B5" s="127" t="s">
        <v>410</v>
      </c>
      <c r="C5" s="127" t="s">
        <v>405</v>
      </c>
      <c r="D5" s="127"/>
      <c r="E5" s="127" t="s">
        <v>406</v>
      </c>
      <c r="F5" s="127" t="s">
        <v>407</v>
      </c>
      <c r="G5" s="127" t="s">
        <v>141</v>
      </c>
      <c r="H5" s="127" t="s">
        <v>409</v>
      </c>
      <c r="S5" s="111"/>
    </row>
    <row r="6" spans="1:19" s="95" customFormat="1" ht="15" customHeight="1">
      <c r="B6" s="126">
        <f>RoS!B8</f>
        <v>42390</v>
      </c>
      <c r="C6" s="95" t="str">
        <f>RoS!C8</f>
        <v>울트라브이</v>
      </c>
      <c r="E6" s="95">
        <f>RoS!D8</f>
        <v>1240000</v>
      </c>
      <c r="F6" s="112">
        <f>ROUND(E6/$E$9,3)</f>
        <v>1</v>
      </c>
      <c r="G6" s="98">
        <f>ROUND($G$9*F6,)</f>
        <v>0</v>
      </c>
      <c r="H6" s="117"/>
      <c r="S6" s="111"/>
    </row>
    <row r="7" spans="1:19" s="95" customFormat="1" ht="15" customHeight="1">
      <c r="C7" s="95">
        <f>RoS!C9</f>
        <v>0</v>
      </c>
      <c r="E7" s="95">
        <f>RoS!D9</f>
        <v>0</v>
      </c>
      <c r="F7" s="112">
        <f t="shared" ref="F7:F8" si="0">ROUND(E7/$E$9,3)</f>
        <v>0</v>
      </c>
      <c r="G7" s="98">
        <f>ROUND($G$9*F7,)</f>
        <v>0</v>
      </c>
      <c r="H7" s="112"/>
      <c r="S7" s="111"/>
    </row>
    <row r="8" spans="1:19" s="95" customFormat="1" ht="15" customHeight="1">
      <c r="C8" s="95">
        <f>RoS!C10</f>
        <v>0</v>
      </c>
      <c r="E8" s="95">
        <f>RoS!D10</f>
        <v>0</v>
      </c>
      <c r="F8" s="112">
        <f t="shared" si="0"/>
        <v>0</v>
      </c>
      <c r="G8" s="98">
        <f>ROUND($G$9*F8,)</f>
        <v>0</v>
      </c>
      <c r="H8" s="112"/>
      <c r="S8" s="111"/>
    </row>
    <row r="9" spans="1:19" s="95" customFormat="1" ht="15" customHeight="1" thickBot="1">
      <c r="B9" s="2007" t="s">
        <v>408</v>
      </c>
      <c r="C9" s="2007"/>
      <c r="D9" s="2007"/>
      <c r="E9" s="115">
        <f>SUM(E6:E8)</f>
        <v>1240000</v>
      </c>
      <c r="F9" s="116">
        <f>SUM(F6:F8)</f>
        <v>1</v>
      </c>
      <c r="G9" s="115">
        <f>BS!I123</f>
        <v>0</v>
      </c>
      <c r="H9" s="116"/>
      <c r="S9" s="111"/>
    </row>
    <row r="10" spans="1:19" s="95" customFormat="1" ht="15" customHeight="1" thickTop="1">
      <c r="B10" s="118"/>
      <c r="C10" s="118"/>
      <c r="D10" s="118"/>
      <c r="E10" s="119"/>
      <c r="F10" s="120"/>
      <c r="G10" s="120"/>
      <c r="R10" s="111"/>
    </row>
    <row r="11" spans="1:19" s="95" customFormat="1" ht="15" customHeight="1" thickBot="1">
      <c r="B11" s="127"/>
      <c r="C11" s="127" t="s">
        <v>1411</v>
      </c>
      <c r="D11" s="127" t="s">
        <v>426</v>
      </c>
      <c r="R11" s="111"/>
    </row>
    <row r="12" spans="1:19" s="95" customFormat="1" ht="15" customHeight="1">
      <c r="B12" s="138" t="s">
        <v>407</v>
      </c>
      <c r="C12" s="402">
        <f>RoS!L28</f>
        <v>1</v>
      </c>
      <c r="D12" s="137">
        <f>1-C12</f>
        <v>0</v>
      </c>
      <c r="R12" s="111"/>
    </row>
    <row r="13" spans="1:19" s="95" customFormat="1" ht="15" customHeight="1">
      <c r="R13" s="111"/>
    </row>
    <row r="14" spans="1:19" s="95" customFormat="1" ht="15" customHeight="1">
      <c r="R14" s="111"/>
    </row>
    <row r="15" spans="1:19" s="95" customFormat="1" ht="15" customHeight="1">
      <c r="B15" s="119" t="s">
        <v>428</v>
      </c>
      <c r="C15" s="95" t="s">
        <v>1418</v>
      </c>
      <c r="R15" s="111"/>
    </row>
    <row r="16" spans="1:19" s="95" customFormat="1" ht="15" customHeight="1">
      <c r="R16" s="111"/>
    </row>
    <row r="17" spans="2:18" s="95" customFormat="1" ht="15" customHeight="1">
      <c r="B17" s="119" t="s">
        <v>1412</v>
      </c>
      <c r="R17" s="111"/>
    </row>
    <row r="18" spans="2:18" s="95" customFormat="1" ht="15" customHeight="1">
      <c r="B18" s="119"/>
      <c r="R18" s="111"/>
    </row>
    <row r="19" spans="2:18" s="95" customFormat="1" ht="15" customHeight="1">
      <c r="B19" s="136" t="s">
        <v>1413</v>
      </c>
      <c r="C19" s="124"/>
      <c r="D19" s="124"/>
      <c r="E19" s="124"/>
      <c r="F19" s="124"/>
      <c r="G19" s="124"/>
      <c r="H19" s="124"/>
      <c r="I19" s="124"/>
      <c r="J19" s="124"/>
      <c r="K19" s="124"/>
      <c r="L19" s="124"/>
      <c r="M19" s="124"/>
      <c r="N19" s="124"/>
      <c r="O19" s="124"/>
      <c r="P19" s="124"/>
      <c r="Q19" s="124"/>
      <c r="R19" s="125"/>
    </row>
    <row r="20" spans="2:18" s="95" customFormat="1" ht="15" customHeight="1" thickBot="1">
      <c r="B20" s="128" t="s">
        <v>410</v>
      </c>
      <c r="C20" s="128" t="s">
        <v>422</v>
      </c>
      <c r="D20" s="128" t="s">
        <v>415</v>
      </c>
      <c r="E20" s="128" t="s">
        <v>417</v>
      </c>
      <c r="F20" s="128" t="s">
        <v>424</v>
      </c>
      <c r="G20" s="128" t="s">
        <v>73</v>
      </c>
      <c r="H20" s="128" t="s">
        <v>416</v>
      </c>
      <c r="I20" s="128" t="s">
        <v>240</v>
      </c>
      <c r="J20" s="111"/>
      <c r="K20" s="124"/>
      <c r="L20" s="124"/>
      <c r="M20" s="124"/>
      <c r="N20" s="124"/>
      <c r="O20" s="124"/>
      <c r="P20" s="125"/>
    </row>
    <row r="21" spans="2:18" s="95" customFormat="1" ht="15" customHeight="1">
      <c r="B21" s="130" t="s">
        <v>1414</v>
      </c>
      <c r="C21" s="130"/>
      <c r="D21" s="131">
        <v>505000000</v>
      </c>
      <c r="E21" s="131">
        <v>-7896480</v>
      </c>
      <c r="F21" s="131">
        <v>0</v>
      </c>
      <c r="G21" s="131">
        <v>0</v>
      </c>
      <c r="H21" s="131">
        <f>SUM(D21:G21)</f>
        <v>497103520</v>
      </c>
      <c r="I21" s="130"/>
      <c r="J21" s="125"/>
      <c r="K21" s="124"/>
      <c r="L21" s="124"/>
      <c r="M21" s="124"/>
      <c r="N21" s="124"/>
      <c r="O21" s="124"/>
      <c r="P21" s="125"/>
    </row>
    <row r="22" spans="2:18" s="95" customFormat="1" ht="15" customHeight="1">
      <c r="B22" s="113"/>
      <c r="C22" s="113" t="s">
        <v>148</v>
      </c>
      <c r="D22" s="124"/>
      <c r="E22" s="124"/>
      <c r="F22" s="124"/>
      <c r="G22" s="124">
        <v>-5681891</v>
      </c>
      <c r="H22" s="124"/>
      <c r="I22" s="113"/>
      <c r="J22" s="125"/>
      <c r="K22" s="124"/>
      <c r="L22" s="124"/>
      <c r="M22" s="124"/>
      <c r="N22" s="124"/>
      <c r="O22" s="124"/>
      <c r="P22" s="125"/>
    </row>
    <row r="23" spans="2:18" s="95" customFormat="1" ht="15" customHeight="1">
      <c r="B23" s="132">
        <v>42735</v>
      </c>
      <c r="C23" s="133"/>
      <c r="D23" s="133">
        <f>SUM(D21:D22)</f>
        <v>505000000</v>
      </c>
      <c r="E23" s="133">
        <f>SUM(E21:E22)</f>
        <v>-7896480</v>
      </c>
      <c r="F23" s="133">
        <f>SUM(F21:F22)</f>
        <v>0</v>
      </c>
      <c r="G23" s="133">
        <f>SUM(G21:G22)</f>
        <v>-5681891</v>
      </c>
      <c r="H23" s="131">
        <v>491421629</v>
      </c>
      <c r="I23" s="133">
        <f>SUM(D23:G23)-SUM(H23)</f>
        <v>0</v>
      </c>
      <c r="K23" s="124"/>
      <c r="L23" s="124"/>
      <c r="M23" s="124"/>
      <c r="N23" s="124"/>
      <c r="O23" s="124"/>
      <c r="P23" s="125"/>
    </row>
    <row r="24" spans="2:18" s="95" customFormat="1" ht="15" customHeight="1">
      <c r="B24" s="126"/>
      <c r="C24" s="113" t="s">
        <v>148</v>
      </c>
      <c r="D24" s="124"/>
      <c r="E24" s="124"/>
      <c r="G24" s="124">
        <v>-199442524</v>
      </c>
      <c r="H24" s="124"/>
      <c r="J24" s="125"/>
      <c r="K24" s="124"/>
      <c r="L24" s="124"/>
      <c r="M24" s="124"/>
      <c r="N24" s="124"/>
      <c r="O24" s="124"/>
      <c r="P24" s="125"/>
    </row>
    <row r="25" spans="2:18" s="95" customFormat="1" ht="15" customHeight="1">
      <c r="B25" s="132">
        <v>43100</v>
      </c>
      <c r="C25" s="133"/>
      <c r="D25" s="133">
        <f>SUM(D23:D24)</f>
        <v>505000000</v>
      </c>
      <c r="E25" s="133">
        <f>SUM(E23:E24)</f>
        <v>-7896480</v>
      </c>
      <c r="F25" s="133">
        <f>SUM(F23:F24)</f>
        <v>0</v>
      </c>
      <c r="G25" s="133">
        <f>SUM(G23:G24)</f>
        <v>-205124415</v>
      </c>
      <c r="H25" s="131">
        <v>291979105</v>
      </c>
      <c r="I25" s="133">
        <f>SUM(D25:G25)-SUM(H25)</f>
        <v>0</v>
      </c>
      <c r="K25" s="124"/>
      <c r="L25" s="124"/>
      <c r="M25" s="124"/>
      <c r="N25" s="124"/>
      <c r="O25" s="124"/>
      <c r="P25" s="125"/>
    </row>
    <row r="26" spans="2:18" s="95" customFormat="1" ht="15" customHeight="1">
      <c r="C26" s="113" t="s">
        <v>148</v>
      </c>
      <c r="D26" s="124"/>
      <c r="E26" s="124"/>
      <c r="F26" s="124"/>
      <c r="G26" s="124">
        <v>-177715470</v>
      </c>
      <c r="H26" s="124"/>
      <c r="I26" s="124"/>
      <c r="J26" s="124"/>
      <c r="K26" s="124"/>
      <c r="L26" s="124"/>
      <c r="M26" s="124"/>
      <c r="N26" s="124"/>
      <c r="O26" s="124"/>
      <c r="P26" s="124"/>
      <c r="Q26" s="124"/>
      <c r="R26" s="125"/>
    </row>
    <row r="27" spans="2:18" s="95" customFormat="1" ht="15" customHeight="1">
      <c r="C27" s="113" t="s">
        <v>164</v>
      </c>
      <c r="D27" s="124">
        <v>230000000</v>
      </c>
      <c r="E27" s="124">
        <v>-3852000</v>
      </c>
      <c r="F27" s="124">
        <v>0</v>
      </c>
      <c r="G27" s="124"/>
      <c r="H27" s="124"/>
      <c r="I27" s="124"/>
      <c r="J27" s="124"/>
      <c r="K27" s="124"/>
      <c r="L27" s="124"/>
      <c r="M27" s="124"/>
      <c r="N27" s="124"/>
      <c r="O27" s="124"/>
      <c r="P27" s="124"/>
      <c r="Q27" s="124"/>
      <c r="R27" s="125"/>
    </row>
    <row r="28" spans="2:18" s="95" customFormat="1" ht="15" customHeight="1">
      <c r="B28" s="132">
        <v>43465</v>
      </c>
      <c r="C28" s="133"/>
      <c r="D28" s="133">
        <f>SUM(D25:D27)</f>
        <v>735000000</v>
      </c>
      <c r="E28" s="133">
        <f>SUM(E25:E27)</f>
        <v>-11748480</v>
      </c>
      <c r="F28" s="133">
        <f>SUM(F25:F27)</f>
        <v>0</v>
      </c>
      <c r="G28" s="133">
        <f>SUM(G25:G27)</f>
        <v>-382839885</v>
      </c>
      <c r="H28" s="131">
        <v>340411635</v>
      </c>
      <c r="I28" s="133">
        <f>SUM(D28:G28)-SUM(H28)</f>
        <v>0</v>
      </c>
      <c r="J28" s="124"/>
      <c r="K28" s="124"/>
      <c r="L28" s="124"/>
      <c r="M28" s="124"/>
      <c r="N28" s="124"/>
      <c r="O28" s="124"/>
      <c r="P28" s="124"/>
      <c r="Q28" s="124"/>
      <c r="R28" s="125"/>
    </row>
    <row r="29" spans="2:18" s="95" customFormat="1" ht="15" customHeight="1">
      <c r="C29" s="113" t="s">
        <v>148</v>
      </c>
      <c r="D29" s="124"/>
      <c r="E29" s="124"/>
      <c r="F29" s="124"/>
      <c r="G29" s="124">
        <v>-195487752</v>
      </c>
      <c r="H29" s="124"/>
      <c r="I29" s="124"/>
      <c r="J29" s="124"/>
      <c r="K29" s="124"/>
      <c r="L29" s="124"/>
      <c r="M29" s="124"/>
      <c r="N29" s="124"/>
      <c r="O29" s="124"/>
      <c r="P29" s="124"/>
      <c r="Q29" s="124"/>
      <c r="R29" s="125"/>
    </row>
    <row r="30" spans="2:18" s="95" customFormat="1" ht="15" customHeight="1">
      <c r="C30" s="113" t="s">
        <v>164</v>
      </c>
      <c r="D30" s="124">
        <v>165000000</v>
      </c>
      <c r="E30" s="124"/>
      <c r="F30" s="124">
        <v>0</v>
      </c>
      <c r="G30" s="124"/>
      <c r="H30" s="124"/>
      <c r="I30" s="124"/>
      <c r="J30" s="124"/>
      <c r="K30" s="124"/>
      <c r="L30" s="124"/>
      <c r="M30" s="124"/>
      <c r="N30" s="124"/>
      <c r="O30" s="124"/>
      <c r="P30" s="124"/>
      <c r="Q30" s="124"/>
      <c r="R30" s="125"/>
    </row>
    <row r="31" spans="2:18" s="95" customFormat="1" ht="15" customHeight="1">
      <c r="B31" s="132">
        <v>43830</v>
      </c>
      <c r="C31" s="133"/>
      <c r="D31" s="133">
        <f>SUM(D28:D30)</f>
        <v>900000000</v>
      </c>
      <c r="E31" s="133">
        <f>SUM(E28:E30)</f>
        <v>-11748480</v>
      </c>
      <c r="F31" s="133">
        <f>SUM(F28:F30)</f>
        <v>0</v>
      </c>
      <c r="G31" s="133">
        <f>SUM(G28:G30)</f>
        <v>-578327637</v>
      </c>
      <c r="H31" s="131">
        <v>309923883</v>
      </c>
      <c r="I31" s="133">
        <f>SUM(D31:G31)-SUM(H31)</f>
        <v>0</v>
      </c>
      <c r="J31" s="124"/>
      <c r="K31" s="124"/>
      <c r="L31" s="124"/>
      <c r="M31" s="124"/>
      <c r="N31" s="124"/>
      <c r="O31" s="124"/>
      <c r="P31" s="124"/>
      <c r="Q31" s="124"/>
      <c r="R31" s="125"/>
    </row>
    <row r="32" spans="2:18" s="95" customFormat="1" ht="15" customHeight="1">
      <c r="C32" s="113" t="s">
        <v>148</v>
      </c>
      <c r="D32" s="124"/>
      <c r="E32" s="124"/>
      <c r="F32" s="124"/>
      <c r="G32" s="124">
        <v>-265161464</v>
      </c>
      <c r="H32" s="124"/>
      <c r="I32" s="124"/>
      <c r="J32" s="124"/>
      <c r="K32" s="124"/>
      <c r="L32" s="124"/>
      <c r="M32" s="124"/>
      <c r="N32" s="124"/>
      <c r="O32" s="124"/>
      <c r="P32" s="124"/>
      <c r="Q32" s="124"/>
      <c r="R32" s="125"/>
    </row>
    <row r="33" spans="2:18" s="95" customFormat="1" ht="15" customHeight="1">
      <c r="C33" s="113" t="s">
        <v>598</v>
      </c>
      <c r="D33" s="124">
        <v>530000000</v>
      </c>
      <c r="E33" s="124"/>
      <c r="F33" s="124"/>
      <c r="G33" s="124"/>
      <c r="H33" s="124"/>
      <c r="I33" s="124"/>
      <c r="J33" s="124"/>
      <c r="K33" s="124"/>
      <c r="L33" s="124"/>
      <c r="M33" s="124"/>
      <c r="N33" s="124"/>
      <c r="O33" s="124"/>
      <c r="P33" s="124"/>
      <c r="Q33" s="124"/>
      <c r="R33" s="125"/>
    </row>
    <row r="34" spans="2:18" s="95" customFormat="1" ht="15" customHeight="1">
      <c r="C34" s="113" t="s">
        <v>1417</v>
      </c>
      <c r="D34" s="124">
        <f>-280000000-530000000</f>
        <v>-810000000</v>
      </c>
      <c r="E34" s="124"/>
      <c r="F34" s="124">
        <v>0</v>
      </c>
      <c r="G34" s="124">
        <f>-D34</f>
        <v>810000000</v>
      </c>
      <c r="H34" s="124"/>
      <c r="I34" s="124"/>
      <c r="J34" s="124"/>
      <c r="K34" s="124"/>
      <c r="L34" s="124"/>
      <c r="M34" s="124"/>
      <c r="N34" s="124"/>
      <c r="O34" s="124"/>
      <c r="P34" s="124"/>
      <c r="Q34" s="124"/>
      <c r="R34" s="125"/>
    </row>
    <row r="35" spans="2:18" s="95" customFormat="1" ht="15" customHeight="1">
      <c r="B35" s="132">
        <v>44196</v>
      </c>
      <c r="C35" s="133"/>
      <c r="D35" s="133">
        <f>SUM(D31:D34)</f>
        <v>620000000</v>
      </c>
      <c r="E35" s="133">
        <f>SUM(E31:E34)</f>
        <v>-11748480</v>
      </c>
      <c r="F35" s="133">
        <f>SUM(F31:F34)</f>
        <v>0</v>
      </c>
      <c r="G35" s="133">
        <f>SUM(G31:G34)</f>
        <v>-33489101</v>
      </c>
      <c r="H35" s="131">
        <v>574762419</v>
      </c>
      <c r="I35" s="133">
        <f>SUM(D35:G35)-SUM(H35)</f>
        <v>0</v>
      </c>
      <c r="J35" s="124"/>
      <c r="K35" s="124"/>
      <c r="L35" s="124"/>
      <c r="M35" s="124"/>
      <c r="N35" s="124"/>
      <c r="O35" s="124"/>
      <c r="P35" s="124"/>
      <c r="Q35" s="124"/>
      <c r="R35" s="125"/>
    </row>
    <row r="36" spans="2:18" s="95" customFormat="1" ht="15" customHeight="1">
      <c r="C36" s="113" t="s">
        <v>148</v>
      </c>
      <c r="D36" s="124"/>
      <c r="E36" s="124"/>
      <c r="F36" s="124"/>
      <c r="G36" s="124">
        <v>-337340033</v>
      </c>
      <c r="H36" s="124"/>
      <c r="I36" s="124"/>
      <c r="J36" s="124"/>
      <c r="K36" s="124"/>
      <c r="L36" s="124"/>
      <c r="M36" s="124"/>
      <c r="N36" s="124"/>
      <c r="O36" s="124"/>
      <c r="P36" s="124"/>
      <c r="Q36" s="124"/>
      <c r="R36" s="125"/>
    </row>
    <row r="37" spans="2:18" s="95" customFormat="1" ht="15" customHeight="1">
      <c r="B37" s="132">
        <v>44561</v>
      </c>
      <c r="C37" s="133"/>
      <c r="D37" s="133">
        <f>SUM(D35:D36)</f>
        <v>620000000</v>
      </c>
      <c r="E37" s="133">
        <f>SUM(E35:E36)</f>
        <v>-11748480</v>
      </c>
      <c r="F37" s="133">
        <f>SUM(F35:F36)</f>
        <v>0</v>
      </c>
      <c r="G37" s="133">
        <f>SUM(G35:G36)</f>
        <v>-370829134</v>
      </c>
      <c r="H37" s="131">
        <v>237422386</v>
      </c>
      <c r="I37" s="133">
        <f>SUM(D37:G37)-SUM(H37)</f>
        <v>0</v>
      </c>
      <c r="J37" s="124"/>
      <c r="K37" s="124"/>
      <c r="L37" s="124"/>
      <c r="M37" s="124"/>
      <c r="N37" s="124"/>
      <c r="O37" s="124"/>
      <c r="P37" s="124"/>
      <c r="Q37" s="124"/>
      <c r="R37" s="125"/>
    </row>
    <row r="38" spans="2:18" s="95" customFormat="1" ht="15" customHeight="1">
      <c r="C38" s="113" t="s">
        <v>148</v>
      </c>
      <c r="D38" s="124"/>
      <c r="E38" s="124"/>
      <c r="F38" s="124"/>
      <c r="G38" s="124">
        <v>-171030868</v>
      </c>
      <c r="H38" s="124"/>
      <c r="I38" s="124"/>
      <c r="J38" s="124"/>
      <c r="K38" s="124"/>
      <c r="L38" s="124"/>
      <c r="M38" s="124"/>
      <c r="N38" s="124"/>
      <c r="O38" s="124"/>
      <c r="P38" s="124"/>
      <c r="Q38" s="124"/>
      <c r="R38" s="125"/>
    </row>
    <row r="39" spans="2:18" s="95" customFormat="1" ht="15" customHeight="1">
      <c r="B39" s="132">
        <v>44926</v>
      </c>
      <c r="C39" s="133"/>
      <c r="D39" s="133">
        <f>SUM(D37:D38)</f>
        <v>620000000</v>
      </c>
      <c r="E39" s="133">
        <f>SUM(E37:E38)</f>
        <v>-11748480</v>
      </c>
      <c r="F39" s="133">
        <f>SUM(F37:F38)</f>
        <v>0</v>
      </c>
      <c r="G39" s="133">
        <f>SUM(G37:G38)</f>
        <v>-541860002</v>
      </c>
      <c r="H39" s="131">
        <v>66391518</v>
      </c>
      <c r="I39" s="133">
        <f>SUM(D39:G39)-SUM(H39)</f>
        <v>0</v>
      </c>
      <c r="J39" s="124"/>
      <c r="K39" s="124"/>
      <c r="L39" s="124"/>
      <c r="M39" s="124"/>
      <c r="N39" s="124"/>
      <c r="O39" s="124"/>
      <c r="P39" s="124"/>
      <c r="Q39" s="124"/>
      <c r="R39" s="125"/>
    </row>
    <row r="40" spans="2:18" s="95" customFormat="1" ht="15" customHeight="1">
      <c r="C40" s="113" t="s">
        <v>148</v>
      </c>
      <c r="D40" s="124"/>
      <c r="E40" s="124"/>
      <c r="F40" s="124"/>
      <c r="G40" s="124">
        <v>-226780045</v>
      </c>
      <c r="H40" s="124"/>
      <c r="I40" s="124"/>
      <c r="J40" s="124"/>
      <c r="K40" s="124"/>
      <c r="L40" s="124"/>
      <c r="M40" s="124"/>
      <c r="N40" s="124"/>
      <c r="O40" s="124"/>
      <c r="P40" s="124"/>
      <c r="Q40" s="124"/>
      <c r="R40" s="125"/>
    </row>
    <row r="41" spans="2:18" s="95" customFormat="1" ht="15" customHeight="1">
      <c r="B41" s="132">
        <v>45291</v>
      </c>
      <c r="C41" s="133"/>
      <c r="D41" s="133">
        <f>SUM(D39:D40)</f>
        <v>620000000</v>
      </c>
      <c r="E41" s="133">
        <f>SUM(E39:E40)</f>
        <v>-11748480</v>
      </c>
      <c r="F41" s="133">
        <f>SUM(F39:F40)</f>
        <v>0</v>
      </c>
      <c r="G41" s="133">
        <f>SUM(G39:G40)</f>
        <v>-768640047</v>
      </c>
      <c r="H41" s="131">
        <v>-160388527</v>
      </c>
      <c r="I41" s="133">
        <f>SUM(D41:G41)-SUM(H41)</f>
        <v>0</v>
      </c>
      <c r="J41" s="124"/>
      <c r="K41" s="124"/>
      <c r="L41" s="124"/>
      <c r="M41" s="124"/>
      <c r="N41" s="124"/>
      <c r="O41" s="124"/>
      <c r="P41" s="124"/>
      <c r="Q41" s="124"/>
      <c r="R41" s="125"/>
    </row>
    <row r="42" spans="2:18" s="95" customFormat="1" ht="15" customHeight="1">
      <c r="C42" s="124"/>
      <c r="D42" s="124">
        <f>D41-BS!I121</f>
        <v>620000000</v>
      </c>
      <c r="E42" s="124">
        <f>E41-BS!I125-BS!I131</f>
        <v>-11748480</v>
      </c>
      <c r="F42" s="124">
        <f>F41-BS!I135</f>
        <v>0</v>
      </c>
      <c r="G42" s="124">
        <f>G41-BS!I143</f>
        <v>-768640047</v>
      </c>
      <c r="H42" s="124">
        <f>H41-BS!I120</f>
        <v>-160388527</v>
      </c>
      <c r="I42" s="124"/>
      <c r="J42" s="124"/>
      <c r="K42" s="124"/>
      <c r="L42" s="124"/>
      <c r="M42" s="124"/>
      <c r="N42" s="124"/>
      <c r="O42" s="124"/>
      <c r="P42" s="124"/>
      <c r="Q42" s="124"/>
      <c r="R42" s="125"/>
    </row>
    <row r="43" spans="2:18" s="95" customFormat="1" ht="15" customHeight="1">
      <c r="C43" s="124"/>
      <c r="D43" s="124"/>
      <c r="E43" s="124"/>
      <c r="F43" s="124"/>
      <c r="G43" s="124"/>
      <c r="H43" s="124"/>
      <c r="I43" s="124"/>
      <c r="J43" s="124"/>
      <c r="K43" s="124"/>
      <c r="L43" s="124"/>
      <c r="M43" s="124"/>
      <c r="N43" s="124"/>
      <c r="O43" s="124"/>
      <c r="P43" s="124"/>
      <c r="Q43" s="124"/>
      <c r="R43" s="125"/>
    </row>
    <row r="44" spans="2:18" s="95" customFormat="1" ht="15" customHeight="1">
      <c r="C44" s="124"/>
      <c r="D44" s="124"/>
      <c r="E44" s="124"/>
      <c r="F44" s="124"/>
      <c r="G44" s="124"/>
      <c r="H44" s="124"/>
      <c r="I44" s="124"/>
      <c r="J44" s="124"/>
      <c r="K44" s="124"/>
      <c r="L44" s="124"/>
      <c r="M44" s="124"/>
      <c r="N44" s="124"/>
      <c r="O44" s="124"/>
      <c r="P44" s="124"/>
      <c r="Q44" s="124"/>
      <c r="R44" s="125"/>
    </row>
    <row r="45" spans="2:18" s="95" customFormat="1" ht="15" customHeight="1">
      <c r="B45" s="119" t="s">
        <v>430</v>
      </c>
      <c r="C45" s="124"/>
      <c r="D45" s="124"/>
      <c r="E45" s="124"/>
      <c r="F45" s="124"/>
      <c r="G45" s="124"/>
      <c r="H45" s="124"/>
      <c r="I45" s="124"/>
      <c r="J45" s="124"/>
      <c r="K45" s="124"/>
      <c r="L45" s="124"/>
      <c r="M45" s="124"/>
      <c r="N45" s="124"/>
      <c r="O45" s="124"/>
      <c r="P45" s="124"/>
      <c r="Q45" s="124"/>
      <c r="R45" s="125"/>
    </row>
    <row r="46" spans="2:18" s="95" customFormat="1" ht="15" customHeight="1">
      <c r="C46" s="124"/>
      <c r="D46" s="124"/>
      <c r="E46" s="124"/>
      <c r="F46" s="124"/>
      <c r="G46" s="124"/>
      <c r="H46" s="124"/>
      <c r="I46" s="124"/>
      <c r="J46" s="124"/>
      <c r="K46" s="124"/>
      <c r="L46" s="124"/>
      <c r="M46" s="124"/>
      <c r="N46" s="124"/>
      <c r="O46" s="124"/>
      <c r="P46" s="124"/>
      <c r="Q46" s="124"/>
      <c r="R46" s="125"/>
    </row>
    <row r="47" spans="2:18" s="95" customFormat="1" ht="15" customHeight="1">
      <c r="B47" s="139" t="s">
        <v>277</v>
      </c>
      <c r="C47" s="142" t="s">
        <v>431</v>
      </c>
      <c r="D47" s="124"/>
      <c r="E47" s="124"/>
      <c r="F47" s="124"/>
      <c r="G47" s="124"/>
      <c r="H47" s="124"/>
      <c r="R47" s="111"/>
    </row>
    <row r="48" spans="2:18" s="95" customFormat="1" ht="15" customHeight="1">
      <c r="C48" s="95" t="s">
        <v>1420</v>
      </c>
      <c r="D48" s="124"/>
      <c r="E48" s="124"/>
      <c r="F48" s="124"/>
      <c r="G48" s="124"/>
      <c r="H48" s="124"/>
      <c r="R48" s="111"/>
    </row>
    <row r="49" spans="3:18" s="95" customFormat="1" ht="15" customHeight="1">
      <c r="R49" s="111"/>
    </row>
    <row r="50" spans="3:18" s="95" customFormat="1" ht="15" customHeight="1">
      <c r="C50" s="119" t="s">
        <v>432</v>
      </c>
      <c r="R50" s="111"/>
    </row>
    <row r="51" spans="3:18" s="95" customFormat="1" ht="15" customHeight="1" thickBot="1">
      <c r="D51" s="114" t="s">
        <v>436</v>
      </c>
      <c r="E51" s="114" t="s">
        <v>435</v>
      </c>
      <c r="F51" s="114" t="s">
        <v>434</v>
      </c>
      <c r="G51" s="114" t="s">
        <v>426</v>
      </c>
      <c r="R51" s="111"/>
    </row>
    <row r="52" spans="3:18" s="95" customFormat="1" ht="15" customHeight="1">
      <c r="D52" s="95" t="s">
        <v>418</v>
      </c>
      <c r="E52" s="95">
        <f>G40</f>
        <v>-226780045</v>
      </c>
      <c r="F52" s="95">
        <f>ROUND(E52*$C$12,)</f>
        <v>-226780045</v>
      </c>
      <c r="G52" s="95">
        <f>E52-F52</f>
        <v>0</v>
      </c>
      <c r="R52" s="111"/>
    </row>
    <row r="53" spans="3:18" s="95" customFormat="1" ht="15" customHeight="1">
      <c r="D53" s="121" t="s">
        <v>433</v>
      </c>
      <c r="E53" s="121">
        <f>F27</f>
        <v>0</v>
      </c>
      <c r="F53" s="121">
        <f>ROUND(E53*$C$12,)</f>
        <v>0</v>
      </c>
      <c r="G53" s="121">
        <f>E53-F53</f>
        <v>0</v>
      </c>
      <c r="R53" s="111"/>
    </row>
    <row r="54" spans="3:18" s="95" customFormat="1" ht="15" customHeight="1">
      <c r="R54" s="111"/>
    </row>
    <row r="55" spans="3:18" s="95" customFormat="1" ht="15" customHeight="1">
      <c r="C55" s="10" t="s">
        <v>170</v>
      </c>
      <c r="D55" s="5"/>
      <c r="F55" s="10" t="s">
        <v>169</v>
      </c>
      <c r="G55" s="5"/>
      <c r="R55" s="111"/>
    </row>
    <row r="56" spans="3:18" s="95" customFormat="1" ht="15" customHeight="1">
      <c r="C56" s="5"/>
      <c r="D56" s="5"/>
      <c r="F56" s="2"/>
      <c r="G56" s="2"/>
      <c r="R56" s="111"/>
    </row>
    <row r="57" spans="3:18" s="95" customFormat="1" ht="15" customHeight="1">
      <c r="C57" s="9" t="s">
        <v>168</v>
      </c>
      <c r="D57" s="9" t="s">
        <v>154</v>
      </c>
      <c r="F57" s="9" t="s">
        <v>168</v>
      </c>
      <c r="G57" s="9" t="s">
        <v>154</v>
      </c>
      <c r="R57" s="111"/>
    </row>
    <row r="58" spans="3:18" s="95" customFormat="1" ht="15" customHeight="1">
      <c r="C58" s="5" t="s">
        <v>167</v>
      </c>
      <c r="D58" s="2">
        <v>66391518</v>
      </c>
      <c r="F58" s="5" t="s">
        <v>157</v>
      </c>
      <c r="G58" s="2">
        <f>H41</f>
        <v>-160388527</v>
      </c>
      <c r="R58" s="111"/>
    </row>
    <row r="59" spans="3:18" s="95" customFormat="1" ht="15" customHeight="1">
      <c r="C59" s="5" t="s">
        <v>166</v>
      </c>
      <c r="D59" s="2"/>
      <c r="F59" s="5" t="s">
        <v>165</v>
      </c>
      <c r="G59" s="145">
        <f>$C$12</f>
        <v>1</v>
      </c>
      <c r="R59" s="111"/>
    </row>
    <row r="60" spans="3:18" s="95" customFormat="1" ht="15" customHeight="1">
      <c r="C60" s="5" t="s">
        <v>164</v>
      </c>
      <c r="D60" s="2"/>
      <c r="F60" s="5" t="s">
        <v>163</v>
      </c>
      <c r="G60" s="2">
        <f>ROUND(G58*G59,0)</f>
        <v>-160388527</v>
      </c>
      <c r="R60" s="111"/>
    </row>
    <row r="61" spans="3:18" s="95" customFormat="1" ht="15" customHeight="1">
      <c r="C61" s="5" t="s">
        <v>162</v>
      </c>
      <c r="D61" s="2">
        <f>F52</f>
        <v>-226780045</v>
      </c>
      <c r="F61" s="5" t="s">
        <v>161</v>
      </c>
      <c r="G61" s="2">
        <v>0</v>
      </c>
      <c r="R61" s="111"/>
    </row>
    <row r="62" spans="3:18" s="95" customFormat="1" ht="15" customHeight="1" thickBot="1">
      <c r="C62" s="8" t="s">
        <v>160</v>
      </c>
      <c r="D62" s="141">
        <f>F53</f>
        <v>0</v>
      </c>
      <c r="F62" s="5" t="s">
        <v>159</v>
      </c>
      <c r="G62" s="2">
        <v>0</v>
      </c>
      <c r="R62" s="111"/>
    </row>
    <row r="63" spans="3:18" s="95" customFormat="1" ht="15" customHeight="1" thickTop="1">
      <c r="C63" s="5" t="s">
        <v>158</v>
      </c>
      <c r="D63" s="2">
        <f>SUM(D58:D62)</f>
        <v>-160388527</v>
      </c>
      <c r="F63" s="95" t="s">
        <v>576</v>
      </c>
      <c r="G63" s="95">
        <v>0</v>
      </c>
      <c r="R63" s="111"/>
    </row>
    <row r="64" spans="3:18" s="95" customFormat="1" ht="15" customHeight="1" thickBot="1">
      <c r="C64" s="2"/>
      <c r="D64" s="2"/>
      <c r="F64" s="8" t="s">
        <v>157</v>
      </c>
      <c r="G64" s="141">
        <f>D63</f>
        <v>-160388527</v>
      </c>
      <c r="R64" s="111"/>
    </row>
    <row r="65" spans="6:18" s="95" customFormat="1" ht="15" customHeight="1" thickTop="1">
      <c r="F65" s="5" t="s">
        <v>156</v>
      </c>
      <c r="G65" s="143">
        <f>G60-G64+G61+G62+G63</f>
        <v>0</v>
      </c>
      <c r="H65" s="95" t="s">
        <v>350</v>
      </c>
      <c r="R65" s="111"/>
    </row>
    <row r="66" spans="6:18" s="95" customFormat="1" ht="15" customHeight="1">
      <c r="R66" s="111"/>
    </row>
    <row r="67" spans="6:18" s="95" customFormat="1" ht="15" customHeight="1">
      <c r="R67" s="111"/>
    </row>
    <row r="68" spans="6:18" s="95" customFormat="1" ht="15" customHeight="1">
      <c r="R68" s="111"/>
    </row>
    <row r="69" spans="6:18" s="95" customFormat="1" ht="15" customHeight="1">
      <c r="R69" s="111"/>
    </row>
    <row r="70" spans="6:18" s="95" customFormat="1" ht="15" customHeight="1">
      <c r="R70" s="111"/>
    </row>
    <row r="71" spans="6:18" s="95" customFormat="1" ht="15" customHeight="1">
      <c r="R71" s="111"/>
    </row>
    <row r="72" spans="6:18" s="95" customFormat="1" ht="15" customHeight="1">
      <c r="R72" s="111"/>
    </row>
    <row r="90" spans="4:5" ht="15" customHeight="1">
      <c r="E90" s="5" ph="1"/>
    </row>
    <row r="91" spans="4:5" ht="15" customHeight="1">
      <c r="E91" s="5" ph="1"/>
    </row>
    <row r="96" spans="4:5" ht="15" customHeight="1">
      <c r="D96" s="5" ph="1"/>
    </row>
    <row r="118" spans="5:5" ht="15" customHeight="1">
      <c r="E118" s="5" ph="1"/>
    </row>
    <row r="123" spans="5:5" ht="15" customHeight="1">
      <c r="E123" s="5" ph="1"/>
    </row>
    <row r="128" spans="5:5" ht="15" customHeight="1">
      <c r="E128" s="5" ph="1"/>
    </row>
    <row r="133" spans="5:5" ht="15" customHeight="1">
      <c r="E133" s="5" ph="1"/>
    </row>
    <row r="134" spans="5:5" ht="15" customHeight="1">
      <c r="E134" s="5" ph="1"/>
    </row>
    <row r="137" spans="5:5" ht="15" customHeight="1">
      <c r="E137" s="5" ph="1"/>
    </row>
    <row r="142" spans="5:5" ht="15" customHeight="1">
      <c r="E142" s="5" ph="1"/>
    </row>
    <row r="144" spans="5:5" ht="15" customHeight="1">
      <c r="E144" s="5" ph="1"/>
    </row>
    <row r="145" spans="5:5" ht="15" customHeight="1">
      <c r="E145" s="5" ph="1"/>
    </row>
    <row r="147" spans="5:5" ht="15" customHeight="1">
      <c r="E147" s="5" ph="1"/>
    </row>
    <row r="148" spans="5:5" ht="15" customHeight="1">
      <c r="E148" s="5" ph="1"/>
    </row>
    <row r="150" spans="5:5" ht="15" customHeight="1">
      <c r="E150" s="5" ph="1"/>
    </row>
    <row r="152" spans="5:5" ht="15" customHeight="1">
      <c r="E152" s="5" ph="1"/>
    </row>
    <row r="153" spans="5:5" ht="15" customHeight="1">
      <c r="E153" s="5" ph="1"/>
    </row>
    <row r="155" spans="5:5" ht="15" customHeight="1">
      <c r="E155" s="5" ph="1"/>
    </row>
    <row r="156" spans="5:5" ht="15" customHeight="1">
      <c r="E156" s="5" ph="1"/>
    </row>
    <row r="158" spans="5:5" ht="15" customHeight="1">
      <c r="E158" s="5" ph="1"/>
    </row>
    <row r="161" spans="5:5" ht="15" customHeight="1">
      <c r="E161" s="5" ph="1"/>
    </row>
    <row r="162" spans="5:5" ht="15" customHeight="1">
      <c r="E162" s="5" ph="1"/>
    </row>
    <row r="164" spans="5:5" ht="15" customHeight="1">
      <c r="E164" s="5" ph="1"/>
    </row>
    <row r="165" spans="5:5" ht="15" customHeight="1">
      <c r="E165" s="5" ph="1"/>
    </row>
    <row r="181" spans="5:5" ht="15" customHeight="1">
      <c r="E181" s="5" ph="1"/>
    </row>
    <row r="186" spans="5:5" ht="15" customHeight="1">
      <c r="E186" s="5" ph="1"/>
    </row>
    <row r="191" spans="5:5" ht="15" customHeight="1">
      <c r="E191" s="5" ph="1"/>
    </row>
    <row r="196" spans="5:5" ht="15" customHeight="1">
      <c r="E196" s="5" ph="1"/>
    </row>
    <row r="197" spans="5:5" ht="15" customHeight="1">
      <c r="E197" s="5" ph="1"/>
    </row>
    <row r="200" spans="5:5" ht="15" customHeight="1">
      <c r="E200" s="5" ph="1"/>
    </row>
    <row r="205" spans="5:5" ht="15" customHeight="1">
      <c r="E205" s="5" ph="1"/>
    </row>
    <row r="207" spans="5:5" ht="15" customHeight="1">
      <c r="E207" s="5" ph="1"/>
    </row>
    <row r="208" spans="5:5" ht="15" customHeight="1">
      <c r="E208" s="5" ph="1"/>
    </row>
    <row r="210" spans="5:5" ht="15" customHeight="1">
      <c r="E210" s="5" ph="1"/>
    </row>
    <row r="211" spans="5:5" ht="15" customHeight="1">
      <c r="E211" s="5" ph="1"/>
    </row>
    <row r="213" spans="5:5" ht="15" customHeight="1">
      <c r="E213" s="5" ph="1"/>
    </row>
    <row r="215" spans="5:5" ht="15" customHeight="1">
      <c r="E215" s="5" ph="1"/>
    </row>
    <row r="216" spans="5:5" ht="15" customHeight="1">
      <c r="E216" s="5" ph="1"/>
    </row>
    <row r="218" spans="5:5" ht="15" customHeight="1">
      <c r="E218" s="5" ph="1"/>
    </row>
    <row r="219" spans="5:5" ht="15" customHeight="1">
      <c r="E219" s="5" ph="1"/>
    </row>
    <row r="221" spans="5:5" ht="15" customHeight="1">
      <c r="E221" s="5" ph="1"/>
    </row>
    <row r="224" spans="5:5" ht="15" customHeight="1">
      <c r="E224" s="5" ph="1"/>
    </row>
    <row r="225" spans="5:5" ht="15" customHeight="1">
      <c r="E225" s="5" ph="1"/>
    </row>
    <row r="227" spans="5:5" ht="15" customHeight="1">
      <c r="E227" s="5" ph="1"/>
    </row>
    <row r="228" spans="5:5" ht="15" customHeight="1">
      <c r="E228" s="5" ph="1"/>
    </row>
    <row r="231" spans="5:5" ht="15" customHeight="1">
      <c r="E231" s="5" ph="1"/>
    </row>
    <row r="232" spans="5:5" ht="15" customHeight="1">
      <c r="E232" s="5" ph="1"/>
    </row>
    <row r="234" spans="5:5" ht="15" customHeight="1">
      <c r="E234" s="5" ph="1"/>
    </row>
    <row r="235" spans="5:5" ht="15" customHeight="1">
      <c r="E235" s="5" ph="1"/>
    </row>
    <row r="237" spans="5:5" ht="15" customHeight="1">
      <c r="E237" s="5" ph="1"/>
    </row>
    <row r="239" spans="5:5" ht="15" customHeight="1">
      <c r="E239" s="5" ph="1"/>
    </row>
    <row r="240" spans="5:5" ht="15" customHeight="1">
      <c r="E240" s="5" ph="1"/>
    </row>
    <row r="242" spans="5:5" ht="15" customHeight="1">
      <c r="E242" s="5" ph="1"/>
    </row>
    <row r="243" spans="5:5" ht="15" customHeight="1">
      <c r="E243" s="5" ph="1"/>
    </row>
    <row r="245" spans="5:5" ht="15" customHeight="1">
      <c r="E245" s="5" ph="1"/>
    </row>
    <row r="248" spans="5:5" ht="15" customHeight="1">
      <c r="E248" s="5" ph="1"/>
    </row>
    <row r="249" spans="5:5" ht="15" customHeight="1">
      <c r="E249" s="5" ph="1"/>
    </row>
    <row r="251" spans="5:5" ht="15" customHeight="1">
      <c r="E251" s="5" ph="1"/>
    </row>
    <row r="252" spans="5:5" ht="15" customHeight="1">
      <c r="E252" s="5" ph="1"/>
    </row>
    <row r="253" spans="5:5" ht="15" customHeight="1">
      <c r="E253" s="5" ph="1"/>
    </row>
    <row r="254" spans="5:5" ht="15" customHeight="1">
      <c r="E254" s="5" ph="1"/>
    </row>
    <row r="255" spans="5:5" ht="15" customHeight="1">
      <c r="E255" s="5" ph="1"/>
    </row>
    <row r="257" spans="5:5" ht="15" customHeight="1">
      <c r="E257" s="5" ph="1"/>
    </row>
    <row r="258" spans="5:5" ht="15" customHeight="1">
      <c r="E258" s="5" ph="1"/>
    </row>
    <row r="259" spans="5:5" ht="15" customHeight="1">
      <c r="E259" s="5" ph="1"/>
    </row>
    <row r="260" spans="5:5" ht="15" customHeight="1">
      <c r="E260" s="5" ph="1"/>
    </row>
    <row r="261" spans="5:5" ht="15" customHeight="1">
      <c r="E261" s="5" ph="1"/>
    </row>
    <row r="262" spans="5:5" ht="15" customHeight="1">
      <c r="E262" s="5" ph="1"/>
    </row>
    <row r="264" spans="5:5" ht="15" customHeight="1">
      <c r="E264" s="5" ph="1"/>
    </row>
    <row r="265" spans="5:5" ht="15" customHeight="1">
      <c r="E265" s="5" ph="1"/>
    </row>
    <row r="266" spans="5:5" ht="15" customHeight="1">
      <c r="E266" s="5" ph="1"/>
    </row>
    <row r="267" spans="5:5" ht="15" customHeight="1">
      <c r="E267" s="5" ph="1"/>
    </row>
    <row r="268" spans="5:5" ht="15" customHeight="1">
      <c r="E268" s="5" ph="1"/>
    </row>
    <row r="270" spans="5:5" ht="15" customHeight="1">
      <c r="E270" s="5" ph="1"/>
    </row>
    <row r="271" spans="5:5" ht="15" customHeight="1">
      <c r="E271" s="5" ph="1"/>
    </row>
    <row r="272" spans="5:5" ht="15" customHeight="1">
      <c r="E272" s="5" ph="1"/>
    </row>
    <row r="273" spans="5:5" ht="15" customHeight="1">
      <c r="E273" s="5" ph="1"/>
    </row>
    <row r="274" spans="5:5" ht="15" customHeight="1">
      <c r="E274" s="5" ph="1"/>
    </row>
    <row r="275" spans="5:5" ht="15" customHeight="1">
      <c r="E275" s="5" ph="1"/>
    </row>
    <row r="276" spans="5:5" ht="15" customHeight="1">
      <c r="E276" s="5" ph="1"/>
    </row>
    <row r="278" spans="5:5" ht="15" customHeight="1">
      <c r="E278" s="5" ph="1"/>
    </row>
    <row r="279" spans="5:5" ht="15" customHeight="1">
      <c r="E279" s="5" ph="1"/>
    </row>
    <row r="280" spans="5:5" ht="15" customHeight="1">
      <c r="E280" s="5" ph="1"/>
    </row>
    <row r="281" spans="5:5" ht="15" customHeight="1">
      <c r="E281" s="5" ph="1"/>
    </row>
    <row r="282" spans="5:5" ht="15" customHeight="1">
      <c r="E282" s="5" ph="1"/>
    </row>
    <row r="283" spans="5:5" ht="15" customHeight="1">
      <c r="E283" s="5" ph="1"/>
    </row>
    <row r="285" spans="5:5" ht="15" customHeight="1">
      <c r="E285" s="5" ph="1"/>
    </row>
    <row r="290" spans="5:5" ht="15" customHeight="1">
      <c r="E290" s="5" ph="1"/>
    </row>
    <row r="291" spans="5:5" ht="15" customHeight="1">
      <c r="E291" s="5" ph="1"/>
    </row>
    <row r="294" spans="5:5" ht="15" customHeight="1">
      <c r="E294" s="5" ph="1"/>
    </row>
    <row r="299" spans="5:5" ht="15" customHeight="1">
      <c r="E299" s="5" ph="1"/>
    </row>
    <row r="301" spans="5:5" ht="15" customHeight="1">
      <c r="E301" s="5" ph="1"/>
    </row>
    <row r="302" spans="5:5" ht="15" customHeight="1">
      <c r="E302" s="5" ph="1"/>
    </row>
    <row r="304" spans="5:5" ht="15" customHeight="1">
      <c r="E304" s="5" ph="1"/>
    </row>
    <row r="305" spans="5:5" ht="15" customHeight="1">
      <c r="E305" s="5" ph="1"/>
    </row>
    <row r="307" spans="5:5" ht="15" customHeight="1">
      <c r="E307" s="5" ph="1"/>
    </row>
    <row r="309" spans="5:5" ht="15" customHeight="1">
      <c r="E309" s="5" ph="1"/>
    </row>
    <row r="310" spans="5:5" ht="15" customHeight="1">
      <c r="E310" s="5" ph="1"/>
    </row>
    <row r="312" spans="5:5" ht="15" customHeight="1">
      <c r="E312" s="5" ph="1"/>
    </row>
    <row r="313" spans="5:5" ht="15" customHeight="1">
      <c r="E313" s="5" ph="1"/>
    </row>
    <row r="315" spans="5:5" ht="15" customHeight="1">
      <c r="E315" s="5" ph="1"/>
    </row>
    <row r="318" spans="5:5" ht="15" customHeight="1">
      <c r="E318" s="5" ph="1"/>
    </row>
    <row r="319" spans="5:5" ht="15" customHeight="1">
      <c r="E319" s="5" ph="1"/>
    </row>
    <row r="321" spans="5:5" ht="15" customHeight="1">
      <c r="E321" s="5" ph="1"/>
    </row>
    <row r="322" spans="5:5" ht="15" customHeight="1">
      <c r="E322" s="5" ph="1"/>
    </row>
    <row r="325" spans="5:5" ht="15" customHeight="1">
      <c r="E325" s="5" ph="1"/>
    </row>
    <row r="326" spans="5:5" ht="15" customHeight="1">
      <c r="E326" s="5" ph="1"/>
    </row>
    <row r="328" spans="5:5" ht="15" customHeight="1">
      <c r="E328" s="5" ph="1"/>
    </row>
    <row r="329" spans="5:5" ht="15" customHeight="1">
      <c r="E329" s="5" ph="1"/>
    </row>
    <row r="331" spans="5:5" ht="15" customHeight="1">
      <c r="E331" s="5" ph="1"/>
    </row>
    <row r="333" spans="5:5" ht="15" customHeight="1">
      <c r="E333" s="5" ph="1"/>
    </row>
    <row r="334" spans="5:5" ht="15" customHeight="1">
      <c r="E334" s="5" ph="1"/>
    </row>
    <row r="336" spans="5:5" ht="15" customHeight="1">
      <c r="E336" s="5" ph="1"/>
    </row>
    <row r="337" spans="5:5" ht="15" customHeight="1">
      <c r="E337" s="5" ph="1"/>
    </row>
    <row r="339" spans="5:5" ht="15" customHeight="1">
      <c r="E339" s="5" ph="1"/>
    </row>
    <row r="342" spans="5:5" ht="15" customHeight="1">
      <c r="E342" s="5" ph="1"/>
    </row>
    <row r="343" spans="5:5" ht="15" customHeight="1">
      <c r="E343" s="5" ph="1"/>
    </row>
    <row r="345" spans="5:5" ht="15" customHeight="1">
      <c r="E345" s="5" ph="1"/>
    </row>
    <row r="346" spans="5:5" ht="15" customHeight="1">
      <c r="E346" s="5" ph="1"/>
    </row>
    <row r="347" spans="5:5" ht="15" customHeight="1">
      <c r="E347" s="5" ph="1"/>
    </row>
    <row r="348" spans="5:5" ht="15" customHeight="1">
      <c r="E348" s="5" ph="1"/>
    </row>
    <row r="349" spans="5:5" ht="15" customHeight="1">
      <c r="E349" s="5" ph="1"/>
    </row>
    <row r="351" spans="5:5" ht="15" customHeight="1">
      <c r="E351" s="5" ph="1"/>
    </row>
    <row r="352" spans="5:5" ht="15" customHeight="1">
      <c r="E352" s="5" ph="1"/>
    </row>
    <row r="353" spans="5:5" ht="15" customHeight="1">
      <c r="E353" s="5" ph="1"/>
    </row>
    <row r="354" spans="5:5" ht="15" customHeight="1">
      <c r="E354" s="5" ph="1"/>
    </row>
    <row r="355" spans="5:5" ht="15" customHeight="1">
      <c r="E355" s="5" ph="1"/>
    </row>
    <row r="356" spans="5:5" ht="15" customHeight="1">
      <c r="E356" s="5" ph="1"/>
    </row>
    <row r="358" spans="5:5" ht="15" customHeight="1">
      <c r="E358" s="5" ph="1"/>
    </row>
    <row r="359" spans="5:5" ht="15" customHeight="1">
      <c r="E359" s="5" ph="1"/>
    </row>
    <row r="360" spans="5:5" ht="15" customHeight="1">
      <c r="E360" s="5" ph="1"/>
    </row>
    <row r="361" spans="5:5" ht="15" customHeight="1">
      <c r="E361" s="5" ph="1"/>
    </row>
    <row r="362" spans="5:5" ht="15" customHeight="1">
      <c r="E362" s="5" ph="1"/>
    </row>
    <row r="364" spans="5:5" ht="15" customHeight="1">
      <c r="E364" s="5" ph="1"/>
    </row>
    <row r="365" spans="5:5" ht="15" customHeight="1">
      <c r="E365" s="5" ph="1"/>
    </row>
    <row r="366" spans="5:5" ht="15" customHeight="1">
      <c r="E366" s="5" ph="1"/>
    </row>
    <row r="367" spans="5:5" ht="15" customHeight="1">
      <c r="E367" s="5" ph="1"/>
    </row>
    <row r="368" spans="5:5" ht="15" customHeight="1">
      <c r="E368" s="5" ph="1"/>
    </row>
    <row r="369" spans="5:5" ht="15" customHeight="1">
      <c r="E369" s="5" ph="1"/>
    </row>
    <row r="370" spans="5:5" ht="15" customHeight="1">
      <c r="E370" s="5" ph="1"/>
    </row>
    <row r="372" spans="5:5" ht="15" customHeight="1">
      <c r="E372" s="5" ph="1"/>
    </row>
    <row r="373" spans="5:5" ht="15" customHeight="1">
      <c r="E373" s="5" ph="1"/>
    </row>
    <row r="374" spans="5:5" ht="15" customHeight="1">
      <c r="E374" s="5" ph="1"/>
    </row>
    <row r="375" spans="5:5" ht="15" customHeight="1">
      <c r="E375" s="5" ph="1"/>
    </row>
    <row r="376" spans="5:5" ht="15" customHeight="1">
      <c r="E376" s="5" ph="1"/>
    </row>
    <row r="377" spans="5:5" ht="15" customHeight="1">
      <c r="E377" s="5" ph="1"/>
    </row>
    <row r="378" spans="5:5" ht="15" customHeight="1">
      <c r="E378" s="5" ph="1"/>
    </row>
    <row r="379" spans="5:5" ht="15" customHeight="1">
      <c r="E379" s="5" ph="1"/>
    </row>
    <row r="380" spans="5:5" ht="15" customHeight="1">
      <c r="E380" s="5" ph="1"/>
    </row>
    <row r="381" spans="5:5" ht="15" customHeight="1">
      <c r="E381" s="5" ph="1"/>
    </row>
    <row r="382" spans="5:5" ht="15" customHeight="1">
      <c r="E382" s="5" ph="1"/>
    </row>
    <row r="383" spans="5:5" ht="15" customHeight="1">
      <c r="E383" s="5" ph="1"/>
    </row>
    <row r="385" spans="5:5" ht="15" customHeight="1">
      <c r="E385" s="5" ph="1"/>
    </row>
    <row r="386" spans="5:5" ht="15" customHeight="1">
      <c r="E386" s="5" ph="1"/>
    </row>
    <row r="387" spans="5:5" ht="15" customHeight="1">
      <c r="E387" s="5" ph="1"/>
    </row>
    <row r="388" spans="5:5" ht="15" customHeight="1">
      <c r="E388" s="5" ph="1"/>
    </row>
    <row r="389" spans="5:5" ht="15" customHeight="1">
      <c r="E389" s="5" ph="1"/>
    </row>
    <row r="390" spans="5:5" ht="15" customHeight="1">
      <c r="E390" s="5" ph="1"/>
    </row>
    <row r="391" spans="5:5" ht="15" customHeight="1">
      <c r="E391" s="5" ph="1"/>
    </row>
    <row r="393" spans="5:5" ht="15" customHeight="1">
      <c r="E393" s="5" ph="1"/>
    </row>
    <row r="394" spans="5:5" ht="15" customHeight="1">
      <c r="E394" s="5" ph="1"/>
    </row>
    <row r="395" spans="5:5" ht="15" customHeight="1">
      <c r="E395" s="5" ph="1"/>
    </row>
    <row r="396" spans="5:5" ht="15" customHeight="1">
      <c r="E396" s="5" ph="1"/>
    </row>
    <row r="397" spans="5:5" ht="15" customHeight="1">
      <c r="E397" s="5" ph="1"/>
    </row>
    <row r="398" spans="5:5" ht="15" customHeight="1">
      <c r="E398" s="5" ph="1"/>
    </row>
    <row r="399" spans="5:5" ht="15" customHeight="1">
      <c r="E399" s="5" ph="1"/>
    </row>
    <row r="400" spans="5:5" ht="15" customHeight="1">
      <c r="E400" s="5" ph="1"/>
    </row>
    <row r="401" spans="5:5" ht="15" customHeight="1">
      <c r="E401" s="5" ph="1"/>
    </row>
    <row r="402" spans="5:5" ht="15" customHeight="1">
      <c r="E402" s="5" ph="1"/>
    </row>
    <row r="403" spans="5:5" ht="15" customHeight="1">
      <c r="E403" s="5" ph="1"/>
    </row>
    <row r="404" spans="5:5" ht="15" customHeight="1">
      <c r="E404" s="5" ph="1"/>
    </row>
    <row r="405" spans="5:5" ht="15" customHeight="1">
      <c r="E405" s="5" ph="1"/>
    </row>
    <row r="406" spans="5:5" ht="15" customHeight="1">
      <c r="E406" s="5" ph="1"/>
    </row>
    <row r="407" spans="5:5" ht="15" customHeight="1">
      <c r="E407" s="5" ph="1"/>
    </row>
    <row r="409" spans="5:5" ht="15" customHeight="1">
      <c r="E409" s="5" ph="1"/>
    </row>
    <row r="410" spans="5:5" ht="15" customHeight="1">
      <c r="E410" s="5" ph="1"/>
    </row>
    <row r="411" spans="5:5" ht="15" customHeight="1">
      <c r="E411" s="5" ph="1"/>
    </row>
    <row r="412" spans="5:5" ht="15" customHeight="1">
      <c r="E412" s="5" ph="1"/>
    </row>
    <row r="413" spans="5:5" ht="15" customHeight="1">
      <c r="E413" s="5" ph="1"/>
    </row>
    <row r="414" spans="5:5" ht="15" customHeight="1">
      <c r="E414" s="5" ph="1"/>
    </row>
    <row r="415" spans="5:5" ht="15" customHeight="1">
      <c r="E415" s="5" ph="1"/>
    </row>
    <row r="416" spans="5:5" ht="15" customHeight="1">
      <c r="E416" s="5" ph="1"/>
    </row>
    <row r="417" spans="5:5" ht="15" customHeight="1">
      <c r="E417" s="5" ph="1"/>
    </row>
    <row r="418" spans="5:5" ht="15" customHeight="1">
      <c r="E418" s="5" ph="1"/>
    </row>
    <row r="419" spans="5:5" ht="15" customHeight="1">
      <c r="E419" s="5" ph="1"/>
    </row>
    <row r="420" spans="5:5" ht="15" customHeight="1">
      <c r="E420" s="5" ph="1"/>
    </row>
    <row r="421" spans="5:5" ht="15" customHeight="1">
      <c r="E421" s="5" ph="1"/>
    </row>
    <row r="422" spans="5:5" ht="15" customHeight="1">
      <c r="E422" s="5" ph="1"/>
    </row>
    <row r="423" spans="5:5" ht="15" customHeight="1">
      <c r="E423" s="5" ph="1"/>
    </row>
    <row r="425" spans="5:5" ht="15" customHeight="1">
      <c r="E425" s="5" ph="1"/>
    </row>
    <row r="426" spans="5:5" ht="15" customHeight="1">
      <c r="E426" s="5" ph="1"/>
    </row>
    <row r="427" spans="5:5" ht="15" customHeight="1">
      <c r="E427" s="5" ph="1"/>
    </row>
    <row r="428" spans="5:5" ht="15" customHeight="1">
      <c r="E428" s="5" ph="1"/>
    </row>
    <row r="429" spans="5:5" ht="15" customHeight="1">
      <c r="E429" s="5" ph="1"/>
    </row>
    <row r="430" spans="5:5" ht="15" customHeight="1">
      <c r="E430" s="5" ph="1"/>
    </row>
    <row r="431" spans="5:5" ht="15" customHeight="1">
      <c r="E431" s="5" ph="1"/>
    </row>
    <row r="433" spans="5:5" ht="15" customHeight="1">
      <c r="E433" s="5" ph="1"/>
    </row>
    <row r="434" spans="5:5" ht="15" customHeight="1">
      <c r="E434" s="5" ph="1"/>
    </row>
    <row r="435" spans="5:5" ht="15" customHeight="1">
      <c r="E435" s="5" ph="1"/>
    </row>
    <row r="436" spans="5:5" ht="15" customHeight="1">
      <c r="E436" s="5" ph="1"/>
    </row>
    <row r="437" spans="5:5" ht="15" customHeight="1">
      <c r="E437" s="5" ph="1"/>
    </row>
    <row r="438" spans="5:5" ht="15" customHeight="1">
      <c r="E438" s="5" ph="1"/>
    </row>
    <row r="439" spans="5:5" ht="15" customHeight="1">
      <c r="E439" s="5" ph="1"/>
    </row>
    <row r="440" spans="5:5" ht="15" customHeight="1">
      <c r="E440" s="5" ph="1"/>
    </row>
    <row r="441" spans="5:5" ht="15" customHeight="1">
      <c r="E441" s="5" ph="1"/>
    </row>
    <row r="442" spans="5:5" ht="15" customHeight="1">
      <c r="E442" s="5" ph="1"/>
    </row>
    <row r="443" spans="5:5" ht="15" customHeight="1">
      <c r="E443" s="5" ph="1"/>
    </row>
    <row r="444" spans="5:5" ht="15" customHeight="1">
      <c r="E444" s="5" ph="1"/>
    </row>
    <row r="445" spans="5:5" ht="15" customHeight="1">
      <c r="E445" s="5" ph="1"/>
    </row>
    <row r="446" spans="5:5" ht="15" customHeight="1">
      <c r="E446" s="5" ph="1"/>
    </row>
    <row r="447" spans="5:5" ht="15" customHeight="1">
      <c r="E447" s="5" ph="1"/>
    </row>
    <row r="449" spans="5:5" ht="15" customHeight="1">
      <c r="E449" s="5" ph="1"/>
    </row>
    <row r="450" spans="5:5" ht="15" customHeight="1">
      <c r="E450" s="5" ph="1"/>
    </row>
    <row r="451" spans="5:5" ht="15" customHeight="1">
      <c r="E451" s="5" ph="1"/>
    </row>
    <row r="452" spans="5:5" ht="15" customHeight="1">
      <c r="E452" s="5" ph="1"/>
    </row>
    <row r="453" spans="5:5" ht="15" customHeight="1">
      <c r="E453" s="5" ph="1"/>
    </row>
    <row r="454" spans="5:5" ht="15" customHeight="1">
      <c r="E454" s="5" ph="1"/>
    </row>
    <row r="455" spans="5:5" ht="15" customHeight="1">
      <c r="E455" s="5" ph="1"/>
    </row>
    <row r="456" spans="5:5" ht="15" customHeight="1">
      <c r="E456" s="5" ph="1"/>
    </row>
    <row r="457" spans="5:5" ht="15" customHeight="1">
      <c r="E457" s="5" ph="1"/>
    </row>
    <row r="458" spans="5:5" ht="15" customHeight="1">
      <c r="E458" s="5" ph="1"/>
    </row>
    <row r="459" spans="5:5" ht="15" customHeight="1">
      <c r="E459" s="5" ph="1"/>
    </row>
    <row r="460" spans="5:5" ht="15" customHeight="1">
      <c r="E460" s="5" ph="1"/>
    </row>
    <row r="461" spans="5:5" ht="15" customHeight="1">
      <c r="E461" s="5" ph="1"/>
    </row>
    <row r="462" spans="5:5" ht="15" customHeight="1">
      <c r="E462" s="5" ph="1"/>
    </row>
    <row r="463" spans="5:5" ht="15" customHeight="1">
      <c r="E463" s="5" ph="1"/>
    </row>
    <row r="465" spans="5:5" ht="15" customHeight="1">
      <c r="E465" s="5" ph="1"/>
    </row>
  </sheetData>
  <mergeCells count="1">
    <mergeCell ref="B9:D9"/>
  </mergeCells>
  <phoneticPr fontId="3" type="noConversion"/>
  <pageMargins left="0.7" right="0.7" top="0.75" bottom="0.75" header="0.3" footer="0.3"/>
  <pageSetup paperSize="9" scale="38" orientation="landscape"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18">
    <tabColor theme="7" tint="0.59999389629810485"/>
  </sheetPr>
  <dimension ref="A1:S637"/>
  <sheetViews>
    <sheetView showGridLines="0" topLeftCell="A66" zoomScaleNormal="100" zoomScaleSheetLayoutView="85" workbookViewId="0">
      <selection activeCell="C57" sqref="C57"/>
    </sheetView>
  </sheetViews>
  <sheetFormatPr defaultRowHeight="13.5" outlineLevelRow="1"/>
  <cols>
    <col min="1" max="1" width="3.125" style="5" customWidth="1"/>
    <col min="2" max="2" width="16.125" style="7" customWidth="1"/>
    <col min="3" max="3" width="18.125" style="5" customWidth="1"/>
    <col min="4" max="4" width="16" style="5" customWidth="1"/>
    <col min="5" max="5" width="17.625" style="5" customWidth="1"/>
    <col min="6" max="6" width="18" style="5" customWidth="1"/>
    <col min="7" max="7" width="18.625" style="5" customWidth="1"/>
    <col min="8" max="8" width="19.375" style="5" customWidth="1"/>
    <col min="9" max="9" width="19.125" style="5" customWidth="1"/>
    <col min="10" max="10" width="23" style="5" customWidth="1"/>
    <col min="11" max="11" width="19" style="5" customWidth="1"/>
    <col min="12" max="12" width="20" style="5" customWidth="1"/>
    <col min="13" max="14" width="16.625" style="5" bestFit="1" customWidth="1"/>
    <col min="15" max="15" width="17.625" style="5" bestFit="1" customWidth="1"/>
    <col min="16" max="16" width="16.625" style="5" bestFit="1" customWidth="1"/>
    <col min="17" max="17" width="21.5" style="5" bestFit="1" customWidth="1"/>
    <col min="18" max="18" width="11.5" style="6" bestFit="1" customWidth="1"/>
    <col min="19" max="19" width="11.125" style="5" bestFit="1" customWidth="1"/>
    <col min="20" max="20" width="8.5" style="5" bestFit="1" customWidth="1"/>
    <col min="21" max="257" width="9" style="5"/>
    <col min="258" max="258" width="3.125" style="5" customWidth="1"/>
    <col min="259" max="259" width="7.5" style="5" customWidth="1"/>
    <col min="260" max="260" width="22" style="5" bestFit="1" customWidth="1"/>
    <col min="261" max="261" width="18.625" style="5" customWidth="1"/>
    <col min="262" max="262" width="17" style="5" customWidth="1"/>
    <col min="263" max="263" width="18.125" style="5" customWidth="1"/>
    <col min="264" max="264" width="14.625" style="5" customWidth="1"/>
    <col min="265" max="265" width="18" style="5" customWidth="1"/>
    <col min="266" max="267" width="19.125" style="5" customWidth="1"/>
    <col min="268" max="268" width="17.125" style="5" bestFit="1" customWidth="1"/>
    <col min="269" max="269" width="12.875" style="5" bestFit="1" customWidth="1"/>
    <col min="270" max="270" width="7.5" style="5" bestFit="1" customWidth="1"/>
    <col min="271" max="271" width="14.375" style="5" customWidth="1"/>
    <col min="272" max="272" width="17" style="5" customWidth="1"/>
    <col min="273" max="273" width="15.125" style="5" customWidth="1"/>
    <col min="274" max="274" width="9" style="5" bestFit="1" customWidth="1"/>
    <col min="275" max="275" width="9.125" style="5" bestFit="1" customWidth="1"/>
    <col min="276" max="513" width="9" style="5"/>
    <col min="514" max="514" width="3.125" style="5" customWidth="1"/>
    <col min="515" max="515" width="7.5" style="5" customWidth="1"/>
    <col min="516" max="516" width="22" style="5" bestFit="1" customWidth="1"/>
    <col min="517" max="517" width="18.625" style="5" customWidth="1"/>
    <col min="518" max="518" width="17" style="5" customWidth="1"/>
    <col min="519" max="519" width="18.125" style="5" customWidth="1"/>
    <col min="520" max="520" width="14.625" style="5" customWidth="1"/>
    <col min="521" max="521" width="18" style="5" customWidth="1"/>
    <col min="522" max="523" width="19.125" style="5" customWidth="1"/>
    <col min="524" max="524" width="17.125" style="5" bestFit="1" customWidth="1"/>
    <col min="525" max="525" width="12.875" style="5" bestFit="1" customWidth="1"/>
    <col min="526" max="526" width="7.5" style="5" bestFit="1" customWidth="1"/>
    <col min="527" max="527" width="14.375" style="5" customWidth="1"/>
    <col min="528" max="528" width="17" style="5" customWidth="1"/>
    <col min="529" max="529" width="15.125" style="5" customWidth="1"/>
    <col min="530" max="530" width="9" style="5" bestFit="1" customWidth="1"/>
    <col min="531" max="531" width="9.125" style="5" bestFit="1" customWidth="1"/>
    <col min="532" max="769" width="9" style="5"/>
    <col min="770" max="770" width="3.125" style="5" customWidth="1"/>
    <col min="771" max="771" width="7.5" style="5" customWidth="1"/>
    <col min="772" max="772" width="22" style="5" bestFit="1" customWidth="1"/>
    <col min="773" max="773" width="18.625" style="5" customWidth="1"/>
    <col min="774" max="774" width="17" style="5" customWidth="1"/>
    <col min="775" max="775" width="18.125" style="5" customWidth="1"/>
    <col min="776" max="776" width="14.625" style="5" customWidth="1"/>
    <col min="777" max="777" width="18" style="5" customWidth="1"/>
    <col min="778" max="779" width="19.125" style="5" customWidth="1"/>
    <col min="780" max="780" width="17.125" style="5" bestFit="1" customWidth="1"/>
    <col min="781" max="781" width="12.875" style="5" bestFit="1" customWidth="1"/>
    <col min="782" max="782" width="7.5" style="5" bestFit="1" customWidth="1"/>
    <col min="783" max="783" width="14.375" style="5" customWidth="1"/>
    <col min="784" max="784" width="17" style="5" customWidth="1"/>
    <col min="785" max="785" width="15.125" style="5" customWidth="1"/>
    <col min="786" max="786" width="9" style="5" bestFit="1" customWidth="1"/>
    <col min="787" max="787" width="9.125" style="5" bestFit="1" customWidth="1"/>
    <col min="788" max="1025" width="9" style="5"/>
    <col min="1026" max="1026" width="3.125" style="5" customWidth="1"/>
    <col min="1027" max="1027" width="7.5" style="5" customWidth="1"/>
    <col min="1028" max="1028" width="22" style="5" bestFit="1" customWidth="1"/>
    <col min="1029" max="1029" width="18.625" style="5" customWidth="1"/>
    <col min="1030" max="1030" width="17" style="5" customWidth="1"/>
    <col min="1031" max="1031" width="18.125" style="5" customWidth="1"/>
    <col min="1032" max="1032" width="14.625" style="5" customWidth="1"/>
    <col min="1033" max="1033" width="18" style="5" customWidth="1"/>
    <col min="1034" max="1035" width="19.125" style="5" customWidth="1"/>
    <col min="1036" max="1036" width="17.125" style="5" bestFit="1" customWidth="1"/>
    <col min="1037" max="1037" width="12.875" style="5" bestFit="1" customWidth="1"/>
    <col min="1038" max="1038" width="7.5" style="5" bestFit="1" customWidth="1"/>
    <col min="1039" max="1039" width="14.375" style="5" customWidth="1"/>
    <col min="1040" max="1040" width="17" style="5" customWidth="1"/>
    <col min="1041" max="1041" width="15.125" style="5" customWidth="1"/>
    <col min="1042" max="1042" width="9" style="5" bestFit="1" customWidth="1"/>
    <col min="1043" max="1043" width="9.125" style="5" bestFit="1" customWidth="1"/>
    <col min="1044" max="1281" width="9" style="5"/>
    <col min="1282" max="1282" width="3.125" style="5" customWidth="1"/>
    <col min="1283" max="1283" width="7.5" style="5" customWidth="1"/>
    <col min="1284" max="1284" width="22" style="5" bestFit="1" customWidth="1"/>
    <col min="1285" max="1285" width="18.625" style="5" customWidth="1"/>
    <col min="1286" max="1286" width="17" style="5" customWidth="1"/>
    <col min="1287" max="1287" width="18.125" style="5" customWidth="1"/>
    <col min="1288" max="1288" width="14.625" style="5" customWidth="1"/>
    <col min="1289" max="1289" width="18" style="5" customWidth="1"/>
    <col min="1290" max="1291" width="19.125" style="5" customWidth="1"/>
    <col min="1292" max="1292" width="17.125" style="5" bestFit="1" customWidth="1"/>
    <col min="1293" max="1293" width="12.875" style="5" bestFit="1" customWidth="1"/>
    <col min="1294" max="1294" width="7.5" style="5" bestFit="1" customWidth="1"/>
    <col min="1295" max="1295" width="14.375" style="5" customWidth="1"/>
    <col min="1296" max="1296" width="17" style="5" customWidth="1"/>
    <col min="1297" max="1297" width="15.125" style="5" customWidth="1"/>
    <col min="1298" max="1298" width="9" style="5" bestFit="1" customWidth="1"/>
    <col min="1299" max="1299" width="9.125" style="5" bestFit="1" customWidth="1"/>
    <col min="1300" max="1537" width="9" style="5"/>
    <col min="1538" max="1538" width="3.125" style="5" customWidth="1"/>
    <col min="1539" max="1539" width="7.5" style="5" customWidth="1"/>
    <col min="1540" max="1540" width="22" style="5" bestFit="1" customWidth="1"/>
    <col min="1541" max="1541" width="18.625" style="5" customWidth="1"/>
    <col min="1542" max="1542" width="17" style="5" customWidth="1"/>
    <col min="1543" max="1543" width="18.125" style="5" customWidth="1"/>
    <col min="1544" max="1544" width="14.625" style="5" customWidth="1"/>
    <col min="1545" max="1545" width="18" style="5" customWidth="1"/>
    <col min="1546" max="1547" width="19.125" style="5" customWidth="1"/>
    <col min="1548" max="1548" width="17.125" style="5" bestFit="1" customWidth="1"/>
    <col min="1549" max="1549" width="12.875" style="5" bestFit="1" customWidth="1"/>
    <col min="1550" max="1550" width="7.5" style="5" bestFit="1" customWidth="1"/>
    <col min="1551" max="1551" width="14.375" style="5" customWidth="1"/>
    <col min="1552" max="1552" width="17" style="5" customWidth="1"/>
    <col min="1553" max="1553" width="15.125" style="5" customWidth="1"/>
    <col min="1554" max="1554" width="9" style="5" bestFit="1" customWidth="1"/>
    <col min="1555" max="1555" width="9.125" style="5" bestFit="1" customWidth="1"/>
    <col min="1556" max="1793" width="9" style="5"/>
    <col min="1794" max="1794" width="3.125" style="5" customWidth="1"/>
    <col min="1795" max="1795" width="7.5" style="5" customWidth="1"/>
    <col min="1796" max="1796" width="22" style="5" bestFit="1" customWidth="1"/>
    <col min="1797" max="1797" width="18.625" style="5" customWidth="1"/>
    <col min="1798" max="1798" width="17" style="5" customWidth="1"/>
    <col min="1799" max="1799" width="18.125" style="5" customWidth="1"/>
    <col min="1800" max="1800" width="14.625" style="5" customWidth="1"/>
    <col min="1801" max="1801" width="18" style="5" customWidth="1"/>
    <col min="1802" max="1803" width="19.125" style="5" customWidth="1"/>
    <col min="1804" max="1804" width="17.125" style="5" bestFit="1" customWidth="1"/>
    <col min="1805" max="1805" width="12.875" style="5" bestFit="1" customWidth="1"/>
    <col min="1806" max="1806" width="7.5" style="5" bestFit="1" customWidth="1"/>
    <col min="1807" max="1807" width="14.375" style="5" customWidth="1"/>
    <col min="1808" max="1808" width="17" style="5" customWidth="1"/>
    <col min="1809" max="1809" width="15.125" style="5" customWidth="1"/>
    <col min="1810" max="1810" width="9" style="5" bestFit="1" customWidth="1"/>
    <col min="1811" max="1811" width="9.125" style="5" bestFit="1" customWidth="1"/>
    <col min="1812" max="2049" width="9" style="5"/>
    <col min="2050" max="2050" width="3.125" style="5" customWidth="1"/>
    <col min="2051" max="2051" width="7.5" style="5" customWidth="1"/>
    <col min="2052" max="2052" width="22" style="5" bestFit="1" customWidth="1"/>
    <col min="2053" max="2053" width="18.625" style="5" customWidth="1"/>
    <col min="2054" max="2054" width="17" style="5" customWidth="1"/>
    <col min="2055" max="2055" width="18.125" style="5" customWidth="1"/>
    <col min="2056" max="2056" width="14.625" style="5" customWidth="1"/>
    <col min="2057" max="2057" width="18" style="5" customWidth="1"/>
    <col min="2058" max="2059" width="19.125" style="5" customWidth="1"/>
    <col min="2060" max="2060" width="17.125" style="5" bestFit="1" customWidth="1"/>
    <col min="2061" max="2061" width="12.875" style="5" bestFit="1" customWidth="1"/>
    <col min="2062" max="2062" width="7.5" style="5" bestFit="1" customWidth="1"/>
    <col min="2063" max="2063" width="14.375" style="5" customWidth="1"/>
    <col min="2064" max="2064" width="17" style="5" customWidth="1"/>
    <col min="2065" max="2065" width="15.125" style="5" customWidth="1"/>
    <col min="2066" max="2066" width="9" style="5" bestFit="1" customWidth="1"/>
    <col min="2067" max="2067" width="9.125" style="5" bestFit="1" customWidth="1"/>
    <col min="2068" max="2305" width="9" style="5"/>
    <col min="2306" max="2306" width="3.125" style="5" customWidth="1"/>
    <col min="2307" max="2307" width="7.5" style="5" customWidth="1"/>
    <col min="2308" max="2308" width="22" style="5" bestFit="1" customWidth="1"/>
    <col min="2309" max="2309" width="18.625" style="5" customWidth="1"/>
    <col min="2310" max="2310" width="17" style="5" customWidth="1"/>
    <col min="2311" max="2311" width="18.125" style="5" customWidth="1"/>
    <col min="2312" max="2312" width="14.625" style="5" customWidth="1"/>
    <col min="2313" max="2313" width="18" style="5" customWidth="1"/>
    <col min="2314" max="2315" width="19.125" style="5" customWidth="1"/>
    <col min="2316" max="2316" width="17.125" style="5" bestFit="1" customWidth="1"/>
    <col min="2317" max="2317" width="12.875" style="5" bestFit="1" customWidth="1"/>
    <col min="2318" max="2318" width="7.5" style="5" bestFit="1" customWidth="1"/>
    <col min="2319" max="2319" width="14.375" style="5" customWidth="1"/>
    <col min="2320" max="2320" width="17" style="5" customWidth="1"/>
    <col min="2321" max="2321" width="15.125" style="5" customWidth="1"/>
    <col min="2322" max="2322" width="9" style="5" bestFit="1" customWidth="1"/>
    <col min="2323" max="2323" width="9.125" style="5" bestFit="1" customWidth="1"/>
    <col min="2324" max="2561" width="9" style="5"/>
    <col min="2562" max="2562" width="3.125" style="5" customWidth="1"/>
    <col min="2563" max="2563" width="7.5" style="5" customWidth="1"/>
    <col min="2564" max="2564" width="22" style="5" bestFit="1" customWidth="1"/>
    <col min="2565" max="2565" width="18.625" style="5" customWidth="1"/>
    <col min="2566" max="2566" width="17" style="5" customWidth="1"/>
    <col min="2567" max="2567" width="18.125" style="5" customWidth="1"/>
    <col min="2568" max="2568" width="14.625" style="5" customWidth="1"/>
    <col min="2569" max="2569" width="18" style="5" customWidth="1"/>
    <col min="2570" max="2571" width="19.125" style="5" customWidth="1"/>
    <col min="2572" max="2572" width="17.125" style="5" bestFit="1" customWidth="1"/>
    <col min="2573" max="2573" width="12.875" style="5" bestFit="1" customWidth="1"/>
    <col min="2574" max="2574" width="7.5" style="5" bestFit="1" customWidth="1"/>
    <col min="2575" max="2575" width="14.375" style="5" customWidth="1"/>
    <col min="2576" max="2576" width="17" style="5" customWidth="1"/>
    <col min="2577" max="2577" width="15.125" style="5" customWidth="1"/>
    <col min="2578" max="2578" width="9" style="5" bestFit="1" customWidth="1"/>
    <col min="2579" max="2579" width="9.125" style="5" bestFit="1" customWidth="1"/>
    <col min="2580" max="2817" width="9" style="5"/>
    <col min="2818" max="2818" width="3.125" style="5" customWidth="1"/>
    <col min="2819" max="2819" width="7.5" style="5" customWidth="1"/>
    <col min="2820" max="2820" width="22" style="5" bestFit="1" customWidth="1"/>
    <col min="2821" max="2821" width="18.625" style="5" customWidth="1"/>
    <col min="2822" max="2822" width="17" style="5" customWidth="1"/>
    <col min="2823" max="2823" width="18.125" style="5" customWidth="1"/>
    <col min="2824" max="2824" width="14.625" style="5" customWidth="1"/>
    <col min="2825" max="2825" width="18" style="5" customWidth="1"/>
    <col min="2826" max="2827" width="19.125" style="5" customWidth="1"/>
    <col min="2828" max="2828" width="17.125" style="5" bestFit="1" customWidth="1"/>
    <col min="2829" max="2829" width="12.875" style="5" bestFit="1" customWidth="1"/>
    <col min="2830" max="2830" width="7.5" style="5" bestFit="1" customWidth="1"/>
    <col min="2831" max="2831" width="14.375" style="5" customWidth="1"/>
    <col min="2832" max="2832" width="17" style="5" customWidth="1"/>
    <col min="2833" max="2833" width="15.125" style="5" customWidth="1"/>
    <col min="2834" max="2834" width="9" style="5" bestFit="1" customWidth="1"/>
    <col min="2835" max="2835" width="9.125" style="5" bestFit="1" customWidth="1"/>
    <col min="2836" max="3073" width="9" style="5"/>
    <col min="3074" max="3074" width="3.125" style="5" customWidth="1"/>
    <col min="3075" max="3075" width="7.5" style="5" customWidth="1"/>
    <col min="3076" max="3076" width="22" style="5" bestFit="1" customWidth="1"/>
    <col min="3077" max="3077" width="18.625" style="5" customWidth="1"/>
    <col min="3078" max="3078" width="17" style="5" customWidth="1"/>
    <col min="3079" max="3079" width="18.125" style="5" customWidth="1"/>
    <col min="3080" max="3080" width="14.625" style="5" customWidth="1"/>
    <col min="3081" max="3081" width="18" style="5" customWidth="1"/>
    <col min="3082" max="3083" width="19.125" style="5" customWidth="1"/>
    <col min="3084" max="3084" width="17.125" style="5" bestFit="1" customWidth="1"/>
    <col min="3085" max="3085" width="12.875" style="5" bestFit="1" customWidth="1"/>
    <col min="3086" max="3086" width="7.5" style="5" bestFit="1" customWidth="1"/>
    <col min="3087" max="3087" width="14.375" style="5" customWidth="1"/>
    <col min="3088" max="3088" width="17" style="5" customWidth="1"/>
    <col min="3089" max="3089" width="15.125" style="5" customWidth="1"/>
    <col min="3090" max="3090" width="9" style="5" bestFit="1" customWidth="1"/>
    <col min="3091" max="3091" width="9.125" style="5" bestFit="1" customWidth="1"/>
    <col min="3092" max="3329" width="9" style="5"/>
    <col min="3330" max="3330" width="3.125" style="5" customWidth="1"/>
    <col min="3331" max="3331" width="7.5" style="5" customWidth="1"/>
    <col min="3332" max="3332" width="22" style="5" bestFit="1" customWidth="1"/>
    <col min="3333" max="3333" width="18.625" style="5" customWidth="1"/>
    <col min="3334" max="3334" width="17" style="5" customWidth="1"/>
    <col min="3335" max="3335" width="18.125" style="5" customWidth="1"/>
    <col min="3336" max="3336" width="14.625" style="5" customWidth="1"/>
    <col min="3337" max="3337" width="18" style="5" customWidth="1"/>
    <col min="3338" max="3339" width="19.125" style="5" customWidth="1"/>
    <col min="3340" max="3340" width="17.125" style="5" bestFit="1" customWidth="1"/>
    <col min="3341" max="3341" width="12.875" style="5" bestFit="1" customWidth="1"/>
    <col min="3342" max="3342" width="7.5" style="5" bestFit="1" customWidth="1"/>
    <col min="3343" max="3343" width="14.375" style="5" customWidth="1"/>
    <col min="3344" max="3344" width="17" style="5" customWidth="1"/>
    <col min="3345" max="3345" width="15.125" style="5" customWidth="1"/>
    <col min="3346" max="3346" width="9" style="5" bestFit="1" customWidth="1"/>
    <col min="3347" max="3347" width="9.125" style="5" bestFit="1" customWidth="1"/>
    <col min="3348" max="3585" width="9" style="5"/>
    <col min="3586" max="3586" width="3.125" style="5" customWidth="1"/>
    <col min="3587" max="3587" width="7.5" style="5" customWidth="1"/>
    <col min="3588" max="3588" width="22" style="5" bestFit="1" customWidth="1"/>
    <col min="3589" max="3589" width="18.625" style="5" customWidth="1"/>
    <col min="3590" max="3590" width="17" style="5" customWidth="1"/>
    <col min="3591" max="3591" width="18.125" style="5" customWidth="1"/>
    <col min="3592" max="3592" width="14.625" style="5" customWidth="1"/>
    <col min="3593" max="3593" width="18" style="5" customWidth="1"/>
    <col min="3594" max="3595" width="19.125" style="5" customWidth="1"/>
    <col min="3596" max="3596" width="17.125" style="5" bestFit="1" customWidth="1"/>
    <col min="3597" max="3597" width="12.875" style="5" bestFit="1" customWidth="1"/>
    <col min="3598" max="3598" width="7.5" style="5" bestFit="1" customWidth="1"/>
    <col min="3599" max="3599" width="14.375" style="5" customWidth="1"/>
    <col min="3600" max="3600" width="17" style="5" customWidth="1"/>
    <col min="3601" max="3601" width="15.125" style="5" customWidth="1"/>
    <col min="3602" max="3602" width="9" style="5" bestFit="1" customWidth="1"/>
    <col min="3603" max="3603" width="9.125" style="5" bestFit="1" customWidth="1"/>
    <col min="3604" max="3841" width="9" style="5"/>
    <col min="3842" max="3842" width="3.125" style="5" customWidth="1"/>
    <col min="3843" max="3843" width="7.5" style="5" customWidth="1"/>
    <col min="3844" max="3844" width="22" style="5" bestFit="1" customWidth="1"/>
    <col min="3845" max="3845" width="18.625" style="5" customWidth="1"/>
    <col min="3846" max="3846" width="17" style="5" customWidth="1"/>
    <col min="3847" max="3847" width="18.125" style="5" customWidth="1"/>
    <col min="3848" max="3848" width="14.625" style="5" customWidth="1"/>
    <col min="3849" max="3849" width="18" style="5" customWidth="1"/>
    <col min="3850" max="3851" width="19.125" style="5" customWidth="1"/>
    <col min="3852" max="3852" width="17.125" style="5" bestFit="1" customWidth="1"/>
    <col min="3853" max="3853" width="12.875" style="5" bestFit="1" customWidth="1"/>
    <col min="3854" max="3854" width="7.5" style="5" bestFit="1" customWidth="1"/>
    <col min="3855" max="3855" width="14.375" style="5" customWidth="1"/>
    <col min="3856" max="3856" width="17" style="5" customWidth="1"/>
    <col min="3857" max="3857" width="15.125" style="5" customWidth="1"/>
    <col min="3858" max="3858" width="9" style="5" bestFit="1" customWidth="1"/>
    <col min="3859" max="3859" width="9.125" style="5" bestFit="1" customWidth="1"/>
    <col min="3860" max="4097" width="9" style="5"/>
    <col min="4098" max="4098" width="3.125" style="5" customWidth="1"/>
    <col min="4099" max="4099" width="7.5" style="5" customWidth="1"/>
    <col min="4100" max="4100" width="22" style="5" bestFit="1" customWidth="1"/>
    <col min="4101" max="4101" width="18.625" style="5" customWidth="1"/>
    <col min="4102" max="4102" width="17" style="5" customWidth="1"/>
    <col min="4103" max="4103" width="18.125" style="5" customWidth="1"/>
    <col min="4104" max="4104" width="14.625" style="5" customWidth="1"/>
    <col min="4105" max="4105" width="18" style="5" customWidth="1"/>
    <col min="4106" max="4107" width="19.125" style="5" customWidth="1"/>
    <col min="4108" max="4108" width="17.125" style="5" bestFit="1" customWidth="1"/>
    <col min="4109" max="4109" width="12.875" style="5" bestFit="1" customWidth="1"/>
    <col min="4110" max="4110" width="7.5" style="5" bestFit="1" customWidth="1"/>
    <col min="4111" max="4111" width="14.375" style="5" customWidth="1"/>
    <col min="4112" max="4112" width="17" style="5" customWidth="1"/>
    <col min="4113" max="4113" width="15.125" style="5" customWidth="1"/>
    <col min="4114" max="4114" width="9" style="5" bestFit="1" customWidth="1"/>
    <col min="4115" max="4115" width="9.125" style="5" bestFit="1" customWidth="1"/>
    <col min="4116" max="4353" width="9" style="5"/>
    <col min="4354" max="4354" width="3.125" style="5" customWidth="1"/>
    <col min="4355" max="4355" width="7.5" style="5" customWidth="1"/>
    <col min="4356" max="4356" width="22" style="5" bestFit="1" customWidth="1"/>
    <col min="4357" max="4357" width="18.625" style="5" customWidth="1"/>
    <col min="4358" max="4358" width="17" style="5" customWidth="1"/>
    <col min="4359" max="4359" width="18.125" style="5" customWidth="1"/>
    <col min="4360" max="4360" width="14.625" style="5" customWidth="1"/>
    <col min="4361" max="4361" width="18" style="5" customWidth="1"/>
    <col min="4362" max="4363" width="19.125" style="5" customWidth="1"/>
    <col min="4364" max="4364" width="17.125" style="5" bestFit="1" customWidth="1"/>
    <col min="4365" max="4365" width="12.875" style="5" bestFit="1" customWidth="1"/>
    <col min="4366" max="4366" width="7.5" style="5" bestFit="1" customWidth="1"/>
    <col min="4367" max="4367" width="14.375" style="5" customWidth="1"/>
    <col min="4368" max="4368" width="17" style="5" customWidth="1"/>
    <col min="4369" max="4369" width="15.125" style="5" customWidth="1"/>
    <col min="4370" max="4370" width="9" style="5" bestFit="1" customWidth="1"/>
    <col min="4371" max="4371" width="9.125" style="5" bestFit="1" customWidth="1"/>
    <col min="4372" max="4609" width="9" style="5"/>
    <col min="4610" max="4610" width="3.125" style="5" customWidth="1"/>
    <col min="4611" max="4611" width="7.5" style="5" customWidth="1"/>
    <col min="4612" max="4612" width="22" style="5" bestFit="1" customWidth="1"/>
    <col min="4613" max="4613" width="18.625" style="5" customWidth="1"/>
    <col min="4614" max="4614" width="17" style="5" customWidth="1"/>
    <col min="4615" max="4615" width="18.125" style="5" customWidth="1"/>
    <col min="4616" max="4616" width="14.625" style="5" customWidth="1"/>
    <col min="4617" max="4617" width="18" style="5" customWidth="1"/>
    <col min="4618" max="4619" width="19.125" style="5" customWidth="1"/>
    <col min="4620" max="4620" width="17.125" style="5" bestFit="1" customWidth="1"/>
    <col min="4621" max="4621" width="12.875" style="5" bestFit="1" customWidth="1"/>
    <col min="4622" max="4622" width="7.5" style="5" bestFit="1" customWidth="1"/>
    <col min="4623" max="4623" width="14.375" style="5" customWidth="1"/>
    <col min="4624" max="4624" width="17" style="5" customWidth="1"/>
    <col min="4625" max="4625" width="15.125" style="5" customWidth="1"/>
    <col min="4626" max="4626" width="9" style="5" bestFit="1" customWidth="1"/>
    <col min="4627" max="4627" width="9.125" style="5" bestFit="1" customWidth="1"/>
    <col min="4628" max="4865" width="9" style="5"/>
    <col min="4866" max="4866" width="3.125" style="5" customWidth="1"/>
    <col min="4867" max="4867" width="7.5" style="5" customWidth="1"/>
    <col min="4868" max="4868" width="22" style="5" bestFit="1" customWidth="1"/>
    <col min="4869" max="4869" width="18.625" style="5" customWidth="1"/>
    <col min="4870" max="4870" width="17" style="5" customWidth="1"/>
    <col min="4871" max="4871" width="18.125" style="5" customWidth="1"/>
    <col min="4872" max="4872" width="14.625" style="5" customWidth="1"/>
    <col min="4873" max="4873" width="18" style="5" customWidth="1"/>
    <col min="4874" max="4875" width="19.125" style="5" customWidth="1"/>
    <col min="4876" max="4876" width="17.125" style="5" bestFit="1" customWidth="1"/>
    <col min="4877" max="4877" width="12.875" style="5" bestFit="1" customWidth="1"/>
    <col min="4878" max="4878" width="7.5" style="5" bestFit="1" customWidth="1"/>
    <col min="4879" max="4879" width="14.375" style="5" customWidth="1"/>
    <col min="4880" max="4880" width="17" style="5" customWidth="1"/>
    <col min="4881" max="4881" width="15.125" style="5" customWidth="1"/>
    <col min="4882" max="4882" width="9" style="5" bestFit="1" customWidth="1"/>
    <col min="4883" max="4883" width="9.125" style="5" bestFit="1" customWidth="1"/>
    <col min="4884" max="5121" width="9" style="5"/>
    <col min="5122" max="5122" width="3.125" style="5" customWidth="1"/>
    <col min="5123" max="5123" width="7.5" style="5" customWidth="1"/>
    <col min="5124" max="5124" width="22" style="5" bestFit="1" customWidth="1"/>
    <col min="5125" max="5125" width="18.625" style="5" customWidth="1"/>
    <col min="5126" max="5126" width="17" style="5" customWidth="1"/>
    <col min="5127" max="5127" width="18.125" style="5" customWidth="1"/>
    <col min="5128" max="5128" width="14.625" style="5" customWidth="1"/>
    <col min="5129" max="5129" width="18" style="5" customWidth="1"/>
    <col min="5130" max="5131" width="19.125" style="5" customWidth="1"/>
    <col min="5132" max="5132" width="17.125" style="5" bestFit="1" customWidth="1"/>
    <col min="5133" max="5133" width="12.875" style="5" bestFit="1" customWidth="1"/>
    <col min="5134" max="5134" width="7.5" style="5" bestFit="1" customWidth="1"/>
    <col min="5135" max="5135" width="14.375" style="5" customWidth="1"/>
    <col min="5136" max="5136" width="17" style="5" customWidth="1"/>
    <col min="5137" max="5137" width="15.125" style="5" customWidth="1"/>
    <col min="5138" max="5138" width="9" style="5" bestFit="1" customWidth="1"/>
    <col min="5139" max="5139" width="9.125" style="5" bestFit="1" customWidth="1"/>
    <col min="5140" max="5377" width="9" style="5"/>
    <col min="5378" max="5378" width="3.125" style="5" customWidth="1"/>
    <col min="5379" max="5379" width="7.5" style="5" customWidth="1"/>
    <col min="5380" max="5380" width="22" style="5" bestFit="1" customWidth="1"/>
    <col min="5381" max="5381" width="18.625" style="5" customWidth="1"/>
    <col min="5382" max="5382" width="17" style="5" customWidth="1"/>
    <col min="5383" max="5383" width="18.125" style="5" customWidth="1"/>
    <col min="5384" max="5384" width="14.625" style="5" customWidth="1"/>
    <col min="5385" max="5385" width="18" style="5" customWidth="1"/>
    <col min="5386" max="5387" width="19.125" style="5" customWidth="1"/>
    <col min="5388" max="5388" width="17.125" style="5" bestFit="1" customWidth="1"/>
    <col min="5389" max="5389" width="12.875" style="5" bestFit="1" customWidth="1"/>
    <col min="5390" max="5390" width="7.5" style="5" bestFit="1" customWidth="1"/>
    <col min="5391" max="5391" width="14.375" style="5" customWidth="1"/>
    <col min="5392" max="5392" width="17" style="5" customWidth="1"/>
    <col min="5393" max="5393" width="15.125" style="5" customWidth="1"/>
    <col min="5394" max="5394" width="9" style="5" bestFit="1" customWidth="1"/>
    <col min="5395" max="5395" width="9.125" style="5" bestFit="1" customWidth="1"/>
    <col min="5396" max="5633" width="9" style="5"/>
    <col min="5634" max="5634" width="3.125" style="5" customWidth="1"/>
    <col min="5635" max="5635" width="7.5" style="5" customWidth="1"/>
    <col min="5636" max="5636" width="22" style="5" bestFit="1" customWidth="1"/>
    <col min="5637" max="5637" width="18.625" style="5" customWidth="1"/>
    <col min="5638" max="5638" width="17" style="5" customWidth="1"/>
    <col min="5639" max="5639" width="18.125" style="5" customWidth="1"/>
    <col min="5640" max="5640" width="14.625" style="5" customWidth="1"/>
    <col min="5641" max="5641" width="18" style="5" customWidth="1"/>
    <col min="5642" max="5643" width="19.125" style="5" customWidth="1"/>
    <col min="5644" max="5644" width="17.125" style="5" bestFit="1" customWidth="1"/>
    <col min="5645" max="5645" width="12.875" style="5" bestFit="1" customWidth="1"/>
    <col min="5646" max="5646" width="7.5" style="5" bestFit="1" customWidth="1"/>
    <col min="5647" max="5647" width="14.375" style="5" customWidth="1"/>
    <col min="5648" max="5648" width="17" style="5" customWidth="1"/>
    <col min="5649" max="5649" width="15.125" style="5" customWidth="1"/>
    <col min="5650" max="5650" width="9" style="5" bestFit="1" customWidth="1"/>
    <col min="5651" max="5651" width="9.125" style="5" bestFit="1" customWidth="1"/>
    <col min="5652" max="5889" width="9" style="5"/>
    <col min="5890" max="5890" width="3.125" style="5" customWidth="1"/>
    <col min="5891" max="5891" width="7.5" style="5" customWidth="1"/>
    <col min="5892" max="5892" width="22" style="5" bestFit="1" customWidth="1"/>
    <col min="5893" max="5893" width="18.625" style="5" customWidth="1"/>
    <col min="5894" max="5894" width="17" style="5" customWidth="1"/>
    <col min="5895" max="5895" width="18.125" style="5" customWidth="1"/>
    <col min="5896" max="5896" width="14.625" style="5" customWidth="1"/>
    <col min="5897" max="5897" width="18" style="5" customWidth="1"/>
    <col min="5898" max="5899" width="19.125" style="5" customWidth="1"/>
    <col min="5900" max="5900" width="17.125" style="5" bestFit="1" customWidth="1"/>
    <col min="5901" max="5901" width="12.875" style="5" bestFit="1" customWidth="1"/>
    <col min="5902" max="5902" width="7.5" style="5" bestFit="1" customWidth="1"/>
    <col min="5903" max="5903" width="14.375" style="5" customWidth="1"/>
    <col min="5904" max="5904" width="17" style="5" customWidth="1"/>
    <col min="5905" max="5905" width="15.125" style="5" customWidth="1"/>
    <col min="5906" max="5906" width="9" style="5" bestFit="1" customWidth="1"/>
    <col min="5907" max="5907" width="9.125" style="5" bestFit="1" customWidth="1"/>
    <col min="5908" max="6145" width="9" style="5"/>
    <col min="6146" max="6146" width="3.125" style="5" customWidth="1"/>
    <col min="6147" max="6147" width="7.5" style="5" customWidth="1"/>
    <col min="6148" max="6148" width="22" style="5" bestFit="1" customWidth="1"/>
    <col min="6149" max="6149" width="18.625" style="5" customWidth="1"/>
    <col min="6150" max="6150" width="17" style="5" customWidth="1"/>
    <col min="6151" max="6151" width="18.125" style="5" customWidth="1"/>
    <col min="6152" max="6152" width="14.625" style="5" customWidth="1"/>
    <col min="6153" max="6153" width="18" style="5" customWidth="1"/>
    <col min="6154" max="6155" width="19.125" style="5" customWidth="1"/>
    <col min="6156" max="6156" width="17.125" style="5" bestFit="1" customWidth="1"/>
    <col min="6157" max="6157" width="12.875" style="5" bestFit="1" customWidth="1"/>
    <col min="6158" max="6158" width="7.5" style="5" bestFit="1" customWidth="1"/>
    <col min="6159" max="6159" width="14.375" style="5" customWidth="1"/>
    <col min="6160" max="6160" width="17" style="5" customWidth="1"/>
    <col min="6161" max="6161" width="15.125" style="5" customWidth="1"/>
    <col min="6162" max="6162" width="9" style="5" bestFit="1" customWidth="1"/>
    <col min="6163" max="6163" width="9.125" style="5" bestFit="1" customWidth="1"/>
    <col min="6164" max="6401" width="9" style="5"/>
    <col min="6402" max="6402" width="3.125" style="5" customWidth="1"/>
    <col min="6403" max="6403" width="7.5" style="5" customWidth="1"/>
    <col min="6404" max="6404" width="22" style="5" bestFit="1" customWidth="1"/>
    <col min="6405" max="6405" width="18.625" style="5" customWidth="1"/>
    <col min="6406" max="6406" width="17" style="5" customWidth="1"/>
    <col min="6407" max="6407" width="18.125" style="5" customWidth="1"/>
    <col min="6408" max="6408" width="14.625" style="5" customWidth="1"/>
    <col min="6409" max="6409" width="18" style="5" customWidth="1"/>
    <col min="6410" max="6411" width="19.125" style="5" customWidth="1"/>
    <col min="6412" max="6412" width="17.125" style="5" bestFit="1" customWidth="1"/>
    <col min="6413" max="6413" width="12.875" style="5" bestFit="1" customWidth="1"/>
    <col min="6414" max="6414" width="7.5" style="5" bestFit="1" customWidth="1"/>
    <col min="6415" max="6415" width="14.375" style="5" customWidth="1"/>
    <col min="6416" max="6416" width="17" style="5" customWidth="1"/>
    <col min="6417" max="6417" width="15.125" style="5" customWidth="1"/>
    <col min="6418" max="6418" width="9" style="5" bestFit="1" customWidth="1"/>
    <col min="6419" max="6419" width="9.125" style="5" bestFit="1" customWidth="1"/>
    <col min="6420" max="6657" width="9" style="5"/>
    <col min="6658" max="6658" width="3.125" style="5" customWidth="1"/>
    <col min="6659" max="6659" width="7.5" style="5" customWidth="1"/>
    <col min="6660" max="6660" width="22" style="5" bestFit="1" customWidth="1"/>
    <col min="6661" max="6661" width="18.625" style="5" customWidth="1"/>
    <col min="6662" max="6662" width="17" style="5" customWidth="1"/>
    <col min="6663" max="6663" width="18.125" style="5" customWidth="1"/>
    <col min="6664" max="6664" width="14.625" style="5" customWidth="1"/>
    <col min="6665" max="6665" width="18" style="5" customWidth="1"/>
    <col min="6666" max="6667" width="19.125" style="5" customWidth="1"/>
    <col min="6668" max="6668" width="17.125" style="5" bestFit="1" customWidth="1"/>
    <col min="6669" max="6669" width="12.875" style="5" bestFit="1" customWidth="1"/>
    <col min="6670" max="6670" width="7.5" style="5" bestFit="1" customWidth="1"/>
    <col min="6671" max="6671" width="14.375" style="5" customWidth="1"/>
    <col min="6672" max="6672" width="17" style="5" customWidth="1"/>
    <col min="6673" max="6673" width="15.125" style="5" customWidth="1"/>
    <col min="6674" max="6674" width="9" style="5" bestFit="1" customWidth="1"/>
    <col min="6675" max="6675" width="9.125" style="5" bestFit="1" customWidth="1"/>
    <col min="6676" max="6913" width="9" style="5"/>
    <col min="6914" max="6914" width="3.125" style="5" customWidth="1"/>
    <col min="6915" max="6915" width="7.5" style="5" customWidth="1"/>
    <col min="6916" max="6916" width="22" style="5" bestFit="1" customWidth="1"/>
    <col min="6917" max="6917" width="18.625" style="5" customWidth="1"/>
    <col min="6918" max="6918" width="17" style="5" customWidth="1"/>
    <col min="6919" max="6919" width="18.125" style="5" customWidth="1"/>
    <col min="6920" max="6920" width="14.625" style="5" customWidth="1"/>
    <col min="6921" max="6921" width="18" style="5" customWidth="1"/>
    <col min="6922" max="6923" width="19.125" style="5" customWidth="1"/>
    <col min="6924" max="6924" width="17.125" style="5" bestFit="1" customWidth="1"/>
    <col min="6925" max="6925" width="12.875" style="5" bestFit="1" customWidth="1"/>
    <col min="6926" max="6926" width="7.5" style="5" bestFit="1" customWidth="1"/>
    <col min="6927" max="6927" width="14.375" style="5" customWidth="1"/>
    <col min="6928" max="6928" width="17" style="5" customWidth="1"/>
    <col min="6929" max="6929" width="15.125" style="5" customWidth="1"/>
    <col min="6930" max="6930" width="9" style="5" bestFit="1" customWidth="1"/>
    <col min="6931" max="6931" width="9.125" style="5" bestFit="1" customWidth="1"/>
    <col min="6932" max="7169" width="9" style="5"/>
    <col min="7170" max="7170" width="3.125" style="5" customWidth="1"/>
    <col min="7171" max="7171" width="7.5" style="5" customWidth="1"/>
    <col min="7172" max="7172" width="22" style="5" bestFit="1" customWidth="1"/>
    <col min="7173" max="7173" width="18.625" style="5" customWidth="1"/>
    <col min="7174" max="7174" width="17" style="5" customWidth="1"/>
    <col min="7175" max="7175" width="18.125" style="5" customWidth="1"/>
    <col min="7176" max="7176" width="14.625" style="5" customWidth="1"/>
    <col min="7177" max="7177" width="18" style="5" customWidth="1"/>
    <col min="7178" max="7179" width="19.125" style="5" customWidth="1"/>
    <col min="7180" max="7180" width="17.125" style="5" bestFit="1" customWidth="1"/>
    <col min="7181" max="7181" width="12.875" style="5" bestFit="1" customWidth="1"/>
    <col min="7182" max="7182" width="7.5" style="5" bestFit="1" customWidth="1"/>
    <col min="7183" max="7183" width="14.375" style="5" customWidth="1"/>
    <col min="7184" max="7184" width="17" style="5" customWidth="1"/>
    <col min="7185" max="7185" width="15.125" style="5" customWidth="1"/>
    <col min="7186" max="7186" width="9" style="5" bestFit="1" customWidth="1"/>
    <col min="7187" max="7187" width="9.125" style="5" bestFit="1" customWidth="1"/>
    <col min="7188" max="7425" width="9" style="5"/>
    <col min="7426" max="7426" width="3.125" style="5" customWidth="1"/>
    <col min="7427" max="7427" width="7.5" style="5" customWidth="1"/>
    <col min="7428" max="7428" width="22" style="5" bestFit="1" customWidth="1"/>
    <col min="7429" max="7429" width="18.625" style="5" customWidth="1"/>
    <col min="7430" max="7430" width="17" style="5" customWidth="1"/>
    <col min="7431" max="7431" width="18.125" style="5" customWidth="1"/>
    <col min="7432" max="7432" width="14.625" style="5" customWidth="1"/>
    <col min="7433" max="7433" width="18" style="5" customWidth="1"/>
    <col min="7434" max="7435" width="19.125" style="5" customWidth="1"/>
    <col min="7436" max="7436" width="17.125" style="5" bestFit="1" customWidth="1"/>
    <col min="7437" max="7437" width="12.875" style="5" bestFit="1" customWidth="1"/>
    <col min="7438" max="7438" width="7.5" style="5" bestFit="1" customWidth="1"/>
    <col min="7439" max="7439" width="14.375" style="5" customWidth="1"/>
    <col min="7440" max="7440" width="17" style="5" customWidth="1"/>
    <col min="7441" max="7441" width="15.125" style="5" customWidth="1"/>
    <col min="7442" max="7442" width="9" style="5" bestFit="1" customWidth="1"/>
    <col min="7443" max="7443" width="9.125" style="5" bestFit="1" customWidth="1"/>
    <col min="7444" max="7681" width="9" style="5"/>
    <col min="7682" max="7682" width="3.125" style="5" customWidth="1"/>
    <col min="7683" max="7683" width="7.5" style="5" customWidth="1"/>
    <col min="7684" max="7684" width="22" style="5" bestFit="1" customWidth="1"/>
    <col min="7685" max="7685" width="18.625" style="5" customWidth="1"/>
    <col min="7686" max="7686" width="17" style="5" customWidth="1"/>
    <col min="7687" max="7687" width="18.125" style="5" customWidth="1"/>
    <col min="7688" max="7688" width="14.625" style="5" customWidth="1"/>
    <col min="7689" max="7689" width="18" style="5" customWidth="1"/>
    <col min="7690" max="7691" width="19.125" style="5" customWidth="1"/>
    <col min="7692" max="7692" width="17.125" style="5" bestFit="1" customWidth="1"/>
    <col min="7693" max="7693" width="12.875" style="5" bestFit="1" customWidth="1"/>
    <col min="7694" max="7694" width="7.5" style="5" bestFit="1" customWidth="1"/>
    <col min="7695" max="7695" width="14.375" style="5" customWidth="1"/>
    <col min="7696" max="7696" width="17" style="5" customWidth="1"/>
    <col min="7697" max="7697" width="15.125" style="5" customWidth="1"/>
    <col min="7698" max="7698" width="9" style="5" bestFit="1" customWidth="1"/>
    <col min="7699" max="7699" width="9.125" style="5" bestFit="1" customWidth="1"/>
    <col min="7700" max="7937" width="9" style="5"/>
    <col min="7938" max="7938" width="3.125" style="5" customWidth="1"/>
    <col min="7939" max="7939" width="7.5" style="5" customWidth="1"/>
    <col min="7940" max="7940" width="22" style="5" bestFit="1" customWidth="1"/>
    <col min="7941" max="7941" width="18.625" style="5" customWidth="1"/>
    <col min="7942" max="7942" width="17" style="5" customWidth="1"/>
    <col min="7943" max="7943" width="18.125" style="5" customWidth="1"/>
    <col min="7944" max="7944" width="14.625" style="5" customWidth="1"/>
    <col min="7945" max="7945" width="18" style="5" customWidth="1"/>
    <col min="7946" max="7947" width="19.125" style="5" customWidth="1"/>
    <col min="7948" max="7948" width="17.125" style="5" bestFit="1" customWidth="1"/>
    <col min="7949" max="7949" width="12.875" style="5" bestFit="1" customWidth="1"/>
    <col min="7950" max="7950" width="7.5" style="5" bestFit="1" customWidth="1"/>
    <col min="7951" max="7951" width="14.375" style="5" customWidth="1"/>
    <col min="7952" max="7952" width="17" style="5" customWidth="1"/>
    <col min="7953" max="7953" width="15.125" style="5" customWidth="1"/>
    <col min="7954" max="7954" width="9" style="5" bestFit="1" customWidth="1"/>
    <col min="7955" max="7955" width="9.125" style="5" bestFit="1" customWidth="1"/>
    <col min="7956" max="8193" width="9" style="5"/>
    <col min="8194" max="8194" width="3.125" style="5" customWidth="1"/>
    <col min="8195" max="8195" width="7.5" style="5" customWidth="1"/>
    <col min="8196" max="8196" width="22" style="5" bestFit="1" customWidth="1"/>
    <col min="8197" max="8197" width="18.625" style="5" customWidth="1"/>
    <col min="8198" max="8198" width="17" style="5" customWidth="1"/>
    <col min="8199" max="8199" width="18.125" style="5" customWidth="1"/>
    <col min="8200" max="8200" width="14.625" style="5" customWidth="1"/>
    <col min="8201" max="8201" width="18" style="5" customWidth="1"/>
    <col min="8202" max="8203" width="19.125" style="5" customWidth="1"/>
    <col min="8204" max="8204" width="17.125" style="5" bestFit="1" customWidth="1"/>
    <col min="8205" max="8205" width="12.875" style="5" bestFit="1" customWidth="1"/>
    <col min="8206" max="8206" width="7.5" style="5" bestFit="1" customWidth="1"/>
    <col min="8207" max="8207" width="14.375" style="5" customWidth="1"/>
    <col min="8208" max="8208" width="17" style="5" customWidth="1"/>
    <col min="8209" max="8209" width="15.125" style="5" customWidth="1"/>
    <col min="8210" max="8210" width="9" style="5" bestFit="1" customWidth="1"/>
    <col min="8211" max="8211" width="9.125" style="5" bestFit="1" customWidth="1"/>
    <col min="8212" max="8449" width="9" style="5"/>
    <col min="8450" max="8450" width="3.125" style="5" customWidth="1"/>
    <col min="8451" max="8451" width="7.5" style="5" customWidth="1"/>
    <col min="8452" max="8452" width="22" style="5" bestFit="1" customWidth="1"/>
    <col min="8453" max="8453" width="18.625" style="5" customWidth="1"/>
    <col min="8454" max="8454" width="17" style="5" customWidth="1"/>
    <col min="8455" max="8455" width="18.125" style="5" customWidth="1"/>
    <col min="8456" max="8456" width="14.625" style="5" customWidth="1"/>
    <col min="8457" max="8457" width="18" style="5" customWidth="1"/>
    <col min="8458" max="8459" width="19.125" style="5" customWidth="1"/>
    <col min="8460" max="8460" width="17.125" style="5" bestFit="1" customWidth="1"/>
    <col min="8461" max="8461" width="12.875" style="5" bestFit="1" customWidth="1"/>
    <col min="8462" max="8462" width="7.5" style="5" bestFit="1" customWidth="1"/>
    <col min="8463" max="8463" width="14.375" style="5" customWidth="1"/>
    <col min="8464" max="8464" width="17" style="5" customWidth="1"/>
    <col min="8465" max="8465" width="15.125" style="5" customWidth="1"/>
    <col min="8466" max="8466" width="9" style="5" bestFit="1" customWidth="1"/>
    <col min="8467" max="8467" width="9.125" style="5" bestFit="1" customWidth="1"/>
    <col min="8468" max="8705" width="9" style="5"/>
    <col min="8706" max="8706" width="3.125" style="5" customWidth="1"/>
    <col min="8707" max="8707" width="7.5" style="5" customWidth="1"/>
    <col min="8708" max="8708" width="22" style="5" bestFit="1" customWidth="1"/>
    <col min="8709" max="8709" width="18.625" style="5" customWidth="1"/>
    <col min="8710" max="8710" width="17" style="5" customWidth="1"/>
    <col min="8711" max="8711" width="18.125" style="5" customWidth="1"/>
    <col min="8712" max="8712" width="14.625" style="5" customWidth="1"/>
    <col min="8713" max="8713" width="18" style="5" customWidth="1"/>
    <col min="8714" max="8715" width="19.125" style="5" customWidth="1"/>
    <col min="8716" max="8716" width="17.125" style="5" bestFit="1" customWidth="1"/>
    <col min="8717" max="8717" width="12.875" style="5" bestFit="1" customWidth="1"/>
    <col min="8718" max="8718" width="7.5" style="5" bestFit="1" customWidth="1"/>
    <col min="8719" max="8719" width="14.375" style="5" customWidth="1"/>
    <col min="8720" max="8720" width="17" style="5" customWidth="1"/>
    <col min="8721" max="8721" width="15.125" style="5" customWidth="1"/>
    <col min="8722" max="8722" width="9" style="5" bestFit="1" customWidth="1"/>
    <col min="8723" max="8723" width="9.125" style="5" bestFit="1" customWidth="1"/>
    <col min="8724" max="8961" width="9" style="5"/>
    <col min="8962" max="8962" width="3.125" style="5" customWidth="1"/>
    <col min="8963" max="8963" width="7.5" style="5" customWidth="1"/>
    <col min="8964" max="8964" width="22" style="5" bestFit="1" customWidth="1"/>
    <col min="8965" max="8965" width="18.625" style="5" customWidth="1"/>
    <col min="8966" max="8966" width="17" style="5" customWidth="1"/>
    <col min="8967" max="8967" width="18.125" style="5" customWidth="1"/>
    <col min="8968" max="8968" width="14.625" style="5" customWidth="1"/>
    <col min="8969" max="8969" width="18" style="5" customWidth="1"/>
    <col min="8970" max="8971" width="19.125" style="5" customWidth="1"/>
    <col min="8972" max="8972" width="17.125" style="5" bestFit="1" customWidth="1"/>
    <col min="8973" max="8973" width="12.875" style="5" bestFit="1" customWidth="1"/>
    <col min="8974" max="8974" width="7.5" style="5" bestFit="1" customWidth="1"/>
    <col min="8975" max="8975" width="14.375" style="5" customWidth="1"/>
    <col min="8976" max="8976" width="17" style="5" customWidth="1"/>
    <col min="8977" max="8977" width="15.125" style="5" customWidth="1"/>
    <col min="8978" max="8978" width="9" style="5" bestFit="1" customWidth="1"/>
    <col min="8979" max="8979" width="9.125" style="5" bestFit="1" customWidth="1"/>
    <col min="8980" max="9217" width="9" style="5"/>
    <col min="9218" max="9218" width="3.125" style="5" customWidth="1"/>
    <col min="9219" max="9219" width="7.5" style="5" customWidth="1"/>
    <col min="9220" max="9220" width="22" style="5" bestFit="1" customWidth="1"/>
    <col min="9221" max="9221" width="18.625" style="5" customWidth="1"/>
    <col min="9222" max="9222" width="17" style="5" customWidth="1"/>
    <col min="9223" max="9223" width="18.125" style="5" customWidth="1"/>
    <col min="9224" max="9224" width="14.625" style="5" customWidth="1"/>
    <col min="9225" max="9225" width="18" style="5" customWidth="1"/>
    <col min="9226" max="9227" width="19.125" style="5" customWidth="1"/>
    <col min="9228" max="9228" width="17.125" style="5" bestFit="1" customWidth="1"/>
    <col min="9229" max="9229" width="12.875" style="5" bestFit="1" customWidth="1"/>
    <col min="9230" max="9230" width="7.5" style="5" bestFit="1" customWidth="1"/>
    <col min="9231" max="9231" width="14.375" style="5" customWidth="1"/>
    <col min="9232" max="9232" width="17" style="5" customWidth="1"/>
    <col min="9233" max="9233" width="15.125" style="5" customWidth="1"/>
    <col min="9234" max="9234" width="9" style="5" bestFit="1" customWidth="1"/>
    <col min="9235" max="9235" width="9.125" style="5" bestFit="1" customWidth="1"/>
    <col min="9236" max="9473" width="9" style="5"/>
    <col min="9474" max="9474" width="3.125" style="5" customWidth="1"/>
    <col min="9475" max="9475" width="7.5" style="5" customWidth="1"/>
    <col min="9476" max="9476" width="22" style="5" bestFit="1" customWidth="1"/>
    <col min="9477" max="9477" width="18.625" style="5" customWidth="1"/>
    <col min="9478" max="9478" width="17" style="5" customWidth="1"/>
    <col min="9479" max="9479" width="18.125" style="5" customWidth="1"/>
    <col min="9480" max="9480" width="14.625" style="5" customWidth="1"/>
    <col min="9481" max="9481" width="18" style="5" customWidth="1"/>
    <col min="9482" max="9483" width="19.125" style="5" customWidth="1"/>
    <col min="9484" max="9484" width="17.125" style="5" bestFit="1" customWidth="1"/>
    <col min="9485" max="9485" width="12.875" style="5" bestFit="1" customWidth="1"/>
    <col min="9486" max="9486" width="7.5" style="5" bestFit="1" customWidth="1"/>
    <col min="9487" max="9487" width="14.375" style="5" customWidth="1"/>
    <col min="9488" max="9488" width="17" style="5" customWidth="1"/>
    <col min="9489" max="9489" width="15.125" style="5" customWidth="1"/>
    <col min="9490" max="9490" width="9" style="5" bestFit="1" customWidth="1"/>
    <col min="9491" max="9491" width="9.125" style="5" bestFit="1" customWidth="1"/>
    <col min="9492" max="9729" width="9" style="5"/>
    <col min="9730" max="9730" width="3.125" style="5" customWidth="1"/>
    <col min="9731" max="9731" width="7.5" style="5" customWidth="1"/>
    <col min="9732" max="9732" width="22" style="5" bestFit="1" customWidth="1"/>
    <col min="9733" max="9733" width="18.625" style="5" customWidth="1"/>
    <col min="9734" max="9734" width="17" style="5" customWidth="1"/>
    <col min="9735" max="9735" width="18.125" style="5" customWidth="1"/>
    <col min="9736" max="9736" width="14.625" style="5" customWidth="1"/>
    <col min="9737" max="9737" width="18" style="5" customWidth="1"/>
    <col min="9738" max="9739" width="19.125" style="5" customWidth="1"/>
    <col min="9740" max="9740" width="17.125" style="5" bestFit="1" customWidth="1"/>
    <col min="9741" max="9741" width="12.875" style="5" bestFit="1" customWidth="1"/>
    <col min="9742" max="9742" width="7.5" style="5" bestFit="1" customWidth="1"/>
    <col min="9743" max="9743" width="14.375" style="5" customWidth="1"/>
    <col min="9744" max="9744" width="17" style="5" customWidth="1"/>
    <col min="9745" max="9745" width="15.125" style="5" customWidth="1"/>
    <col min="9746" max="9746" width="9" style="5" bestFit="1" customWidth="1"/>
    <col min="9747" max="9747" width="9.125" style="5" bestFit="1" customWidth="1"/>
    <col min="9748" max="9985" width="9" style="5"/>
    <col min="9986" max="9986" width="3.125" style="5" customWidth="1"/>
    <col min="9987" max="9987" width="7.5" style="5" customWidth="1"/>
    <col min="9988" max="9988" width="22" style="5" bestFit="1" customWidth="1"/>
    <col min="9989" max="9989" width="18.625" style="5" customWidth="1"/>
    <col min="9990" max="9990" width="17" style="5" customWidth="1"/>
    <col min="9991" max="9991" width="18.125" style="5" customWidth="1"/>
    <col min="9992" max="9992" width="14.625" style="5" customWidth="1"/>
    <col min="9993" max="9993" width="18" style="5" customWidth="1"/>
    <col min="9994" max="9995" width="19.125" style="5" customWidth="1"/>
    <col min="9996" max="9996" width="17.125" style="5" bestFit="1" customWidth="1"/>
    <col min="9997" max="9997" width="12.875" style="5" bestFit="1" customWidth="1"/>
    <col min="9998" max="9998" width="7.5" style="5" bestFit="1" customWidth="1"/>
    <col min="9999" max="9999" width="14.375" style="5" customWidth="1"/>
    <col min="10000" max="10000" width="17" style="5" customWidth="1"/>
    <col min="10001" max="10001" width="15.125" style="5" customWidth="1"/>
    <col min="10002" max="10002" width="9" style="5" bestFit="1" customWidth="1"/>
    <col min="10003" max="10003" width="9.125" style="5" bestFit="1" customWidth="1"/>
    <col min="10004" max="10241" width="9" style="5"/>
    <col min="10242" max="10242" width="3.125" style="5" customWidth="1"/>
    <col min="10243" max="10243" width="7.5" style="5" customWidth="1"/>
    <col min="10244" max="10244" width="22" style="5" bestFit="1" customWidth="1"/>
    <col min="10245" max="10245" width="18.625" style="5" customWidth="1"/>
    <col min="10246" max="10246" width="17" style="5" customWidth="1"/>
    <col min="10247" max="10247" width="18.125" style="5" customWidth="1"/>
    <col min="10248" max="10248" width="14.625" style="5" customWidth="1"/>
    <col min="10249" max="10249" width="18" style="5" customWidth="1"/>
    <col min="10250" max="10251" width="19.125" style="5" customWidth="1"/>
    <col min="10252" max="10252" width="17.125" style="5" bestFit="1" customWidth="1"/>
    <col min="10253" max="10253" width="12.875" style="5" bestFit="1" customWidth="1"/>
    <col min="10254" max="10254" width="7.5" style="5" bestFit="1" customWidth="1"/>
    <col min="10255" max="10255" width="14.375" style="5" customWidth="1"/>
    <col min="10256" max="10256" width="17" style="5" customWidth="1"/>
    <col min="10257" max="10257" width="15.125" style="5" customWidth="1"/>
    <col min="10258" max="10258" width="9" style="5" bestFit="1" customWidth="1"/>
    <col min="10259" max="10259" width="9.125" style="5" bestFit="1" customWidth="1"/>
    <col min="10260" max="10497" width="9" style="5"/>
    <col min="10498" max="10498" width="3.125" style="5" customWidth="1"/>
    <col min="10499" max="10499" width="7.5" style="5" customWidth="1"/>
    <col min="10500" max="10500" width="22" style="5" bestFit="1" customWidth="1"/>
    <col min="10501" max="10501" width="18.625" style="5" customWidth="1"/>
    <col min="10502" max="10502" width="17" style="5" customWidth="1"/>
    <col min="10503" max="10503" width="18.125" style="5" customWidth="1"/>
    <col min="10504" max="10504" width="14.625" style="5" customWidth="1"/>
    <col min="10505" max="10505" width="18" style="5" customWidth="1"/>
    <col min="10506" max="10507" width="19.125" style="5" customWidth="1"/>
    <col min="10508" max="10508" width="17.125" style="5" bestFit="1" customWidth="1"/>
    <col min="10509" max="10509" width="12.875" style="5" bestFit="1" customWidth="1"/>
    <col min="10510" max="10510" width="7.5" style="5" bestFit="1" customWidth="1"/>
    <col min="10511" max="10511" width="14.375" style="5" customWidth="1"/>
    <col min="10512" max="10512" width="17" style="5" customWidth="1"/>
    <col min="10513" max="10513" width="15.125" style="5" customWidth="1"/>
    <col min="10514" max="10514" width="9" style="5" bestFit="1" customWidth="1"/>
    <col min="10515" max="10515" width="9.125" style="5" bestFit="1" customWidth="1"/>
    <col min="10516" max="10753" width="9" style="5"/>
    <col min="10754" max="10754" width="3.125" style="5" customWidth="1"/>
    <col min="10755" max="10755" width="7.5" style="5" customWidth="1"/>
    <col min="10756" max="10756" width="22" style="5" bestFit="1" customWidth="1"/>
    <col min="10757" max="10757" width="18.625" style="5" customWidth="1"/>
    <col min="10758" max="10758" width="17" style="5" customWidth="1"/>
    <col min="10759" max="10759" width="18.125" style="5" customWidth="1"/>
    <col min="10760" max="10760" width="14.625" style="5" customWidth="1"/>
    <col min="10761" max="10761" width="18" style="5" customWidth="1"/>
    <col min="10762" max="10763" width="19.125" style="5" customWidth="1"/>
    <col min="10764" max="10764" width="17.125" style="5" bestFit="1" customWidth="1"/>
    <col min="10765" max="10765" width="12.875" style="5" bestFit="1" customWidth="1"/>
    <col min="10766" max="10766" width="7.5" style="5" bestFit="1" customWidth="1"/>
    <col min="10767" max="10767" width="14.375" style="5" customWidth="1"/>
    <col min="10768" max="10768" width="17" style="5" customWidth="1"/>
    <col min="10769" max="10769" width="15.125" style="5" customWidth="1"/>
    <col min="10770" max="10770" width="9" style="5" bestFit="1" customWidth="1"/>
    <col min="10771" max="10771" width="9.125" style="5" bestFit="1" customWidth="1"/>
    <col min="10772" max="11009" width="9" style="5"/>
    <col min="11010" max="11010" width="3.125" style="5" customWidth="1"/>
    <col min="11011" max="11011" width="7.5" style="5" customWidth="1"/>
    <col min="11012" max="11012" width="22" style="5" bestFit="1" customWidth="1"/>
    <col min="11013" max="11013" width="18.625" style="5" customWidth="1"/>
    <col min="11014" max="11014" width="17" style="5" customWidth="1"/>
    <col min="11015" max="11015" width="18.125" style="5" customWidth="1"/>
    <col min="11016" max="11016" width="14.625" style="5" customWidth="1"/>
    <col min="11017" max="11017" width="18" style="5" customWidth="1"/>
    <col min="11018" max="11019" width="19.125" style="5" customWidth="1"/>
    <col min="11020" max="11020" width="17.125" style="5" bestFit="1" customWidth="1"/>
    <col min="11021" max="11021" width="12.875" style="5" bestFit="1" customWidth="1"/>
    <col min="11022" max="11022" width="7.5" style="5" bestFit="1" customWidth="1"/>
    <col min="11023" max="11023" width="14.375" style="5" customWidth="1"/>
    <col min="11024" max="11024" width="17" style="5" customWidth="1"/>
    <col min="11025" max="11025" width="15.125" style="5" customWidth="1"/>
    <col min="11026" max="11026" width="9" style="5" bestFit="1" customWidth="1"/>
    <col min="11027" max="11027" width="9.125" style="5" bestFit="1" customWidth="1"/>
    <col min="11028" max="11265" width="9" style="5"/>
    <col min="11266" max="11266" width="3.125" style="5" customWidth="1"/>
    <col min="11267" max="11267" width="7.5" style="5" customWidth="1"/>
    <col min="11268" max="11268" width="22" style="5" bestFit="1" customWidth="1"/>
    <col min="11269" max="11269" width="18.625" style="5" customWidth="1"/>
    <col min="11270" max="11270" width="17" style="5" customWidth="1"/>
    <col min="11271" max="11271" width="18.125" style="5" customWidth="1"/>
    <col min="11272" max="11272" width="14.625" style="5" customWidth="1"/>
    <col min="11273" max="11273" width="18" style="5" customWidth="1"/>
    <col min="11274" max="11275" width="19.125" style="5" customWidth="1"/>
    <col min="11276" max="11276" width="17.125" style="5" bestFit="1" customWidth="1"/>
    <col min="11277" max="11277" width="12.875" style="5" bestFit="1" customWidth="1"/>
    <col min="11278" max="11278" width="7.5" style="5" bestFit="1" customWidth="1"/>
    <col min="11279" max="11279" width="14.375" style="5" customWidth="1"/>
    <col min="11280" max="11280" width="17" style="5" customWidth="1"/>
    <col min="11281" max="11281" width="15.125" style="5" customWidth="1"/>
    <col min="11282" max="11282" width="9" style="5" bestFit="1" customWidth="1"/>
    <col min="11283" max="11283" width="9.125" style="5" bestFit="1" customWidth="1"/>
    <col min="11284" max="11521" width="9" style="5"/>
    <col min="11522" max="11522" width="3.125" style="5" customWidth="1"/>
    <col min="11523" max="11523" width="7.5" style="5" customWidth="1"/>
    <col min="11524" max="11524" width="22" style="5" bestFit="1" customWidth="1"/>
    <col min="11525" max="11525" width="18.625" style="5" customWidth="1"/>
    <col min="11526" max="11526" width="17" style="5" customWidth="1"/>
    <col min="11527" max="11527" width="18.125" style="5" customWidth="1"/>
    <col min="11528" max="11528" width="14.625" style="5" customWidth="1"/>
    <col min="11529" max="11529" width="18" style="5" customWidth="1"/>
    <col min="11530" max="11531" width="19.125" style="5" customWidth="1"/>
    <col min="11532" max="11532" width="17.125" style="5" bestFit="1" customWidth="1"/>
    <col min="11533" max="11533" width="12.875" style="5" bestFit="1" customWidth="1"/>
    <col min="11534" max="11534" width="7.5" style="5" bestFit="1" customWidth="1"/>
    <col min="11535" max="11535" width="14.375" style="5" customWidth="1"/>
    <col min="11536" max="11536" width="17" style="5" customWidth="1"/>
    <col min="11537" max="11537" width="15.125" style="5" customWidth="1"/>
    <col min="11538" max="11538" width="9" style="5" bestFit="1" customWidth="1"/>
    <col min="11539" max="11539" width="9.125" style="5" bestFit="1" customWidth="1"/>
    <col min="11540" max="11777" width="9" style="5"/>
    <col min="11778" max="11778" width="3.125" style="5" customWidth="1"/>
    <col min="11779" max="11779" width="7.5" style="5" customWidth="1"/>
    <col min="11780" max="11780" width="22" style="5" bestFit="1" customWidth="1"/>
    <col min="11781" max="11781" width="18.625" style="5" customWidth="1"/>
    <col min="11782" max="11782" width="17" style="5" customWidth="1"/>
    <col min="11783" max="11783" width="18.125" style="5" customWidth="1"/>
    <col min="11784" max="11784" width="14.625" style="5" customWidth="1"/>
    <col min="11785" max="11785" width="18" style="5" customWidth="1"/>
    <col min="11786" max="11787" width="19.125" style="5" customWidth="1"/>
    <col min="11788" max="11788" width="17.125" style="5" bestFit="1" customWidth="1"/>
    <col min="11789" max="11789" width="12.875" style="5" bestFit="1" customWidth="1"/>
    <col min="11790" max="11790" width="7.5" style="5" bestFit="1" customWidth="1"/>
    <col min="11791" max="11791" width="14.375" style="5" customWidth="1"/>
    <col min="11792" max="11792" width="17" style="5" customWidth="1"/>
    <col min="11793" max="11793" width="15.125" style="5" customWidth="1"/>
    <col min="11794" max="11794" width="9" style="5" bestFit="1" customWidth="1"/>
    <col min="11795" max="11795" width="9.125" style="5" bestFit="1" customWidth="1"/>
    <col min="11796" max="12033" width="9" style="5"/>
    <col min="12034" max="12034" width="3.125" style="5" customWidth="1"/>
    <col min="12035" max="12035" width="7.5" style="5" customWidth="1"/>
    <col min="12036" max="12036" width="22" style="5" bestFit="1" customWidth="1"/>
    <col min="12037" max="12037" width="18.625" style="5" customWidth="1"/>
    <col min="12038" max="12038" width="17" style="5" customWidth="1"/>
    <col min="12039" max="12039" width="18.125" style="5" customWidth="1"/>
    <col min="12040" max="12040" width="14.625" style="5" customWidth="1"/>
    <col min="12041" max="12041" width="18" style="5" customWidth="1"/>
    <col min="12042" max="12043" width="19.125" style="5" customWidth="1"/>
    <col min="12044" max="12044" width="17.125" style="5" bestFit="1" customWidth="1"/>
    <col min="12045" max="12045" width="12.875" style="5" bestFit="1" customWidth="1"/>
    <col min="12046" max="12046" width="7.5" style="5" bestFit="1" customWidth="1"/>
    <col min="12047" max="12047" width="14.375" style="5" customWidth="1"/>
    <col min="12048" max="12048" width="17" style="5" customWidth="1"/>
    <col min="12049" max="12049" width="15.125" style="5" customWidth="1"/>
    <col min="12050" max="12050" width="9" style="5" bestFit="1" customWidth="1"/>
    <col min="12051" max="12051" width="9.125" style="5" bestFit="1" customWidth="1"/>
    <col min="12052" max="12289" width="9" style="5"/>
    <col min="12290" max="12290" width="3.125" style="5" customWidth="1"/>
    <col min="12291" max="12291" width="7.5" style="5" customWidth="1"/>
    <col min="12292" max="12292" width="22" style="5" bestFit="1" customWidth="1"/>
    <col min="12293" max="12293" width="18.625" style="5" customWidth="1"/>
    <col min="12294" max="12294" width="17" style="5" customWidth="1"/>
    <col min="12295" max="12295" width="18.125" style="5" customWidth="1"/>
    <col min="12296" max="12296" width="14.625" style="5" customWidth="1"/>
    <col min="12297" max="12297" width="18" style="5" customWidth="1"/>
    <col min="12298" max="12299" width="19.125" style="5" customWidth="1"/>
    <col min="12300" max="12300" width="17.125" style="5" bestFit="1" customWidth="1"/>
    <col min="12301" max="12301" width="12.875" style="5" bestFit="1" customWidth="1"/>
    <col min="12302" max="12302" width="7.5" style="5" bestFit="1" customWidth="1"/>
    <col min="12303" max="12303" width="14.375" style="5" customWidth="1"/>
    <col min="12304" max="12304" width="17" style="5" customWidth="1"/>
    <col min="12305" max="12305" width="15.125" style="5" customWidth="1"/>
    <col min="12306" max="12306" width="9" style="5" bestFit="1" customWidth="1"/>
    <col min="12307" max="12307" width="9.125" style="5" bestFit="1" customWidth="1"/>
    <col min="12308" max="12545" width="9" style="5"/>
    <col min="12546" max="12546" width="3.125" style="5" customWidth="1"/>
    <col min="12547" max="12547" width="7.5" style="5" customWidth="1"/>
    <col min="12548" max="12548" width="22" style="5" bestFit="1" customWidth="1"/>
    <col min="12549" max="12549" width="18.625" style="5" customWidth="1"/>
    <col min="12550" max="12550" width="17" style="5" customWidth="1"/>
    <col min="12551" max="12551" width="18.125" style="5" customWidth="1"/>
    <col min="12552" max="12552" width="14.625" style="5" customWidth="1"/>
    <col min="12553" max="12553" width="18" style="5" customWidth="1"/>
    <col min="12554" max="12555" width="19.125" style="5" customWidth="1"/>
    <col min="12556" max="12556" width="17.125" style="5" bestFit="1" customWidth="1"/>
    <col min="12557" max="12557" width="12.875" style="5" bestFit="1" customWidth="1"/>
    <col min="12558" max="12558" width="7.5" style="5" bestFit="1" customWidth="1"/>
    <col min="12559" max="12559" width="14.375" style="5" customWidth="1"/>
    <col min="12560" max="12560" width="17" style="5" customWidth="1"/>
    <col min="12561" max="12561" width="15.125" style="5" customWidth="1"/>
    <col min="12562" max="12562" width="9" style="5" bestFit="1" customWidth="1"/>
    <col min="12563" max="12563" width="9.125" style="5" bestFit="1" customWidth="1"/>
    <col min="12564" max="12801" width="9" style="5"/>
    <col min="12802" max="12802" width="3.125" style="5" customWidth="1"/>
    <col min="12803" max="12803" width="7.5" style="5" customWidth="1"/>
    <col min="12804" max="12804" width="22" style="5" bestFit="1" customWidth="1"/>
    <col min="12805" max="12805" width="18.625" style="5" customWidth="1"/>
    <col min="12806" max="12806" width="17" style="5" customWidth="1"/>
    <col min="12807" max="12807" width="18.125" style="5" customWidth="1"/>
    <col min="12808" max="12808" width="14.625" style="5" customWidth="1"/>
    <col min="12809" max="12809" width="18" style="5" customWidth="1"/>
    <col min="12810" max="12811" width="19.125" style="5" customWidth="1"/>
    <col min="12812" max="12812" width="17.125" style="5" bestFit="1" customWidth="1"/>
    <col min="12813" max="12813" width="12.875" style="5" bestFit="1" customWidth="1"/>
    <col min="12814" max="12814" width="7.5" style="5" bestFit="1" customWidth="1"/>
    <col min="12815" max="12815" width="14.375" style="5" customWidth="1"/>
    <col min="12816" max="12816" width="17" style="5" customWidth="1"/>
    <col min="12817" max="12817" width="15.125" style="5" customWidth="1"/>
    <col min="12818" max="12818" width="9" style="5" bestFit="1" customWidth="1"/>
    <col min="12819" max="12819" width="9.125" style="5" bestFit="1" customWidth="1"/>
    <col min="12820" max="13057" width="9" style="5"/>
    <col min="13058" max="13058" width="3.125" style="5" customWidth="1"/>
    <col min="13059" max="13059" width="7.5" style="5" customWidth="1"/>
    <col min="13060" max="13060" width="22" style="5" bestFit="1" customWidth="1"/>
    <col min="13061" max="13061" width="18.625" style="5" customWidth="1"/>
    <col min="13062" max="13062" width="17" style="5" customWidth="1"/>
    <col min="13063" max="13063" width="18.125" style="5" customWidth="1"/>
    <col min="13064" max="13064" width="14.625" style="5" customWidth="1"/>
    <col min="13065" max="13065" width="18" style="5" customWidth="1"/>
    <col min="13066" max="13067" width="19.125" style="5" customWidth="1"/>
    <col min="13068" max="13068" width="17.125" style="5" bestFit="1" customWidth="1"/>
    <col min="13069" max="13069" width="12.875" style="5" bestFit="1" customWidth="1"/>
    <col min="13070" max="13070" width="7.5" style="5" bestFit="1" customWidth="1"/>
    <col min="13071" max="13071" width="14.375" style="5" customWidth="1"/>
    <col min="13072" max="13072" width="17" style="5" customWidth="1"/>
    <col min="13073" max="13073" width="15.125" style="5" customWidth="1"/>
    <col min="13074" max="13074" width="9" style="5" bestFit="1" customWidth="1"/>
    <col min="13075" max="13075" width="9.125" style="5" bestFit="1" customWidth="1"/>
    <col min="13076" max="13313" width="9" style="5"/>
    <col min="13314" max="13314" width="3.125" style="5" customWidth="1"/>
    <col min="13315" max="13315" width="7.5" style="5" customWidth="1"/>
    <col min="13316" max="13316" width="22" style="5" bestFit="1" customWidth="1"/>
    <col min="13317" max="13317" width="18.625" style="5" customWidth="1"/>
    <col min="13318" max="13318" width="17" style="5" customWidth="1"/>
    <col min="13319" max="13319" width="18.125" style="5" customWidth="1"/>
    <col min="13320" max="13320" width="14.625" style="5" customWidth="1"/>
    <col min="13321" max="13321" width="18" style="5" customWidth="1"/>
    <col min="13322" max="13323" width="19.125" style="5" customWidth="1"/>
    <col min="13324" max="13324" width="17.125" style="5" bestFit="1" customWidth="1"/>
    <col min="13325" max="13325" width="12.875" style="5" bestFit="1" customWidth="1"/>
    <col min="13326" max="13326" width="7.5" style="5" bestFit="1" customWidth="1"/>
    <col min="13327" max="13327" width="14.375" style="5" customWidth="1"/>
    <col min="13328" max="13328" width="17" style="5" customWidth="1"/>
    <col min="13329" max="13329" width="15.125" style="5" customWidth="1"/>
    <col min="13330" max="13330" width="9" style="5" bestFit="1" customWidth="1"/>
    <col min="13331" max="13331" width="9.125" style="5" bestFit="1" customWidth="1"/>
    <col min="13332" max="13569" width="9" style="5"/>
    <col min="13570" max="13570" width="3.125" style="5" customWidth="1"/>
    <col min="13571" max="13571" width="7.5" style="5" customWidth="1"/>
    <col min="13572" max="13572" width="22" style="5" bestFit="1" customWidth="1"/>
    <col min="13573" max="13573" width="18.625" style="5" customWidth="1"/>
    <col min="13574" max="13574" width="17" style="5" customWidth="1"/>
    <col min="13575" max="13575" width="18.125" style="5" customWidth="1"/>
    <col min="13576" max="13576" width="14.625" style="5" customWidth="1"/>
    <col min="13577" max="13577" width="18" style="5" customWidth="1"/>
    <col min="13578" max="13579" width="19.125" style="5" customWidth="1"/>
    <col min="13580" max="13580" width="17.125" style="5" bestFit="1" customWidth="1"/>
    <col min="13581" max="13581" width="12.875" style="5" bestFit="1" customWidth="1"/>
    <col min="13582" max="13582" width="7.5" style="5" bestFit="1" customWidth="1"/>
    <col min="13583" max="13583" width="14.375" style="5" customWidth="1"/>
    <col min="13584" max="13584" width="17" style="5" customWidth="1"/>
    <col min="13585" max="13585" width="15.125" style="5" customWidth="1"/>
    <col min="13586" max="13586" width="9" style="5" bestFit="1" customWidth="1"/>
    <col min="13587" max="13587" width="9.125" style="5" bestFit="1" customWidth="1"/>
    <col min="13588" max="13825" width="9" style="5"/>
    <col min="13826" max="13826" width="3.125" style="5" customWidth="1"/>
    <col min="13827" max="13827" width="7.5" style="5" customWidth="1"/>
    <col min="13828" max="13828" width="22" style="5" bestFit="1" customWidth="1"/>
    <col min="13829" max="13829" width="18.625" style="5" customWidth="1"/>
    <col min="13830" max="13830" width="17" style="5" customWidth="1"/>
    <col min="13831" max="13831" width="18.125" style="5" customWidth="1"/>
    <col min="13832" max="13832" width="14.625" style="5" customWidth="1"/>
    <col min="13833" max="13833" width="18" style="5" customWidth="1"/>
    <col min="13834" max="13835" width="19.125" style="5" customWidth="1"/>
    <col min="13836" max="13836" width="17.125" style="5" bestFit="1" customWidth="1"/>
    <col min="13837" max="13837" width="12.875" style="5" bestFit="1" customWidth="1"/>
    <col min="13838" max="13838" width="7.5" style="5" bestFit="1" customWidth="1"/>
    <col min="13839" max="13839" width="14.375" style="5" customWidth="1"/>
    <col min="13840" max="13840" width="17" style="5" customWidth="1"/>
    <col min="13841" max="13841" width="15.125" style="5" customWidth="1"/>
    <col min="13842" max="13842" width="9" style="5" bestFit="1" customWidth="1"/>
    <col min="13843" max="13843" width="9.125" style="5" bestFit="1" customWidth="1"/>
    <col min="13844" max="14081" width="9" style="5"/>
    <col min="14082" max="14082" width="3.125" style="5" customWidth="1"/>
    <col min="14083" max="14083" width="7.5" style="5" customWidth="1"/>
    <col min="14084" max="14084" width="22" style="5" bestFit="1" customWidth="1"/>
    <col min="14085" max="14085" width="18.625" style="5" customWidth="1"/>
    <col min="14086" max="14086" width="17" style="5" customWidth="1"/>
    <col min="14087" max="14087" width="18.125" style="5" customWidth="1"/>
    <col min="14088" max="14088" width="14.625" style="5" customWidth="1"/>
    <col min="14089" max="14089" width="18" style="5" customWidth="1"/>
    <col min="14090" max="14091" width="19.125" style="5" customWidth="1"/>
    <col min="14092" max="14092" width="17.125" style="5" bestFit="1" customWidth="1"/>
    <col min="14093" max="14093" width="12.875" style="5" bestFit="1" customWidth="1"/>
    <col min="14094" max="14094" width="7.5" style="5" bestFit="1" customWidth="1"/>
    <col min="14095" max="14095" width="14.375" style="5" customWidth="1"/>
    <col min="14096" max="14096" width="17" style="5" customWidth="1"/>
    <col min="14097" max="14097" width="15.125" style="5" customWidth="1"/>
    <col min="14098" max="14098" width="9" style="5" bestFit="1" customWidth="1"/>
    <col min="14099" max="14099" width="9.125" style="5" bestFit="1" customWidth="1"/>
    <col min="14100" max="14337" width="9" style="5"/>
    <col min="14338" max="14338" width="3.125" style="5" customWidth="1"/>
    <col min="14339" max="14339" width="7.5" style="5" customWidth="1"/>
    <col min="14340" max="14340" width="22" style="5" bestFit="1" customWidth="1"/>
    <col min="14341" max="14341" width="18.625" style="5" customWidth="1"/>
    <col min="14342" max="14342" width="17" style="5" customWidth="1"/>
    <col min="14343" max="14343" width="18.125" style="5" customWidth="1"/>
    <col min="14344" max="14344" width="14.625" style="5" customWidth="1"/>
    <col min="14345" max="14345" width="18" style="5" customWidth="1"/>
    <col min="14346" max="14347" width="19.125" style="5" customWidth="1"/>
    <col min="14348" max="14348" width="17.125" style="5" bestFit="1" customWidth="1"/>
    <col min="14349" max="14349" width="12.875" style="5" bestFit="1" customWidth="1"/>
    <col min="14350" max="14350" width="7.5" style="5" bestFit="1" customWidth="1"/>
    <col min="14351" max="14351" width="14.375" style="5" customWidth="1"/>
    <col min="14352" max="14352" width="17" style="5" customWidth="1"/>
    <col min="14353" max="14353" width="15.125" style="5" customWidth="1"/>
    <col min="14354" max="14354" width="9" style="5" bestFit="1" customWidth="1"/>
    <col min="14355" max="14355" width="9.125" style="5" bestFit="1" customWidth="1"/>
    <col min="14356" max="14593" width="9" style="5"/>
    <col min="14594" max="14594" width="3.125" style="5" customWidth="1"/>
    <col min="14595" max="14595" width="7.5" style="5" customWidth="1"/>
    <col min="14596" max="14596" width="22" style="5" bestFit="1" customWidth="1"/>
    <col min="14597" max="14597" width="18.625" style="5" customWidth="1"/>
    <col min="14598" max="14598" width="17" style="5" customWidth="1"/>
    <col min="14599" max="14599" width="18.125" style="5" customWidth="1"/>
    <col min="14600" max="14600" width="14.625" style="5" customWidth="1"/>
    <col min="14601" max="14601" width="18" style="5" customWidth="1"/>
    <col min="14602" max="14603" width="19.125" style="5" customWidth="1"/>
    <col min="14604" max="14604" width="17.125" style="5" bestFit="1" customWidth="1"/>
    <col min="14605" max="14605" width="12.875" style="5" bestFit="1" customWidth="1"/>
    <col min="14606" max="14606" width="7.5" style="5" bestFit="1" customWidth="1"/>
    <col min="14607" max="14607" width="14.375" style="5" customWidth="1"/>
    <col min="14608" max="14608" width="17" style="5" customWidth="1"/>
    <col min="14609" max="14609" width="15.125" style="5" customWidth="1"/>
    <col min="14610" max="14610" width="9" style="5" bestFit="1" customWidth="1"/>
    <col min="14611" max="14611" width="9.125" style="5" bestFit="1" customWidth="1"/>
    <col min="14612" max="14849" width="9" style="5"/>
    <col min="14850" max="14850" width="3.125" style="5" customWidth="1"/>
    <col min="14851" max="14851" width="7.5" style="5" customWidth="1"/>
    <col min="14852" max="14852" width="22" style="5" bestFit="1" customWidth="1"/>
    <col min="14853" max="14853" width="18.625" style="5" customWidth="1"/>
    <col min="14854" max="14854" width="17" style="5" customWidth="1"/>
    <col min="14855" max="14855" width="18.125" style="5" customWidth="1"/>
    <col min="14856" max="14856" width="14.625" style="5" customWidth="1"/>
    <col min="14857" max="14857" width="18" style="5" customWidth="1"/>
    <col min="14858" max="14859" width="19.125" style="5" customWidth="1"/>
    <col min="14860" max="14860" width="17.125" style="5" bestFit="1" customWidth="1"/>
    <col min="14861" max="14861" width="12.875" style="5" bestFit="1" customWidth="1"/>
    <col min="14862" max="14862" width="7.5" style="5" bestFit="1" customWidth="1"/>
    <col min="14863" max="14863" width="14.375" style="5" customWidth="1"/>
    <col min="14864" max="14864" width="17" style="5" customWidth="1"/>
    <col min="14865" max="14865" width="15.125" style="5" customWidth="1"/>
    <col min="14866" max="14866" width="9" style="5" bestFit="1" customWidth="1"/>
    <col min="14867" max="14867" width="9.125" style="5" bestFit="1" customWidth="1"/>
    <col min="14868" max="15105" width="9" style="5"/>
    <col min="15106" max="15106" width="3.125" style="5" customWidth="1"/>
    <col min="15107" max="15107" width="7.5" style="5" customWidth="1"/>
    <col min="15108" max="15108" width="22" style="5" bestFit="1" customWidth="1"/>
    <col min="15109" max="15109" width="18.625" style="5" customWidth="1"/>
    <col min="15110" max="15110" width="17" style="5" customWidth="1"/>
    <col min="15111" max="15111" width="18.125" style="5" customWidth="1"/>
    <col min="15112" max="15112" width="14.625" style="5" customWidth="1"/>
    <col min="15113" max="15113" width="18" style="5" customWidth="1"/>
    <col min="15114" max="15115" width="19.125" style="5" customWidth="1"/>
    <col min="15116" max="15116" width="17.125" style="5" bestFit="1" customWidth="1"/>
    <col min="15117" max="15117" width="12.875" style="5" bestFit="1" customWidth="1"/>
    <col min="15118" max="15118" width="7.5" style="5" bestFit="1" customWidth="1"/>
    <col min="15119" max="15119" width="14.375" style="5" customWidth="1"/>
    <col min="15120" max="15120" width="17" style="5" customWidth="1"/>
    <col min="15121" max="15121" width="15.125" style="5" customWidth="1"/>
    <col min="15122" max="15122" width="9" style="5" bestFit="1" customWidth="1"/>
    <col min="15123" max="15123" width="9.125" style="5" bestFit="1" customWidth="1"/>
    <col min="15124" max="15361" width="9" style="5"/>
    <col min="15362" max="15362" width="3.125" style="5" customWidth="1"/>
    <col min="15363" max="15363" width="7.5" style="5" customWidth="1"/>
    <col min="15364" max="15364" width="22" style="5" bestFit="1" customWidth="1"/>
    <col min="15365" max="15365" width="18.625" style="5" customWidth="1"/>
    <col min="15366" max="15366" width="17" style="5" customWidth="1"/>
    <col min="15367" max="15367" width="18.125" style="5" customWidth="1"/>
    <col min="15368" max="15368" width="14.625" style="5" customWidth="1"/>
    <col min="15369" max="15369" width="18" style="5" customWidth="1"/>
    <col min="15370" max="15371" width="19.125" style="5" customWidth="1"/>
    <col min="15372" max="15372" width="17.125" style="5" bestFit="1" customWidth="1"/>
    <col min="15373" max="15373" width="12.875" style="5" bestFit="1" customWidth="1"/>
    <col min="15374" max="15374" width="7.5" style="5" bestFit="1" customWidth="1"/>
    <col min="15375" max="15375" width="14.375" style="5" customWidth="1"/>
    <col min="15376" max="15376" width="17" style="5" customWidth="1"/>
    <col min="15377" max="15377" width="15.125" style="5" customWidth="1"/>
    <col min="15378" max="15378" width="9" style="5" bestFit="1" customWidth="1"/>
    <col min="15379" max="15379" width="9.125" style="5" bestFit="1" customWidth="1"/>
    <col min="15380" max="15617" width="9" style="5"/>
    <col min="15618" max="15618" width="3.125" style="5" customWidth="1"/>
    <col min="15619" max="15619" width="7.5" style="5" customWidth="1"/>
    <col min="15620" max="15620" width="22" style="5" bestFit="1" customWidth="1"/>
    <col min="15621" max="15621" width="18.625" style="5" customWidth="1"/>
    <col min="15622" max="15622" width="17" style="5" customWidth="1"/>
    <col min="15623" max="15623" width="18.125" style="5" customWidth="1"/>
    <col min="15624" max="15624" width="14.625" style="5" customWidth="1"/>
    <col min="15625" max="15625" width="18" style="5" customWidth="1"/>
    <col min="15626" max="15627" width="19.125" style="5" customWidth="1"/>
    <col min="15628" max="15628" width="17.125" style="5" bestFit="1" customWidth="1"/>
    <col min="15629" max="15629" width="12.875" style="5" bestFit="1" customWidth="1"/>
    <col min="15630" max="15630" width="7.5" style="5" bestFit="1" customWidth="1"/>
    <col min="15631" max="15631" width="14.375" style="5" customWidth="1"/>
    <col min="15632" max="15632" width="17" style="5" customWidth="1"/>
    <col min="15633" max="15633" width="15.125" style="5" customWidth="1"/>
    <col min="15634" max="15634" width="9" style="5" bestFit="1" customWidth="1"/>
    <col min="15635" max="15635" width="9.125" style="5" bestFit="1" customWidth="1"/>
    <col min="15636" max="15873" width="9" style="5"/>
    <col min="15874" max="15874" width="3.125" style="5" customWidth="1"/>
    <col min="15875" max="15875" width="7.5" style="5" customWidth="1"/>
    <col min="15876" max="15876" width="22" style="5" bestFit="1" customWidth="1"/>
    <col min="15877" max="15877" width="18.625" style="5" customWidth="1"/>
    <col min="15878" max="15878" width="17" style="5" customWidth="1"/>
    <col min="15879" max="15879" width="18.125" style="5" customWidth="1"/>
    <col min="15880" max="15880" width="14.625" style="5" customWidth="1"/>
    <col min="15881" max="15881" width="18" style="5" customWidth="1"/>
    <col min="15882" max="15883" width="19.125" style="5" customWidth="1"/>
    <col min="15884" max="15884" width="17.125" style="5" bestFit="1" customWidth="1"/>
    <col min="15885" max="15885" width="12.875" style="5" bestFit="1" customWidth="1"/>
    <col min="15886" max="15886" width="7.5" style="5" bestFit="1" customWidth="1"/>
    <col min="15887" max="15887" width="14.375" style="5" customWidth="1"/>
    <col min="15888" max="15888" width="17" style="5" customWidth="1"/>
    <col min="15889" max="15889" width="15.125" style="5" customWidth="1"/>
    <col min="15890" max="15890" width="9" style="5" bestFit="1" customWidth="1"/>
    <col min="15891" max="15891" width="9.125" style="5" bestFit="1" customWidth="1"/>
    <col min="15892" max="16129" width="9" style="5"/>
    <col min="16130" max="16130" width="3.125" style="5" customWidth="1"/>
    <col min="16131" max="16131" width="7.5" style="5" customWidth="1"/>
    <col min="16132" max="16132" width="22" style="5" bestFit="1" customWidth="1"/>
    <col min="16133" max="16133" width="18.625" style="5" customWidth="1"/>
    <col min="16134" max="16134" width="17" style="5" customWidth="1"/>
    <col min="16135" max="16135" width="18.125" style="5" customWidth="1"/>
    <col min="16136" max="16136" width="14.625" style="5" customWidth="1"/>
    <col min="16137" max="16137" width="18" style="5" customWidth="1"/>
    <col min="16138" max="16139" width="19.125" style="5" customWidth="1"/>
    <col min="16140" max="16140" width="17.125" style="5" bestFit="1" customWidth="1"/>
    <col min="16141" max="16141" width="12.875" style="5" bestFit="1" customWidth="1"/>
    <col min="16142" max="16142" width="7.5" style="5" bestFit="1" customWidth="1"/>
    <col min="16143" max="16143" width="14.375" style="5" customWidth="1"/>
    <col min="16144" max="16144" width="17" style="5" customWidth="1"/>
    <col min="16145" max="16145" width="15.125" style="5" customWidth="1"/>
    <col min="16146" max="16146" width="9" style="5" bestFit="1" customWidth="1"/>
    <col min="16147" max="16147" width="9.125" style="5" bestFit="1" customWidth="1"/>
    <col min="16148" max="16384" width="9" style="5"/>
  </cols>
  <sheetData>
    <row r="1" spans="1:19" ht="14.25" thickBot="1">
      <c r="A1" s="14"/>
      <c r="B1" s="13"/>
    </row>
    <row r="2" spans="1:19" s="11" customFormat="1" ht="27" thickBot="1">
      <c r="A2" s="12"/>
      <c r="B2" s="513" t="s">
        <v>1398</v>
      </c>
      <c r="C2" s="514" t="s">
        <v>622</v>
      </c>
      <c r="D2" s="515"/>
      <c r="E2" s="515"/>
      <c r="F2" s="516" t="s">
        <v>420</v>
      </c>
      <c r="G2" s="766"/>
      <c r="R2" s="2"/>
    </row>
    <row r="4" spans="1:19">
      <c r="B4" s="13" t="s">
        <v>427</v>
      </c>
    </row>
    <row r="5" spans="1:19" s="95" customFormat="1" ht="14.25" thickBot="1">
      <c r="B5" s="127" t="s">
        <v>410</v>
      </c>
      <c r="C5" s="127" t="s">
        <v>405</v>
      </c>
      <c r="D5" s="127"/>
      <c r="E5" s="127" t="s">
        <v>406</v>
      </c>
      <c r="F5" s="127" t="s">
        <v>407</v>
      </c>
      <c r="G5" s="127" t="s">
        <v>62</v>
      </c>
      <c r="H5" s="127" t="s">
        <v>275</v>
      </c>
      <c r="S5" s="111"/>
    </row>
    <row r="6" spans="1:19" s="95" customFormat="1">
      <c r="B6" s="126">
        <f>RoS!B45</f>
        <v>45475</v>
      </c>
      <c r="C6" s="95" t="str">
        <f>RoS!C45</f>
        <v>울트라브이</v>
      </c>
      <c r="E6" s="95">
        <f>RoS!D45</f>
        <v>20000</v>
      </c>
      <c r="F6" s="411">
        <f>E6/$E$10</f>
        <v>1</v>
      </c>
      <c r="G6" s="98">
        <f>ROUND($G$10*F6,)</f>
        <v>42330000</v>
      </c>
      <c r="H6" s="117"/>
      <c r="S6" s="111"/>
    </row>
    <row r="7" spans="1:19" s="95" customFormat="1">
      <c r="C7" s="95">
        <f>RoS!C27</f>
        <v>0</v>
      </c>
      <c r="E7" s="95">
        <f>RoS!D27</f>
        <v>0</v>
      </c>
      <c r="F7" s="411">
        <f>E7/$E$10</f>
        <v>0</v>
      </c>
      <c r="G7" s="98">
        <f>ROUND($G$10*F7,)</f>
        <v>0</v>
      </c>
      <c r="H7" s="117"/>
      <c r="S7" s="111"/>
    </row>
    <row r="8" spans="1:19" s="95" customFormat="1">
      <c r="C8" s="95">
        <f>RoS!C28</f>
        <v>0</v>
      </c>
      <c r="E8" s="95">
        <f>RoS!D28</f>
        <v>0</v>
      </c>
      <c r="F8" s="411">
        <f>E8/$E$10</f>
        <v>0</v>
      </c>
      <c r="G8" s="98">
        <f>ROUND($G$10*F8,)</f>
        <v>0</v>
      </c>
      <c r="H8" s="112"/>
      <c r="S8" s="111"/>
    </row>
    <row r="9" spans="1:19" s="95" customFormat="1">
      <c r="C9" s="95">
        <f>RoS!C29</f>
        <v>0</v>
      </c>
      <c r="E9" s="95">
        <f>RoS!D29</f>
        <v>0</v>
      </c>
      <c r="F9" s="411">
        <f>E9/$E$10</f>
        <v>0</v>
      </c>
      <c r="G9" s="98">
        <f>ROUND($G$10*F9,)</f>
        <v>0</v>
      </c>
      <c r="H9" s="112"/>
      <c r="S9" s="111"/>
    </row>
    <row r="10" spans="1:19" s="95" customFormat="1" ht="14.25" thickBot="1">
      <c r="B10" s="2007" t="s">
        <v>142</v>
      </c>
      <c r="C10" s="2007"/>
      <c r="D10" s="2007"/>
      <c r="E10" s="115">
        <f>SUM(E6:E9)</f>
        <v>20000</v>
      </c>
      <c r="F10" s="116">
        <f>SUM(F6:F9)</f>
        <v>1</v>
      </c>
      <c r="G10" s="115">
        <f>BS!M123</f>
        <v>42330000</v>
      </c>
      <c r="H10" s="116"/>
      <c r="S10" s="111"/>
    </row>
    <row r="11" spans="1:19" s="95" customFormat="1" ht="14.25" thickTop="1">
      <c r="B11" s="118"/>
      <c r="C11" s="118"/>
      <c r="D11" s="118"/>
      <c r="E11" s="119"/>
      <c r="F11" s="120"/>
      <c r="G11" s="120"/>
      <c r="R11" s="111"/>
    </row>
    <row r="12" spans="1:19" s="95" customFormat="1" ht="14.25" thickBot="1">
      <c r="B12" s="127"/>
      <c r="C12" s="127" t="s">
        <v>1411</v>
      </c>
      <c r="D12" s="127" t="s">
        <v>109</v>
      </c>
      <c r="R12" s="111"/>
    </row>
    <row r="13" spans="1:19" s="95" customFormat="1">
      <c r="B13" s="138" t="s">
        <v>407</v>
      </c>
      <c r="C13" s="402">
        <f>RoS!P30</f>
        <v>1</v>
      </c>
      <c r="D13" s="137">
        <f>1-C13</f>
        <v>0</v>
      </c>
      <c r="R13" s="111"/>
    </row>
    <row r="14" spans="1:19" s="95" customFormat="1">
      <c r="R14" s="111"/>
    </row>
    <row r="15" spans="1:19" s="95" customFormat="1">
      <c r="R15" s="111"/>
    </row>
    <row r="16" spans="1:19" s="95" customFormat="1">
      <c r="B16" s="119" t="s">
        <v>428</v>
      </c>
      <c r="R16" s="111"/>
    </row>
    <row r="17" spans="2:18" s="95" customFormat="1" ht="14.25" thickBot="1">
      <c r="B17" s="128" t="s">
        <v>599</v>
      </c>
      <c r="C17" s="128" t="s">
        <v>1430</v>
      </c>
      <c r="D17" s="128" t="s">
        <v>1431</v>
      </c>
      <c r="R17" s="111"/>
    </row>
    <row r="18" spans="2:18" s="95" customFormat="1">
      <c r="B18" s="123">
        <v>45657</v>
      </c>
      <c r="C18" s="312">
        <v>1038.21</v>
      </c>
      <c r="D18" s="312">
        <v>1081.08</v>
      </c>
      <c r="R18" s="111"/>
    </row>
    <row r="19" spans="2:18" s="95" customFormat="1">
      <c r="B19" s="123">
        <v>46022</v>
      </c>
      <c r="C19" s="312">
        <v>1088.3399999999999</v>
      </c>
      <c r="D19" s="312">
        <v>1117.52</v>
      </c>
      <c r="R19" s="111"/>
    </row>
    <row r="20" spans="2:18" s="95" customFormat="1">
      <c r="B20" s="123">
        <v>46203</v>
      </c>
      <c r="C20" s="312">
        <f>환율!C24</f>
        <v>1160.6600000000001</v>
      </c>
      <c r="D20" s="312">
        <f>환율!C25</f>
        <v>1192.74</v>
      </c>
      <c r="R20" s="111"/>
    </row>
    <row r="21" spans="2:18" s="95" customFormat="1">
      <c r="B21" s="123"/>
      <c r="C21" s="312"/>
      <c r="D21" s="312"/>
      <c r="R21" s="111"/>
    </row>
    <row r="22" spans="2:18" s="95" customFormat="1">
      <c r="R22" s="111"/>
    </row>
    <row r="23" spans="2:18" s="95" customFormat="1">
      <c r="R23" s="111"/>
    </row>
    <row r="24" spans="2:18" s="95" customFormat="1">
      <c r="B24" s="119" t="s">
        <v>429</v>
      </c>
      <c r="R24" s="111"/>
    </row>
    <row r="25" spans="2:18" s="95" customFormat="1">
      <c r="B25" s="119"/>
      <c r="R25" s="111"/>
    </row>
    <row r="26" spans="2:18" s="95" customFormat="1">
      <c r="B26" s="119" t="s">
        <v>2554</v>
      </c>
      <c r="R26" s="111"/>
    </row>
    <row r="27" spans="2:18" s="113" customFormat="1" ht="14.25" thickBot="1">
      <c r="B27" s="128" t="s">
        <v>410</v>
      </c>
      <c r="C27" s="128" t="s">
        <v>423</v>
      </c>
      <c r="D27" s="128" t="s">
        <v>141</v>
      </c>
      <c r="E27" s="128" t="s">
        <v>417</v>
      </c>
      <c r="F27" s="128" t="s">
        <v>424</v>
      </c>
      <c r="G27" s="128" t="s">
        <v>421</v>
      </c>
      <c r="H27" s="128" t="s">
        <v>411</v>
      </c>
      <c r="I27" s="128" t="s">
        <v>412</v>
      </c>
      <c r="J27" s="128" t="s">
        <v>416</v>
      </c>
      <c r="K27" s="128" t="s">
        <v>241</v>
      </c>
      <c r="L27" s="95"/>
      <c r="M27" s="95"/>
    </row>
    <row r="28" spans="2:18" s="113" customFormat="1">
      <c r="B28" s="130" t="s">
        <v>2553</v>
      </c>
      <c r="C28" s="130"/>
      <c r="D28" s="131">
        <v>27164</v>
      </c>
      <c r="E28" s="131">
        <v>0</v>
      </c>
      <c r="F28" s="131"/>
      <c r="G28" s="131">
        <v>0</v>
      </c>
      <c r="H28" s="131"/>
      <c r="I28" s="131"/>
      <c r="J28" s="131"/>
      <c r="K28" s="130"/>
      <c r="L28" s="95"/>
      <c r="M28" s="95"/>
    </row>
    <row r="29" spans="2:18" s="113" customFormat="1">
      <c r="C29" s="113" t="s">
        <v>148</v>
      </c>
      <c r="D29" s="124"/>
      <c r="E29" s="124"/>
      <c r="F29" s="124"/>
      <c r="G29" s="124">
        <v>-2778.87</v>
      </c>
      <c r="H29" s="124"/>
      <c r="I29" s="124"/>
      <c r="J29" s="124"/>
      <c r="L29" s="95"/>
      <c r="M29" s="95"/>
    </row>
    <row r="30" spans="2:18" s="113" customFormat="1">
      <c r="C30" s="113" t="s">
        <v>375</v>
      </c>
      <c r="D30" s="124"/>
      <c r="E30" s="124"/>
      <c r="F30" s="124"/>
      <c r="G30" s="124"/>
      <c r="H30" s="124"/>
      <c r="I30" s="124"/>
      <c r="J30" s="124"/>
      <c r="L30" s="95"/>
      <c r="M30" s="95"/>
    </row>
    <row r="31" spans="2:18" s="95" customFormat="1">
      <c r="B31" s="132">
        <v>45657</v>
      </c>
      <c r="C31" s="133"/>
      <c r="D31" s="133">
        <f>SUM(D28:D30)</f>
        <v>27164</v>
      </c>
      <c r="E31" s="133">
        <f t="shared" ref="E31:G31" si="0">SUM(E28:E30)</f>
        <v>0</v>
      </c>
      <c r="F31" s="133">
        <f t="shared" si="0"/>
        <v>0</v>
      </c>
      <c r="G31" s="133">
        <f t="shared" si="0"/>
        <v>-2778.87</v>
      </c>
      <c r="H31" s="131">
        <v>25311.63</v>
      </c>
      <c r="I31" s="131">
        <v>926.5</v>
      </c>
      <c r="J31" s="131">
        <f>H31-I31</f>
        <v>24385.13</v>
      </c>
      <c r="K31" s="401">
        <f>SUM(D31:G31)-J31</f>
        <v>0</v>
      </c>
    </row>
    <row r="32" spans="2:18" s="95" customFormat="1">
      <c r="B32" s="113"/>
      <c r="C32" s="113" t="s">
        <v>148</v>
      </c>
      <c r="D32" s="124"/>
      <c r="E32" s="124"/>
      <c r="F32" s="124"/>
      <c r="G32" s="124">
        <v>-11012.887999999999</v>
      </c>
      <c r="H32" s="124"/>
      <c r="I32" s="124"/>
      <c r="J32" s="124"/>
      <c r="K32" s="113"/>
      <c r="N32" s="124"/>
      <c r="O32" s="124"/>
      <c r="P32" s="124"/>
      <c r="Q32" s="124"/>
      <c r="R32" s="125"/>
    </row>
    <row r="33" spans="2:18" s="95" customFormat="1">
      <c r="B33" s="113"/>
      <c r="C33" s="113" t="s">
        <v>164</v>
      </c>
      <c r="D33" s="124">
        <v>12969</v>
      </c>
      <c r="E33" s="124"/>
      <c r="F33" s="124"/>
      <c r="G33" s="124"/>
      <c r="H33" s="124"/>
      <c r="I33" s="124"/>
      <c r="J33" s="124"/>
      <c r="K33" s="113"/>
      <c r="N33" s="124"/>
      <c r="O33" s="124"/>
      <c r="P33" s="124"/>
      <c r="Q33" s="124"/>
      <c r="R33" s="125"/>
    </row>
    <row r="34" spans="2:18" s="95" customFormat="1">
      <c r="B34" s="113"/>
      <c r="C34" s="113" t="s">
        <v>375</v>
      </c>
      <c r="D34" s="124"/>
      <c r="E34" s="124"/>
      <c r="F34" s="124"/>
      <c r="G34" s="124"/>
      <c r="H34" s="124"/>
      <c r="I34" s="124"/>
      <c r="J34" s="124"/>
      <c r="K34" s="113"/>
      <c r="N34" s="124"/>
      <c r="O34" s="124"/>
      <c r="P34" s="124"/>
      <c r="Q34" s="124"/>
      <c r="R34" s="125"/>
    </row>
    <row r="35" spans="2:18" s="95" customFormat="1">
      <c r="B35" s="132">
        <f>B19</f>
        <v>46022</v>
      </c>
      <c r="C35" s="133"/>
      <c r="D35" s="133">
        <f>SUM(D31:D34)</f>
        <v>40133</v>
      </c>
      <c r="E35" s="133">
        <f t="shared" ref="E35:G35" si="1">SUM(E31:E34)</f>
        <v>0</v>
      </c>
      <c r="F35" s="133">
        <f t="shared" si="1"/>
        <v>0</v>
      </c>
      <c r="G35" s="133">
        <f t="shared" si="1"/>
        <v>-13791.757999999998</v>
      </c>
      <c r="H35" s="131">
        <v>26341.24</v>
      </c>
      <c r="I35" s="131">
        <v>0</v>
      </c>
      <c r="J35" s="131">
        <f>H35-I35</f>
        <v>26341.24</v>
      </c>
      <c r="K35" s="401">
        <f>SUM(D35:G35)-J35</f>
        <v>2.0000000004074536E-3</v>
      </c>
      <c r="N35" s="124"/>
      <c r="O35" s="124"/>
      <c r="P35" s="124"/>
      <c r="Q35" s="124"/>
      <c r="R35" s="125"/>
    </row>
    <row r="36" spans="2:18" s="95" customFormat="1">
      <c r="B36" s="113"/>
      <c r="C36" s="113" t="s">
        <v>148</v>
      </c>
      <c r="D36" s="124"/>
      <c r="E36" s="124"/>
      <c r="F36" s="124"/>
      <c r="G36" s="124">
        <f>SG_PL!G84</f>
        <v>-7483.7000000000007</v>
      </c>
      <c r="H36" s="124"/>
      <c r="I36" s="124"/>
      <c r="J36" s="124"/>
      <c r="K36" s="113"/>
      <c r="N36" s="124"/>
      <c r="O36" s="124"/>
      <c r="P36" s="124"/>
      <c r="Q36" s="124"/>
      <c r="R36" s="125"/>
    </row>
    <row r="37" spans="2:18" s="95" customFormat="1">
      <c r="B37" s="113"/>
      <c r="C37" s="113" t="s">
        <v>164</v>
      </c>
      <c r="D37" s="124">
        <v>0</v>
      </c>
      <c r="E37" s="124"/>
      <c r="F37" s="124"/>
      <c r="G37" s="124"/>
      <c r="H37" s="124"/>
      <c r="I37" s="124"/>
      <c r="J37" s="124"/>
      <c r="K37" s="113"/>
      <c r="N37" s="124"/>
      <c r="O37" s="124"/>
      <c r="P37" s="124"/>
      <c r="Q37" s="124"/>
      <c r="R37" s="125"/>
    </row>
    <row r="38" spans="2:18" s="95" customFormat="1">
      <c r="B38" s="113"/>
      <c r="C38" s="113" t="s">
        <v>375</v>
      </c>
      <c r="D38" s="124"/>
      <c r="E38" s="124"/>
      <c r="F38" s="124"/>
      <c r="G38" s="124"/>
      <c r="H38" s="124"/>
      <c r="I38" s="124"/>
      <c r="J38" s="124"/>
      <c r="K38" s="113"/>
      <c r="N38" s="124"/>
      <c r="O38" s="124"/>
      <c r="P38" s="124"/>
      <c r="Q38" s="124"/>
      <c r="R38" s="125"/>
    </row>
    <row r="39" spans="2:18" s="95" customFormat="1">
      <c r="B39" s="132">
        <f>B20</f>
        <v>46203</v>
      </c>
      <c r="C39" s="133"/>
      <c r="D39" s="133">
        <f>SUM(D35:D38)</f>
        <v>40133</v>
      </c>
      <c r="E39" s="133">
        <f t="shared" ref="E39:G39" si="2">SUM(E35:E38)</f>
        <v>0</v>
      </c>
      <c r="F39" s="133">
        <f t="shared" si="2"/>
        <v>0</v>
      </c>
      <c r="G39" s="133">
        <f t="shared" si="2"/>
        <v>-21275.457999999999</v>
      </c>
      <c r="H39" s="131">
        <f>SG_BS!G5</f>
        <v>18857.54</v>
      </c>
      <c r="I39" s="131">
        <f>SG_BS!G75</f>
        <v>0</v>
      </c>
      <c r="J39" s="131">
        <f>H39-I39</f>
        <v>18857.54</v>
      </c>
      <c r="K39" s="401">
        <f>SUM(D39:G39)-J39</f>
        <v>2.0000000004074536E-3</v>
      </c>
      <c r="N39" s="124"/>
      <c r="O39" s="124"/>
      <c r="P39" s="124"/>
      <c r="Q39" s="124"/>
      <c r="R39" s="125"/>
    </row>
    <row r="40" spans="2:18" s="95" customFormat="1">
      <c r="B40" s="123"/>
      <c r="C40" s="124"/>
      <c r="D40" s="124"/>
      <c r="E40" s="124"/>
      <c r="F40" s="124"/>
      <c r="G40" s="124"/>
      <c r="H40" s="124"/>
      <c r="I40" s="124"/>
      <c r="J40" s="124"/>
      <c r="K40" s="124"/>
      <c r="N40" s="124"/>
      <c r="O40" s="124"/>
      <c r="P40" s="124"/>
      <c r="Q40" s="124"/>
      <c r="R40" s="125"/>
    </row>
    <row r="41" spans="2:18" s="95" customFormat="1">
      <c r="B41" s="123"/>
      <c r="C41" s="124"/>
      <c r="D41" s="124"/>
      <c r="E41" s="124"/>
      <c r="F41" s="124"/>
      <c r="G41" s="124"/>
      <c r="H41" s="124"/>
      <c r="I41" s="124"/>
      <c r="J41" s="124"/>
      <c r="K41" s="124"/>
      <c r="N41" s="124"/>
      <c r="O41" s="124"/>
      <c r="P41" s="124"/>
      <c r="Q41" s="124"/>
      <c r="R41" s="125"/>
    </row>
    <row r="42" spans="2:18" s="95" customFormat="1">
      <c r="B42" s="136" t="s">
        <v>437</v>
      </c>
      <c r="C42" s="124"/>
      <c r="D42" s="124"/>
      <c r="E42" s="124"/>
      <c r="F42" s="124"/>
      <c r="G42" s="124"/>
      <c r="H42" s="124"/>
      <c r="I42" s="124"/>
      <c r="J42" s="124"/>
      <c r="K42" s="124"/>
      <c r="N42" s="124"/>
      <c r="O42" s="124"/>
      <c r="P42" s="124"/>
      <c r="Q42" s="124"/>
      <c r="R42" s="125"/>
    </row>
    <row r="43" spans="2:18" s="95" customFormat="1" ht="27.75" thickBot="1">
      <c r="B43" s="128" t="s">
        <v>410</v>
      </c>
      <c r="C43" s="128" t="s">
        <v>439</v>
      </c>
      <c r="D43" s="128" t="s">
        <v>440</v>
      </c>
      <c r="E43" s="128" t="s">
        <v>441</v>
      </c>
      <c r="F43" s="128" t="s">
        <v>445</v>
      </c>
      <c r="G43" s="147" t="s">
        <v>443</v>
      </c>
      <c r="H43" s="128" t="s">
        <v>93</v>
      </c>
      <c r="I43" s="128" t="s">
        <v>438</v>
      </c>
      <c r="J43" s="129" t="s">
        <v>425</v>
      </c>
      <c r="K43" s="129" t="s">
        <v>241</v>
      </c>
      <c r="N43" s="124"/>
      <c r="O43" s="124"/>
      <c r="P43" s="124"/>
      <c r="Q43" s="124"/>
      <c r="R43" s="125"/>
    </row>
    <row r="44" spans="2:18" s="95" customFormat="1">
      <c r="B44" s="126">
        <v>45657</v>
      </c>
      <c r="C44" s="124">
        <f>ROUND(H31*VLOOKUP(B44,$B$18:$D$21,3,0),)</f>
        <v>27363897</v>
      </c>
      <c r="D44" s="124">
        <f>ROUND(I31*VLOOKUP(B44,$B$18:$D$21,3,0),)</f>
        <v>1001621</v>
      </c>
      <c r="E44" s="124">
        <f>C44-D44</f>
        <v>26362276</v>
      </c>
      <c r="F44" s="124">
        <f>D55+E55</f>
        <v>27600000</v>
      </c>
      <c r="G44" s="124">
        <f>G52</f>
        <v>0</v>
      </c>
      <c r="H44" s="124">
        <f>ROUND(G29*VLOOKUP(B44,$B$18:$D$23,2,0),)</f>
        <v>-2885051</v>
      </c>
      <c r="I44" s="124">
        <f>SUM(F44:H44)</f>
        <v>24714949</v>
      </c>
      <c r="J44" s="124">
        <f>E44-I44</f>
        <v>1647327</v>
      </c>
      <c r="K44" s="111">
        <f>C44-D44-(I44+J44)</f>
        <v>0</v>
      </c>
      <c r="L44" s="124"/>
      <c r="M44" s="124"/>
      <c r="N44" s="124"/>
      <c r="O44" s="124"/>
      <c r="P44" s="124"/>
      <c r="Q44" s="124"/>
      <c r="R44" s="125"/>
    </row>
    <row r="45" spans="2:18" s="95" customFormat="1">
      <c r="B45" s="126">
        <f>B35</f>
        <v>46022</v>
      </c>
      <c r="C45" s="124">
        <f>ROUND(H35*VLOOKUP(B45,$B$18:$D$21,3,0),)</f>
        <v>29436863</v>
      </c>
      <c r="D45" s="124">
        <f>ROUND(I35*VLOOKUP(B45,$B$18:$D$21,3,0),)</f>
        <v>0</v>
      </c>
      <c r="E45" s="124">
        <f>C45-D45</f>
        <v>29436863</v>
      </c>
      <c r="F45" s="124">
        <f>D59+E59</f>
        <v>42330000</v>
      </c>
      <c r="G45" s="124">
        <f>G55</f>
        <v>-2885051</v>
      </c>
      <c r="H45" s="124">
        <f>ROUND(G32*VLOOKUP(B45,$B$18:$D$23,2,0),)</f>
        <v>-11985767</v>
      </c>
      <c r="I45" s="124">
        <f>SUM(F45:H45)</f>
        <v>27459182</v>
      </c>
      <c r="J45" s="124">
        <f>E45-I45</f>
        <v>1977681</v>
      </c>
      <c r="K45" s="111">
        <f>C45-D45-(I45+J45)</f>
        <v>0</v>
      </c>
      <c r="L45" s="124"/>
      <c r="M45" s="124"/>
      <c r="N45" s="124"/>
      <c r="O45" s="124"/>
      <c r="P45" s="124"/>
      <c r="Q45" s="124"/>
      <c r="R45" s="125"/>
    </row>
    <row r="46" spans="2:18" s="95" customFormat="1">
      <c r="B46" s="126">
        <f>B39</f>
        <v>46203</v>
      </c>
      <c r="C46" s="124">
        <f>ROUND(H39*VLOOKUP(B46,$B$18:$D$21,3,0),)</f>
        <v>22492142</v>
      </c>
      <c r="D46" s="124">
        <f>ROUND(I39*VLOOKUP(B46,$B$18:$D$21,3,0),)</f>
        <v>0</v>
      </c>
      <c r="E46" s="124">
        <f>C46-D46</f>
        <v>22492142</v>
      </c>
      <c r="F46" s="124">
        <f>D63+E63</f>
        <v>42330000</v>
      </c>
      <c r="G46" s="124">
        <f>G59</f>
        <v>-14870818</v>
      </c>
      <c r="H46" s="124">
        <f>ROUND(G36*VLOOKUP(B46,$B$18:$D$23,2,0),)</f>
        <v>-8686031</v>
      </c>
      <c r="I46" s="124">
        <f>SUM(F46:H46)</f>
        <v>18773151</v>
      </c>
      <c r="J46" s="124">
        <f>E46-I46</f>
        <v>3718991</v>
      </c>
      <c r="K46" s="111">
        <f>C46-D46-(I46+J46)</f>
        <v>0</v>
      </c>
      <c r="L46" s="124"/>
      <c r="M46" s="124"/>
      <c r="N46" s="124"/>
      <c r="O46" s="124"/>
      <c r="P46" s="124"/>
      <c r="Q46" s="124"/>
      <c r="R46" s="125"/>
    </row>
    <row r="47" spans="2:18" s="95" customFormat="1">
      <c r="B47" s="126"/>
      <c r="C47" s="124"/>
      <c r="D47" s="124"/>
      <c r="E47" s="124"/>
      <c r="F47" s="124"/>
      <c r="G47" s="124"/>
      <c r="H47" s="124"/>
      <c r="I47" s="124"/>
      <c r="J47" s="124"/>
      <c r="K47" s="111"/>
      <c r="L47" s="124"/>
      <c r="M47" s="124"/>
      <c r="N47" s="124"/>
      <c r="O47" s="124"/>
      <c r="P47" s="124"/>
      <c r="Q47" s="124"/>
      <c r="R47" s="125"/>
    </row>
    <row r="48" spans="2:18" s="95" customFormat="1">
      <c r="B48" s="126"/>
      <c r="C48" s="124"/>
      <c r="D48" s="124"/>
      <c r="E48" s="124"/>
      <c r="F48" s="124"/>
      <c r="G48" s="124"/>
      <c r="H48" s="124"/>
      <c r="I48" s="124"/>
      <c r="J48" s="124"/>
      <c r="K48" s="111"/>
      <c r="L48" s="124"/>
      <c r="M48" s="124"/>
      <c r="N48" s="124"/>
      <c r="O48" s="124"/>
      <c r="P48" s="124"/>
      <c r="Q48" s="124"/>
      <c r="R48" s="125"/>
    </row>
    <row r="49" spans="2:18" s="95" customFormat="1">
      <c r="B49" s="123"/>
      <c r="C49" s="124"/>
      <c r="D49" s="124"/>
      <c r="E49" s="124"/>
      <c r="F49" s="124"/>
      <c r="G49" s="124"/>
      <c r="H49" s="124"/>
      <c r="I49" s="124"/>
      <c r="J49" s="124"/>
      <c r="K49" s="124"/>
      <c r="L49" s="124"/>
      <c r="M49" s="124"/>
      <c r="N49" s="124"/>
      <c r="O49" s="124"/>
      <c r="P49" s="124"/>
      <c r="Q49" s="124"/>
      <c r="R49" s="125"/>
    </row>
    <row r="50" spans="2:18" s="95" customFormat="1">
      <c r="B50" s="136" t="s">
        <v>442</v>
      </c>
      <c r="C50" s="124"/>
      <c r="D50" s="124"/>
      <c r="E50" s="124"/>
      <c r="F50" s="124"/>
      <c r="G50" s="124"/>
      <c r="H50" s="124"/>
      <c r="I50" s="124"/>
      <c r="J50" s="124"/>
      <c r="K50" s="124"/>
      <c r="L50" s="124"/>
      <c r="M50" s="124"/>
      <c r="N50" s="124"/>
      <c r="O50" s="124"/>
      <c r="P50" s="124"/>
      <c r="Q50" s="124"/>
      <c r="R50" s="125"/>
    </row>
    <row r="51" spans="2:18" s="95" customFormat="1" ht="14.25" thickBot="1">
      <c r="B51" s="128" t="s">
        <v>410</v>
      </c>
      <c r="C51" s="128" t="s">
        <v>422</v>
      </c>
      <c r="D51" s="128" t="s">
        <v>141</v>
      </c>
      <c r="E51" s="128" t="s">
        <v>417</v>
      </c>
      <c r="F51" s="128" t="s">
        <v>424</v>
      </c>
      <c r="G51" s="128" t="s">
        <v>73</v>
      </c>
      <c r="H51" s="128" t="s">
        <v>416</v>
      </c>
      <c r="I51" s="128" t="s">
        <v>240</v>
      </c>
      <c r="J51" s="111"/>
      <c r="K51" s="124"/>
      <c r="L51" s="124"/>
      <c r="M51" s="124"/>
      <c r="N51" s="124"/>
      <c r="O51" s="124"/>
      <c r="P51" s="125"/>
    </row>
    <row r="52" spans="2:18" s="95" customFormat="1">
      <c r="B52" s="130" t="s">
        <v>2555</v>
      </c>
      <c r="C52" s="130"/>
      <c r="D52" s="131">
        <v>27600000</v>
      </c>
      <c r="E52" s="131">
        <v>0</v>
      </c>
      <c r="F52" s="131">
        <v>0</v>
      </c>
      <c r="G52" s="131">
        <v>0</v>
      </c>
      <c r="H52" s="131">
        <f>SUM(D52:G52)</f>
        <v>27600000</v>
      </c>
      <c r="I52" s="130"/>
      <c r="J52" s="125"/>
      <c r="K52" s="124"/>
      <c r="L52" s="124"/>
      <c r="M52" s="124"/>
      <c r="N52" s="124"/>
      <c r="O52" s="124"/>
      <c r="P52" s="125"/>
    </row>
    <row r="53" spans="2:18" s="95" customFormat="1">
      <c r="B53" s="113"/>
      <c r="C53" s="113" t="s">
        <v>148</v>
      </c>
      <c r="D53" s="124"/>
      <c r="E53" s="124"/>
      <c r="F53" s="124"/>
      <c r="G53" s="124">
        <f>H44</f>
        <v>-2885051</v>
      </c>
      <c r="H53" s="124"/>
      <c r="I53" s="113"/>
      <c r="J53" s="125"/>
      <c r="K53" s="124"/>
      <c r="L53" s="124"/>
      <c r="M53" s="124"/>
      <c r="N53" s="124"/>
      <c r="O53" s="124"/>
      <c r="P53" s="125"/>
    </row>
    <row r="54" spans="2:18" s="95" customFormat="1">
      <c r="B54" s="113"/>
      <c r="C54" s="113" t="s">
        <v>375</v>
      </c>
      <c r="D54" s="124"/>
      <c r="E54" s="124"/>
      <c r="F54" s="124">
        <f>J44-F52</f>
        <v>1647327</v>
      </c>
      <c r="G54" s="124"/>
      <c r="H54" s="124"/>
      <c r="I54" s="113"/>
      <c r="J54" s="125"/>
      <c r="K54" s="124"/>
      <c r="L54" s="124"/>
      <c r="M54" s="124"/>
      <c r="N54" s="124"/>
      <c r="O54" s="124"/>
      <c r="P54" s="125"/>
    </row>
    <row r="55" spans="2:18" s="95" customFormat="1">
      <c r="B55" s="132">
        <v>45657</v>
      </c>
      <c r="C55" s="133"/>
      <c r="D55" s="133">
        <f>SUM(D52:D54)</f>
        <v>27600000</v>
      </c>
      <c r="E55" s="133">
        <f t="shared" ref="E55:G55" si="3">SUM(E52:E54)</f>
        <v>0</v>
      </c>
      <c r="F55" s="133">
        <f t="shared" si="3"/>
        <v>1647327</v>
      </c>
      <c r="G55" s="133">
        <f t="shared" si="3"/>
        <v>-2885051</v>
      </c>
      <c r="H55" s="131">
        <f>E44</f>
        <v>26362276</v>
      </c>
      <c r="I55" s="133">
        <f>SUM(D55:G55)-SUM(H55)</f>
        <v>0</v>
      </c>
      <c r="K55" s="124"/>
      <c r="L55" s="124"/>
      <c r="M55" s="124"/>
      <c r="N55" s="124"/>
      <c r="O55" s="124"/>
      <c r="P55" s="125"/>
    </row>
    <row r="56" spans="2:18" s="95" customFormat="1">
      <c r="B56" s="113"/>
      <c r="C56" s="113" t="s">
        <v>148</v>
      </c>
      <c r="D56" s="124"/>
      <c r="E56" s="124"/>
      <c r="F56" s="124"/>
      <c r="G56" s="124">
        <f>H45</f>
        <v>-11985767</v>
      </c>
      <c r="H56" s="124"/>
      <c r="I56" s="113"/>
      <c r="K56" s="124"/>
      <c r="L56" s="124"/>
      <c r="M56" s="124"/>
      <c r="N56" s="124"/>
      <c r="O56" s="124"/>
      <c r="P56" s="125"/>
    </row>
    <row r="57" spans="2:18" s="95" customFormat="1">
      <c r="B57" s="113"/>
      <c r="C57" s="113" t="s">
        <v>164</v>
      </c>
      <c r="D57" s="124">
        <v>14730000</v>
      </c>
      <c r="E57" s="124"/>
      <c r="F57" s="124"/>
      <c r="G57" s="124"/>
      <c r="H57" s="124"/>
      <c r="I57" s="113"/>
      <c r="K57" s="124"/>
      <c r="L57" s="124"/>
      <c r="M57" s="124"/>
      <c r="N57" s="124"/>
      <c r="O57" s="124"/>
      <c r="P57" s="125"/>
    </row>
    <row r="58" spans="2:18" s="95" customFormat="1">
      <c r="B58" s="113"/>
      <c r="C58" s="113" t="s">
        <v>375</v>
      </c>
      <c r="D58" s="124"/>
      <c r="E58" s="124"/>
      <c r="F58" s="124">
        <f>J45-F55</f>
        <v>330354</v>
      </c>
      <c r="G58" s="124"/>
      <c r="H58" s="124"/>
      <c r="I58" s="113"/>
      <c r="K58" s="124"/>
      <c r="L58" s="124"/>
      <c r="M58" s="124"/>
      <c r="N58" s="124"/>
      <c r="O58" s="124"/>
      <c r="P58" s="125"/>
    </row>
    <row r="59" spans="2:18" s="95" customFormat="1">
      <c r="B59" s="132">
        <f>B45</f>
        <v>46022</v>
      </c>
      <c r="C59" s="133"/>
      <c r="D59" s="133">
        <f>SUM(D55:D58)</f>
        <v>42330000</v>
      </c>
      <c r="E59" s="133">
        <f t="shared" ref="E59:G59" si="4">SUM(E55:E58)</f>
        <v>0</v>
      </c>
      <c r="F59" s="133">
        <f t="shared" si="4"/>
        <v>1977681</v>
      </c>
      <c r="G59" s="133">
        <f t="shared" si="4"/>
        <v>-14870818</v>
      </c>
      <c r="H59" s="131">
        <f>E45</f>
        <v>29436863</v>
      </c>
      <c r="I59" s="133">
        <f>SUM(D59:G59)-SUM(H59)</f>
        <v>0</v>
      </c>
      <c r="K59" s="124"/>
      <c r="L59" s="124"/>
      <c r="M59" s="124"/>
      <c r="N59" s="124"/>
      <c r="O59" s="124"/>
      <c r="P59" s="125"/>
    </row>
    <row r="60" spans="2:18" s="95" customFormat="1">
      <c r="B60" s="113"/>
      <c r="C60" s="113" t="s">
        <v>148</v>
      </c>
      <c r="D60" s="124"/>
      <c r="E60" s="124"/>
      <c r="F60" s="124"/>
      <c r="G60" s="124">
        <f>H46</f>
        <v>-8686031</v>
      </c>
      <c r="H60" s="124"/>
      <c r="I60" s="113"/>
      <c r="K60" s="124"/>
      <c r="L60" s="124"/>
      <c r="M60" s="124"/>
      <c r="N60" s="124"/>
      <c r="O60" s="124"/>
      <c r="P60" s="125"/>
    </row>
    <row r="61" spans="2:18" s="95" customFormat="1">
      <c r="B61" s="113"/>
      <c r="C61" s="113" t="s">
        <v>164</v>
      </c>
      <c r="D61" s="124">
        <v>0</v>
      </c>
      <c r="E61" s="124"/>
      <c r="F61" s="124"/>
      <c r="G61" s="124"/>
      <c r="H61" s="124"/>
      <c r="I61" s="113"/>
      <c r="K61" s="124"/>
      <c r="L61" s="124"/>
      <c r="M61" s="124"/>
      <c r="N61" s="124"/>
      <c r="O61" s="124"/>
      <c r="P61" s="125"/>
    </row>
    <row r="62" spans="2:18" s="95" customFormat="1">
      <c r="B62" s="113"/>
      <c r="C62" s="113" t="s">
        <v>375</v>
      </c>
      <c r="D62" s="124"/>
      <c r="E62" s="124"/>
      <c r="F62" s="124">
        <f>J46-F59</f>
        <v>1741310</v>
      </c>
      <c r="G62" s="124"/>
      <c r="H62" s="124"/>
      <c r="I62" s="113"/>
      <c r="K62" s="124"/>
      <c r="L62" s="124"/>
      <c r="M62" s="124"/>
      <c r="N62" s="124"/>
      <c r="O62" s="124"/>
      <c r="P62" s="125"/>
    </row>
    <row r="63" spans="2:18" s="95" customFormat="1">
      <c r="B63" s="132">
        <f>B46</f>
        <v>46203</v>
      </c>
      <c r="C63" s="133"/>
      <c r="D63" s="133">
        <f>SUM(D59:D62)</f>
        <v>42330000</v>
      </c>
      <c r="E63" s="133">
        <f t="shared" ref="E63:G63" si="5">SUM(E59:E62)</f>
        <v>0</v>
      </c>
      <c r="F63" s="133">
        <f t="shared" si="5"/>
        <v>3718991</v>
      </c>
      <c r="G63" s="133">
        <f t="shared" si="5"/>
        <v>-23556849</v>
      </c>
      <c r="H63" s="131">
        <f>E46</f>
        <v>22492142</v>
      </c>
      <c r="I63" s="133">
        <f>SUM(D63:G63)-SUM(H63)</f>
        <v>0</v>
      </c>
      <c r="K63" s="124"/>
      <c r="L63" s="124"/>
      <c r="M63" s="124"/>
      <c r="N63" s="124"/>
      <c r="O63" s="124"/>
      <c r="P63" s="125"/>
    </row>
    <row r="64" spans="2:18" s="95" customFormat="1">
      <c r="C64" s="124"/>
      <c r="D64" s="124">
        <f>D63-SG_BS!K112</f>
        <v>0</v>
      </c>
      <c r="E64" s="124">
        <f>E63-SG_BS!K115</f>
        <v>0</v>
      </c>
      <c r="F64" s="124">
        <f>F63-SG_BS!K120</f>
        <v>0</v>
      </c>
      <c r="G64" s="124">
        <f>G63-SG_BS!K123</f>
        <v>0</v>
      </c>
      <c r="H64" s="124">
        <f>H63-SG_BS!K111</f>
        <v>0</v>
      </c>
      <c r="I64" s="124"/>
      <c r="J64" s="124"/>
      <c r="K64" s="124"/>
      <c r="L64" s="124"/>
      <c r="M64" s="124"/>
      <c r="N64" s="124"/>
      <c r="O64" s="124"/>
      <c r="P64" s="124"/>
      <c r="Q64" s="124"/>
      <c r="R64" s="125"/>
    </row>
    <row r="65" spans="2:18" s="95" customFormat="1">
      <c r="C65" s="124"/>
      <c r="D65" s="124"/>
      <c r="E65" s="124"/>
      <c r="F65" s="124"/>
      <c r="G65" s="124"/>
      <c r="H65" s="124"/>
      <c r="I65" s="124"/>
      <c r="J65" s="124"/>
      <c r="K65" s="124"/>
      <c r="L65" s="124"/>
      <c r="M65" s="124"/>
      <c r="N65" s="124"/>
      <c r="O65" s="124"/>
      <c r="P65" s="124"/>
      <c r="Q65" s="124"/>
      <c r="R65" s="125"/>
    </row>
    <row r="66" spans="2:18" s="95" customFormat="1">
      <c r="C66" s="124"/>
      <c r="D66" s="124"/>
      <c r="E66" s="124"/>
      <c r="F66" s="124"/>
      <c r="G66" s="124"/>
      <c r="H66" s="124"/>
      <c r="I66" s="124"/>
      <c r="J66" s="124"/>
      <c r="K66" s="124"/>
      <c r="L66" s="124"/>
      <c r="M66" s="124"/>
      <c r="N66" s="124"/>
      <c r="O66" s="124"/>
      <c r="P66" s="124"/>
      <c r="Q66" s="124"/>
      <c r="R66" s="125"/>
    </row>
    <row r="67" spans="2:18" s="95" customFormat="1">
      <c r="B67" s="119" t="s">
        <v>430</v>
      </c>
      <c r="C67" s="124"/>
      <c r="D67" s="124"/>
      <c r="E67" s="124"/>
      <c r="F67" s="124"/>
      <c r="G67" s="124"/>
      <c r="H67" s="124"/>
      <c r="I67" s="124"/>
      <c r="J67" s="124"/>
      <c r="K67" s="124"/>
      <c r="L67" s="124"/>
      <c r="M67" s="124"/>
      <c r="N67" s="124"/>
      <c r="O67" s="124"/>
      <c r="P67" s="124"/>
      <c r="Q67" s="124"/>
      <c r="R67" s="125"/>
    </row>
    <row r="68" spans="2:18" s="95" customFormat="1">
      <c r="R68" s="111"/>
    </row>
    <row r="69" spans="2:18" s="95" customFormat="1">
      <c r="B69" s="139" t="s">
        <v>343</v>
      </c>
      <c r="C69" s="142" t="s">
        <v>431</v>
      </c>
      <c r="D69" s="124"/>
      <c r="E69" s="124"/>
      <c r="F69" s="124"/>
      <c r="G69" s="124"/>
      <c r="H69" s="124"/>
      <c r="I69" s="124"/>
      <c r="J69" s="124"/>
      <c r="R69" s="111"/>
    </row>
    <row r="70" spans="2:18" s="95" customFormat="1" hidden="1" outlineLevel="1">
      <c r="C70" s="95" t="s">
        <v>444</v>
      </c>
      <c r="D70" s="124"/>
      <c r="E70" s="124"/>
      <c r="F70" s="124"/>
      <c r="G70" s="124"/>
      <c r="H70" s="124"/>
      <c r="I70" s="124"/>
    </row>
    <row r="71" spans="2:18" s="95" customFormat="1" hidden="1" outlineLevel="1">
      <c r="D71" s="124"/>
      <c r="E71" s="124"/>
      <c r="F71" s="124"/>
      <c r="G71" s="124"/>
      <c r="H71" s="124"/>
      <c r="I71" s="124"/>
    </row>
    <row r="72" spans="2:18" hidden="1" outlineLevel="1">
      <c r="B72" s="5"/>
      <c r="C72" s="119" t="s">
        <v>432</v>
      </c>
      <c r="D72" s="95"/>
      <c r="E72" s="95"/>
      <c r="F72" s="95"/>
      <c r="G72" s="95"/>
      <c r="H72" s="95"/>
      <c r="I72" s="95"/>
      <c r="R72" s="5"/>
    </row>
    <row r="73" spans="2:18" ht="14.25" hidden="1" outlineLevel="1" thickBot="1">
      <c r="B73" s="5"/>
      <c r="C73" s="95"/>
      <c r="D73" s="1996" t="s">
        <v>146</v>
      </c>
      <c r="E73" s="1996"/>
      <c r="F73" s="114" t="s">
        <v>435</v>
      </c>
      <c r="G73" s="114" t="s">
        <v>434</v>
      </c>
      <c r="H73" s="114" t="s">
        <v>109</v>
      </c>
      <c r="I73" s="95"/>
      <c r="R73" s="5"/>
    </row>
    <row r="74" spans="2:18" hidden="1" outlineLevel="1">
      <c r="B74" s="5"/>
      <c r="C74" s="95"/>
      <c r="D74" s="95" t="s">
        <v>93</v>
      </c>
      <c r="E74" s="95"/>
      <c r="F74" s="95">
        <f>G53</f>
        <v>-2885051</v>
      </c>
      <c r="G74" s="95">
        <f>ROUND(F74*$C$13,)</f>
        <v>-2885051</v>
      </c>
      <c r="H74" s="95">
        <f>F74-G74</f>
        <v>0</v>
      </c>
      <c r="I74" s="95"/>
      <c r="R74" s="5"/>
    </row>
    <row r="75" spans="2:18" hidden="1" outlineLevel="1">
      <c r="B75" s="5"/>
      <c r="C75" s="95"/>
      <c r="D75" s="95" t="s">
        <v>453</v>
      </c>
      <c r="E75" s="95"/>
      <c r="F75" s="95">
        <v>0</v>
      </c>
      <c r="G75" s="95">
        <f>F75</f>
        <v>0</v>
      </c>
      <c r="H75" s="95">
        <f t="shared" ref="H75:H76" si="6">F75-G75</f>
        <v>0</v>
      </c>
      <c r="I75" s="95"/>
      <c r="R75" s="5"/>
    </row>
    <row r="76" spans="2:18" hidden="1" outlineLevel="1">
      <c r="B76" s="5"/>
      <c r="C76" s="95"/>
      <c r="D76" s="95" t="s">
        <v>454</v>
      </c>
      <c r="E76" s="95"/>
      <c r="F76" s="95">
        <v>0</v>
      </c>
      <c r="G76" s="95">
        <f>F76</f>
        <v>0</v>
      </c>
      <c r="H76" s="95">
        <f t="shared" si="6"/>
        <v>0</v>
      </c>
      <c r="I76" s="95"/>
      <c r="R76" s="5"/>
    </row>
    <row r="77" spans="2:18" hidden="1" outlineLevel="1">
      <c r="B77" s="5"/>
      <c r="C77" s="95"/>
      <c r="D77" s="95" t="s">
        <v>449</v>
      </c>
      <c r="E77" s="95"/>
      <c r="F77" s="95">
        <v>0</v>
      </c>
      <c r="G77" s="95">
        <f>ROUND(F77*$C$13,)</f>
        <v>0</v>
      </c>
      <c r="H77" s="95">
        <f>F77-G77</f>
        <v>0</v>
      </c>
      <c r="I77" s="95"/>
      <c r="R77" s="5"/>
    </row>
    <row r="78" spans="2:18" hidden="1" outlineLevel="1">
      <c r="B78" s="5"/>
      <c r="C78" s="95"/>
      <c r="D78" s="95" t="s">
        <v>450</v>
      </c>
      <c r="E78" s="95"/>
      <c r="F78" s="95">
        <v>0</v>
      </c>
      <c r="G78" s="95">
        <f>ROUND(F78*$C$13,)</f>
        <v>0</v>
      </c>
      <c r="H78" s="95">
        <f>F78-G78</f>
        <v>0</v>
      </c>
      <c r="I78" s="95"/>
      <c r="R78" s="5"/>
    </row>
    <row r="79" spans="2:18" hidden="1" outlineLevel="1">
      <c r="B79" s="5"/>
      <c r="C79" s="95"/>
      <c r="D79" s="144" t="s">
        <v>451</v>
      </c>
      <c r="E79" s="144"/>
      <c r="F79" s="144">
        <f>SUM(F74:F78)</f>
        <v>-2885051</v>
      </c>
      <c r="G79" s="144">
        <f>SUM(G74:G78)</f>
        <v>-2885051</v>
      </c>
      <c r="H79" s="144">
        <f t="shared" ref="H79" si="7">SUM(H74:H78)</f>
        <v>0</v>
      </c>
      <c r="I79" s="95"/>
      <c r="R79" s="5"/>
    </row>
    <row r="80" spans="2:18" hidden="1" outlineLevel="1">
      <c r="B80" s="5"/>
      <c r="C80" s="95"/>
      <c r="D80" s="95"/>
      <c r="E80" s="95"/>
      <c r="F80" s="95"/>
      <c r="G80" s="95"/>
      <c r="H80" s="95"/>
      <c r="I80" s="95"/>
      <c r="R80" s="5"/>
    </row>
    <row r="81" spans="2:18" hidden="1" outlineLevel="1">
      <c r="B81" s="5"/>
      <c r="C81" s="95"/>
      <c r="D81" s="121" t="s">
        <v>180</v>
      </c>
      <c r="E81" s="121"/>
      <c r="F81" s="121">
        <f>F54</f>
        <v>1647327</v>
      </c>
      <c r="G81" s="121">
        <f>ROUND(F81*$C$13,)</f>
        <v>1647327</v>
      </c>
      <c r="H81" s="121">
        <f>F81-G81</f>
        <v>0</v>
      </c>
      <c r="I81" s="95"/>
      <c r="R81" s="5"/>
    </row>
    <row r="82" spans="2:18" hidden="1" outlineLevel="1">
      <c r="R82" s="5"/>
    </row>
    <row r="83" spans="2:18" hidden="1" outlineLevel="1">
      <c r="B83" s="5"/>
      <c r="C83" s="95"/>
      <c r="D83" s="95"/>
      <c r="E83" s="95"/>
      <c r="F83" s="95"/>
      <c r="G83" s="95"/>
      <c r="H83" s="95"/>
      <c r="R83" s="5"/>
    </row>
    <row r="84" spans="2:18" hidden="1" outlineLevel="1">
      <c r="B84" s="5"/>
      <c r="C84" s="10" t="s">
        <v>170</v>
      </c>
      <c r="E84" s="95"/>
      <c r="F84" s="10" t="s">
        <v>169</v>
      </c>
      <c r="H84" s="95"/>
      <c r="R84" s="5"/>
    </row>
    <row r="85" spans="2:18" hidden="1" outlineLevel="1">
      <c r="B85" s="5"/>
      <c r="E85" s="95"/>
      <c r="F85" s="2"/>
      <c r="G85" s="2"/>
      <c r="H85" s="95"/>
      <c r="R85" s="5"/>
    </row>
    <row r="86" spans="2:18" ht="15.75" hidden="1" outlineLevel="1">
      <c r="B86" s="5"/>
      <c r="C86" s="9" t="s">
        <v>168</v>
      </c>
      <c r="D86" s="9" t="s">
        <v>154</v>
      </c>
      <c r="E86" s="95"/>
      <c r="F86" s="9" t="s">
        <v>168</v>
      </c>
      <c r="G86" s="9" t="s">
        <v>154</v>
      </c>
      <c r="H86" s="95"/>
      <c r="R86" s="5"/>
    </row>
    <row r="87" spans="2:18" hidden="1" outlineLevel="1">
      <c r="B87" s="5"/>
      <c r="C87" s="5" t="s">
        <v>167</v>
      </c>
      <c r="D87" s="2">
        <v>0</v>
      </c>
      <c r="E87" s="95"/>
      <c r="F87" s="5" t="s">
        <v>157</v>
      </c>
      <c r="G87" s="2">
        <f>H55</f>
        <v>26362276</v>
      </c>
      <c r="H87" s="95"/>
      <c r="R87" s="5"/>
    </row>
    <row r="88" spans="2:18" hidden="1" outlineLevel="1">
      <c r="B88" s="5"/>
      <c r="C88" s="5" t="s">
        <v>166</v>
      </c>
      <c r="D88" s="2"/>
      <c r="E88" s="95"/>
      <c r="F88" s="5" t="s">
        <v>165</v>
      </c>
      <c r="G88" s="145">
        <f>$C$13</f>
        <v>1</v>
      </c>
      <c r="H88" s="95"/>
      <c r="R88" s="5"/>
    </row>
    <row r="89" spans="2:18" hidden="1" outlineLevel="1">
      <c r="B89" s="5"/>
      <c r="C89" s="5" t="s">
        <v>164</v>
      </c>
      <c r="D89" s="2">
        <f>D52</f>
        <v>27600000</v>
      </c>
      <c r="E89" s="95"/>
      <c r="F89" s="5" t="s">
        <v>163</v>
      </c>
      <c r="G89" s="2">
        <f>ROUNDUP(G87*G88,0)</f>
        <v>26362276</v>
      </c>
      <c r="H89" s="95"/>
      <c r="R89" s="5"/>
    </row>
    <row r="90" spans="2:18" hidden="1" outlineLevel="1">
      <c r="B90" s="5"/>
      <c r="C90" s="5" t="s">
        <v>162</v>
      </c>
      <c r="D90" s="2">
        <f>G79</f>
        <v>-2885051</v>
      </c>
      <c r="E90" s="95"/>
      <c r="F90" s="5" t="s">
        <v>161</v>
      </c>
      <c r="G90" s="2">
        <v>0</v>
      </c>
      <c r="H90" s="95"/>
      <c r="R90" s="5"/>
    </row>
    <row r="91" spans="2:18" hidden="1" outlineLevel="1">
      <c r="B91" s="5"/>
      <c r="C91" s="95" t="s">
        <v>456</v>
      </c>
      <c r="D91" s="95">
        <v>0</v>
      </c>
      <c r="E91" s="95"/>
      <c r="F91" s="5" t="s">
        <v>159</v>
      </c>
      <c r="G91" s="2">
        <v>0</v>
      </c>
      <c r="H91" s="95"/>
      <c r="R91" s="5"/>
    </row>
    <row r="92" spans="2:18" ht="14.25" hidden="1" outlineLevel="1" thickBot="1">
      <c r="B92" s="5"/>
      <c r="C92" s="8" t="s">
        <v>160</v>
      </c>
      <c r="D92" s="141">
        <f>G81</f>
        <v>1647327</v>
      </c>
      <c r="E92" s="95"/>
      <c r="F92" s="8" t="s">
        <v>157</v>
      </c>
      <c r="G92" s="141">
        <f>D93</f>
        <v>26362276</v>
      </c>
      <c r="H92" s="95"/>
      <c r="R92" s="5"/>
    </row>
    <row r="93" spans="2:18" ht="14.25" hidden="1" outlineLevel="1" thickTop="1">
      <c r="B93" s="5"/>
      <c r="C93" s="5" t="s">
        <v>158</v>
      </c>
      <c r="D93" s="2">
        <f>SUM(D87:D92)</f>
        <v>26362276</v>
      </c>
      <c r="E93" s="95"/>
      <c r="F93" s="5" t="s">
        <v>156</v>
      </c>
      <c r="G93" s="143">
        <f>G89-G92+G90+G91</f>
        <v>0</v>
      </c>
      <c r="H93" s="541" t="s">
        <v>610</v>
      </c>
      <c r="R93" s="5"/>
    </row>
    <row r="94" spans="2:18" ht="24" hidden="1" outlineLevel="1">
      <c r="B94" s="5"/>
      <c r="E94" s="5" ph="1"/>
      <c r="R94" s="5"/>
    </row>
    <row r="95" spans="2:18" s="95" customFormat="1" collapsed="1">
      <c r="B95" s="139" t="s">
        <v>1542</v>
      </c>
      <c r="C95" s="142" t="s">
        <v>431</v>
      </c>
      <c r="D95" s="124"/>
      <c r="E95" s="124"/>
      <c r="F95" s="124"/>
      <c r="G95" s="124"/>
      <c r="H95" s="124"/>
      <c r="I95" s="124"/>
      <c r="J95" s="124"/>
      <c r="R95" s="111"/>
    </row>
    <row r="96" spans="2:18" s="95" customFormat="1" hidden="1" outlineLevel="1">
      <c r="C96" s="95" t="s">
        <v>444</v>
      </c>
      <c r="D96" s="124"/>
      <c r="E96" s="124"/>
      <c r="F96" s="124"/>
      <c r="G96" s="124"/>
      <c r="H96" s="124"/>
      <c r="I96" s="124"/>
    </row>
    <row r="97" spans="2:18" s="95" customFormat="1" hidden="1" outlineLevel="1">
      <c r="D97" s="124"/>
      <c r="E97" s="124"/>
      <c r="F97" s="124"/>
      <c r="G97" s="124"/>
      <c r="H97" s="124"/>
      <c r="I97" s="124"/>
    </row>
    <row r="98" spans="2:18" hidden="1" outlineLevel="1">
      <c r="B98" s="5"/>
      <c r="C98" s="119" t="s">
        <v>432</v>
      </c>
      <c r="D98" s="95"/>
      <c r="E98" s="95"/>
      <c r="F98" s="95"/>
      <c r="G98" s="95"/>
      <c r="H98" s="95"/>
      <c r="I98" s="95"/>
      <c r="R98" s="5"/>
    </row>
    <row r="99" spans="2:18" ht="14.25" hidden="1" outlineLevel="1" thickBot="1">
      <c r="B99" s="5"/>
      <c r="C99" s="95"/>
      <c r="D99" s="1996" t="s">
        <v>146</v>
      </c>
      <c r="E99" s="1996"/>
      <c r="F99" s="114" t="s">
        <v>435</v>
      </c>
      <c r="G99" s="114" t="s">
        <v>434</v>
      </c>
      <c r="H99" s="114" t="s">
        <v>109</v>
      </c>
      <c r="I99" s="95"/>
      <c r="R99" s="5"/>
    </row>
    <row r="100" spans="2:18" hidden="1" outlineLevel="1">
      <c r="B100" s="5"/>
      <c r="C100" s="95"/>
      <c r="D100" s="95" t="s">
        <v>93</v>
      </c>
      <c r="E100" s="95"/>
      <c r="F100" s="95">
        <f>G56</f>
        <v>-11985767</v>
      </c>
      <c r="G100" s="95">
        <f>ROUND(F100*$C$13,)</f>
        <v>-11985767</v>
      </c>
      <c r="H100" s="95">
        <f>F100-G100</f>
        <v>0</v>
      </c>
      <c r="I100" s="95"/>
      <c r="R100" s="5"/>
    </row>
    <row r="101" spans="2:18" hidden="1" outlineLevel="1">
      <c r="B101" s="5"/>
      <c r="C101" s="95"/>
      <c r="D101" s="95" t="s">
        <v>453</v>
      </c>
      <c r="E101" s="95"/>
      <c r="F101" s="95">
        <v>0</v>
      </c>
      <c r="G101" s="95">
        <f>F101</f>
        <v>0</v>
      </c>
      <c r="H101" s="95">
        <f t="shared" ref="H101:H102" si="8">F101-G101</f>
        <v>0</v>
      </c>
      <c r="I101" s="95"/>
      <c r="R101" s="5"/>
    </row>
    <row r="102" spans="2:18" hidden="1" outlineLevel="1">
      <c r="B102" s="5"/>
      <c r="C102" s="95"/>
      <c r="D102" s="95" t="s">
        <v>454</v>
      </c>
      <c r="E102" s="95"/>
      <c r="F102" s="95">
        <v>0</v>
      </c>
      <c r="G102" s="95">
        <f>F102</f>
        <v>0</v>
      </c>
      <c r="H102" s="95">
        <f t="shared" si="8"/>
        <v>0</v>
      </c>
      <c r="I102" s="95"/>
      <c r="R102" s="5"/>
    </row>
    <row r="103" spans="2:18" hidden="1" outlineLevel="1">
      <c r="B103" s="5"/>
      <c r="C103" s="95"/>
      <c r="D103" s="95" t="s">
        <v>449</v>
      </c>
      <c r="E103" s="95"/>
      <c r="F103" s="95">
        <v>0</v>
      </c>
      <c r="G103" s="95">
        <f>ROUND(F103*$C$13,)</f>
        <v>0</v>
      </c>
      <c r="H103" s="95">
        <f>F103-G103</f>
        <v>0</v>
      </c>
      <c r="I103" s="95"/>
      <c r="R103" s="5"/>
    </row>
    <row r="104" spans="2:18" hidden="1" outlineLevel="1">
      <c r="B104" s="5"/>
      <c r="C104" s="95"/>
      <c r="D104" s="95" t="s">
        <v>450</v>
      </c>
      <c r="E104" s="95"/>
      <c r="F104" s="95">
        <v>0</v>
      </c>
      <c r="G104" s="95">
        <f>ROUND(F104*$C$13,)</f>
        <v>0</v>
      </c>
      <c r="H104" s="95">
        <f>F104-G104</f>
        <v>0</v>
      </c>
      <c r="I104" s="95"/>
      <c r="R104" s="5"/>
    </row>
    <row r="105" spans="2:18" hidden="1" outlineLevel="1">
      <c r="B105" s="5"/>
      <c r="C105" s="95"/>
      <c r="D105" s="144" t="s">
        <v>451</v>
      </c>
      <c r="E105" s="144"/>
      <c r="F105" s="144">
        <f>SUM(F100:F104)</f>
        <v>-11985767</v>
      </c>
      <c r="G105" s="144">
        <f>SUM(G100:G104)</f>
        <v>-11985767</v>
      </c>
      <c r="H105" s="144">
        <f t="shared" ref="H105" si="9">SUM(H100:H104)</f>
        <v>0</v>
      </c>
      <c r="I105" s="95"/>
      <c r="R105" s="5"/>
    </row>
    <row r="106" spans="2:18" hidden="1" outlineLevel="1">
      <c r="B106" s="5"/>
      <c r="C106" s="95"/>
      <c r="D106" s="95"/>
      <c r="E106" s="95"/>
      <c r="F106" s="95"/>
      <c r="G106" s="95"/>
      <c r="H106" s="95"/>
      <c r="I106" s="95"/>
      <c r="R106" s="5"/>
    </row>
    <row r="107" spans="2:18" hidden="1" outlineLevel="1">
      <c r="B107" s="5"/>
      <c r="C107" s="95"/>
      <c r="D107" s="121" t="s">
        <v>180</v>
      </c>
      <c r="E107" s="121"/>
      <c r="F107" s="121">
        <f>F58</f>
        <v>330354</v>
      </c>
      <c r="G107" s="121">
        <f>ROUND(F107*$C$13,)</f>
        <v>330354</v>
      </c>
      <c r="H107" s="121">
        <f>F107-G107</f>
        <v>0</v>
      </c>
      <c r="I107" s="95"/>
      <c r="R107" s="5"/>
    </row>
    <row r="108" spans="2:18" hidden="1" outlineLevel="1">
      <c r="R108" s="5"/>
    </row>
    <row r="109" spans="2:18" hidden="1" outlineLevel="1">
      <c r="B109" s="5"/>
      <c r="C109" s="95"/>
      <c r="D109" s="95"/>
      <c r="E109" s="95"/>
      <c r="F109" s="95"/>
      <c r="G109" s="95"/>
      <c r="H109" s="95"/>
      <c r="R109" s="5"/>
    </row>
    <row r="110" spans="2:18" hidden="1" outlineLevel="1">
      <c r="B110" s="5"/>
      <c r="C110" s="10" t="s">
        <v>170</v>
      </c>
      <c r="E110" s="95"/>
      <c r="F110" s="10" t="s">
        <v>169</v>
      </c>
      <c r="H110" s="95"/>
      <c r="R110" s="5"/>
    </row>
    <row r="111" spans="2:18" hidden="1" outlineLevel="1">
      <c r="B111" s="5"/>
      <c r="E111" s="95"/>
      <c r="F111" s="2"/>
      <c r="G111" s="2"/>
      <c r="H111" s="95"/>
      <c r="R111" s="5"/>
    </row>
    <row r="112" spans="2:18" ht="15.75" hidden="1" outlineLevel="1">
      <c r="B112" s="5"/>
      <c r="C112" s="9" t="s">
        <v>168</v>
      </c>
      <c r="D112" s="9" t="s">
        <v>154</v>
      </c>
      <c r="E112" s="95"/>
      <c r="F112" s="9" t="s">
        <v>168</v>
      </c>
      <c r="G112" s="9" t="s">
        <v>154</v>
      </c>
      <c r="H112" s="95"/>
      <c r="R112" s="5"/>
    </row>
    <row r="113" spans="2:18" hidden="1" outlineLevel="1">
      <c r="B113" s="5"/>
      <c r="C113" s="5" t="s">
        <v>167</v>
      </c>
      <c r="D113" s="2">
        <f>D93</f>
        <v>26362276</v>
      </c>
      <c r="E113" s="95"/>
      <c r="F113" s="5" t="s">
        <v>157</v>
      </c>
      <c r="G113" s="2">
        <f>H59</f>
        <v>29436863</v>
      </c>
      <c r="H113" s="95"/>
      <c r="R113" s="5"/>
    </row>
    <row r="114" spans="2:18" hidden="1" outlineLevel="1">
      <c r="B114" s="5"/>
      <c r="C114" s="5" t="s">
        <v>166</v>
      </c>
      <c r="D114" s="2"/>
      <c r="E114" s="95"/>
      <c r="F114" s="5" t="s">
        <v>165</v>
      </c>
      <c r="G114" s="145">
        <f>$C$13</f>
        <v>1</v>
      </c>
      <c r="H114" s="95"/>
      <c r="R114" s="5"/>
    </row>
    <row r="115" spans="2:18" hidden="1" outlineLevel="1">
      <c r="B115" s="5"/>
      <c r="C115" s="5" t="s">
        <v>164</v>
      </c>
      <c r="D115" s="2">
        <f>D57</f>
        <v>14730000</v>
      </c>
      <c r="E115" s="95"/>
      <c r="F115" s="5" t="s">
        <v>163</v>
      </c>
      <c r="G115" s="2">
        <f>ROUNDUP(G113*G114,0)</f>
        <v>29436863</v>
      </c>
      <c r="H115" s="95"/>
      <c r="R115" s="5"/>
    </row>
    <row r="116" spans="2:18" hidden="1" outlineLevel="1">
      <c r="B116" s="5"/>
      <c r="C116" s="5" t="s">
        <v>162</v>
      </c>
      <c r="D116" s="2">
        <f>G105</f>
        <v>-11985767</v>
      </c>
      <c r="E116" s="95"/>
      <c r="F116" s="5" t="s">
        <v>161</v>
      </c>
      <c r="G116" s="2">
        <v>0</v>
      </c>
      <c r="H116" s="95"/>
      <c r="R116" s="5"/>
    </row>
    <row r="117" spans="2:18" hidden="1" outlineLevel="1">
      <c r="B117" s="5"/>
      <c r="C117" s="95" t="s">
        <v>456</v>
      </c>
      <c r="D117" s="95">
        <v>0</v>
      </c>
      <c r="E117" s="95"/>
      <c r="F117" s="5" t="s">
        <v>159</v>
      </c>
      <c r="G117" s="2">
        <v>0</v>
      </c>
      <c r="H117" s="95"/>
      <c r="R117" s="5"/>
    </row>
    <row r="118" spans="2:18" ht="14.25" hidden="1" outlineLevel="1" thickBot="1">
      <c r="B118" s="5"/>
      <c r="C118" s="8" t="s">
        <v>160</v>
      </c>
      <c r="D118" s="141">
        <f>G107</f>
        <v>330354</v>
      </c>
      <c r="E118" s="95"/>
      <c r="F118" s="8" t="s">
        <v>157</v>
      </c>
      <c r="G118" s="141">
        <f>D119</f>
        <v>29436863</v>
      </c>
      <c r="H118" s="95"/>
      <c r="R118" s="5"/>
    </row>
    <row r="119" spans="2:18" ht="14.25" hidden="1" outlineLevel="1" thickTop="1">
      <c r="B119" s="5"/>
      <c r="C119" s="5" t="s">
        <v>158</v>
      </c>
      <c r="D119" s="2">
        <f>SUM(D113:D118)</f>
        <v>29436863</v>
      </c>
      <c r="E119" s="95"/>
      <c r="F119" s="5" t="s">
        <v>156</v>
      </c>
      <c r="G119" s="143">
        <f>G115-G118+G116+G117</f>
        <v>0</v>
      </c>
      <c r="H119" s="541"/>
      <c r="R119" s="5"/>
    </row>
    <row r="120" spans="2:18" ht="24" hidden="1" outlineLevel="1">
      <c r="B120" s="5"/>
      <c r="E120" s="5" ph="1"/>
      <c r="R120" s="5"/>
    </row>
    <row r="121" spans="2:18" s="95" customFormat="1" collapsed="1">
      <c r="B121" s="139" t="s">
        <v>1544</v>
      </c>
      <c r="C121" s="142" t="s">
        <v>431</v>
      </c>
      <c r="D121" s="124"/>
      <c r="E121" s="124"/>
      <c r="F121" s="124"/>
      <c r="G121" s="124"/>
      <c r="H121" s="124"/>
      <c r="I121" s="124"/>
      <c r="J121" s="124"/>
      <c r="R121" s="111"/>
    </row>
    <row r="122" spans="2:18" s="95" customFormat="1" outlineLevel="1">
      <c r="C122" s="95" t="s">
        <v>444</v>
      </c>
      <c r="D122" s="124"/>
      <c r="E122" s="124"/>
      <c r="F122" s="124"/>
      <c r="G122" s="124"/>
      <c r="H122" s="124"/>
      <c r="I122" s="124"/>
    </row>
    <row r="123" spans="2:18" s="95" customFormat="1" outlineLevel="1">
      <c r="D123" s="124"/>
      <c r="E123" s="124"/>
      <c r="F123" s="124"/>
      <c r="G123" s="124"/>
      <c r="H123" s="124"/>
      <c r="I123" s="124"/>
    </row>
    <row r="124" spans="2:18" outlineLevel="1">
      <c r="B124" s="5"/>
      <c r="C124" s="119" t="s">
        <v>432</v>
      </c>
      <c r="D124" s="95"/>
      <c r="E124" s="95"/>
      <c r="F124" s="95"/>
      <c r="G124" s="95"/>
      <c r="H124" s="95"/>
      <c r="I124" s="95"/>
      <c r="R124" s="5"/>
    </row>
    <row r="125" spans="2:18" ht="14.25" outlineLevel="1" thickBot="1">
      <c r="B125" s="5"/>
      <c r="C125" s="95"/>
      <c r="D125" s="1996" t="s">
        <v>146</v>
      </c>
      <c r="E125" s="1996"/>
      <c r="F125" s="114" t="s">
        <v>435</v>
      </c>
      <c r="G125" s="114" t="s">
        <v>434</v>
      </c>
      <c r="H125" s="114" t="s">
        <v>109</v>
      </c>
      <c r="I125" s="95"/>
      <c r="R125" s="5"/>
    </row>
    <row r="126" spans="2:18" outlineLevel="1">
      <c r="B126" s="5"/>
      <c r="C126" s="95"/>
      <c r="D126" s="95" t="s">
        <v>93</v>
      </c>
      <c r="E126" s="95"/>
      <c r="F126" s="95">
        <f>G60</f>
        <v>-8686031</v>
      </c>
      <c r="G126" s="95">
        <f>ROUND(F126*$C$13,)</f>
        <v>-8686031</v>
      </c>
      <c r="H126" s="95">
        <f>F126-G126</f>
        <v>0</v>
      </c>
      <c r="I126" s="95"/>
      <c r="R126" s="5"/>
    </row>
    <row r="127" spans="2:18" outlineLevel="1">
      <c r="B127" s="5"/>
      <c r="C127" s="95"/>
      <c r="D127" s="95" t="s">
        <v>453</v>
      </c>
      <c r="E127" s="95"/>
      <c r="F127" s="95">
        <v>0</v>
      </c>
      <c r="G127" s="95">
        <f>F127</f>
        <v>0</v>
      </c>
      <c r="H127" s="95">
        <f t="shared" ref="H127:H128" si="10">F127-G127</f>
        <v>0</v>
      </c>
      <c r="I127" s="95"/>
      <c r="R127" s="5"/>
    </row>
    <row r="128" spans="2:18" outlineLevel="1">
      <c r="B128" s="5"/>
      <c r="C128" s="95"/>
      <c r="D128" s="95" t="s">
        <v>454</v>
      </c>
      <c r="E128" s="95"/>
      <c r="F128" s="95">
        <v>0</v>
      </c>
      <c r="G128" s="95">
        <f>F128</f>
        <v>0</v>
      </c>
      <c r="H128" s="95">
        <f t="shared" si="10"/>
        <v>0</v>
      </c>
      <c r="I128" s="95"/>
      <c r="R128" s="5"/>
    </row>
    <row r="129" spans="2:18" outlineLevel="1">
      <c r="B129" s="5"/>
      <c r="C129" s="95"/>
      <c r="D129" s="95" t="s">
        <v>449</v>
      </c>
      <c r="E129" s="95"/>
      <c r="F129" s="95">
        <v>0</v>
      </c>
      <c r="G129" s="95">
        <f>ROUND(F129*$C$13,)</f>
        <v>0</v>
      </c>
      <c r="H129" s="95">
        <f>F129-G129</f>
        <v>0</v>
      </c>
      <c r="I129" s="95"/>
      <c r="R129" s="5"/>
    </row>
    <row r="130" spans="2:18" outlineLevel="1">
      <c r="B130" s="5"/>
      <c r="C130" s="95"/>
      <c r="D130" s="95" t="s">
        <v>450</v>
      </c>
      <c r="E130" s="95"/>
      <c r="F130" s="95">
        <v>0</v>
      </c>
      <c r="G130" s="95">
        <f>ROUND(F130*$C$13,)</f>
        <v>0</v>
      </c>
      <c r="H130" s="95">
        <f>F130-G130</f>
        <v>0</v>
      </c>
      <c r="I130" s="95"/>
      <c r="R130" s="5"/>
    </row>
    <row r="131" spans="2:18" outlineLevel="1">
      <c r="B131" s="5"/>
      <c r="C131" s="95"/>
      <c r="D131" s="144" t="s">
        <v>451</v>
      </c>
      <c r="E131" s="144"/>
      <c r="F131" s="144">
        <f>SUM(F126:F130)</f>
        <v>-8686031</v>
      </c>
      <c r="G131" s="144">
        <f>SUM(G126:G130)</f>
        <v>-8686031</v>
      </c>
      <c r="H131" s="144">
        <f t="shared" ref="H131" si="11">SUM(H126:H130)</f>
        <v>0</v>
      </c>
      <c r="I131" s="95"/>
      <c r="R131" s="5"/>
    </row>
    <row r="132" spans="2:18" outlineLevel="1">
      <c r="B132" s="5"/>
      <c r="C132" s="95"/>
      <c r="D132" s="95"/>
      <c r="E132" s="95"/>
      <c r="F132" s="95"/>
      <c r="G132" s="95"/>
      <c r="H132" s="95"/>
      <c r="I132" s="95"/>
      <c r="R132" s="5"/>
    </row>
    <row r="133" spans="2:18" outlineLevel="1">
      <c r="B133" s="5"/>
      <c r="C133" s="95"/>
      <c r="D133" s="121" t="s">
        <v>180</v>
      </c>
      <c r="E133" s="121"/>
      <c r="F133" s="121">
        <f>F62</f>
        <v>1741310</v>
      </c>
      <c r="G133" s="121">
        <f>ROUND(F133*$C$13,)</f>
        <v>1741310</v>
      </c>
      <c r="H133" s="121">
        <f>F133-G133</f>
        <v>0</v>
      </c>
      <c r="I133" s="95"/>
      <c r="R133" s="5"/>
    </row>
    <row r="134" spans="2:18" outlineLevel="1">
      <c r="R134" s="5"/>
    </row>
    <row r="135" spans="2:18" outlineLevel="1">
      <c r="B135" s="5"/>
      <c r="C135" s="95"/>
      <c r="D135" s="95"/>
      <c r="E135" s="95"/>
      <c r="F135" s="95"/>
      <c r="G135" s="95"/>
      <c r="H135" s="95"/>
      <c r="R135" s="5"/>
    </row>
    <row r="136" spans="2:18" outlineLevel="1">
      <c r="B136" s="5"/>
      <c r="C136" s="10" t="s">
        <v>170</v>
      </c>
      <c r="E136" s="95"/>
      <c r="F136" s="10" t="s">
        <v>169</v>
      </c>
      <c r="H136" s="95"/>
      <c r="R136" s="5"/>
    </row>
    <row r="137" spans="2:18" outlineLevel="1">
      <c r="B137" s="5"/>
      <c r="E137" s="95"/>
      <c r="F137" s="2"/>
      <c r="G137" s="2"/>
      <c r="H137" s="95"/>
      <c r="R137" s="5"/>
    </row>
    <row r="138" spans="2:18" ht="15.75" outlineLevel="1">
      <c r="B138" s="5"/>
      <c r="C138" s="9" t="s">
        <v>168</v>
      </c>
      <c r="D138" s="9" t="s">
        <v>154</v>
      </c>
      <c r="E138" s="95"/>
      <c r="F138" s="9" t="s">
        <v>168</v>
      </c>
      <c r="G138" s="9" t="s">
        <v>154</v>
      </c>
      <c r="H138" s="95"/>
      <c r="R138" s="5"/>
    </row>
    <row r="139" spans="2:18" outlineLevel="1">
      <c r="B139" s="5"/>
      <c r="C139" s="5" t="s">
        <v>167</v>
      </c>
      <c r="D139" s="2">
        <f>D119</f>
        <v>29436863</v>
      </c>
      <c r="E139" s="95"/>
      <c r="F139" s="5" t="s">
        <v>157</v>
      </c>
      <c r="G139" s="2">
        <f>H63</f>
        <v>22492142</v>
      </c>
      <c r="H139" s="95"/>
      <c r="R139" s="5"/>
    </row>
    <row r="140" spans="2:18" outlineLevel="1">
      <c r="B140" s="5"/>
      <c r="C140" s="5" t="s">
        <v>166</v>
      </c>
      <c r="D140" s="2"/>
      <c r="E140" s="95"/>
      <c r="F140" s="5" t="s">
        <v>165</v>
      </c>
      <c r="G140" s="145">
        <f>$C$13</f>
        <v>1</v>
      </c>
      <c r="H140" s="95"/>
      <c r="R140" s="5"/>
    </row>
    <row r="141" spans="2:18" outlineLevel="1">
      <c r="B141" s="5"/>
      <c r="C141" s="5" t="s">
        <v>164</v>
      </c>
      <c r="D141" s="2">
        <v>0</v>
      </c>
      <c r="E141" s="95"/>
      <c r="F141" s="5" t="s">
        <v>163</v>
      </c>
      <c r="G141" s="2">
        <f>ROUNDUP(G139*G140,0)</f>
        <v>22492142</v>
      </c>
      <c r="H141" s="95"/>
      <c r="R141" s="5"/>
    </row>
    <row r="142" spans="2:18" outlineLevel="1">
      <c r="B142" s="5"/>
      <c r="C142" s="5" t="s">
        <v>162</v>
      </c>
      <c r="D142" s="2">
        <f>G131</f>
        <v>-8686031</v>
      </c>
      <c r="E142" s="95"/>
      <c r="F142" s="5" t="s">
        <v>161</v>
      </c>
      <c r="G142" s="2">
        <v>0</v>
      </c>
      <c r="H142" s="95"/>
      <c r="R142" s="5"/>
    </row>
    <row r="143" spans="2:18" outlineLevel="1">
      <c r="B143" s="5"/>
      <c r="C143" s="95" t="s">
        <v>456</v>
      </c>
      <c r="D143" s="95">
        <v>0</v>
      </c>
      <c r="E143" s="95"/>
      <c r="F143" s="5" t="s">
        <v>159</v>
      </c>
      <c r="G143" s="2">
        <v>0</v>
      </c>
      <c r="H143" s="95"/>
      <c r="R143" s="5"/>
    </row>
    <row r="144" spans="2:18" ht="14.25" outlineLevel="1" thickBot="1">
      <c r="B144" s="5"/>
      <c r="C144" s="8" t="s">
        <v>160</v>
      </c>
      <c r="D144" s="141">
        <f>G133</f>
        <v>1741310</v>
      </c>
      <c r="E144" s="95"/>
      <c r="F144" s="8" t="s">
        <v>157</v>
      </c>
      <c r="G144" s="141">
        <f>D145</f>
        <v>22492142</v>
      </c>
      <c r="H144" s="95"/>
      <c r="R144" s="5"/>
    </row>
    <row r="145" spans="2:18" ht="14.25" outlineLevel="1" thickTop="1">
      <c r="B145" s="5"/>
      <c r="C145" s="5" t="s">
        <v>158</v>
      </c>
      <c r="D145" s="2">
        <f>SUM(D139:D144)</f>
        <v>22492142</v>
      </c>
      <c r="E145" s="95"/>
      <c r="F145" s="5" t="s">
        <v>156</v>
      </c>
      <c r="G145" s="143">
        <f>G141-G144+G142+G143</f>
        <v>0</v>
      </c>
      <c r="H145" s="541"/>
      <c r="R145" s="5"/>
    </row>
    <row r="146" spans="2:18" ht="24" outlineLevel="1">
      <c r="B146" s="5"/>
      <c r="E146" s="5" ph="1"/>
      <c r="R146" s="5"/>
    </row>
    <row r="157" spans="2:18" ht="24">
      <c r="B157" s="5"/>
      <c r="E157" s="5" ph="1"/>
      <c r="R157" s="5"/>
    </row>
    <row r="162" spans="5:5" s="5" customFormat="1" ht="24">
      <c r="E162" s="5" ph="1"/>
    </row>
    <row r="167" spans="5:5" s="5" customFormat="1" ht="24">
      <c r="E167" s="5" ph="1"/>
    </row>
    <row r="172" spans="5:5" s="5" customFormat="1" ht="24">
      <c r="E172" s="5" ph="1"/>
    </row>
    <row r="173" spans="5:5" s="5" customFormat="1" ht="24">
      <c r="E173" s="5" ph="1"/>
    </row>
    <row r="176" spans="5:5" s="5" customFormat="1" ht="24">
      <c r="E176" s="5" ph="1"/>
    </row>
    <row r="181" spans="5:5" s="5" customFormat="1" ht="24">
      <c r="E181" s="5" ph="1"/>
    </row>
    <row r="183" spans="5:5" s="5" customFormat="1" ht="24">
      <c r="E183" s="5" ph="1"/>
    </row>
    <row r="184" spans="5:5" s="5" customFormat="1" ht="24">
      <c r="E184" s="5" ph="1"/>
    </row>
    <row r="186" spans="5:5" s="5" customFormat="1" ht="24">
      <c r="E186" s="5" ph="1"/>
    </row>
    <row r="187" spans="5:5" s="5" customFormat="1" ht="24">
      <c r="E187" s="5" ph="1"/>
    </row>
    <row r="189" spans="5:5" s="5" customFormat="1" ht="24">
      <c r="E189" s="5" ph="1"/>
    </row>
    <row r="191" spans="5:5" s="5" customFormat="1" ht="24">
      <c r="E191" s="5" ph="1"/>
    </row>
    <row r="192" spans="5:5" s="5" customFormat="1" ht="24">
      <c r="E192" s="5" ph="1"/>
    </row>
    <row r="194" spans="5:5" s="5" customFormat="1" ht="24">
      <c r="E194" s="5" ph="1"/>
    </row>
    <row r="195" spans="5:5" s="5" customFormat="1" ht="24">
      <c r="E195" s="5" ph="1"/>
    </row>
    <row r="197" spans="5:5" s="5" customFormat="1" ht="24">
      <c r="E197" s="5" ph="1"/>
    </row>
    <row r="200" spans="5:5" s="5" customFormat="1" ht="24">
      <c r="E200" s="5" ph="1"/>
    </row>
    <row r="201" spans="5:5" s="5" customFormat="1" ht="24">
      <c r="E201" s="5" ph="1"/>
    </row>
    <row r="203" spans="5:5" s="5" customFormat="1" ht="24">
      <c r="E203" s="5" ph="1"/>
    </row>
    <row r="204" spans="5:5" s="5" customFormat="1" ht="24">
      <c r="E204" s="5" ph="1"/>
    </row>
    <row r="207" spans="5:5" s="5" customFormat="1" ht="24">
      <c r="E207" s="5" ph="1"/>
    </row>
    <row r="208" spans="5:5" s="5" customFormat="1" ht="24">
      <c r="E208" s="5" ph="1"/>
    </row>
    <row r="210" spans="5:5" s="5" customFormat="1" ht="24">
      <c r="E210" s="5" ph="1"/>
    </row>
    <row r="211" spans="5:5" s="5" customFormat="1" ht="24">
      <c r="E211" s="5" ph="1"/>
    </row>
    <row r="213" spans="5:5" s="5" customFormat="1" ht="24">
      <c r="E213" s="5" ph="1"/>
    </row>
    <row r="215" spans="5:5" s="5" customFormat="1" ht="24">
      <c r="E215" s="5" ph="1"/>
    </row>
    <row r="216" spans="5:5" s="5" customFormat="1" ht="24">
      <c r="E216" s="5" ph="1"/>
    </row>
    <row r="218" spans="5:5" s="5" customFormat="1" ht="24">
      <c r="E218" s="5" ph="1"/>
    </row>
    <row r="219" spans="5:5" s="5" customFormat="1" ht="24">
      <c r="E219" s="5" ph="1"/>
    </row>
    <row r="221" spans="5:5" s="5" customFormat="1" ht="24">
      <c r="E221" s="5" ph="1"/>
    </row>
    <row r="224" spans="5:5" s="5" customFormat="1" ht="24">
      <c r="E224" s="5" ph="1"/>
    </row>
    <row r="225" spans="5:5" s="5" customFormat="1" ht="24">
      <c r="E225" s="5" ph="1"/>
    </row>
    <row r="227" spans="5:5" s="5" customFormat="1" ht="24">
      <c r="E227" s="5" ph="1"/>
    </row>
    <row r="228" spans="5:5" s="5" customFormat="1" ht="24">
      <c r="E228" s="5" ph="1"/>
    </row>
    <row r="229" spans="5:5" s="5" customFormat="1" ht="24">
      <c r="E229" s="5" ph="1"/>
    </row>
    <row r="230" spans="5:5" s="5" customFormat="1" ht="24">
      <c r="E230" s="5" ph="1"/>
    </row>
    <row r="231" spans="5:5" s="5" customFormat="1" ht="24">
      <c r="E231" s="5" ph="1"/>
    </row>
    <row r="233" spans="5:5" s="5" customFormat="1" ht="24">
      <c r="E233" s="5" ph="1"/>
    </row>
    <row r="234" spans="5:5" s="5" customFormat="1" ht="24">
      <c r="E234" s="5" ph="1"/>
    </row>
    <row r="235" spans="5:5" s="5" customFormat="1" ht="24">
      <c r="E235" s="5" ph="1"/>
    </row>
    <row r="236" spans="5:5" s="5" customFormat="1" ht="24">
      <c r="E236" s="5" ph="1"/>
    </row>
    <row r="237" spans="5:5" s="5" customFormat="1" ht="24">
      <c r="E237" s="5" ph="1"/>
    </row>
    <row r="238" spans="5:5" s="5" customFormat="1" ht="24">
      <c r="E238" s="5" ph="1"/>
    </row>
    <row r="240" spans="5:5" s="5" customFormat="1" ht="24">
      <c r="E240" s="5" ph="1"/>
    </row>
    <row r="241" spans="5:5" s="5" customFormat="1" ht="24">
      <c r="E241" s="5" ph="1"/>
    </row>
    <row r="242" spans="5:5" s="5" customFormat="1" ht="24">
      <c r="E242" s="5" ph="1"/>
    </row>
    <row r="243" spans="5:5" s="5" customFormat="1" ht="24">
      <c r="E243" s="5" ph="1"/>
    </row>
    <row r="244" spans="5:5" s="5" customFormat="1" ht="24">
      <c r="E244" s="5" ph="1"/>
    </row>
    <row r="246" spans="5:5" s="5" customFormat="1" ht="24">
      <c r="E246" s="5" ph="1"/>
    </row>
    <row r="247" spans="5:5" s="5" customFormat="1" ht="24">
      <c r="E247" s="5" ph="1"/>
    </row>
    <row r="248" spans="5:5" s="5" customFormat="1" ht="24">
      <c r="E248" s="5" ph="1"/>
    </row>
    <row r="249" spans="5:5" s="5" customFormat="1" ht="24">
      <c r="E249" s="5" ph="1"/>
    </row>
    <row r="250" spans="5:5" s="5" customFormat="1" ht="24">
      <c r="E250" s="5" ph="1"/>
    </row>
    <row r="251" spans="5:5" s="5" customFormat="1" ht="24">
      <c r="E251" s="5" ph="1"/>
    </row>
    <row r="252" spans="5:5" s="5" customFormat="1" ht="24">
      <c r="E252" s="5" ph="1"/>
    </row>
    <row r="253" spans="5:5" s="5" customFormat="1" ht="24">
      <c r="E253" s="5" ph="1"/>
    </row>
    <row r="254" spans="5:5" s="5" customFormat="1" ht="24">
      <c r="E254" s="5" ph="1"/>
    </row>
    <row r="256" spans="5:5" s="5" customFormat="1" ht="24">
      <c r="E256" s="5" ph="1"/>
    </row>
    <row r="257" spans="5:5" s="5" customFormat="1" ht="24">
      <c r="E257" s="5" ph="1"/>
    </row>
    <row r="258" spans="5:5" s="5" customFormat="1" ht="24">
      <c r="E258" s="5" ph="1"/>
    </row>
    <row r="259" spans="5:5" s="5" customFormat="1" ht="24">
      <c r="E259" s="5" ph="1"/>
    </row>
    <row r="260" spans="5:5" s="5" customFormat="1" ht="24">
      <c r="E260" s="5" ph="1"/>
    </row>
    <row r="262" spans="5:5" s="5" customFormat="1" ht="24">
      <c r="E262" s="5" ph="1"/>
    </row>
    <row r="263" spans="5:5" s="5" customFormat="1" ht="24">
      <c r="E263" s="5" ph="1"/>
    </row>
    <row r="264" spans="5:5" s="5" customFormat="1" ht="24">
      <c r="E264" s="5" ph="1"/>
    </row>
    <row r="265" spans="5:5" s="5" customFormat="1" ht="24">
      <c r="E265" s="5" ph="1"/>
    </row>
    <row r="266" spans="5:5" s="5" customFormat="1" ht="24">
      <c r="E266" s="5" ph="1"/>
    </row>
    <row r="267" spans="5:5" s="5" customFormat="1" ht="24">
      <c r="E267" s="5" ph="1"/>
    </row>
    <row r="268" spans="5:5" s="5" customFormat="1" ht="24">
      <c r="E268" s="5" ph="1"/>
    </row>
    <row r="269" spans="5:5" s="5" customFormat="1" ht="24">
      <c r="E269" s="5" ph="1"/>
    </row>
    <row r="270" spans="5:5" s="5" customFormat="1" ht="24">
      <c r="E270" s="5" ph="1"/>
    </row>
    <row r="274" spans="5:5" s="5" customFormat="1" ht="24">
      <c r="E274" s="5" ph="1"/>
    </row>
    <row r="276" spans="5:5" s="5" customFormat="1" ht="24">
      <c r="E276" s="5" ph="1"/>
    </row>
    <row r="277" spans="5:5" s="5" customFormat="1" ht="24">
      <c r="E277" s="5" ph="1"/>
    </row>
    <row r="279" spans="5:5" s="5" customFormat="1" ht="24">
      <c r="E279" s="5" ph="1"/>
    </row>
    <row r="280" spans="5:5" s="5" customFormat="1" ht="24">
      <c r="E280" s="5" ph="1"/>
    </row>
    <row r="282" spans="5:5" s="5" customFormat="1" ht="24">
      <c r="E282" s="5" ph="1"/>
    </row>
    <row r="284" spans="5:5" s="5" customFormat="1" ht="24">
      <c r="E284" s="5" ph="1"/>
    </row>
    <row r="285" spans="5:5" s="5" customFormat="1" ht="24">
      <c r="E285" s="5" ph="1"/>
    </row>
    <row r="287" spans="5:5" s="5" customFormat="1" ht="24">
      <c r="E287" s="5" ph="1"/>
    </row>
    <row r="288" spans="5:5" s="5" customFormat="1" ht="24">
      <c r="E288" s="5" ph="1"/>
    </row>
    <row r="290" spans="5:5" s="5" customFormat="1" ht="24">
      <c r="E290" s="5" ph="1"/>
    </row>
    <row r="293" spans="5:5" s="5" customFormat="1" ht="24">
      <c r="E293" s="5" ph="1"/>
    </row>
    <row r="294" spans="5:5" s="5" customFormat="1" ht="24">
      <c r="E294" s="5" ph="1"/>
    </row>
    <row r="296" spans="5:5" s="5" customFormat="1" ht="24">
      <c r="E296" s="5" ph="1"/>
    </row>
    <row r="297" spans="5:5" s="5" customFormat="1" ht="24">
      <c r="E297" s="5" ph="1"/>
    </row>
    <row r="300" spans="5:5" s="5" customFormat="1" ht="24">
      <c r="E300" s="5" ph="1"/>
    </row>
    <row r="301" spans="5:5" s="5" customFormat="1" ht="24">
      <c r="E301" s="5" ph="1"/>
    </row>
    <row r="303" spans="5:5" s="5" customFormat="1" ht="24">
      <c r="E303" s="5" ph="1"/>
    </row>
    <row r="304" spans="5:5" s="5" customFormat="1" ht="24">
      <c r="E304" s="5" ph="1"/>
    </row>
    <row r="306" spans="5:5" s="5" customFormat="1" ht="24">
      <c r="E306" s="5" ph="1"/>
    </row>
    <row r="308" spans="5:5" s="5" customFormat="1" ht="24">
      <c r="E308" s="5" ph="1"/>
    </row>
    <row r="309" spans="5:5" s="5" customFormat="1" ht="24">
      <c r="E309" s="5" ph="1"/>
    </row>
    <row r="311" spans="5:5" s="5" customFormat="1" ht="24">
      <c r="E311" s="5" ph="1"/>
    </row>
    <row r="312" spans="5:5" s="5" customFormat="1" ht="24">
      <c r="E312" s="5" ph="1"/>
    </row>
    <row r="314" spans="5:5" s="5" customFormat="1" ht="24">
      <c r="E314" s="5" ph="1"/>
    </row>
    <row r="317" spans="5:5" s="5" customFormat="1" ht="24">
      <c r="E317" s="5" ph="1"/>
    </row>
    <row r="318" spans="5:5" s="5" customFormat="1" ht="24">
      <c r="E318" s="5" ph="1"/>
    </row>
    <row r="320" spans="5:5" s="5" customFormat="1" ht="24">
      <c r="E320" s="5" ph="1"/>
    </row>
    <row r="321" spans="5:5" s="5" customFormat="1" ht="24">
      <c r="E321" s="5" ph="1"/>
    </row>
    <row r="322" spans="5:5" s="5" customFormat="1" ht="24">
      <c r="E322" s="5" ph="1"/>
    </row>
    <row r="323" spans="5:5" s="5" customFormat="1" ht="24">
      <c r="E323" s="5" ph="1"/>
    </row>
    <row r="324" spans="5:5" s="5" customFormat="1" ht="24">
      <c r="E324" s="5" ph="1"/>
    </row>
    <row r="326" spans="5:5" s="5" customFormat="1" ht="24">
      <c r="E326" s="5" ph="1"/>
    </row>
    <row r="327" spans="5:5" s="5" customFormat="1" ht="24">
      <c r="E327" s="5" ph="1"/>
    </row>
    <row r="328" spans="5:5" s="5" customFormat="1" ht="24">
      <c r="E328" s="5" ph="1"/>
    </row>
    <row r="329" spans="5:5" s="5" customFormat="1" ht="24">
      <c r="E329" s="5" ph="1"/>
    </row>
    <row r="330" spans="5:5" s="5" customFormat="1" ht="24">
      <c r="E330" s="5" ph="1"/>
    </row>
    <row r="331" spans="5:5" s="5" customFormat="1" ht="24">
      <c r="E331" s="5" ph="1"/>
    </row>
    <row r="333" spans="5:5" s="5" customFormat="1" ht="24">
      <c r="E333" s="5" ph="1"/>
    </row>
    <row r="334" spans="5:5" s="5" customFormat="1" ht="24">
      <c r="E334" s="5" ph="1"/>
    </row>
    <row r="335" spans="5:5" s="5" customFormat="1" ht="24">
      <c r="E335" s="5" ph="1"/>
    </row>
    <row r="336" spans="5:5" s="5" customFormat="1" ht="24">
      <c r="E336" s="5" ph="1"/>
    </row>
    <row r="337" spans="5:5" s="5" customFormat="1" ht="24">
      <c r="E337" s="5" ph="1"/>
    </row>
    <row r="339" spans="5:5" s="5" customFormat="1" ht="24">
      <c r="E339" s="5" ph="1"/>
    </row>
    <row r="340" spans="5:5" s="5" customFormat="1" ht="24">
      <c r="E340" s="5" ph="1"/>
    </row>
    <row r="341" spans="5:5" s="5" customFormat="1" ht="24">
      <c r="E341" s="5" ph="1"/>
    </row>
    <row r="342" spans="5:5" s="5" customFormat="1" ht="24">
      <c r="E342" s="5" ph="1"/>
    </row>
    <row r="343" spans="5:5" s="5" customFormat="1" ht="24">
      <c r="E343" s="5" ph="1"/>
    </row>
    <row r="344" spans="5:5" s="5" customFormat="1" ht="24">
      <c r="E344" s="5" ph="1"/>
    </row>
    <row r="345" spans="5:5" s="5" customFormat="1" ht="24">
      <c r="E345" s="5" ph="1"/>
    </row>
    <row r="346" spans="5:5" s="5" customFormat="1" ht="24">
      <c r="E346" s="5" ph="1"/>
    </row>
    <row r="347" spans="5:5" s="5" customFormat="1" ht="24">
      <c r="E347" s="5" ph="1"/>
    </row>
    <row r="349" spans="5:5" s="5" customFormat="1" ht="24">
      <c r="E349" s="5" ph="1"/>
    </row>
    <row r="350" spans="5:5" s="5" customFormat="1" ht="24">
      <c r="E350" s="5" ph="1"/>
    </row>
    <row r="351" spans="5:5" s="5" customFormat="1" ht="24">
      <c r="E351" s="5" ph="1"/>
    </row>
    <row r="352" spans="5:5" s="5" customFormat="1" ht="24">
      <c r="E352" s="5" ph="1"/>
    </row>
    <row r="353" spans="5:5" s="5" customFormat="1" ht="24">
      <c r="E353" s="5" ph="1"/>
    </row>
    <row r="355" spans="5:5" s="5" customFormat="1" ht="24">
      <c r="E355" s="5" ph="1"/>
    </row>
    <row r="356" spans="5:5" s="5" customFormat="1" ht="24">
      <c r="E356" s="5" ph="1"/>
    </row>
    <row r="357" spans="5:5" s="5" customFormat="1" ht="24">
      <c r="E357" s="5" ph="1"/>
    </row>
    <row r="358" spans="5:5" s="5" customFormat="1" ht="24">
      <c r="E358" s="5" ph="1"/>
    </row>
    <row r="359" spans="5:5" s="5" customFormat="1" ht="24">
      <c r="E359" s="5" ph="1"/>
    </row>
    <row r="360" spans="5:5" s="5" customFormat="1" ht="24">
      <c r="E360" s="5" ph="1"/>
    </row>
    <row r="361" spans="5:5" s="5" customFormat="1" ht="24">
      <c r="E361" s="5" ph="1"/>
    </row>
    <row r="362" spans="5:5" s="5" customFormat="1" ht="24">
      <c r="E362" s="5" ph="1"/>
    </row>
    <row r="363" spans="5:5" s="5" customFormat="1" ht="24">
      <c r="E363" s="5" ph="1"/>
    </row>
    <row r="365" spans="5:5" s="5" customFormat="1" ht="24">
      <c r="E365" s="5" ph="1"/>
    </row>
    <row r="366" spans="5:5" s="5" customFormat="1" ht="24">
      <c r="E366" s="5" ph="1"/>
    </row>
    <row r="367" spans="5:5" s="5" customFormat="1" ht="24">
      <c r="E367" s="5" ph="1"/>
    </row>
    <row r="368" spans="5:5" s="5" customFormat="1" ht="24">
      <c r="E368" s="5" ph="1"/>
    </row>
    <row r="369" spans="5:5" s="5" customFormat="1" ht="24">
      <c r="E369" s="5" ph="1"/>
    </row>
    <row r="371" spans="5:5" s="5" customFormat="1" ht="24">
      <c r="E371" s="5" ph="1"/>
    </row>
    <row r="372" spans="5:5" s="5" customFormat="1" ht="24">
      <c r="E372" s="5" ph="1"/>
    </row>
    <row r="373" spans="5:5" s="5" customFormat="1" ht="24">
      <c r="E373" s="5" ph="1"/>
    </row>
    <row r="374" spans="5:5" s="5" customFormat="1" ht="24">
      <c r="E374" s="5" ph="1"/>
    </row>
    <row r="375" spans="5:5" s="5" customFormat="1" ht="24">
      <c r="E375" s="5" ph="1"/>
    </row>
    <row r="376" spans="5:5" s="5" customFormat="1" ht="24">
      <c r="E376" s="5" ph="1"/>
    </row>
    <row r="377" spans="5:5" s="5" customFormat="1" ht="24">
      <c r="E377" s="5" ph="1"/>
    </row>
    <row r="378" spans="5:5" s="5" customFormat="1" ht="24">
      <c r="E378" s="5" ph="1"/>
    </row>
    <row r="379" spans="5:5" s="5" customFormat="1" ht="24">
      <c r="E379" s="5" ph="1"/>
    </row>
    <row r="380" spans="5:5" s="5" customFormat="1" ht="24">
      <c r="E380" s="5" ph="1"/>
    </row>
    <row r="381" spans="5:5" s="5" customFormat="1" ht="24">
      <c r="E381" s="5" ph="1"/>
    </row>
    <row r="382" spans="5:5" s="5" customFormat="1" ht="24">
      <c r="E382" s="5" ph="1"/>
    </row>
    <row r="383" spans="5:5" s="5" customFormat="1" ht="24">
      <c r="E383" s="5" ph="1"/>
    </row>
    <row r="384" spans="5:5" s="5" customFormat="1" ht="24">
      <c r="E384" s="5" ph="1"/>
    </row>
    <row r="385" spans="5:5" s="5" customFormat="1" ht="24">
      <c r="E385" s="5" ph="1"/>
    </row>
    <row r="387" spans="5:5" s="5" customFormat="1" ht="24">
      <c r="E387" s="5" ph="1"/>
    </row>
    <row r="388" spans="5:5" s="5" customFormat="1" ht="24">
      <c r="E388" s="5" ph="1"/>
    </row>
    <row r="389" spans="5:5" s="5" customFormat="1" ht="24">
      <c r="E389" s="5" ph="1"/>
    </row>
    <row r="391" spans="5:5" s="5" customFormat="1" ht="24">
      <c r="E391" s="5" ph="1"/>
    </row>
    <row r="393" spans="5:5" s="5" customFormat="1" ht="24">
      <c r="E393" s="5" ph="1"/>
    </row>
    <row r="394" spans="5:5" s="5" customFormat="1" ht="24">
      <c r="E394" s="5" ph="1"/>
    </row>
    <row r="395" spans="5:5" s="5" customFormat="1" ht="24">
      <c r="E395" s="5" ph="1"/>
    </row>
    <row r="396" spans="5:5" s="5" customFormat="1" ht="24">
      <c r="E396" s="5" ph="1"/>
    </row>
    <row r="397" spans="5:5" s="5" customFormat="1" ht="24">
      <c r="E397" s="5" ph="1"/>
    </row>
    <row r="398" spans="5:5" s="5" customFormat="1" ht="24">
      <c r="E398" s="5" ph="1"/>
    </row>
    <row r="399" spans="5:5" s="5" customFormat="1" ht="24">
      <c r="E399" s="5" ph="1"/>
    </row>
    <row r="400" spans="5:5" s="5" customFormat="1" ht="24">
      <c r="E400" s="5" ph="1"/>
    </row>
    <row r="401" spans="5:5" s="5" customFormat="1" ht="24">
      <c r="E401" s="5" ph="1"/>
    </row>
    <row r="402" spans="5:5" s="5" customFormat="1" ht="24">
      <c r="E402" s="5" ph="1"/>
    </row>
    <row r="403" spans="5:5" s="5" customFormat="1" ht="24">
      <c r="E403" s="5" ph="1"/>
    </row>
    <row r="404" spans="5:5" s="5" customFormat="1" ht="24">
      <c r="E404" s="5" ph="1"/>
    </row>
    <row r="405" spans="5:5" s="5" customFormat="1" ht="24">
      <c r="E405" s="5" ph="1"/>
    </row>
    <row r="406" spans="5:5" s="5" customFormat="1" ht="24">
      <c r="E406" s="5" ph="1"/>
    </row>
    <row r="407" spans="5:5" s="5" customFormat="1" ht="24">
      <c r="E407" s="5" ph="1"/>
    </row>
    <row r="409" spans="5:5" s="5" customFormat="1" ht="24">
      <c r="E409" s="5" ph="1"/>
    </row>
    <row r="410" spans="5:5" s="5" customFormat="1" ht="24">
      <c r="E410" s="5" ph="1"/>
    </row>
    <row r="411" spans="5:5" s="5" customFormat="1" ht="24">
      <c r="E411" s="5" ph="1"/>
    </row>
    <row r="413" spans="5:5" s="5" customFormat="1" ht="24">
      <c r="E413" s="5" ph="1"/>
    </row>
    <row r="414" spans="5:5" s="5" customFormat="1" ht="24">
      <c r="E414" s="5" ph="1"/>
    </row>
    <row r="415" spans="5:5" s="5" customFormat="1" ht="24">
      <c r="E415" s="5" ph="1"/>
    </row>
    <row r="416" spans="5:5" s="5" customFormat="1" ht="24">
      <c r="E416" s="5" ph="1"/>
    </row>
    <row r="417" spans="2:18" ht="24">
      <c r="B417" s="5"/>
      <c r="E417" s="5" ph="1"/>
      <c r="R417" s="5"/>
    </row>
    <row r="418" spans="2:18" ht="24">
      <c r="B418" s="5"/>
      <c r="E418" s="5" ph="1"/>
      <c r="R418" s="5"/>
    </row>
    <row r="419" spans="2:18" ht="24">
      <c r="B419" s="5"/>
      <c r="E419" s="5" ph="1"/>
      <c r="R419" s="5"/>
    </row>
    <row r="420" spans="2:18" ht="24">
      <c r="B420" s="5"/>
      <c r="E420" s="5" ph="1"/>
      <c r="R420" s="5"/>
    </row>
    <row r="421" spans="2:18" ht="24">
      <c r="B421" s="5"/>
      <c r="E421" s="5" ph="1"/>
      <c r="R421" s="5"/>
    </row>
    <row r="422" spans="2:18" ht="24">
      <c r="B422" s="5"/>
      <c r="E422" s="5" ph="1"/>
      <c r="R422" s="5"/>
    </row>
    <row r="423" spans="2:18" ht="24">
      <c r="B423" s="5"/>
      <c r="E423" s="5" ph="1"/>
      <c r="R423" s="5"/>
    </row>
    <row r="424" spans="2:18" ht="24">
      <c r="B424" s="5"/>
      <c r="E424" s="5" ph="1"/>
      <c r="R424" s="5"/>
    </row>
    <row r="425" spans="2:18" ht="24">
      <c r="B425" s="5"/>
      <c r="E425" s="5" ph="1"/>
      <c r="R425" s="5"/>
    </row>
    <row r="426" spans="2:18" ht="24">
      <c r="B426" s="5"/>
      <c r="E426" s="5" ph="1"/>
      <c r="R426" s="5"/>
    </row>
    <row r="427" spans="2:18" ht="24">
      <c r="B427" s="5"/>
      <c r="E427" s="5" ph="1"/>
      <c r="R427" s="5"/>
    </row>
    <row r="428" spans="2:18" ht="24">
      <c r="E428" s="5" ph="1"/>
    </row>
    <row r="429" spans="2:18" ht="24">
      <c r="E429" s="5" ph="1"/>
    </row>
    <row r="430" spans="2:18" ht="24">
      <c r="E430" s="5" ph="1"/>
    </row>
    <row r="431" spans="2:18" ht="24">
      <c r="E431" s="5" ph="1"/>
    </row>
    <row r="432" spans="2:18" ht="24">
      <c r="E432" s="5" ph="1"/>
    </row>
    <row r="433" spans="5:5" ht="24">
      <c r="E433" s="5" ph="1"/>
    </row>
    <row r="434" spans="5:5" ht="24">
      <c r="E434" s="5" ph="1"/>
    </row>
    <row r="435" spans="5:5" ht="24">
      <c r="E435" s="5" ph="1"/>
    </row>
    <row r="436" spans="5:5" ht="24">
      <c r="E436" s="5" ph="1"/>
    </row>
    <row r="437" spans="5:5" ht="24">
      <c r="E437" s="5" ph="1"/>
    </row>
    <row r="438" spans="5:5" ht="24">
      <c r="E438" s="5" ph="1"/>
    </row>
    <row r="439" spans="5:5" ht="24">
      <c r="E439" s="5" ph="1"/>
    </row>
    <row r="440" spans="5:5" ht="24">
      <c r="E440" s="5" ph="1"/>
    </row>
    <row r="441" spans="5:5" ht="24">
      <c r="E441" s="5" ph="1"/>
    </row>
    <row r="442" spans="5:5" ht="24">
      <c r="E442" s="5" ph="1"/>
    </row>
    <row r="443" spans="5:5" ht="24">
      <c r="E443" s="5" ph="1"/>
    </row>
    <row r="444" spans="5:5" ht="24">
      <c r="E444" s="5" ph="1"/>
    </row>
    <row r="445" spans="5:5" ht="24">
      <c r="E445" s="5" ph="1"/>
    </row>
    <row r="446" spans="5:5" ht="24">
      <c r="E446" s="5" ph="1"/>
    </row>
    <row r="447" spans="5:5" ht="24">
      <c r="E447" s="5" ph="1"/>
    </row>
    <row r="448" spans="5:5" ht="24">
      <c r="E448" s="5" ph="1"/>
    </row>
    <row r="449" spans="5:5" ht="24">
      <c r="E449" s="5" ph="1"/>
    </row>
    <row r="450" spans="5:5" ht="24">
      <c r="E450" s="5" ph="1"/>
    </row>
    <row r="451" spans="5:5" ht="24">
      <c r="E451" s="5" ph="1"/>
    </row>
    <row r="452" spans="5:5" ht="24">
      <c r="E452" s="5" ph="1"/>
    </row>
    <row r="453" spans="5:5" ht="24">
      <c r="E453" s="5" ph="1"/>
    </row>
    <row r="455" spans="5:5" ht="24">
      <c r="E455" s="5" ph="1"/>
    </row>
    <row r="456" spans="5:5" ht="24">
      <c r="E456" s="5" ph="1"/>
    </row>
    <row r="457" spans="5:5" ht="24">
      <c r="E457" s="5" ph="1"/>
    </row>
    <row r="458" spans="5:5" ht="24">
      <c r="E458" s="5" ph="1"/>
    </row>
    <row r="459" spans="5:5" ht="24">
      <c r="E459" s="5" ph="1"/>
    </row>
    <row r="460" spans="5:5" ht="24">
      <c r="E460" s="5" ph="1"/>
    </row>
    <row r="461" spans="5:5" ht="24">
      <c r="E461" s="5" ph="1"/>
    </row>
    <row r="462" spans="5:5" ht="24">
      <c r="E462" s="5" ph="1"/>
    </row>
    <row r="463" spans="5:5" ht="24">
      <c r="E463" s="5" ph="1"/>
    </row>
    <row r="465" spans="5:5" ht="24">
      <c r="E465" s="5" ph="1"/>
    </row>
    <row r="466" spans="5:5" ht="24">
      <c r="E466" s="5" ph="1"/>
    </row>
    <row r="467" spans="5:5" ht="24">
      <c r="E467" s="5" ph="1"/>
    </row>
    <row r="468" spans="5:5" ht="24">
      <c r="E468" s="5" ph="1"/>
    </row>
    <row r="469" spans="5:5" ht="24">
      <c r="E469" s="5" ph="1"/>
    </row>
    <row r="471" spans="5:5" ht="24">
      <c r="E471" s="5" ph="1"/>
    </row>
    <row r="472" spans="5:5" ht="24">
      <c r="E472" s="5" ph="1"/>
    </row>
    <row r="473" spans="5:5" ht="24">
      <c r="E473" s="5" ph="1"/>
    </row>
    <row r="474" spans="5:5" ht="24">
      <c r="E474" s="5" ph="1"/>
    </row>
    <row r="475" spans="5:5" ht="24">
      <c r="E475" s="5" ph="1"/>
    </row>
    <row r="476" spans="5:5" ht="24">
      <c r="E476" s="5" ph="1"/>
    </row>
    <row r="477" spans="5:5" ht="24">
      <c r="E477" s="5" ph="1"/>
    </row>
    <row r="478" spans="5:5" ht="24">
      <c r="E478" s="5" ph="1"/>
    </row>
    <row r="479" spans="5:5" ht="24">
      <c r="E479" s="5" ph="1"/>
    </row>
    <row r="480" spans="5:5" ht="24">
      <c r="E480" s="5" ph="1"/>
    </row>
    <row r="481" spans="5:5" ht="24">
      <c r="E481" s="5" ph="1"/>
    </row>
    <row r="482" spans="5:5" ht="24">
      <c r="E482" s="5" ph="1"/>
    </row>
    <row r="483" spans="5:5" ht="24">
      <c r="E483" s="5" ph="1"/>
    </row>
    <row r="484" spans="5:5" ht="24">
      <c r="E484" s="5" ph="1"/>
    </row>
    <row r="485" spans="5:5" ht="24">
      <c r="E485" s="5" ph="1"/>
    </row>
    <row r="487" spans="5:5" ht="24">
      <c r="E487" s="5" ph="1"/>
    </row>
    <row r="488" spans="5:5" ht="24">
      <c r="E488" s="5" ph="1"/>
    </row>
    <row r="489" spans="5:5" ht="24">
      <c r="E489" s="5" ph="1"/>
    </row>
    <row r="491" spans="5:5" ht="24">
      <c r="E491" s="5" ph="1"/>
    </row>
    <row r="493" spans="5:5" ht="24">
      <c r="E493" s="5" ph="1"/>
    </row>
    <row r="494" spans="5:5" ht="24">
      <c r="E494" s="5" ph="1"/>
    </row>
    <row r="495" spans="5:5" ht="24">
      <c r="E495" s="5" ph="1"/>
    </row>
    <row r="496" spans="5:5" ht="24">
      <c r="E496" s="5" ph="1"/>
    </row>
    <row r="497" spans="5:5" ht="24">
      <c r="E497" s="5" ph="1"/>
    </row>
    <row r="498" spans="5:5" ht="24">
      <c r="E498" s="5" ph="1"/>
    </row>
    <row r="499" spans="5:5" ht="24">
      <c r="E499" s="5" ph="1"/>
    </row>
    <row r="500" spans="5:5" ht="24">
      <c r="E500" s="5" ph="1"/>
    </row>
    <row r="501" spans="5:5" ht="24">
      <c r="E501" s="5" ph="1"/>
    </row>
    <row r="502" spans="5:5" ht="24">
      <c r="E502" s="5" ph="1"/>
    </row>
    <row r="503" spans="5:5" ht="24">
      <c r="E503" s="5" ph="1"/>
    </row>
    <row r="504" spans="5:5" ht="24">
      <c r="E504" s="5" ph="1"/>
    </row>
    <row r="505" spans="5:5" ht="24">
      <c r="E505" s="5" ph="1"/>
    </row>
    <row r="506" spans="5:5" ht="24">
      <c r="E506" s="5" ph="1"/>
    </row>
    <row r="507" spans="5:5" ht="24">
      <c r="E507" s="5" ph="1"/>
    </row>
    <row r="509" spans="5:5" ht="24">
      <c r="E509" s="5" ph="1"/>
    </row>
    <row r="510" spans="5:5" ht="24">
      <c r="E510" s="5" ph="1"/>
    </row>
    <row r="511" spans="5:5" ht="24">
      <c r="E511" s="5" ph="1"/>
    </row>
    <row r="513" spans="5:5" ht="24">
      <c r="E513" s="5" ph="1"/>
    </row>
    <row r="514" spans="5:5" ht="24">
      <c r="E514" s="5" ph="1"/>
    </row>
    <row r="515" spans="5:5" ht="24">
      <c r="E515" s="5" ph="1"/>
    </row>
    <row r="516" spans="5:5" ht="24">
      <c r="E516" s="5" ph="1"/>
    </row>
    <row r="517" spans="5:5" ht="24">
      <c r="E517" s="5" ph="1"/>
    </row>
    <row r="518" spans="5:5" ht="24">
      <c r="E518" s="5" ph="1"/>
    </row>
    <row r="519" spans="5:5" ht="24">
      <c r="E519" s="5" ph="1"/>
    </row>
    <row r="520" spans="5:5" ht="24">
      <c r="E520" s="5" ph="1"/>
    </row>
    <row r="521" spans="5:5" ht="24">
      <c r="E521" s="5" ph="1"/>
    </row>
    <row r="522" spans="5:5" ht="24">
      <c r="E522" s="5" ph="1"/>
    </row>
    <row r="523" spans="5:5" ht="24">
      <c r="E523" s="5" ph="1"/>
    </row>
    <row r="524" spans="5:5" ht="24">
      <c r="E524" s="5" ph="1"/>
    </row>
    <row r="525" spans="5:5" ht="24">
      <c r="E525" s="5" ph="1"/>
    </row>
    <row r="526" spans="5:5" ht="24">
      <c r="E526" s="5" ph="1"/>
    </row>
    <row r="527" spans="5:5" ht="24">
      <c r="E527" s="5" ph="1"/>
    </row>
    <row r="528" spans="5:5" ht="24">
      <c r="E528" s="5" ph="1"/>
    </row>
    <row r="529" spans="5:5" ht="24">
      <c r="E529" s="5" ph="1"/>
    </row>
    <row r="530" spans="5:5" ht="24">
      <c r="E530" s="5" ph="1"/>
    </row>
    <row r="531" spans="5:5" ht="24">
      <c r="E531" s="5" ph="1"/>
    </row>
    <row r="532" spans="5:5" ht="24">
      <c r="E532" s="5" ph="1"/>
    </row>
    <row r="533" spans="5:5" ht="24">
      <c r="E533" s="5" ph="1"/>
    </row>
    <row r="534" spans="5:5" ht="24">
      <c r="E534" s="5" ph="1"/>
    </row>
    <row r="535" spans="5:5" ht="24">
      <c r="E535" s="5" ph="1"/>
    </row>
    <row r="536" spans="5:5" ht="24">
      <c r="E536" s="5" ph="1"/>
    </row>
    <row r="537" spans="5:5" ht="24">
      <c r="E537" s="5" ph="1"/>
    </row>
    <row r="538" spans="5:5" ht="24">
      <c r="E538" s="5" ph="1"/>
    </row>
    <row r="539" spans="5:5" ht="24">
      <c r="E539" s="5" ph="1"/>
    </row>
    <row r="540" spans="5:5" ht="24">
      <c r="E540" s="5" ph="1"/>
    </row>
    <row r="541" spans="5:5" ht="24">
      <c r="E541" s="5" ph="1"/>
    </row>
    <row r="542" spans="5:5" ht="24">
      <c r="E542" s="5" ph="1"/>
    </row>
    <row r="543" spans="5:5" ht="24">
      <c r="E543" s="5" ph="1"/>
    </row>
    <row r="544" spans="5:5" ht="24">
      <c r="E544" s="5" ph="1"/>
    </row>
    <row r="545" spans="5:5" ht="24">
      <c r="E545" s="5" ph="1"/>
    </row>
    <row r="546" spans="5:5" ht="24">
      <c r="E546" s="5" ph="1"/>
    </row>
    <row r="547" spans="5:5" ht="24">
      <c r="E547" s="5" ph="1"/>
    </row>
    <row r="548" spans="5:5" ht="24">
      <c r="E548" s="5" ph="1"/>
    </row>
    <row r="549" spans="5:5" ht="24">
      <c r="E549" s="5" ph="1"/>
    </row>
    <row r="550" spans="5:5" ht="24">
      <c r="E550" s="5" ph="1"/>
    </row>
    <row r="551" spans="5:5" ht="24">
      <c r="E551" s="5" ph="1"/>
    </row>
    <row r="552" spans="5:5" ht="24">
      <c r="E552" s="5" ph="1"/>
    </row>
    <row r="553" spans="5:5" ht="24">
      <c r="E553" s="5" ph="1"/>
    </row>
    <row r="554" spans="5:5" ht="24">
      <c r="E554" s="5" ph="1"/>
    </row>
    <row r="555" spans="5:5" ht="24">
      <c r="E555" s="5" ph="1"/>
    </row>
    <row r="556" spans="5:5" ht="24">
      <c r="E556" s="5" ph="1"/>
    </row>
    <row r="557" spans="5:5" ht="24">
      <c r="E557" s="5" ph="1"/>
    </row>
    <row r="558" spans="5:5" ht="24">
      <c r="E558" s="5" ph="1"/>
    </row>
    <row r="559" spans="5:5" ht="24">
      <c r="E559" s="5" ph="1"/>
    </row>
    <row r="560" spans="5:5" ht="24">
      <c r="E560" s="5" ph="1"/>
    </row>
    <row r="561" spans="5:5" ht="24">
      <c r="E561" s="5" ph="1"/>
    </row>
    <row r="562" spans="5:5" ht="24">
      <c r="E562" s="5" ph="1"/>
    </row>
    <row r="563" spans="5:5" ht="24">
      <c r="E563" s="5" ph="1"/>
    </row>
    <row r="564" spans="5:5" ht="24">
      <c r="E564" s="5" ph="1"/>
    </row>
    <row r="565" spans="5:5" ht="24">
      <c r="E565" s="5" ph="1"/>
    </row>
    <row r="566" spans="5:5" ht="24">
      <c r="E566" s="5" ph="1"/>
    </row>
    <row r="567" spans="5:5" ht="24">
      <c r="E567" s="5" ph="1"/>
    </row>
    <row r="568" spans="5:5" ht="24">
      <c r="E568" s="5" ph="1"/>
    </row>
    <row r="569" spans="5:5" ht="24">
      <c r="E569" s="5" ph="1"/>
    </row>
    <row r="570" spans="5:5" ht="24">
      <c r="E570" s="5" ph="1"/>
    </row>
    <row r="571" spans="5:5" ht="24">
      <c r="E571" s="5" ph="1"/>
    </row>
    <row r="572" spans="5:5" ht="24">
      <c r="E572" s="5" ph="1"/>
    </row>
    <row r="573" spans="5:5" ht="24">
      <c r="E573" s="5" ph="1"/>
    </row>
    <row r="574" spans="5:5" ht="24">
      <c r="E574" s="5" ph="1"/>
    </row>
    <row r="575" spans="5:5" ht="24">
      <c r="E575" s="5" ph="1"/>
    </row>
    <row r="576" spans="5:5" ht="24">
      <c r="E576" s="5" ph="1"/>
    </row>
    <row r="577" spans="5:5" ht="24">
      <c r="E577" s="5" ph="1"/>
    </row>
    <row r="578" spans="5:5" ht="24">
      <c r="E578" s="5" ph="1"/>
    </row>
    <row r="579" spans="5:5" ht="24">
      <c r="E579" s="5" ph="1"/>
    </row>
    <row r="580" spans="5:5" ht="24">
      <c r="E580" s="5" ph="1"/>
    </row>
    <row r="581" spans="5:5" ht="24">
      <c r="E581" s="5" ph="1"/>
    </row>
    <row r="582" spans="5:5" ht="24">
      <c r="E582" s="5" ph="1"/>
    </row>
    <row r="583" spans="5:5" ht="24">
      <c r="E583" s="5" ph="1"/>
    </row>
    <row r="584" spans="5:5" ht="24">
      <c r="E584" s="5" ph="1"/>
    </row>
    <row r="585" spans="5:5" ht="24">
      <c r="E585" s="5" ph="1"/>
    </row>
    <row r="586" spans="5:5" ht="24">
      <c r="E586" s="5" ph="1"/>
    </row>
    <row r="587" spans="5:5" ht="24">
      <c r="E587" s="5" ph="1"/>
    </row>
    <row r="588" spans="5:5" ht="24">
      <c r="E588" s="5" ph="1"/>
    </row>
    <row r="589" spans="5:5" ht="24">
      <c r="E589" s="5" ph="1"/>
    </row>
    <row r="590" spans="5:5" ht="24">
      <c r="E590" s="5" ph="1"/>
    </row>
    <row r="591" spans="5:5" ht="24">
      <c r="E591" s="5" ph="1"/>
    </row>
    <row r="592" spans="5:5" ht="24">
      <c r="E592" s="5" ph="1"/>
    </row>
    <row r="593" spans="5:5" ht="24">
      <c r="E593" s="5" ph="1"/>
    </row>
    <row r="594" spans="5:5" ht="24">
      <c r="E594" s="5" ph="1"/>
    </row>
    <row r="595" spans="5:5" ht="24">
      <c r="E595" s="5" ph="1"/>
    </row>
    <row r="596" spans="5:5" ht="24">
      <c r="E596" s="5" ph="1"/>
    </row>
    <row r="597" spans="5:5" ht="24">
      <c r="E597" s="5" ph="1"/>
    </row>
    <row r="598" spans="5:5" ht="24">
      <c r="E598" s="5" ph="1"/>
    </row>
    <row r="599" spans="5:5" ht="24">
      <c r="E599" s="5" ph="1"/>
    </row>
    <row r="600" spans="5:5" ht="24">
      <c r="E600" s="5" ph="1"/>
    </row>
    <row r="601" spans="5:5" ht="24">
      <c r="E601" s="5" ph="1"/>
    </row>
    <row r="602" spans="5:5" ht="24">
      <c r="E602" s="5" ph="1"/>
    </row>
    <row r="603" spans="5:5" ht="24">
      <c r="E603" s="5" ph="1"/>
    </row>
    <row r="604" spans="5:5" ht="24">
      <c r="E604" s="5" ph="1"/>
    </row>
    <row r="605" spans="5:5" ht="24">
      <c r="E605" s="5" ph="1"/>
    </row>
    <row r="606" spans="5:5" ht="24">
      <c r="E606" s="5" ph="1"/>
    </row>
    <row r="607" spans="5:5" ht="24">
      <c r="E607" s="5" ph="1"/>
    </row>
    <row r="608" spans="5:5" ht="24">
      <c r="E608" s="5" ph="1"/>
    </row>
    <row r="609" spans="5:5" ht="24">
      <c r="E609" s="5" ph="1"/>
    </row>
    <row r="610" spans="5:5" ht="24">
      <c r="E610" s="5" ph="1"/>
    </row>
    <row r="611" spans="5:5" ht="24">
      <c r="E611" s="5" ph="1"/>
    </row>
    <row r="612" spans="5:5" ht="24">
      <c r="E612" s="5" ph="1"/>
    </row>
    <row r="613" spans="5:5" ht="24">
      <c r="E613" s="5" ph="1"/>
    </row>
    <row r="614" spans="5:5" ht="24">
      <c r="E614" s="5" ph="1"/>
    </row>
    <row r="615" spans="5:5" ht="24">
      <c r="E615" s="5" ph="1"/>
    </row>
    <row r="616" spans="5:5" ht="24">
      <c r="E616" s="5" ph="1"/>
    </row>
    <row r="617" spans="5:5" ht="24">
      <c r="E617" s="5" ph="1"/>
    </row>
    <row r="618" spans="5:5" ht="24">
      <c r="E618" s="5" ph="1"/>
    </row>
    <row r="619" spans="5:5" ht="24">
      <c r="E619" s="5" ph="1"/>
    </row>
    <row r="620" spans="5:5" ht="24">
      <c r="E620" s="5" ph="1"/>
    </row>
    <row r="621" spans="5:5" ht="24">
      <c r="E621" s="5" ph="1"/>
    </row>
    <row r="622" spans="5:5" ht="24">
      <c r="E622" s="5" ph="1"/>
    </row>
    <row r="623" spans="5:5" ht="24">
      <c r="E623" s="5" ph="1"/>
    </row>
    <row r="624" spans="5:5" ht="24">
      <c r="E624" s="5" ph="1"/>
    </row>
    <row r="625" spans="5:5" ht="24">
      <c r="E625" s="5" ph="1"/>
    </row>
    <row r="626" spans="5:5" ht="24">
      <c r="E626" s="5" ph="1"/>
    </row>
    <row r="627" spans="5:5" ht="24">
      <c r="E627" s="5" ph="1"/>
    </row>
    <row r="628" spans="5:5" ht="24">
      <c r="E628" s="5" ph="1"/>
    </row>
    <row r="629" spans="5:5" ht="24">
      <c r="E629" s="5" ph="1"/>
    </row>
    <row r="630" spans="5:5" ht="24">
      <c r="E630" s="5" ph="1"/>
    </row>
    <row r="631" spans="5:5" ht="24">
      <c r="E631" s="5" ph="1"/>
    </row>
    <row r="632" spans="5:5" ht="24">
      <c r="E632" s="5" ph="1"/>
    </row>
    <row r="633" spans="5:5" ht="24">
      <c r="E633" s="5" ph="1"/>
    </row>
    <row r="634" spans="5:5" ht="24">
      <c r="E634" s="5" ph="1"/>
    </row>
    <row r="635" spans="5:5" ht="24">
      <c r="E635" s="5" ph="1"/>
    </row>
    <row r="636" spans="5:5" ht="24">
      <c r="E636" s="5" ph="1"/>
    </row>
    <row r="637" spans="5:5" ht="24">
      <c r="E637" s="5" ph="1"/>
    </row>
  </sheetData>
  <mergeCells count="4">
    <mergeCell ref="B10:D10"/>
    <mergeCell ref="D73:E73"/>
    <mergeCell ref="D99:E99"/>
    <mergeCell ref="D125:E125"/>
  </mergeCells>
  <phoneticPr fontId="3" type="noConversion"/>
  <pageMargins left="0.7" right="0.7" top="0.75" bottom="0.75" header="0.3" footer="0.3"/>
  <pageSetup paperSize="9" scale="38" orientation="landscape"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31">
    <tabColor theme="9" tint="0.79998168889431442"/>
  </sheetPr>
  <dimension ref="A1:V184"/>
  <sheetViews>
    <sheetView zoomScale="85" zoomScaleNormal="85" workbookViewId="0">
      <pane xSplit="3" ySplit="12" topLeftCell="D13" activePane="bottomRight" state="frozen"/>
      <selection activeCell="H21" sqref="H21"/>
      <selection pane="topRight" activeCell="H21" sqref="H21"/>
      <selection pane="bottomLeft" activeCell="H21" sqref="H21"/>
      <selection pane="bottomRight" activeCell="C32" sqref="C32"/>
    </sheetView>
  </sheetViews>
  <sheetFormatPr defaultColWidth="9" defaultRowHeight="13.5" customHeight="1"/>
  <cols>
    <col min="1" max="1" width="11.625" style="809" customWidth="1"/>
    <col min="2" max="2" width="30.625" style="809" customWidth="1"/>
    <col min="3" max="3" width="13.125" style="809" customWidth="1"/>
    <col min="4" max="4" width="19.5" style="809" bestFit="1" customWidth="1"/>
    <col min="5" max="6" width="15.375" style="809" customWidth="1"/>
    <col min="7" max="7" width="16.125" style="809" bestFit="1" customWidth="1"/>
    <col min="8" max="8" width="16.375" style="809" customWidth="1"/>
    <col min="9" max="9" width="13.625" style="809" customWidth="1"/>
    <col min="10" max="10" width="19.5" style="809" bestFit="1" customWidth="1"/>
    <col min="11" max="11" width="9.625" style="809" customWidth="1"/>
    <col min="12" max="12" width="16.375" style="809" customWidth="1"/>
    <col min="13" max="13" width="2.625" style="809" customWidth="1"/>
    <col min="14" max="14" width="15" style="809" customWidth="1"/>
    <col min="15" max="15" width="13.625" style="809" customWidth="1"/>
    <col min="16" max="16" width="15.125" style="809" bestFit="1" customWidth="1"/>
    <col min="17" max="17" width="12.625" style="809" customWidth="1"/>
    <col min="18" max="18" width="15" style="809" customWidth="1"/>
    <col min="19" max="19" width="13.625" style="809" customWidth="1"/>
    <col min="20" max="20" width="9.375" style="809" customWidth="1"/>
    <col min="21" max="21" width="12.625" style="809" customWidth="1"/>
    <col min="22" max="16384" width="9" style="809"/>
  </cols>
  <sheetData>
    <row r="1" spans="1:22" ht="13.5" customHeight="1">
      <c r="A1" s="808" t="s">
        <v>3407</v>
      </c>
    </row>
    <row r="2" spans="1:22" ht="13.5" customHeight="1">
      <c r="A2" s="810" t="s">
        <v>572</v>
      </c>
      <c r="B2" s="810" t="s">
        <v>1415</v>
      </c>
      <c r="C2" s="810" t="s">
        <v>1429</v>
      </c>
      <c r="D2" s="810" t="s">
        <v>1850</v>
      </c>
      <c r="E2" s="810" t="s">
        <v>1833</v>
      </c>
    </row>
    <row r="3" spans="1:22" ht="13.5" customHeight="1">
      <c r="A3" s="811" t="s">
        <v>1431</v>
      </c>
      <c r="B3" s="812">
        <f>환율!C7</f>
        <v>196.6</v>
      </c>
      <c r="C3" s="812">
        <f>환율!C18</f>
        <v>226.97</v>
      </c>
      <c r="D3" s="813">
        <f>환율!C25</f>
        <v>1192.74</v>
      </c>
      <c r="E3" s="814">
        <v>1</v>
      </c>
    </row>
    <row r="4" spans="1:22" ht="13.5" customHeight="1">
      <c r="A4" s="811" t="s">
        <v>1430</v>
      </c>
      <c r="B4" s="812">
        <f>환율!C6</f>
        <v>189.66</v>
      </c>
      <c r="C4" s="812">
        <f>환율!C17</f>
        <v>216.23</v>
      </c>
      <c r="D4" s="813">
        <f>환율!C24</f>
        <v>1160.6600000000001</v>
      </c>
      <c r="E4" s="814">
        <v>1</v>
      </c>
      <c r="G4" s="1509"/>
    </row>
    <row r="5" spans="1:22" ht="13.5" customHeight="1">
      <c r="A5" s="809" t="s">
        <v>3406</v>
      </c>
      <c r="D5" s="815"/>
    </row>
    <row r="6" spans="1:22" ht="13.5" customHeight="1">
      <c r="A6" s="810" t="s">
        <v>572</v>
      </c>
      <c r="B6" s="810" t="s">
        <v>1845</v>
      </c>
      <c r="C6" s="810" t="s">
        <v>1429</v>
      </c>
      <c r="D6" s="810" t="s">
        <v>1850</v>
      </c>
      <c r="E6" s="810" t="s">
        <v>1833</v>
      </c>
      <c r="F6" s="1510"/>
      <c r="G6" s="991"/>
    </row>
    <row r="7" spans="1:22" ht="13.5" customHeight="1">
      <c r="A7" s="811" t="s">
        <v>1431</v>
      </c>
      <c r="B7" s="812">
        <v>184.41</v>
      </c>
      <c r="C7" s="812">
        <v>204.76</v>
      </c>
      <c r="D7" s="813">
        <v>1117.52</v>
      </c>
      <c r="E7" s="814">
        <v>1</v>
      </c>
      <c r="N7" s="809" t="s">
        <v>2610</v>
      </c>
      <c r="O7" s="816">
        <f>SUM(O16:O65)</f>
        <v>2268065089</v>
      </c>
      <c r="P7" s="816">
        <f>O7-HK_BS!K5</f>
        <v>0</v>
      </c>
      <c r="Q7" s="816">
        <f>SUM(Q16:Q65)</f>
        <v>358233996</v>
      </c>
      <c r="R7" s="816">
        <f>Q7-DHK_BS!K5</f>
        <v>0</v>
      </c>
      <c r="S7" s="816">
        <f>SUM(S16:S65)</f>
        <v>2287111</v>
      </c>
      <c r="T7" s="816">
        <f>S7-상해_BS!K5</f>
        <v>0</v>
      </c>
      <c r="U7" s="816">
        <f>SUM(U16:U65)</f>
        <v>22492142</v>
      </c>
      <c r="V7" s="816">
        <f>U7-SG_BS!K5</f>
        <v>0</v>
      </c>
    </row>
    <row r="8" spans="1:22" ht="13.5" customHeight="1">
      <c r="A8" s="811" t="s">
        <v>1430</v>
      </c>
      <c r="B8" s="812">
        <v>182.44</v>
      </c>
      <c r="C8" s="812">
        <v>197.78</v>
      </c>
      <c r="D8" s="813">
        <v>1088.3399999999999</v>
      </c>
      <c r="E8" s="814">
        <v>1</v>
      </c>
      <c r="N8" s="809" t="s">
        <v>2611</v>
      </c>
      <c r="O8" s="816">
        <f>SUM(O66:O87)</f>
        <v>516057216</v>
      </c>
      <c r="P8" s="816">
        <f>O8-HK_BS!K75</f>
        <v>0</v>
      </c>
      <c r="Q8" s="816">
        <f>SUM(Q66:Q87)</f>
        <v>1649671107</v>
      </c>
      <c r="R8" s="816">
        <f>Q8-DHK_BS!K75</f>
        <v>0</v>
      </c>
      <c r="S8" s="816">
        <f>SUM(S66:S87)</f>
        <v>0</v>
      </c>
      <c r="T8" s="816">
        <f>S8-상해_BS!K75</f>
        <v>0</v>
      </c>
      <c r="U8" s="816">
        <f>SUM(U66:U87)</f>
        <v>0</v>
      </c>
      <c r="V8" s="816">
        <f>U8-SG_BS!K75</f>
        <v>0</v>
      </c>
    </row>
    <row r="9" spans="1:22" ht="13.5" customHeight="1">
      <c r="A9" s="817"/>
      <c r="B9" s="818"/>
      <c r="C9" s="818"/>
      <c r="D9" s="815"/>
      <c r="E9" s="818"/>
      <c r="F9" s="818"/>
      <c r="G9" s="819"/>
    </row>
    <row r="10" spans="1:22" ht="14.25" customHeight="1" thickBot="1">
      <c r="D10" s="816"/>
      <c r="E10" s="809" t="s">
        <v>1415</v>
      </c>
      <c r="G10" s="809" t="s">
        <v>1415</v>
      </c>
      <c r="I10" s="809" t="s">
        <v>1429</v>
      </c>
      <c r="K10" s="809" t="s">
        <v>599</v>
      </c>
    </row>
    <row r="11" spans="1:22" ht="13.5" customHeight="1">
      <c r="A11" s="820" t="s">
        <v>1834</v>
      </c>
      <c r="B11" s="821" t="s">
        <v>1247</v>
      </c>
      <c r="C11" s="820" t="s">
        <v>1835</v>
      </c>
      <c r="D11" s="822" t="s">
        <v>1836</v>
      </c>
      <c r="E11" s="2011" t="s">
        <v>1842</v>
      </c>
      <c r="F11" s="2012"/>
      <c r="G11" s="2013" t="s">
        <v>1843</v>
      </c>
      <c r="H11" s="2012"/>
      <c r="I11" s="2014" t="s">
        <v>1844</v>
      </c>
      <c r="J11" s="2012"/>
      <c r="K11" s="2013" t="s">
        <v>622</v>
      </c>
      <c r="L11" s="2012"/>
      <c r="M11" s="823"/>
      <c r="N11" s="2009" t="s">
        <v>619</v>
      </c>
      <c r="O11" s="2010"/>
      <c r="P11" s="2009" t="s">
        <v>620</v>
      </c>
      <c r="Q11" s="2010"/>
      <c r="R11" s="2009" t="s">
        <v>1844</v>
      </c>
      <c r="S11" s="2010"/>
      <c r="T11" s="2009" t="s">
        <v>622</v>
      </c>
      <c r="U11" s="2010"/>
    </row>
    <row r="12" spans="1:22" ht="13.5" customHeight="1">
      <c r="A12" s="824"/>
      <c r="B12" s="825"/>
      <c r="C12" s="824"/>
      <c r="D12" s="826" t="s">
        <v>1837</v>
      </c>
      <c r="E12" s="827" t="s">
        <v>1838</v>
      </c>
      <c r="F12" s="828" t="s">
        <v>1837</v>
      </c>
      <c r="G12" s="828" t="s">
        <v>1838</v>
      </c>
      <c r="H12" s="828" t="s">
        <v>1837</v>
      </c>
      <c r="I12" s="828" t="s">
        <v>1838</v>
      </c>
      <c r="J12" s="828" t="s">
        <v>1837</v>
      </c>
      <c r="K12" s="828" t="s">
        <v>1838</v>
      </c>
      <c r="L12" s="828" t="s">
        <v>1837</v>
      </c>
      <c r="M12" s="829"/>
      <c r="N12" s="830" t="s">
        <v>1415</v>
      </c>
      <c r="O12" s="830" t="s">
        <v>1839</v>
      </c>
      <c r="P12" s="830" t="s">
        <v>1415</v>
      </c>
      <c r="Q12" s="830" t="s">
        <v>1839</v>
      </c>
      <c r="R12" s="830" t="s">
        <v>1429</v>
      </c>
      <c r="S12" s="830" t="s">
        <v>1839</v>
      </c>
      <c r="T12" s="830" t="s">
        <v>1850</v>
      </c>
      <c r="U12" s="830" t="s">
        <v>1839</v>
      </c>
    </row>
    <row r="13" spans="1:22" ht="13.5" customHeight="1">
      <c r="A13" s="831"/>
      <c r="B13" s="832" t="s">
        <v>1840</v>
      </c>
      <c r="C13" s="831"/>
      <c r="D13" s="833"/>
      <c r="E13" s="834"/>
      <c r="F13" s="835"/>
      <c r="G13" s="835"/>
      <c r="H13" s="835"/>
      <c r="I13" s="835"/>
      <c r="J13" s="835"/>
      <c r="K13" s="835"/>
      <c r="L13" s="835"/>
      <c r="M13" s="816"/>
      <c r="N13" s="835"/>
      <c r="O13" s="835"/>
      <c r="P13" s="835"/>
      <c r="Q13" s="835"/>
      <c r="R13" s="835"/>
      <c r="S13" s="835"/>
      <c r="T13" s="835"/>
      <c r="U13" s="835"/>
    </row>
    <row r="14" spans="1:22" ht="13.5" customHeight="1">
      <c r="A14" s="831"/>
      <c r="B14" s="832" t="s">
        <v>3</v>
      </c>
      <c r="C14" s="831"/>
      <c r="D14" s="833"/>
      <c r="E14" s="834"/>
      <c r="F14" s="835"/>
      <c r="G14" s="835"/>
      <c r="H14" s="835"/>
      <c r="I14" s="835"/>
      <c r="J14" s="835"/>
      <c r="K14" s="835"/>
      <c r="L14" s="835"/>
      <c r="M14" s="816"/>
      <c r="N14" s="835"/>
      <c r="O14" s="835"/>
      <c r="P14" s="835"/>
      <c r="Q14" s="835"/>
      <c r="R14" s="835"/>
      <c r="S14" s="835"/>
      <c r="T14" s="835"/>
      <c r="U14" s="835"/>
    </row>
    <row r="15" spans="1:22" ht="13.5" customHeight="1">
      <c r="A15" s="831"/>
      <c r="B15" s="836" t="s">
        <v>4</v>
      </c>
      <c r="C15" s="837"/>
      <c r="D15" s="833">
        <f>ROUND(SUM(F15,H15,J15,L15),)</f>
        <v>0</v>
      </c>
      <c r="E15" s="834">
        <f t="shared" ref="E15:E47" si="0">N15-ROUND(O15/HLOOKUP(E$10,$B$2:$D$8,6,0),0)</f>
        <v>0</v>
      </c>
      <c r="F15" s="835">
        <f t="shared" ref="F15:F47" si="1">O15+ROUND(E15*HLOOKUP(E$10,$B$2:$D$8,3,0),)-ROUND(N15*HLOOKUP(E$10,$B$2:$D$8,2,0),0)</f>
        <v>0</v>
      </c>
      <c r="G15" s="835">
        <f t="shared" ref="G15:G47" si="2">P15-ROUND(Q15/HLOOKUP(G$10,$B$2:$D$8,6,0),0)</f>
        <v>0</v>
      </c>
      <c r="H15" s="835">
        <f t="shared" ref="H15:H47" si="3">Q15+ROUND(G15*HLOOKUP(G$10,$B$2:$D$8,3,0),)-ROUND(P15*HLOOKUP(G$10,$B$2:$D$8,2,0),0)</f>
        <v>0</v>
      </c>
      <c r="I15" s="835">
        <f t="shared" ref="I15:I47" si="4">R15-ROUND(S15/HLOOKUP(I$10,$B$2:$D$8,6,0),0)</f>
        <v>0</v>
      </c>
      <c r="J15" s="835">
        <f t="shared" ref="J15:J47" si="5">S15+ROUND(I15*HLOOKUP(I$10,$B$2:$D$8,3,0),)-ROUND(R15*HLOOKUP(I$10,$B$2:$D$8,2,0),0)</f>
        <v>0</v>
      </c>
      <c r="K15" s="835">
        <f t="shared" ref="K15:K47" si="6">T15-ROUND(U15/HLOOKUP(K$10,$B$2:$D$8,6,0),0)</f>
        <v>0</v>
      </c>
      <c r="L15" s="835">
        <f t="shared" ref="L15:L47" si="7">U15+ROUND(K15*HLOOKUP(K$10,$B$2:$D$8,3,0),)-ROUND(T15*HLOOKUP(K$10,$B$2:$D$8,2,0),0)</f>
        <v>0</v>
      </c>
      <c r="M15" s="816"/>
      <c r="N15" s="835"/>
      <c r="O15" s="835"/>
      <c r="P15" s="835"/>
      <c r="Q15" s="835"/>
      <c r="R15" s="835"/>
      <c r="S15" s="835"/>
      <c r="T15" s="835"/>
      <c r="U15" s="835"/>
    </row>
    <row r="16" spans="1:22" ht="13.5" customHeight="1">
      <c r="A16" s="831" t="s">
        <v>623</v>
      </c>
      <c r="B16" s="838" t="s">
        <v>6</v>
      </c>
      <c r="C16" s="831" t="s">
        <v>359</v>
      </c>
      <c r="D16" s="833">
        <f>ROUND(SUM(F16,H16,J16,L16),)</f>
        <v>-51474</v>
      </c>
      <c r="E16" s="834">
        <f t="shared" si="0"/>
        <v>-271.39999999999964</v>
      </c>
      <c r="F16" s="835">
        <f t="shared" si="1"/>
        <v>-51474</v>
      </c>
      <c r="G16" s="835">
        <f t="shared" si="2"/>
        <v>0</v>
      </c>
      <c r="H16" s="835">
        <f t="shared" si="3"/>
        <v>0</v>
      </c>
      <c r="I16" s="835">
        <f t="shared" si="4"/>
        <v>0</v>
      </c>
      <c r="J16" s="835">
        <f t="shared" si="5"/>
        <v>0</v>
      </c>
      <c r="K16" s="835">
        <f t="shared" si="6"/>
        <v>0</v>
      </c>
      <c r="L16" s="835">
        <f t="shared" si="7"/>
        <v>0</v>
      </c>
      <c r="M16" s="816"/>
      <c r="N16" s="835">
        <f>SUMIF(HK_BS!$A:$A,환율변동효과!A16,HK_BS!$G:$G)</f>
        <v>4107.6000000000004</v>
      </c>
      <c r="O16" s="835">
        <f>SUMIF(HK_BS!$A:$A,환율변동효과!A16,HK_BS!$H:$H)</f>
        <v>807554</v>
      </c>
      <c r="P16" s="835">
        <f>SUMIF(DHK_BS!$A:$A,환율변동효과!A16,DHK_BS!$G:$G)</f>
        <v>0</v>
      </c>
      <c r="Q16" s="835">
        <f>SUMIF(DHK_BS!$A:$A,환율변동효과!A16,DHK_BS!$K:$K)</f>
        <v>0</v>
      </c>
      <c r="R16" s="835">
        <f>SUMIF(상해_BS!$A:$A,환율변동효과!A16,상해_BS!$G:$G)</f>
        <v>0</v>
      </c>
      <c r="S16" s="835">
        <f>SUMIF(상해_BS!$A:$A,환율변동효과!A16,상해_BS!$K:$K)</f>
        <v>0</v>
      </c>
      <c r="T16" s="835">
        <f>SUMIF(SG_BS!$A:$A,환율변동효과!A16,SG_BS!$G:$G)</f>
        <v>0</v>
      </c>
      <c r="U16" s="835">
        <f>SUMIF(SG_BS!$A:$A,환율변동효과!A16,SG_BS!$K:$K)</f>
        <v>0</v>
      </c>
    </row>
    <row r="17" spans="1:21" ht="13.5" customHeight="1">
      <c r="A17" s="831" t="s">
        <v>624</v>
      </c>
      <c r="B17" s="838" t="s">
        <v>7</v>
      </c>
      <c r="C17" s="831" t="s">
        <v>359</v>
      </c>
      <c r="D17" s="833">
        <f t="shared" ref="D17:D81" si="8">ROUND(SUM(F17,H17,J17,L17),)</f>
        <v>-12741963</v>
      </c>
      <c r="E17" s="834">
        <f t="shared" si="0"/>
        <v>-53805.420000000042</v>
      </c>
      <c r="F17" s="835">
        <f t="shared" si="1"/>
        <v>-10204736</v>
      </c>
      <c r="G17" s="835">
        <f t="shared" si="2"/>
        <v>-8348.6100000000151</v>
      </c>
      <c r="H17" s="835">
        <f t="shared" si="3"/>
        <v>-1583397</v>
      </c>
      <c r="I17" s="835">
        <f t="shared" si="4"/>
        <v>0</v>
      </c>
      <c r="J17" s="835">
        <f t="shared" si="5"/>
        <v>0</v>
      </c>
      <c r="K17" s="835">
        <f t="shared" si="6"/>
        <v>-821.79999999999927</v>
      </c>
      <c r="L17" s="835">
        <f t="shared" si="7"/>
        <v>-953830</v>
      </c>
      <c r="M17" s="816"/>
      <c r="N17" s="835">
        <f>SUMIF(HK_BS!$A:$A,환율변동효과!A17,HK_BS!$G:$G)</f>
        <v>813959.58</v>
      </c>
      <c r="O17" s="835">
        <f>SUMIF(HK_BS!$A:$A,환율변동효과!A17,HK_BS!$H:$H)</f>
        <v>160024453</v>
      </c>
      <c r="P17" s="835">
        <f>SUMIF(DHK_BS!$A:$A,환율변동효과!A17,DHK_BS!$G:$G)</f>
        <v>126300.38999999998</v>
      </c>
      <c r="Q17" s="835">
        <f>SUMIF(DHK_BS!$A:$A,환율변동효과!A17,DHK_BS!$K:$K)</f>
        <v>24830657</v>
      </c>
      <c r="R17" s="835">
        <f>SUMIF(상해_BS!$A:$A,환율변동효과!A17,상해_BS!$G:$G)</f>
        <v>0</v>
      </c>
      <c r="S17" s="835">
        <f>SUMIF(상해_BS!$A:$A,환율변동효과!A17,상해_BS!$K:$K)</f>
        <v>0</v>
      </c>
      <c r="T17" s="835">
        <f>SUMIF(SG_BS!$A:$A,환율변동효과!A17,SG_BS!$G:$G)</f>
        <v>12210.2</v>
      </c>
      <c r="U17" s="835">
        <f>SUMIF(SG_BS!$A:$A,환율변동효과!A17,SG_BS!$K:$K)</f>
        <v>14563594</v>
      </c>
    </row>
    <row r="18" spans="1:21" ht="13.5" customHeight="1">
      <c r="A18" s="831" t="s">
        <v>625</v>
      </c>
      <c r="B18" s="838" t="s">
        <v>626</v>
      </c>
      <c r="C18" s="831" t="s">
        <v>359</v>
      </c>
      <c r="D18" s="833">
        <f t="shared" si="8"/>
        <v>-525362</v>
      </c>
      <c r="E18" s="834">
        <f t="shared" si="0"/>
        <v>-30.480000000000018</v>
      </c>
      <c r="F18" s="835">
        <f t="shared" si="1"/>
        <v>-5781</v>
      </c>
      <c r="G18" s="835">
        <f t="shared" si="2"/>
        <v>0</v>
      </c>
      <c r="H18" s="835">
        <f t="shared" si="3"/>
        <v>0</v>
      </c>
      <c r="I18" s="835">
        <f t="shared" si="4"/>
        <v>0</v>
      </c>
      <c r="J18" s="835">
        <f t="shared" si="5"/>
        <v>0</v>
      </c>
      <c r="K18" s="835">
        <f t="shared" si="6"/>
        <v>-447.65999999999985</v>
      </c>
      <c r="L18" s="835">
        <f t="shared" si="7"/>
        <v>-519581</v>
      </c>
      <c r="M18" s="816"/>
      <c r="N18" s="835">
        <f>SUMIF(HK_BS!$A:$A,환율변동효과!A18,HK_BS!$G:$G)</f>
        <v>456.52</v>
      </c>
      <c r="O18" s="835">
        <f>SUMIF(HK_BS!$A:$A,환율변동효과!A18,HK_BS!$H:$H)</f>
        <v>89752</v>
      </c>
      <c r="P18" s="835">
        <f>SUMIF(DHK_BS!$A:$A,환율변동효과!A18,DHK_BS!$G:$G)</f>
        <v>0</v>
      </c>
      <c r="Q18" s="835">
        <f>SUMIF(DHK_BS!$A:$A,환율변동효과!A18,DHK_BS!$K:$K)</f>
        <v>0</v>
      </c>
      <c r="R18" s="835">
        <f>SUMIF(상해_BS!$A:$A,환율변동효과!A18,상해_BS!$G:$G)</f>
        <v>0</v>
      </c>
      <c r="S18" s="835">
        <f>SUMIF(상해_BS!$A:$A,환율변동효과!A18,상해_BS!$K:$K)</f>
        <v>0</v>
      </c>
      <c r="T18" s="835">
        <f>SUMIF(SG_BS!$A:$A,환율변동효과!A18,SG_BS!$G:$G)</f>
        <v>6647.34</v>
      </c>
      <c r="U18" s="835">
        <f>SUMIF(SG_BS!$A:$A,환율변동효과!A18,SG_BS!$K:$K)</f>
        <v>7928548</v>
      </c>
    </row>
    <row r="19" spans="1:21" ht="13.5" customHeight="1">
      <c r="A19" s="831" t="s">
        <v>627</v>
      </c>
      <c r="B19" s="838" t="s">
        <v>9</v>
      </c>
      <c r="C19" s="831" t="s">
        <v>8</v>
      </c>
      <c r="D19" s="833">
        <f t="shared" si="8"/>
        <v>0</v>
      </c>
      <c r="E19" s="834">
        <f t="shared" si="0"/>
        <v>0</v>
      </c>
      <c r="F19" s="835">
        <f t="shared" si="1"/>
        <v>0</v>
      </c>
      <c r="G19" s="835">
        <f t="shared" si="2"/>
        <v>0</v>
      </c>
      <c r="H19" s="835">
        <f t="shared" si="3"/>
        <v>0</v>
      </c>
      <c r="I19" s="835">
        <f t="shared" si="4"/>
        <v>0</v>
      </c>
      <c r="J19" s="835">
        <f t="shared" si="5"/>
        <v>0</v>
      </c>
      <c r="K19" s="835">
        <f t="shared" si="6"/>
        <v>0</v>
      </c>
      <c r="L19" s="835">
        <f t="shared" si="7"/>
        <v>0</v>
      </c>
      <c r="M19" s="816"/>
      <c r="N19" s="835">
        <f>SUMIF(HK_BS!$A:$A,환율변동효과!A19,HK_BS!$G:$G)</f>
        <v>0</v>
      </c>
      <c r="O19" s="835">
        <f>SUMIF(HK_BS!$A:$A,환율변동효과!A19,HK_BS!$H:$H)</f>
        <v>0</v>
      </c>
      <c r="P19" s="835">
        <f>SUMIF(DHK_BS!$A:$A,환율변동효과!A19,DHK_BS!$G:$G)</f>
        <v>0</v>
      </c>
      <c r="Q19" s="835">
        <f>SUMIF(DHK_BS!$A:$A,환율변동효과!A19,DHK_BS!$K:$K)</f>
        <v>0</v>
      </c>
      <c r="R19" s="835">
        <f>SUMIF(상해_BS!$A:$A,환율변동효과!A19,상해_BS!$G:$G)</f>
        <v>0</v>
      </c>
      <c r="S19" s="835">
        <f>SUMIF(상해_BS!$A:$A,환율변동효과!A19,상해_BS!$K:$K)</f>
        <v>0</v>
      </c>
      <c r="T19" s="835">
        <f>SUMIF(SG_BS!$A:$A,환율변동효과!A19,SG_BS!$G:$G)</f>
        <v>0</v>
      </c>
      <c r="U19" s="835">
        <f>SUMIF(SG_BS!$A:$A,환율변동효과!A19,SG_BS!$K:$K)</f>
        <v>0</v>
      </c>
    </row>
    <row r="20" spans="1:21" ht="13.5" customHeight="1">
      <c r="A20" s="831" t="s">
        <v>628</v>
      </c>
      <c r="B20" s="838" t="s">
        <v>11</v>
      </c>
      <c r="C20" s="831" t="s">
        <v>10</v>
      </c>
      <c r="D20" s="833">
        <f t="shared" si="8"/>
        <v>-109060964</v>
      </c>
      <c r="E20" s="834">
        <f t="shared" si="0"/>
        <v>-575034.08000000007</v>
      </c>
      <c r="F20" s="835">
        <f t="shared" si="1"/>
        <v>-109060964</v>
      </c>
      <c r="G20" s="835">
        <f t="shared" si="2"/>
        <v>0</v>
      </c>
      <c r="H20" s="835">
        <f t="shared" si="3"/>
        <v>0</v>
      </c>
      <c r="I20" s="835">
        <f t="shared" si="4"/>
        <v>0</v>
      </c>
      <c r="J20" s="835">
        <f t="shared" si="5"/>
        <v>0</v>
      </c>
      <c r="K20" s="835">
        <f t="shared" si="6"/>
        <v>0</v>
      </c>
      <c r="L20" s="835">
        <f t="shared" si="7"/>
        <v>0</v>
      </c>
      <c r="M20" s="816"/>
      <c r="N20" s="835">
        <f>SUMIF(HK_BS!$A:$A,환율변동효과!A20,HK_BS!$G:$G)</f>
        <v>8699100.9199999999</v>
      </c>
      <c r="O20" s="835">
        <f>SUMIF(HK_BS!$A:$A,환율변동효과!A20,HK_BS!$H:$H)</f>
        <v>1710243241</v>
      </c>
      <c r="P20" s="835">
        <f>SUMIF(DHK_BS!$A:$A,환율변동효과!A20,DHK_BS!$G:$G)</f>
        <v>0</v>
      </c>
      <c r="Q20" s="835">
        <f>SUMIF(DHK_BS!$A:$A,환율변동효과!A20,DHK_BS!$K:$K)</f>
        <v>0</v>
      </c>
      <c r="R20" s="835">
        <f>SUMIF(상해_BS!$A:$A,환율변동효과!A20,상해_BS!$G:$G)</f>
        <v>0</v>
      </c>
      <c r="S20" s="835">
        <f>SUMIF(상해_BS!$A:$A,환율변동효과!A20,상해_BS!$K:$K)</f>
        <v>0</v>
      </c>
      <c r="T20" s="835">
        <f>SUMIF(SG_BS!$A:$A,환율변동효과!A20,SG_BS!$G:$G)</f>
        <v>0</v>
      </c>
      <c r="U20" s="835">
        <f>SUMIF(SG_BS!$A:$A,환율변동효과!A20,SG_BS!$K:$K)</f>
        <v>0</v>
      </c>
    </row>
    <row r="21" spans="1:21" ht="13.5" customHeight="1">
      <c r="A21" s="831" t="s">
        <v>629</v>
      </c>
      <c r="B21" s="838" t="s">
        <v>818</v>
      </c>
      <c r="C21" s="831" t="s">
        <v>12</v>
      </c>
      <c r="D21" s="833">
        <f t="shared" si="8"/>
        <v>0</v>
      </c>
      <c r="E21" s="834">
        <f t="shared" si="0"/>
        <v>0</v>
      </c>
      <c r="F21" s="835">
        <f t="shared" si="1"/>
        <v>0</v>
      </c>
      <c r="G21" s="835">
        <f t="shared" si="2"/>
        <v>0</v>
      </c>
      <c r="H21" s="835">
        <f t="shared" si="3"/>
        <v>0</v>
      </c>
      <c r="I21" s="835">
        <f t="shared" si="4"/>
        <v>0</v>
      </c>
      <c r="J21" s="835">
        <f t="shared" si="5"/>
        <v>0</v>
      </c>
      <c r="K21" s="835">
        <f t="shared" si="6"/>
        <v>0</v>
      </c>
      <c r="L21" s="835">
        <f t="shared" si="7"/>
        <v>0</v>
      </c>
      <c r="M21" s="816"/>
      <c r="N21" s="835">
        <f>SUMIF(HK_BS!$A:$A,환율변동효과!A21,HK_BS!$G:$G)</f>
        <v>0</v>
      </c>
      <c r="O21" s="835">
        <f>SUMIF(HK_BS!$A:$A,환율변동효과!A21,HK_BS!$H:$H)</f>
        <v>0</v>
      </c>
      <c r="P21" s="835">
        <f>SUMIF(DHK_BS!$A:$A,환율변동효과!A21,DHK_BS!$G:$G)</f>
        <v>0</v>
      </c>
      <c r="Q21" s="835">
        <f>SUMIF(DHK_BS!$A:$A,환율변동효과!A21,DHK_BS!$K:$K)</f>
        <v>0</v>
      </c>
      <c r="R21" s="835">
        <f>SUMIF(상해_BS!$A:$A,환율변동효과!A21,상해_BS!$G:$G)</f>
        <v>0</v>
      </c>
      <c r="S21" s="835">
        <f>SUMIF(상해_BS!$A:$A,환율변동효과!A21,상해_BS!$K:$K)</f>
        <v>0</v>
      </c>
      <c r="T21" s="835">
        <f>SUMIF(SG_BS!$A:$A,환율변동효과!A21,SG_BS!$G:$G)</f>
        <v>0</v>
      </c>
      <c r="U21" s="835">
        <f>SUMIF(SG_BS!$A:$A,환율변동효과!A21,SG_BS!$K:$K)</f>
        <v>0</v>
      </c>
    </row>
    <row r="22" spans="1:21" ht="13.5" customHeight="1">
      <c r="A22" s="831" t="s">
        <v>630</v>
      </c>
      <c r="B22" s="838" t="s">
        <v>15</v>
      </c>
      <c r="C22" s="831" t="s">
        <v>15</v>
      </c>
      <c r="D22" s="833">
        <f t="shared" si="8"/>
        <v>0</v>
      </c>
      <c r="E22" s="834">
        <f t="shared" si="0"/>
        <v>0</v>
      </c>
      <c r="F22" s="835">
        <f t="shared" si="1"/>
        <v>0</v>
      </c>
      <c r="G22" s="835">
        <f t="shared" si="2"/>
        <v>0</v>
      </c>
      <c r="H22" s="835">
        <f t="shared" si="3"/>
        <v>0</v>
      </c>
      <c r="I22" s="835">
        <f t="shared" si="4"/>
        <v>0</v>
      </c>
      <c r="J22" s="835">
        <f t="shared" si="5"/>
        <v>0</v>
      </c>
      <c r="K22" s="835">
        <f t="shared" si="6"/>
        <v>0</v>
      </c>
      <c r="L22" s="835">
        <f t="shared" si="7"/>
        <v>0</v>
      </c>
      <c r="M22" s="816"/>
      <c r="N22" s="835">
        <f>SUMIF(HK_BS!$A:$A,환율변동효과!A22,HK_BS!$G:$G)</f>
        <v>0</v>
      </c>
      <c r="O22" s="835">
        <f>SUMIF(HK_BS!$A:$A,환율변동효과!A22,HK_BS!$H:$H)</f>
        <v>0</v>
      </c>
      <c r="P22" s="835">
        <f>SUMIF(DHK_BS!$A:$A,환율변동효과!A22,DHK_BS!$G:$G)</f>
        <v>0</v>
      </c>
      <c r="Q22" s="835">
        <f>SUMIF(DHK_BS!$A:$A,환율변동효과!A22,DHK_BS!$K:$K)</f>
        <v>0</v>
      </c>
      <c r="R22" s="835">
        <f>SUMIF(상해_BS!$A:$A,환율변동효과!A22,상해_BS!$G:$G)</f>
        <v>0</v>
      </c>
      <c r="S22" s="835">
        <f>SUMIF(상해_BS!$A:$A,환율변동효과!A22,상해_BS!$K:$K)</f>
        <v>0</v>
      </c>
      <c r="T22" s="835">
        <f>SUMIF(SG_BS!$A:$A,환율변동효과!A22,SG_BS!$G:$G)</f>
        <v>0</v>
      </c>
      <c r="U22" s="835">
        <f>SUMIF(SG_BS!$A:$A,환율변동효과!A22,SG_BS!$K:$K)</f>
        <v>0</v>
      </c>
    </row>
    <row r="23" spans="1:21" ht="13.5" customHeight="1">
      <c r="A23" s="831" t="s">
        <v>631</v>
      </c>
      <c r="B23" s="838" t="s">
        <v>816</v>
      </c>
      <c r="C23" s="831" t="s">
        <v>1504</v>
      </c>
      <c r="D23" s="833">
        <f t="shared" si="8"/>
        <v>0</v>
      </c>
      <c r="E23" s="834">
        <f t="shared" si="0"/>
        <v>0</v>
      </c>
      <c r="F23" s="835">
        <f t="shared" si="1"/>
        <v>0</v>
      </c>
      <c r="G23" s="835">
        <f t="shared" si="2"/>
        <v>0</v>
      </c>
      <c r="H23" s="835">
        <f t="shared" si="3"/>
        <v>0</v>
      </c>
      <c r="I23" s="835">
        <f t="shared" si="4"/>
        <v>0</v>
      </c>
      <c r="J23" s="835">
        <f t="shared" si="5"/>
        <v>0</v>
      </c>
      <c r="K23" s="835">
        <f t="shared" si="6"/>
        <v>0</v>
      </c>
      <c r="L23" s="835">
        <f t="shared" si="7"/>
        <v>0</v>
      </c>
      <c r="M23" s="816"/>
      <c r="N23" s="835">
        <f>SUMIF(HK_BS!$A:$A,환율변동효과!A23,HK_BS!$G:$G)</f>
        <v>0</v>
      </c>
      <c r="O23" s="835">
        <f>SUMIF(HK_BS!$A:$A,환율변동효과!A23,HK_BS!$H:$H)</f>
        <v>0</v>
      </c>
      <c r="P23" s="835">
        <f>SUMIF(DHK_BS!$A:$A,환율변동효과!A23,DHK_BS!$G:$G)</f>
        <v>0</v>
      </c>
      <c r="Q23" s="835">
        <f>SUMIF(DHK_BS!$A:$A,환율변동효과!A23,DHK_BS!$K:$K)</f>
        <v>0</v>
      </c>
      <c r="R23" s="835">
        <f>SUMIF(상해_BS!$A:$A,환율변동효과!A23,상해_BS!$G:$G)</f>
        <v>0</v>
      </c>
      <c r="S23" s="835">
        <f>SUMIF(상해_BS!$A:$A,환율변동효과!A23,상해_BS!$K:$K)</f>
        <v>0</v>
      </c>
      <c r="T23" s="835">
        <f>SUMIF(SG_BS!$A:$A,환율변동효과!A23,SG_BS!$G:$G)</f>
        <v>0</v>
      </c>
      <c r="U23" s="835">
        <f>SUMIF(SG_BS!$A:$A,환율변동효과!A23,SG_BS!$K:$K)</f>
        <v>0</v>
      </c>
    </row>
    <row r="24" spans="1:21" ht="13.5" customHeight="1">
      <c r="A24" s="831" t="s">
        <v>632</v>
      </c>
      <c r="B24" s="838" t="s">
        <v>13</v>
      </c>
      <c r="C24" s="831" t="s">
        <v>13</v>
      </c>
      <c r="D24" s="833">
        <f t="shared" si="8"/>
        <v>0</v>
      </c>
      <c r="E24" s="834">
        <f t="shared" si="0"/>
        <v>0</v>
      </c>
      <c r="F24" s="835">
        <f t="shared" si="1"/>
        <v>0</v>
      </c>
      <c r="G24" s="835">
        <f t="shared" si="2"/>
        <v>0</v>
      </c>
      <c r="H24" s="835">
        <f t="shared" si="3"/>
        <v>0</v>
      </c>
      <c r="I24" s="835">
        <f t="shared" si="4"/>
        <v>0</v>
      </c>
      <c r="J24" s="835">
        <f t="shared" si="5"/>
        <v>0</v>
      </c>
      <c r="K24" s="835">
        <f t="shared" si="6"/>
        <v>0</v>
      </c>
      <c r="L24" s="835">
        <f t="shared" si="7"/>
        <v>0</v>
      </c>
      <c r="M24" s="816"/>
      <c r="N24" s="835">
        <f>SUMIF(HK_BS!$A:$A,환율변동효과!A24,HK_BS!$G:$G)</f>
        <v>0</v>
      </c>
      <c r="O24" s="835">
        <f>SUMIF(HK_BS!$A:$A,환율변동효과!A24,HK_BS!$H:$H)</f>
        <v>0</v>
      </c>
      <c r="P24" s="835">
        <f>SUMIF(DHK_BS!$A:$A,환율변동효과!A24,DHK_BS!$G:$G)</f>
        <v>0</v>
      </c>
      <c r="Q24" s="835">
        <f>SUMIF(DHK_BS!$A:$A,환율변동효과!A24,DHK_BS!$K:$K)</f>
        <v>0</v>
      </c>
      <c r="R24" s="835">
        <f>SUMIF(상해_BS!$A:$A,환율변동효과!A24,상해_BS!$G:$G)</f>
        <v>0</v>
      </c>
      <c r="S24" s="835">
        <f>SUMIF(상해_BS!$A:$A,환율변동효과!A24,상해_BS!$K:$K)</f>
        <v>0</v>
      </c>
      <c r="T24" s="835">
        <f>SUMIF(SG_BS!$A:$A,환율변동효과!A24,SG_BS!$G:$G)</f>
        <v>0</v>
      </c>
      <c r="U24" s="835">
        <f>SUMIF(SG_BS!$A:$A,환율변동효과!A24,SG_BS!$K:$K)</f>
        <v>0</v>
      </c>
    </row>
    <row r="25" spans="1:21" ht="13.5" customHeight="1">
      <c r="A25" s="831" t="s">
        <v>633</v>
      </c>
      <c r="B25" s="838" t="s">
        <v>814</v>
      </c>
      <c r="C25" s="831" t="s">
        <v>14</v>
      </c>
      <c r="D25" s="833">
        <f t="shared" si="8"/>
        <v>0</v>
      </c>
      <c r="E25" s="834">
        <f t="shared" si="0"/>
        <v>0</v>
      </c>
      <c r="F25" s="835">
        <f t="shared" si="1"/>
        <v>0</v>
      </c>
      <c r="G25" s="835">
        <f t="shared" si="2"/>
        <v>0</v>
      </c>
      <c r="H25" s="835">
        <f t="shared" si="3"/>
        <v>0</v>
      </c>
      <c r="I25" s="835">
        <f t="shared" si="4"/>
        <v>0</v>
      </c>
      <c r="J25" s="835">
        <f t="shared" si="5"/>
        <v>0</v>
      </c>
      <c r="K25" s="835">
        <f t="shared" si="6"/>
        <v>0</v>
      </c>
      <c r="L25" s="835">
        <f t="shared" si="7"/>
        <v>0</v>
      </c>
      <c r="M25" s="816"/>
      <c r="N25" s="835">
        <f>SUMIF(HK_BS!$A:$A,환율변동효과!A25,HK_BS!$G:$G)</f>
        <v>0</v>
      </c>
      <c r="O25" s="835">
        <f>SUMIF(HK_BS!$A:$A,환율변동효과!A25,HK_BS!$H:$H)</f>
        <v>0</v>
      </c>
      <c r="P25" s="835">
        <f>SUMIF(DHK_BS!$A:$A,환율변동효과!A25,DHK_BS!$G:$G)</f>
        <v>0</v>
      </c>
      <c r="Q25" s="835">
        <f>SUMIF(DHK_BS!$A:$A,환율변동효과!A25,DHK_BS!$K:$K)</f>
        <v>0</v>
      </c>
      <c r="R25" s="835">
        <f>SUMIF(상해_BS!$A:$A,환율변동효과!A25,상해_BS!$G:$G)</f>
        <v>0</v>
      </c>
      <c r="S25" s="835">
        <f>SUMIF(상해_BS!$A:$A,환율변동효과!A25,상해_BS!$K:$K)</f>
        <v>0</v>
      </c>
      <c r="T25" s="835">
        <f>SUMIF(SG_BS!$A:$A,환율변동효과!A25,SG_BS!$G:$G)</f>
        <v>0</v>
      </c>
      <c r="U25" s="835">
        <f>SUMIF(SG_BS!$A:$A,환율변동효과!A25,SG_BS!$K:$K)</f>
        <v>0</v>
      </c>
    </row>
    <row r="26" spans="1:21" ht="13.5" customHeight="1">
      <c r="A26" s="831" t="s">
        <v>634</v>
      </c>
      <c r="B26" s="838" t="s">
        <v>16</v>
      </c>
      <c r="C26" s="831" t="s">
        <v>16</v>
      </c>
      <c r="D26" s="833">
        <f t="shared" si="8"/>
        <v>-238332</v>
      </c>
      <c r="E26" s="834">
        <f t="shared" si="0"/>
        <v>-853.14999999999964</v>
      </c>
      <c r="F26" s="835">
        <f t="shared" si="1"/>
        <v>-161809</v>
      </c>
      <c r="G26" s="835">
        <f t="shared" si="2"/>
        <v>-403.47999999999956</v>
      </c>
      <c r="H26" s="835">
        <f t="shared" si="3"/>
        <v>-76523</v>
      </c>
      <c r="I26" s="835">
        <f t="shared" si="4"/>
        <v>0</v>
      </c>
      <c r="J26" s="835">
        <f t="shared" si="5"/>
        <v>0</v>
      </c>
      <c r="K26" s="835">
        <f t="shared" si="6"/>
        <v>0</v>
      </c>
      <c r="L26" s="835">
        <f t="shared" si="7"/>
        <v>0</v>
      </c>
      <c r="M26" s="816"/>
      <c r="N26" s="835">
        <f>SUMIF(HK_BS!$A:$A,환율변동효과!A26,HK_BS!$G:$G)</f>
        <v>12909.85</v>
      </c>
      <c r="O26" s="835">
        <f>SUMIF(HK_BS!$A:$A,환율변동효과!A26,HK_BS!$H:$H)</f>
        <v>2538076</v>
      </c>
      <c r="P26" s="835">
        <f>SUMIF(DHK_BS!$A:$A,환율변동효과!A26,DHK_BS!$G:$G)</f>
        <v>6107.52</v>
      </c>
      <c r="Q26" s="835">
        <f>SUMIF(DHK_BS!$A:$A,환율변동효과!A26,DHK_BS!$K:$K)</f>
        <v>1200739</v>
      </c>
      <c r="R26" s="835">
        <f>SUMIF(상해_BS!$A:$A,환율변동효과!A26,상해_BS!$G:$G)</f>
        <v>0</v>
      </c>
      <c r="S26" s="835">
        <f>SUMIF(상해_BS!$A:$A,환율변동효과!A26,상해_BS!$K:$K)</f>
        <v>0</v>
      </c>
      <c r="T26" s="835">
        <f>SUMIF(SG_BS!$A:$A,환율변동효과!A26,SG_BS!$G:$G)</f>
        <v>0</v>
      </c>
      <c r="U26" s="835">
        <f>SUMIF(SG_BS!$A:$A,환율변동효과!A26,SG_BS!$K:$K)</f>
        <v>0</v>
      </c>
    </row>
    <row r="27" spans="1:21" ht="13.5" customHeight="1">
      <c r="A27" s="831" t="s">
        <v>635</v>
      </c>
      <c r="B27" s="838" t="s">
        <v>812</v>
      </c>
      <c r="C27" s="831" t="s">
        <v>1505</v>
      </c>
      <c r="D27" s="833">
        <f t="shared" si="8"/>
        <v>0</v>
      </c>
      <c r="E27" s="834">
        <f t="shared" si="0"/>
        <v>0</v>
      </c>
      <c r="F27" s="835">
        <f t="shared" si="1"/>
        <v>0</v>
      </c>
      <c r="G27" s="835">
        <f t="shared" si="2"/>
        <v>0</v>
      </c>
      <c r="H27" s="835">
        <f t="shared" si="3"/>
        <v>0</v>
      </c>
      <c r="I27" s="835">
        <f t="shared" si="4"/>
        <v>0</v>
      </c>
      <c r="J27" s="835">
        <f t="shared" si="5"/>
        <v>0</v>
      </c>
      <c r="K27" s="835">
        <f t="shared" si="6"/>
        <v>0</v>
      </c>
      <c r="L27" s="835">
        <f t="shared" si="7"/>
        <v>0</v>
      </c>
      <c r="M27" s="816"/>
      <c r="N27" s="835">
        <f>SUMIF(HK_BS!$A:$A,환율변동효과!A27,HK_BS!$G:$G)</f>
        <v>0</v>
      </c>
      <c r="O27" s="835">
        <f>SUMIF(HK_BS!$A:$A,환율변동효과!A27,HK_BS!$H:$H)</f>
        <v>0</v>
      </c>
      <c r="P27" s="835">
        <f>SUMIF(DHK_BS!$A:$A,환율변동효과!A27,DHK_BS!$G:$G)</f>
        <v>0</v>
      </c>
      <c r="Q27" s="835">
        <f>SUMIF(DHK_BS!$A:$A,환율변동효과!A27,DHK_BS!$K:$K)</f>
        <v>0</v>
      </c>
      <c r="R27" s="835">
        <f>SUMIF(상해_BS!$A:$A,환율변동효과!A27,상해_BS!$G:$G)</f>
        <v>0</v>
      </c>
      <c r="S27" s="835">
        <f>SUMIF(상해_BS!$A:$A,환율변동효과!A27,상해_BS!$K:$K)</f>
        <v>0</v>
      </c>
      <c r="T27" s="835">
        <f>SUMIF(SG_BS!$A:$A,환율변동효과!A27,SG_BS!$G:$G)</f>
        <v>0</v>
      </c>
      <c r="U27" s="835">
        <f>SUMIF(SG_BS!$A:$A,환율변동효과!A27,SG_BS!$K:$K)</f>
        <v>0</v>
      </c>
    </row>
    <row r="28" spans="1:21" ht="13.5" customHeight="1">
      <c r="A28" s="831" t="s">
        <v>636</v>
      </c>
      <c r="B28" s="838" t="s">
        <v>17</v>
      </c>
      <c r="C28" s="831" t="s">
        <v>17</v>
      </c>
      <c r="D28" s="833">
        <f t="shared" si="8"/>
        <v>0</v>
      </c>
      <c r="E28" s="834">
        <f t="shared" si="0"/>
        <v>0</v>
      </c>
      <c r="F28" s="835">
        <f t="shared" si="1"/>
        <v>0</v>
      </c>
      <c r="G28" s="835">
        <f t="shared" si="2"/>
        <v>0</v>
      </c>
      <c r="H28" s="835">
        <f t="shared" si="3"/>
        <v>0</v>
      </c>
      <c r="I28" s="835">
        <f t="shared" si="4"/>
        <v>0</v>
      </c>
      <c r="J28" s="835">
        <f t="shared" si="5"/>
        <v>0</v>
      </c>
      <c r="K28" s="835">
        <f t="shared" si="6"/>
        <v>0</v>
      </c>
      <c r="L28" s="835">
        <f t="shared" si="7"/>
        <v>0</v>
      </c>
      <c r="M28" s="816"/>
      <c r="N28" s="835">
        <f>SUMIF(HK_BS!$A:$A,환율변동효과!A28,HK_BS!$G:$G)</f>
        <v>0</v>
      </c>
      <c r="O28" s="835">
        <f>SUMIF(HK_BS!$A:$A,환율변동효과!A28,HK_BS!$H:$H)</f>
        <v>0</v>
      </c>
      <c r="P28" s="835">
        <f>SUMIF(DHK_BS!$A:$A,환율변동효과!A28,DHK_BS!$G:$G)</f>
        <v>0</v>
      </c>
      <c r="Q28" s="835">
        <f>SUMIF(DHK_BS!$A:$A,환율변동효과!A28,DHK_BS!$K:$K)</f>
        <v>0</v>
      </c>
      <c r="R28" s="835">
        <f>SUMIF(상해_BS!$A:$A,환율변동효과!A28,상해_BS!$G:$G)</f>
        <v>0</v>
      </c>
      <c r="S28" s="835">
        <f>SUMIF(상해_BS!$A:$A,환율변동효과!A28,상해_BS!$K:$K)</f>
        <v>0</v>
      </c>
      <c r="T28" s="835">
        <f>SUMIF(SG_BS!$A:$A,환율변동효과!A28,SG_BS!$G:$G)</f>
        <v>0</v>
      </c>
      <c r="U28" s="835">
        <f>SUMIF(SG_BS!$A:$A,환율변동효과!A28,SG_BS!$K:$K)</f>
        <v>0</v>
      </c>
    </row>
    <row r="29" spans="1:21" ht="13.5" customHeight="1">
      <c r="A29" s="831" t="s">
        <v>637</v>
      </c>
      <c r="B29" s="838" t="s">
        <v>638</v>
      </c>
      <c r="C29" s="831" t="s">
        <v>1506</v>
      </c>
      <c r="D29" s="833">
        <f t="shared" si="8"/>
        <v>0</v>
      </c>
      <c r="E29" s="834">
        <f t="shared" si="0"/>
        <v>0</v>
      </c>
      <c r="F29" s="835">
        <f t="shared" si="1"/>
        <v>0</v>
      </c>
      <c r="G29" s="835">
        <f t="shared" si="2"/>
        <v>0</v>
      </c>
      <c r="H29" s="835">
        <f t="shared" si="3"/>
        <v>0</v>
      </c>
      <c r="I29" s="835">
        <f t="shared" si="4"/>
        <v>0</v>
      </c>
      <c r="J29" s="835">
        <f t="shared" si="5"/>
        <v>0</v>
      </c>
      <c r="K29" s="835">
        <f t="shared" si="6"/>
        <v>0</v>
      </c>
      <c r="L29" s="835">
        <f t="shared" si="7"/>
        <v>0</v>
      </c>
      <c r="M29" s="816"/>
      <c r="N29" s="835">
        <f>SUMIF(HK_BS!$A:$A,환율변동효과!A29,HK_BS!$G:$G)</f>
        <v>0</v>
      </c>
      <c r="O29" s="835">
        <f>SUMIF(HK_BS!$A:$A,환율변동효과!A29,HK_BS!$H:$H)</f>
        <v>0</v>
      </c>
      <c r="P29" s="835">
        <f>SUMIF(DHK_BS!$A:$A,환율변동효과!A29,DHK_BS!$G:$G)</f>
        <v>0</v>
      </c>
      <c r="Q29" s="835">
        <f>SUMIF(DHK_BS!$A:$A,환율변동효과!A29,DHK_BS!$K:$K)</f>
        <v>0</v>
      </c>
      <c r="R29" s="835">
        <f>SUMIF(상해_BS!$A:$A,환율변동효과!A29,상해_BS!$G:$G)</f>
        <v>0</v>
      </c>
      <c r="S29" s="835">
        <f>SUMIF(상해_BS!$A:$A,환율변동효과!A29,상해_BS!$K:$K)</f>
        <v>0</v>
      </c>
      <c r="T29" s="835">
        <f>SUMIF(SG_BS!$A:$A,환율변동효과!A29,SG_BS!$G:$G)</f>
        <v>0</v>
      </c>
      <c r="U29" s="835">
        <f>SUMIF(SG_BS!$A:$A,환율변동효과!A29,SG_BS!$K:$K)</f>
        <v>0</v>
      </c>
    </row>
    <row r="30" spans="1:21" ht="13.5" customHeight="1">
      <c r="A30" s="831" t="s">
        <v>639</v>
      </c>
      <c r="B30" s="838" t="s">
        <v>640</v>
      </c>
      <c r="C30" s="831" t="s">
        <v>105</v>
      </c>
      <c r="D30" s="833">
        <f t="shared" si="8"/>
        <v>0</v>
      </c>
      <c r="E30" s="834">
        <f t="shared" si="0"/>
        <v>0</v>
      </c>
      <c r="F30" s="835">
        <f t="shared" si="1"/>
        <v>0</v>
      </c>
      <c r="G30" s="835">
        <f t="shared" si="2"/>
        <v>0</v>
      </c>
      <c r="H30" s="835">
        <f t="shared" si="3"/>
        <v>0</v>
      </c>
      <c r="I30" s="835">
        <f t="shared" si="4"/>
        <v>0</v>
      </c>
      <c r="J30" s="835">
        <f t="shared" si="5"/>
        <v>0</v>
      </c>
      <c r="K30" s="835">
        <f t="shared" si="6"/>
        <v>0</v>
      </c>
      <c r="L30" s="835">
        <f t="shared" si="7"/>
        <v>0</v>
      </c>
      <c r="M30" s="816"/>
      <c r="N30" s="835">
        <f>SUMIF(HK_BS!$A:$A,환율변동효과!A30,HK_BS!$G:$G)</f>
        <v>0</v>
      </c>
      <c r="O30" s="835">
        <f>SUMIF(HK_BS!$A:$A,환율변동효과!A30,HK_BS!$H:$H)</f>
        <v>0</v>
      </c>
      <c r="P30" s="835">
        <f>SUMIF(DHK_BS!$A:$A,환율변동효과!A30,DHK_BS!$G:$G)</f>
        <v>0</v>
      </c>
      <c r="Q30" s="835">
        <f>SUMIF(DHK_BS!$A:$A,환율변동효과!A30,DHK_BS!$K:$K)</f>
        <v>0</v>
      </c>
      <c r="R30" s="835">
        <f>SUMIF(상해_BS!$A:$A,환율변동효과!A30,상해_BS!$G:$G)</f>
        <v>0</v>
      </c>
      <c r="S30" s="835">
        <f>SUMIF(상해_BS!$A:$A,환율변동효과!A30,상해_BS!$K:$K)</f>
        <v>0</v>
      </c>
      <c r="T30" s="835">
        <f>SUMIF(SG_BS!$A:$A,환율변동효과!A30,SG_BS!$G:$G)</f>
        <v>0</v>
      </c>
      <c r="U30" s="835">
        <f>SUMIF(SG_BS!$A:$A,환율변동효과!A30,SG_BS!$K:$K)</f>
        <v>0</v>
      </c>
    </row>
    <row r="31" spans="1:21" ht="13.5" customHeight="1">
      <c r="A31" s="831" t="s">
        <v>641</v>
      </c>
      <c r="B31" s="838" t="s">
        <v>642</v>
      </c>
      <c r="C31" s="831" t="s">
        <v>106</v>
      </c>
      <c r="D31" s="833">
        <f t="shared" si="8"/>
        <v>-785278</v>
      </c>
      <c r="E31" s="834">
        <f t="shared" si="0"/>
        <v>-2894</v>
      </c>
      <c r="F31" s="835">
        <f t="shared" si="1"/>
        <v>-548876</v>
      </c>
      <c r="G31" s="835">
        <f t="shared" si="2"/>
        <v>0</v>
      </c>
      <c r="H31" s="835">
        <f t="shared" si="3"/>
        <v>0</v>
      </c>
      <c r="I31" s="835">
        <f t="shared" si="4"/>
        <v>-1093.2900000000009</v>
      </c>
      <c r="J31" s="835">
        <f t="shared" si="5"/>
        <v>-236402</v>
      </c>
      <c r="K31" s="835">
        <f t="shared" si="6"/>
        <v>0</v>
      </c>
      <c r="L31" s="835">
        <f t="shared" si="7"/>
        <v>0</v>
      </c>
      <c r="M31" s="816"/>
      <c r="N31" s="835">
        <f>SUMIF(HK_BS!$A:$A,환율변동효과!A31,HK_BS!$G:$G)</f>
        <v>43781</v>
      </c>
      <c r="O31" s="835">
        <f>SUMIF(HK_BS!$A:$A,환율변동효과!A31,HK_BS!$H:$H)</f>
        <v>8607345</v>
      </c>
      <c r="P31" s="835">
        <f>SUMIF(DHK_BS!$A:$A,환율변동효과!A31,DHK_BS!$G:$G)</f>
        <v>0</v>
      </c>
      <c r="Q31" s="835">
        <f>SUMIF(DHK_BS!$A:$A,환율변동효과!A31,DHK_BS!$K:$K)</f>
        <v>0</v>
      </c>
      <c r="R31" s="835">
        <f>SUMIF(상해_BS!$A:$A,환율변동효과!A31,상해_BS!$G:$G)</f>
        <v>10076.709999999999</v>
      </c>
      <c r="S31" s="835">
        <f>SUMIF(상해_BS!$A:$A,환율변동효과!A31,상해_BS!$K:$K)</f>
        <v>2287111</v>
      </c>
      <c r="T31" s="835">
        <f>SUMIF(SG_BS!$A:$A,환율변동효과!A31,SG_BS!$G:$G)</f>
        <v>0</v>
      </c>
      <c r="U31" s="835">
        <f>SUMIF(SG_BS!$A:$A,환율변동효과!A31,SG_BS!$K:$K)</f>
        <v>0</v>
      </c>
    </row>
    <row r="32" spans="1:21" ht="13.5" customHeight="1">
      <c r="A32" s="831" t="s">
        <v>2509</v>
      </c>
      <c r="B32" s="838" t="s">
        <v>2612</v>
      </c>
      <c r="C32" s="831" t="s">
        <v>2613</v>
      </c>
      <c r="D32" s="833">
        <f t="shared" ref="D32" si="9">ROUND(SUM(F32,H32,J32,L32),)</f>
        <v>-3726156</v>
      </c>
      <c r="E32" s="834">
        <f t="shared" ref="E32" si="10">N32-ROUND(O32/HLOOKUP(E$10,$B$2:$D$8,6,0),0)</f>
        <v>-6048</v>
      </c>
      <c r="F32" s="835">
        <f t="shared" ref="F32" si="11">O32+ROUND(E32*HLOOKUP(E$10,$B$2:$D$8,3,0),)-ROUND(N32*HLOOKUP(E$10,$B$2:$D$8,2,0),0)</f>
        <v>-1147064</v>
      </c>
      <c r="G32" s="835">
        <f t="shared" ref="G32" si="12">P32-ROUND(Q32/HLOOKUP(G$10,$B$2:$D$8,6,0),0)</f>
        <v>-13598.5</v>
      </c>
      <c r="H32" s="835">
        <f t="shared" ref="H32" si="13">Q32+ROUND(G32*HLOOKUP(G$10,$B$2:$D$8,3,0),)-ROUND(P32*HLOOKUP(G$10,$B$2:$D$8,2,0),0)</f>
        <v>-2579092</v>
      </c>
      <c r="I32" s="835">
        <f t="shared" ref="I32" si="14">R32-ROUND(S32/HLOOKUP(I$10,$B$2:$D$8,6,0),0)</f>
        <v>0</v>
      </c>
      <c r="J32" s="835">
        <f t="shared" ref="J32" si="15">S32+ROUND(I32*HLOOKUP(I$10,$B$2:$D$8,3,0),)-ROUND(R32*HLOOKUP(I$10,$B$2:$D$8,2,0),0)</f>
        <v>0</v>
      </c>
      <c r="K32" s="835">
        <f t="shared" ref="K32" si="16">T32-ROUND(U32/HLOOKUP(K$10,$B$2:$D$8,6,0),0)</f>
        <v>0</v>
      </c>
      <c r="L32" s="835">
        <f t="shared" ref="L32" si="17">U32+ROUND(K32*HLOOKUP(K$10,$B$2:$D$8,3,0),)-ROUND(T32*HLOOKUP(K$10,$B$2:$D$8,2,0),0)</f>
        <v>0</v>
      </c>
      <c r="M32" s="816"/>
      <c r="N32" s="835">
        <f>SUMIF(HK_BS!$A:$A,환율변동효과!A32,HK_BS!$G:$G)</f>
        <v>91500</v>
      </c>
      <c r="O32" s="835">
        <f>SUMIF(HK_BS!$A:$A,환율변동효과!A32,HK_BS!$H:$H)</f>
        <v>17988900</v>
      </c>
      <c r="P32" s="835">
        <f>SUMIF(DHK_BS!$A:$A,환율변동효과!A32,DHK_BS!$G:$G)</f>
        <v>205715.5</v>
      </c>
      <c r="Q32" s="835">
        <f>SUMIF(DHK_BS!$A:$A,환율변동효과!A32,DHK_BS!$K:$K)</f>
        <v>40443667</v>
      </c>
      <c r="R32" s="835">
        <f>SUMIF(상해_BS!$A:$A,환율변동효과!A32,상해_BS!$G:$G)</f>
        <v>0</v>
      </c>
      <c r="S32" s="835">
        <f>SUMIF(상해_BS!$A:$A,환율변동효과!A32,상해_BS!$K:$K)</f>
        <v>0</v>
      </c>
      <c r="T32" s="835">
        <f>SUMIF(SG_BS!$A:$A,환율변동효과!A32,SG_BS!$G:$G)</f>
        <v>0</v>
      </c>
      <c r="U32" s="835">
        <f>SUMIF(SG_BS!$A:$A,환율변동효과!A32,SG_BS!$K:$K)</f>
        <v>0</v>
      </c>
    </row>
    <row r="33" spans="1:21" ht="13.5" customHeight="1">
      <c r="A33" s="831" t="s">
        <v>645</v>
      </c>
      <c r="B33" s="838" t="s">
        <v>23</v>
      </c>
      <c r="C33" s="831" t="s">
        <v>23</v>
      </c>
      <c r="D33" s="833">
        <f t="shared" si="8"/>
        <v>-9043647</v>
      </c>
      <c r="E33" s="834">
        <f t="shared" si="0"/>
        <v>-47683.469999999972</v>
      </c>
      <c r="F33" s="835">
        <f t="shared" si="1"/>
        <v>-9043647</v>
      </c>
      <c r="G33" s="835">
        <f t="shared" si="2"/>
        <v>0</v>
      </c>
      <c r="H33" s="835">
        <f t="shared" si="3"/>
        <v>0</v>
      </c>
      <c r="I33" s="835">
        <f t="shared" si="4"/>
        <v>0</v>
      </c>
      <c r="J33" s="835">
        <f t="shared" si="5"/>
        <v>0</v>
      </c>
      <c r="K33" s="835">
        <f t="shared" si="6"/>
        <v>0</v>
      </c>
      <c r="L33" s="835">
        <f t="shared" si="7"/>
        <v>0</v>
      </c>
      <c r="M33" s="816"/>
      <c r="N33" s="835">
        <f>SUMIF(HK_BS!$A:$A,환율변동효과!A33,HK_BS!$G:$G)</f>
        <v>721356.53</v>
      </c>
      <c r="O33" s="835">
        <f>SUMIF(HK_BS!$A:$A,환율변동효과!A33,HK_BS!$H:$H)</f>
        <v>141818694</v>
      </c>
      <c r="P33" s="835">
        <f>SUMIF(DHK_BS!$A:$A,환율변동효과!A33,DHK_BS!$G:$G)</f>
        <v>0</v>
      </c>
      <c r="Q33" s="835">
        <f>SUMIF(DHK_BS!$A:$A,환율변동효과!A33,DHK_BS!$K:$K)</f>
        <v>0</v>
      </c>
      <c r="R33" s="835">
        <f>SUMIF(상해_BS!$A:$A,환율변동효과!A33,상해_BS!$G:$G)</f>
        <v>0</v>
      </c>
      <c r="S33" s="835">
        <f>SUMIF(상해_BS!$A:$A,환율변동효과!A33,상해_BS!$K:$K)</f>
        <v>0</v>
      </c>
      <c r="T33" s="835">
        <f>SUMIF(SG_BS!$A:$A,환율변동효과!A33,SG_BS!$G:$G)</f>
        <v>0</v>
      </c>
      <c r="U33" s="835">
        <f>SUMIF(SG_BS!$A:$A,환율변동효과!A33,SG_BS!$K:$K)</f>
        <v>0</v>
      </c>
    </row>
    <row r="34" spans="1:21" ht="13.5" customHeight="1">
      <c r="A34" s="831" t="s">
        <v>643</v>
      </c>
      <c r="B34" s="838" t="s">
        <v>644</v>
      </c>
      <c r="C34" s="831" t="s">
        <v>1507</v>
      </c>
      <c r="D34" s="833">
        <f t="shared" si="8"/>
        <v>0</v>
      </c>
      <c r="E34" s="834">
        <f t="shared" si="0"/>
        <v>0</v>
      </c>
      <c r="F34" s="835">
        <f t="shared" si="1"/>
        <v>0</v>
      </c>
      <c r="G34" s="835">
        <f t="shared" si="2"/>
        <v>0</v>
      </c>
      <c r="H34" s="835">
        <f t="shared" si="3"/>
        <v>0</v>
      </c>
      <c r="I34" s="835">
        <f t="shared" si="4"/>
        <v>0</v>
      </c>
      <c r="J34" s="835">
        <f t="shared" si="5"/>
        <v>0</v>
      </c>
      <c r="K34" s="835">
        <f t="shared" si="6"/>
        <v>0</v>
      </c>
      <c r="L34" s="835">
        <f t="shared" si="7"/>
        <v>0</v>
      </c>
      <c r="M34" s="816"/>
      <c r="N34" s="835">
        <f>SUMIF(HK_BS!$A:$A,환율변동효과!A34,HK_BS!$G:$G)</f>
        <v>0</v>
      </c>
      <c r="O34" s="835">
        <f>SUMIF(HK_BS!$A:$A,환율변동효과!A34,HK_BS!$H:$H)</f>
        <v>0</v>
      </c>
      <c r="P34" s="835">
        <f>SUMIF(DHK_BS!$A:$A,환율변동효과!A34,DHK_BS!$G:$G)</f>
        <v>0</v>
      </c>
      <c r="Q34" s="835">
        <f>SUMIF(DHK_BS!$A:$A,환율변동효과!A34,DHK_BS!$K:$K)</f>
        <v>0</v>
      </c>
      <c r="R34" s="835">
        <f>SUMIF(상해_BS!$A:$A,환율변동효과!A34,상해_BS!$G:$G)</f>
        <v>0</v>
      </c>
      <c r="S34" s="835">
        <f>SUMIF(상해_BS!$A:$A,환율변동효과!A34,상해_BS!$K:$K)</f>
        <v>0</v>
      </c>
      <c r="T34" s="835">
        <f>SUMIF(SG_BS!$A:$A,환율변동효과!A34,SG_BS!$G:$G)</f>
        <v>0</v>
      </c>
      <c r="U34" s="835">
        <f>SUMIF(SG_BS!$A:$A,환율변동효과!A34,SG_BS!$K:$K)</f>
        <v>0</v>
      </c>
    </row>
    <row r="35" spans="1:21" ht="13.5" customHeight="1">
      <c r="A35" s="831" t="s">
        <v>646</v>
      </c>
      <c r="B35" s="838" t="s">
        <v>21</v>
      </c>
      <c r="C35" s="831" t="s">
        <v>21</v>
      </c>
      <c r="D35" s="833">
        <f t="shared" si="8"/>
        <v>0</v>
      </c>
      <c r="E35" s="834">
        <f t="shared" si="0"/>
        <v>0</v>
      </c>
      <c r="F35" s="835">
        <f t="shared" si="1"/>
        <v>0</v>
      </c>
      <c r="G35" s="835">
        <f t="shared" si="2"/>
        <v>0</v>
      </c>
      <c r="H35" s="835">
        <f t="shared" si="3"/>
        <v>0</v>
      </c>
      <c r="I35" s="835">
        <f t="shared" si="4"/>
        <v>0</v>
      </c>
      <c r="J35" s="835">
        <f t="shared" si="5"/>
        <v>0</v>
      </c>
      <c r="K35" s="835">
        <f t="shared" si="6"/>
        <v>0</v>
      </c>
      <c r="L35" s="835">
        <f t="shared" si="7"/>
        <v>0</v>
      </c>
      <c r="M35" s="816"/>
      <c r="N35" s="835">
        <f>SUMIF(HK_BS!$A:$A,환율변동효과!A35,HK_BS!$G:$G)</f>
        <v>0</v>
      </c>
      <c r="O35" s="835">
        <f>SUMIF(HK_BS!$A:$A,환율변동효과!A35,HK_BS!$H:$H)</f>
        <v>0</v>
      </c>
      <c r="P35" s="835">
        <f>SUMIF(DHK_BS!$A:$A,환율변동효과!A35,DHK_BS!$G:$G)</f>
        <v>0</v>
      </c>
      <c r="Q35" s="835">
        <f>SUMIF(DHK_BS!$A:$A,환율변동효과!A35,DHK_BS!$K:$K)</f>
        <v>0</v>
      </c>
      <c r="R35" s="835">
        <f>SUMIF(상해_BS!$A:$A,환율변동효과!A35,상해_BS!$G:$G)</f>
        <v>0</v>
      </c>
      <c r="S35" s="835">
        <f>SUMIF(상해_BS!$A:$A,환율변동효과!A35,상해_BS!$K:$K)</f>
        <v>0</v>
      </c>
      <c r="T35" s="835">
        <f>SUMIF(SG_BS!$A:$A,환율변동효과!A35,SG_BS!$G:$G)</f>
        <v>0</v>
      </c>
      <c r="U35" s="835">
        <f>SUMIF(SG_BS!$A:$A,환율변동효과!A35,SG_BS!$K:$K)</f>
        <v>0</v>
      </c>
    </row>
    <row r="36" spans="1:21" ht="13.5" customHeight="1">
      <c r="A36" s="831" t="s">
        <v>647</v>
      </c>
      <c r="B36" s="838" t="s">
        <v>648</v>
      </c>
      <c r="C36" s="831" t="s">
        <v>1508</v>
      </c>
      <c r="D36" s="833">
        <f t="shared" si="8"/>
        <v>0</v>
      </c>
      <c r="E36" s="834">
        <f t="shared" si="0"/>
        <v>0</v>
      </c>
      <c r="F36" s="835">
        <f t="shared" si="1"/>
        <v>0</v>
      </c>
      <c r="G36" s="835">
        <f t="shared" si="2"/>
        <v>0</v>
      </c>
      <c r="H36" s="835">
        <f t="shared" si="3"/>
        <v>0</v>
      </c>
      <c r="I36" s="835">
        <f t="shared" si="4"/>
        <v>0</v>
      </c>
      <c r="J36" s="835">
        <f t="shared" si="5"/>
        <v>0</v>
      </c>
      <c r="K36" s="835">
        <f t="shared" si="6"/>
        <v>0</v>
      </c>
      <c r="L36" s="835">
        <f t="shared" si="7"/>
        <v>0</v>
      </c>
      <c r="M36" s="816"/>
      <c r="N36" s="835">
        <f>SUMIF(HK_BS!$A:$A,환율변동효과!A36,HK_BS!$G:$G)</f>
        <v>0</v>
      </c>
      <c r="O36" s="835">
        <f>SUMIF(HK_BS!$A:$A,환율변동효과!A36,HK_BS!$H:$H)</f>
        <v>0</v>
      </c>
      <c r="P36" s="835">
        <f>SUMIF(DHK_BS!$A:$A,환율변동효과!A36,DHK_BS!$G:$G)</f>
        <v>0</v>
      </c>
      <c r="Q36" s="835">
        <f>SUMIF(DHK_BS!$A:$A,환율변동효과!A36,DHK_BS!$K:$K)</f>
        <v>0</v>
      </c>
      <c r="R36" s="835">
        <f>SUMIF(상해_BS!$A:$A,환율변동효과!A36,상해_BS!$G:$G)</f>
        <v>0</v>
      </c>
      <c r="S36" s="835">
        <f>SUMIF(상해_BS!$A:$A,환율변동효과!A36,상해_BS!$K:$K)</f>
        <v>0</v>
      </c>
      <c r="T36" s="835">
        <f>SUMIF(SG_BS!$A:$A,환율변동효과!A36,SG_BS!$G:$G)</f>
        <v>0</v>
      </c>
      <c r="U36" s="835">
        <f>SUMIF(SG_BS!$A:$A,환율변동효과!A36,SG_BS!$K:$K)</f>
        <v>0</v>
      </c>
    </row>
    <row r="37" spans="1:21" ht="13.5" customHeight="1">
      <c r="A37" s="831" t="s">
        <v>649</v>
      </c>
      <c r="B37" s="838" t="s">
        <v>24</v>
      </c>
      <c r="C37" s="831" t="s">
        <v>24</v>
      </c>
      <c r="D37" s="833">
        <f t="shared" si="8"/>
        <v>0</v>
      </c>
      <c r="E37" s="834">
        <f t="shared" si="0"/>
        <v>0</v>
      </c>
      <c r="F37" s="835">
        <f t="shared" si="1"/>
        <v>0</v>
      </c>
      <c r="G37" s="835">
        <f t="shared" si="2"/>
        <v>0</v>
      </c>
      <c r="H37" s="835">
        <f t="shared" si="3"/>
        <v>0</v>
      </c>
      <c r="I37" s="835">
        <f t="shared" si="4"/>
        <v>0</v>
      </c>
      <c r="J37" s="835">
        <f t="shared" si="5"/>
        <v>0</v>
      </c>
      <c r="K37" s="835">
        <f t="shared" si="6"/>
        <v>0</v>
      </c>
      <c r="L37" s="835">
        <f t="shared" si="7"/>
        <v>0</v>
      </c>
      <c r="M37" s="816"/>
      <c r="N37" s="835">
        <f>SUMIF(HK_BS!$A:$A,환율변동효과!A37,HK_BS!$G:$G)</f>
        <v>0</v>
      </c>
      <c r="O37" s="835">
        <f>SUMIF(HK_BS!$A:$A,환율변동효과!A37,HK_BS!$H:$H)</f>
        <v>0</v>
      </c>
      <c r="P37" s="835">
        <f>SUMIF(DHK_BS!$A:$A,환율변동효과!A37,DHK_BS!$G:$G)</f>
        <v>0</v>
      </c>
      <c r="Q37" s="835">
        <f>SUMIF(DHK_BS!$A:$A,환율변동효과!A37,DHK_BS!$K:$K)</f>
        <v>0</v>
      </c>
      <c r="R37" s="835">
        <f>SUMIF(상해_BS!$A:$A,환율변동효과!A37,상해_BS!$G:$G)</f>
        <v>0</v>
      </c>
      <c r="S37" s="835">
        <f>SUMIF(상해_BS!$A:$A,환율변동효과!A37,상해_BS!$K:$K)</f>
        <v>0</v>
      </c>
      <c r="T37" s="835">
        <f>SUMIF(SG_BS!$A:$A,환율변동효과!A37,SG_BS!$G:$G)</f>
        <v>0</v>
      </c>
      <c r="U37" s="835">
        <f>SUMIF(SG_BS!$A:$A,환율변동효과!A37,SG_BS!$K:$K)</f>
        <v>0</v>
      </c>
    </row>
    <row r="38" spans="1:21" ht="13.5" customHeight="1">
      <c r="A38" s="831" t="s">
        <v>650</v>
      </c>
      <c r="B38" s="838" t="s">
        <v>651</v>
      </c>
      <c r="C38" s="831" t="s">
        <v>1509</v>
      </c>
      <c r="D38" s="833">
        <f t="shared" si="8"/>
        <v>0</v>
      </c>
      <c r="E38" s="834">
        <f t="shared" si="0"/>
        <v>0</v>
      </c>
      <c r="F38" s="835">
        <f t="shared" si="1"/>
        <v>0</v>
      </c>
      <c r="G38" s="835">
        <f t="shared" si="2"/>
        <v>0</v>
      </c>
      <c r="H38" s="835">
        <f t="shared" si="3"/>
        <v>0</v>
      </c>
      <c r="I38" s="835">
        <f t="shared" si="4"/>
        <v>0</v>
      </c>
      <c r="J38" s="835">
        <f t="shared" si="5"/>
        <v>0</v>
      </c>
      <c r="K38" s="835">
        <f t="shared" si="6"/>
        <v>0</v>
      </c>
      <c r="L38" s="835">
        <f t="shared" si="7"/>
        <v>0</v>
      </c>
      <c r="M38" s="816"/>
      <c r="N38" s="835">
        <f>SUMIF(HK_BS!$A:$A,환율변동효과!A38,HK_BS!$G:$G)</f>
        <v>0</v>
      </c>
      <c r="O38" s="835">
        <f>SUMIF(HK_BS!$A:$A,환율변동효과!A38,HK_BS!$H:$H)</f>
        <v>0</v>
      </c>
      <c r="P38" s="835">
        <f>SUMIF(DHK_BS!$A:$A,환율변동효과!A38,DHK_BS!$G:$G)</f>
        <v>0</v>
      </c>
      <c r="Q38" s="835">
        <f>SUMIF(DHK_BS!$A:$A,환율변동효과!A38,DHK_BS!$K:$K)</f>
        <v>0</v>
      </c>
      <c r="R38" s="835">
        <f>SUMIF(상해_BS!$A:$A,환율변동효과!A38,상해_BS!$G:$G)</f>
        <v>0</v>
      </c>
      <c r="S38" s="835">
        <f>SUMIF(상해_BS!$A:$A,환율변동효과!A38,상해_BS!$K:$K)</f>
        <v>0</v>
      </c>
      <c r="T38" s="835">
        <f>SUMIF(SG_BS!$A:$A,환율변동효과!A38,SG_BS!$G:$G)</f>
        <v>0</v>
      </c>
      <c r="U38" s="835">
        <f>SUMIF(SG_BS!$A:$A,환율변동효과!A38,SG_BS!$K:$K)</f>
        <v>0</v>
      </c>
    </row>
    <row r="39" spans="1:21" ht="13.5" customHeight="1">
      <c r="A39" s="831" t="s">
        <v>1368</v>
      </c>
      <c r="B39" s="838" t="s">
        <v>1372</v>
      </c>
      <c r="C39" s="831" t="s">
        <v>1372</v>
      </c>
      <c r="D39" s="833">
        <f t="shared" si="8"/>
        <v>0</v>
      </c>
      <c r="E39" s="834">
        <f t="shared" si="0"/>
        <v>0</v>
      </c>
      <c r="F39" s="835">
        <f t="shared" si="1"/>
        <v>0</v>
      </c>
      <c r="G39" s="835">
        <f t="shared" si="2"/>
        <v>0</v>
      </c>
      <c r="H39" s="835">
        <f t="shared" si="3"/>
        <v>0</v>
      </c>
      <c r="I39" s="835">
        <f t="shared" si="4"/>
        <v>0</v>
      </c>
      <c r="J39" s="835">
        <f t="shared" si="5"/>
        <v>0</v>
      </c>
      <c r="K39" s="835">
        <f t="shared" si="6"/>
        <v>0</v>
      </c>
      <c r="L39" s="835">
        <f t="shared" si="7"/>
        <v>0</v>
      </c>
      <c r="M39" s="816"/>
      <c r="N39" s="835">
        <f>SUMIF(HK_BS!$A:$A,환율변동효과!A39,HK_BS!$G:$G)</f>
        <v>0</v>
      </c>
      <c r="O39" s="835">
        <f>SUMIF(HK_BS!$A:$A,환율변동효과!A39,HK_BS!$H:$H)</f>
        <v>0</v>
      </c>
      <c r="P39" s="835">
        <f>SUMIF(DHK_BS!$A:$A,환율변동효과!A39,DHK_BS!$G:$G)</f>
        <v>0</v>
      </c>
      <c r="Q39" s="835">
        <f>SUMIF(DHK_BS!$A:$A,환율변동효과!A39,DHK_BS!$K:$K)</f>
        <v>0</v>
      </c>
      <c r="R39" s="835">
        <f>SUMIF(상해_BS!$A:$A,환율변동효과!A39,상해_BS!$G:$G)</f>
        <v>0</v>
      </c>
      <c r="S39" s="835">
        <f>SUMIF(상해_BS!$A:$A,환율변동효과!A39,상해_BS!$K:$K)</f>
        <v>0</v>
      </c>
      <c r="T39" s="835">
        <f>SUMIF(SG_BS!$A:$A,환율변동효과!A39,SG_BS!$G:$G)</f>
        <v>0</v>
      </c>
      <c r="U39" s="835">
        <f>SUMIF(SG_BS!$A:$A,환율변동효과!A39,SG_BS!$K:$K)</f>
        <v>0</v>
      </c>
    </row>
    <row r="40" spans="1:21" ht="13.5" customHeight="1">
      <c r="A40" s="831" t="s">
        <v>1370</v>
      </c>
      <c r="B40" s="838" t="s">
        <v>1374</v>
      </c>
      <c r="C40" s="831" t="s">
        <v>1848</v>
      </c>
      <c r="D40" s="833">
        <f t="shared" si="8"/>
        <v>0</v>
      </c>
      <c r="E40" s="834">
        <f t="shared" si="0"/>
        <v>0</v>
      </c>
      <c r="F40" s="835">
        <f t="shared" si="1"/>
        <v>0</v>
      </c>
      <c r="G40" s="835">
        <f t="shared" si="2"/>
        <v>0</v>
      </c>
      <c r="H40" s="835">
        <f t="shared" si="3"/>
        <v>0</v>
      </c>
      <c r="I40" s="835">
        <f t="shared" si="4"/>
        <v>0</v>
      </c>
      <c r="J40" s="835">
        <f t="shared" si="5"/>
        <v>0</v>
      </c>
      <c r="K40" s="835">
        <f t="shared" si="6"/>
        <v>0</v>
      </c>
      <c r="L40" s="835">
        <f t="shared" si="7"/>
        <v>0</v>
      </c>
      <c r="M40" s="816"/>
      <c r="N40" s="835">
        <f>SUMIF(HK_BS!$A:$A,환율변동효과!A40,HK_BS!$G:$G)</f>
        <v>0</v>
      </c>
      <c r="O40" s="835">
        <f>SUMIF(HK_BS!$A:$A,환율변동효과!A40,HK_BS!$H:$H)</f>
        <v>0</v>
      </c>
      <c r="P40" s="835">
        <f>SUMIF(DHK_BS!$A:$A,환율변동효과!A40,DHK_BS!$G:$G)</f>
        <v>0</v>
      </c>
      <c r="Q40" s="835">
        <f>SUMIF(DHK_BS!$A:$A,환율변동효과!A40,DHK_BS!$K:$K)</f>
        <v>0</v>
      </c>
      <c r="R40" s="835">
        <f>SUMIF(상해_BS!$A:$A,환율변동효과!A40,상해_BS!$G:$G)</f>
        <v>0</v>
      </c>
      <c r="S40" s="835">
        <f>SUMIF(상해_BS!$A:$A,환율변동효과!A40,상해_BS!$K:$K)</f>
        <v>0</v>
      </c>
      <c r="T40" s="835">
        <f>SUMIF(SG_BS!$A:$A,환율변동효과!A40,SG_BS!$G:$G)</f>
        <v>0</v>
      </c>
      <c r="U40" s="835">
        <f>SUMIF(SG_BS!$A:$A,환율변동효과!A40,SG_BS!$K:$K)</f>
        <v>0</v>
      </c>
    </row>
    <row r="41" spans="1:21" ht="13.5" customHeight="1">
      <c r="A41" s="831" t="s">
        <v>652</v>
      </c>
      <c r="B41" s="838" t="s">
        <v>22</v>
      </c>
      <c r="C41" s="831" t="s">
        <v>22</v>
      </c>
      <c r="D41" s="833">
        <f t="shared" si="8"/>
        <v>0</v>
      </c>
      <c r="E41" s="834">
        <f t="shared" si="0"/>
        <v>0</v>
      </c>
      <c r="F41" s="835">
        <f t="shared" si="1"/>
        <v>0</v>
      </c>
      <c r="G41" s="835">
        <f t="shared" si="2"/>
        <v>0</v>
      </c>
      <c r="H41" s="835">
        <f t="shared" si="3"/>
        <v>0</v>
      </c>
      <c r="I41" s="835">
        <f t="shared" si="4"/>
        <v>0</v>
      </c>
      <c r="J41" s="835">
        <f t="shared" si="5"/>
        <v>0</v>
      </c>
      <c r="K41" s="835">
        <f t="shared" si="6"/>
        <v>0</v>
      </c>
      <c r="L41" s="835">
        <f t="shared" si="7"/>
        <v>0</v>
      </c>
      <c r="M41" s="816"/>
      <c r="N41" s="835">
        <f>SUMIF(HK_BS!$A:$A,환율변동효과!A41,HK_BS!$G:$G)</f>
        <v>0</v>
      </c>
      <c r="O41" s="835">
        <f>SUMIF(HK_BS!$A:$A,환율변동효과!A41,HK_BS!$H:$H)</f>
        <v>0</v>
      </c>
      <c r="P41" s="835">
        <f>SUMIF(DHK_BS!$A:$A,환율변동효과!A41,DHK_BS!$G:$G)</f>
        <v>0</v>
      </c>
      <c r="Q41" s="835">
        <f>SUMIF(DHK_BS!$A:$A,환율변동효과!A41,DHK_BS!$K:$K)</f>
        <v>0</v>
      </c>
      <c r="R41" s="835">
        <f>SUMIF(상해_BS!$A:$A,환율변동효과!A41,상해_BS!$G:$G)</f>
        <v>0</v>
      </c>
      <c r="S41" s="835">
        <f>SUMIF(상해_BS!$A:$A,환율변동효과!A41,상해_BS!$K:$K)</f>
        <v>0</v>
      </c>
      <c r="T41" s="835">
        <f>SUMIF(SG_BS!$A:$A,환율변동효과!A41,SG_BS!$G:$G)</f>
        <v>0</v>
      </c>
      <c r="U41" s="835">
        <f>SUMIF(SG_BS!$A:$A,환율변동효과!A41,SG_BS!$K:$K)</f>
        <v>0</v>
      </c>
    </row>
    <row r="42" spans="1:21" ht="13.5" customHeight="1">
      <c r="A42" s="831"/>
      <c r="B42" s="836" t="s">
        <v>25</v>
      </c>
      <c r="C42" s="839"/>
      <c r="D42" s="833">
        <f t="shared" si="8"/>
        <v>0</v>
      </c>
      <c r="E42" s="834">
        <f t="shared" si="0"/>
        <v>0</v>
      </c>
      <c r="F42" s="835">
        <f t="shared" si="1"/>
        <v>0</v>
      </c>
      <c r="G42" s="835">
        <f t="shared" si="2"/>
        <v>0</v>
      </c>
      <c r="H42" s="835">
        <f t="shared" si="3"/>
        <v>0</v>
      </c>
      <c r="I42" s="835">
        <f t="shared" si="4"/>
        <v>0</v>
      </c>
      <c r="J42" s="835">
        <f t="shared" si="5"/>
        <v>0</v>
      </c>
      <c r="K42" s="835">
        <f t="shared" si="6"/>
        <v>0</v>
      </c>
      <c r="L42" s="835">
        <f t="shared" si="7"/>
        <v>0</v>
      </c>
      <c r="M42" s="816"/>
      <c r="N42" s="835">
        <f>SUMIF(HK_BS!$A:$A,환율변동효과!A42,HK_BS!$G:$G)</f>
        <v>0</v>
      </c>
      <c r="O42" s="835">
        <f>SUMIF(HK_BS!$A:$A,환율변동효과!A42,HK_BS!$H:$H)</f>
        <v>0</v>
      </c>
      <c r="P42" s="835">
        <f>SUMIF(DHK_BS!$A:$A,환율변동효과!A42,DHK_BS!$G:$G)</f>
        <v>0</v>
      </c>
      <c r="Q42" s="835">
        <f>SUMIF(DHK_BS!$A:$A,환율변동효과!A42,DHK_BS!$K:$K)</f>
        <v>0</v>
      </c>
      <c r="R42" s="835">
        <f>SUMIF(상해_BS!$A:$A,환율변동효과!A42,상해_BS!$G:$G)</f>
        <v>0</v>
      </c>
      <c r="S42" s="835">
        <f>SUMIF(상해_BS!$A:$A,환율변동효과!A42,상해_BS!$K:$K)</f>
        <v>0</v>
      </c>
      <c r="T42" s="835">
        <f>SUMIF(SG_BS!$A:$A,환율변동효과!A42,SG_BS!$G:$G)</f>
        <v>0</v>
      </c>
      <c r="U42" s="835">
        <f>SUMIF(SG_BS!$A:$A,환율변동효과!A42,SG_BS!$K:$K)</f>
        <v>0</v>
      </c>
    </row>
    <row r="43" spans="1:21" ht="13.5" customHeight="1">
      <c r="A43" s="831" t="s">
        <v>653</v>
      </c>
      <c r="B43" s="838" t="s">
        <v>654</v>
      </c>
      <c r="C43" s="831" t="s">
        <v>654</v>
      </c>
      <c r="D43" s="833">
        <f t="shared" si="8"/>
        <v>0</v>
      </c>
      <c r="E43" s="834">
        <f t="shared" si="0"/>
        <v>0</v>
      </c>
      <c r="F43" s="835">
        <f t="shared" si="1"/>
        <v>0</v>
      </c>
      <c r="G43" s="835">
        <f t="shared" si="2"/>
        <v>0</v>
      </c>
      <c r="H43" s="835">
        <f t="shared" si="3"/>
        <v>0</v>
      </c>
      <c r="I43" s="835">
        <f t="shared" si="4"/>
        <v>0</v>
      </c>
      <c r="J43" s="835">
        <f t="shared" si="5"/>
        <v>0</v>
      </c>
      <c r="K43" s="835">
        <f t="shared" si="6"/>
        <v>0</v>
      </c>
      <c r="L43" s="835">
        <f t="shared" si="7"/>
        <v>0</v>
      </c>
      <c r="M43" s="816"/>
      <c r="N43" s="835">
        <f>SUMIF(HK_BS!$A:$A,환율변동효과!A43,HK_BS!$G:$G)</f>
        <v>0</v>
      </c>
      <c r="O43" s="835">
        <f>SUMIF(HK_BS!$A:$A,환율변동효과!A43,HK_BS!$H:$H)</f>
        <v>0</v>
      </c>
      <c r="P43" s="835">
        <f>SUMIF(DHK_BS!$A:$A,환율변동효과!A43,DHK_BS!$G:$G)</f>
        <v>0</v>
      </c>
      <c r="Q43" s="835">
        <f>SUMIF(DHK_BS!$A:$A,환율변동효과!A43,DHK_BS!$K:$K)</f>
        <v>0</v>
      </c>
      <c r="R43" s="835">
        <f>SUMIF(상해_BS!$A:$A,환율변동효과!A43,상해_BS!$G:$G)</f>
        <v>0</v>
      </c>
      <c r="S43" s="835">
        <f>SUMIF(상해_BS!$A:$A,환율변동효과!A43,상해_BS!$K:$K)</f>
        <v>0</v>
      </c>
      <c r="T43" s="835">
        <f>SUMIF(SG_BS!$A:$A,환율변동효과!A43,SG_BS!$G:$G)</f>
        <v>0</v>
      </c>
      <c r="U43" s="835">
        <f>SUMIF(SG_BS!$A:$A,환율변동효과!A43,SG_BS!$K:$K)</f>
        <v>0</v>
      </c>
    </row>
    <row r="44" spans="1:21" ht="13.5" customHeight="1">
      <c r="A44" s="831" t="s">
        <v>2652</v>
      </c>
      <c r="B44" s="838" t="s">
        <v>904</v>
      </c>
      <c r="C44" s="831" t="s">
        <v>904</v>
      </c>
      <c r="D44" s="833">
        <f t="shared" si="8"/>
        <v>-12537095</v>
      </c>
      <c r="E44" s="834">
        <f t="shared" si="0"/>
        <v>-66103</v>
      </c>
      <c r="F44" s="835">
        <f t="shared" si="1"/>
        <v>-12537095</v>
      </c>
      <c r="G44" s="835">
        <f t="shared" si="2"/>
        <v>0</v>
      </c>
      <c r="H44" s="835">
        <f t="shared" si="3"/>
        <v>0</v>
      </c>
      <c r="I44" s="835">
        <f t="shared" si="4"/>
        <v>0</v>
      </c>
      <c r="J44" s="835">
        <f t="shared" si="5"/>
        <v>0</v>
      </c>
      <c r="K44" s="835">
        <f t="shared" si="6"/>
        <v>0</v>
      </c>
      <c r="L44" s="835">
        <f t="shared" si="7"/>
        <v>0</v>
      </c>
      <c r="M44" s="816"/>
      <c r="N44" s="835">
        <f>SUMIF(HK_BS!$A:$A,환율변동효과!A44,HK_BS!$G:$G)</f>
        <v>1000000</v>
      </c>
      <c r="O44" s="835">
        <f>SUMIF(HK_BS!$A:$A,환율변동효과!A44,HK_BS!$H:$H)</f>
        <v>196600000</v>
      </c>
      <c r="P44" s="835">
        <f>SUMIF(DHK_BS!$A:$A,환율변동효과!A44,DHK_BS!$G:$G)</f>
        <v>0</v>
      </c>
      <c r="Q44" s="835">
        <f>SUMIF(DHK_BS!$A:$A,환율변동효과!A44,DHK_BS!$K:$K)</f>
        <v>0</v>
      </c>
      <c r="R44" s="835">
        <f>SUMIF(상해_BS!$A:$A,환율변동효과!A44,상해_BS!$G:$G)</f>
        <v>0</v>
      </c>
      <c r="S44" s="835">
        <f>SUMIF(상해_BS!$A:$A,환율변동효과!A44,상해_BS!$K:$K)</f>
        <v>0</v>
      </c>
      <c r="T44" s="835">
        <f>SUMIF(SG_BS!$A:$A,환율변동효과!A44,SG_BS!$G:$G)</f>
        <v>0</v>
      </c>
      <c r="U44" s="835">
        <f>SUMIF(SG_BS!$A:$A,환율변동효과!A44,SG_BS!$K:$K)</f>
        <v>0</v>
      </c>
    </row>
    <row r="45" spans="1:21" ht="13.5" customHeight="1">
      <c r="A45" s="831" t="s">
        <v>907</v>
      </c>
      <c r="B45" s="838" t="s">
        <v>905</v>
      </c>
      <c r="C45" s="831" t="s">
        <v>905</v>
      </c>
      <c r="D45" s="833">
        <f t="shared" si="8"/>
        <v>0</v>
      </c>
      <c r="E45" s="834">
        <f t="shared" si="0"/>
        <v>0</v>
      </c>
      <c r="F45" s="835">
        <f t="shared" si="1"/>
        <v>0</v>
      </c>
      <c r="G45" s="835">
        <f t="shared" si="2"/>
        <v>0</v>
      </c>
      <c r="H45" s="835">
        <f t="shared" si="3"/>
        <v>0</v>
      </c>
      <c r="I45" s="835">
        <f t="shared" si="4"/>
        <v>0</v>
      </c>
      <c r="J45" s="835">
        <f t="shared" si="5"/>
        <v>0</v>
      </c>
      <c r="K45" s="835">
        <f t="shared" si="6"/>
        <v>0</v>
      </c>
      <c r="L45" s="835">
        <f t="shared" si="7"/>
        <v>0</v>
      </c>
      <c r="M45" s="816"/>
      <c r="N45" s="835">
        <f>SUMIF(HK_BS!$A:$A,환율변동효과!A45,HK_BS!$G:$G)</f>
        <v>0</v>
      </c>
      <c r="O45" s="835">
        <f>SUMIF(HK_BS!$A:$A,환율변동효과!A45,HK_BS!$H:$H)</f>
        <v>0</v>
      </c>
      <c r="P45" s="835">
        <f>SUMIF(DHK_BS!$A:$A,환율변동효과!A45,DHK_BS!$G:$G)</f>
        <v>0</v>
      </c>
      <c r="Q45" s="835">
        <f>SUMIF(DHK_BS!$A:$A,환율변동효과!A45,DHK_BS!$K:$K)</f>
        <v>0</v>
      </c>
      <c r="R45" s="835">
        <f>SUMIF(상해_BS!$A:$A,환율변동효과!A45,상해_BS!$G:$G)</f>
        <v>0</v>
      </c>
      <c r="S45" s="835">
        <f>SUMIF(상해_BS!$A:$A,환율변동효과!A45,상해_BS!$K:$K)</f>
        <v>0</v>
      </c>
      <c r="T45" s="835">
        <f>SUMIF(SG_BS!$A:$A,환율변동효과!A45,SG_BS!$G:$G)</f>
        <v>0</v>
      </c>
      <c r="U45" s="835">
        <f>SUMIF(SG_BS!$A:$A,환율변동효과!A45,SG_BS!$K:$K)</f>
        <v>0</v>
      </c>
    </row>
    <row r="46" spans="1:21" ht="13.5" customHeight="1">
      <c r="A46" s="831" t="s">
        <v>655</v>
      </c>
      <c r="B46" s="838" t="s">
        <v>31</v>
      </c>
      <c r="C46" s="831" t="s">
        <v>31</v>
      </c>
      <c r="D46" s="833">
        <f t="shared" si="8"/>
        <v>0</v>
      </c>
      <c r="E46" s="834">
        <f t="shared" si="0"/>
        <v>0</v>
      </c>
      <c r="F46" s="835">
        <f t="shared" si="1"/>
        <v>0</v>
      </c>
      <c r="G46" s="835">
        <f t="shared" si="2"/>
        <v>0</v>
      </c>
      <c r="H46" s="835">
        <f t="shared" si="3"/>
        <v>0</v>
      </c>
      <c r="I46" s="835">
        <f t="shared" si="4"/>
        <v>0</v>
      </c>
      <c r="J46" s="835">
        <f t="shared" si="5"/>
        <v>0</v>
      </c>
      <c r="K46" s="835">
        <f t="shared" si="6"/>
        <v>0</v>
      </c>
      <c r="L46" s="835">
        <f t="shared" si="7"/>
        <v>0</v>
      </c>
      <c r="M46" s="816"/>
      <c r="N46" s="835">
        <f>SUMIF(HK_BS!$A:$A,환율변동효과!A46,HK_BS!$G:$G)</f>
        <v>0</v>
      </c>
      <c r="O46" s="835">
        <f>SUMIF(HK_BS!$A:$A,환율변동효과!A46,HK_BS!$H:$H)</f>
        <v>0</v>
      </c>
      <c r="P46" s="835">
        <f>SUMIF(DHK_BS!$A:$A,환율변동효과!A46,DHK_BS!$G:$G)</f>
        <v>0</v>
      </c>
      <c r="Q46" s="835">
        <f>SUMIF(DHK_BS!$A:$A,환율변동효과!A46,DHK_BS!$K:$K)</f>
        <v>0</v>
      </c>
      <c r="R46" s="835">
        <f>SUMIF(상해_BS!$A:$A,환율변동효과!A46,상해_BS!$G:$G)</f>
        <v>0</v>
      </c>
      <c r="S46" s="835">
        <f>SUMIF(상해_BS!$A:$A,환율변동효과!A46,상해_BS!$K:$K)</f>
        <v>0</v>
      </c>
      <c r="T46" s="835">
        <f>SUMIF(SG_BS!$A:$A,환율변동효과!A46,SG_BS!$G:$G)</f>
        <v>0</v>
      </c>
      <c r="U46" s="835">
        <f>SUMIF(SG_BS!$A:$A,환율변동효과!A46,SG_BS!$K:$K)</f>
        <v>0</v>
      </c>
    </row>
    <row r="47" spans="1:21" ht="13.5" customHeight="1">
      <c r="A47" s="831" t="s">
        <v>656</v>
      </c>
      <c r="B47" s="838" t="s">
        <v>657</v>
      </c>
      <c r="C47" s="831" t="s">
        <v>1521</v>
      </c>
      <c r="D47" s="833">
        <f t="shared" si="8"/>
        <v>0</v>
      </c>
      <c r="E47" s="834">
        <f t="shared" si="0"/>
        <v>0</v>
      </c>
      <c r="F47" s="835">
        <f t="shared" si="1"/>
        <v>0</v>
      </c>
      <c r="G47" s="835">
        <f t="shared" si="2"/>
        <v>0</v>
      </c>
      <c r="H47" s="835">
        <f t="shared" si="3"/>
        <v>0</v>
      </c>
      <c r="I47" s="835">
        <f t="shared" si="4"/>
        <v>0</v>
      </c>
      <c r="J47" s="835">
        <f t="shared" si="5"/>
        <v>0</v>
      </c>
      <c r="K47" s="835">
        <f t="shared" si="6"/>
        <v>0</v>
      </c>
      <c r="L47" s="835">
        <f t="shared" si="7"/>
        <v>0</v>
      </c>
      <c r="M47" s="816"/>
      <c r="N47" s="835">
        <f>SUMIF(HK_BS!$A:$A,환율변동효과!A47,HK_BS!$G:$G)</f>
        <v>0</v>
      </c>
      <c r="O47" s="835">
        <f>SUMIF(HK_BS!$A:$A,환율변동효과!A47,HK_BS!$H:$H)</f>
        <v>0</v>
      </c>
      <c r="P47" s="835">
        <f>SUMIF(DHK_BS!$A:$A,환율변동효과!A47,DHK_BS!$G:$G)</f>
        <v>0</v>
      </c>
      <c r="Q47" s="835">
        <f>SUMIF(DHK_BS!$A:$A,환율변동효과!A47,DHK_BS!$K:$K)</f>
        <v>0</v>
      </c>
      <c r="R47" s="835">
        <f>SUMIF(상해_BS!$A:$A,환율변동효과!A47,상해_BS!$G:$G)</f>
        <v>0</v>
      </c>
      <c r="S47" s="835">
        <f>SUMIF(상해_BS!$A:$A,환율변동효과!A47,상해_BS!$K:$K)</f>
        <v>0</v>
      </c>
      <c r="T47" s="835">
        <f>SUMIF(SG_BS!$A:$A,환율변동효과!A47,SG_BS!$G:$G)</f>
        <v>0</v>
      </c>
      <c r="U47" s="835">
        <f>SUMIF(SG_BS!$A:$A,환율변동효과!A47,SG_BS!$K:$K)</f>
        <v>0</v>
      </c>
    </row>
    <row r="48" spans="1:21" ht="13.5" customHeight="1">
      <c r="A48" s="831" t="s">
        <v>658</v>
      </c>
      <c r="B48" s="838" t="s">
        <v>33</v>
      </c>
      <c r="C48" s="831" t="s">
        <v>33</v>
      </c>
      <c r="D48" s="833">
        <f t="shared" si="8"/>
        <v>0</v>
      </c>
      <c r="E48" s="834">
        <f t="shared" ref="E48:E79" si="18">N48-ROUND(O48/HLOOKUP(E$10,$B$2:$D$8,6,0),0)</f>
        <v>0</v>
      </c>
      <c r="F48" s="835">
        <f t="shared" ref="F48:F79" si="19">O48+ROUND(E48*HLOOKUP(E$10,$B$2:$D$8,3,0),)-ROUND(N48*HLOOKUP(E$10,$B$2:$D$8,2,0),0)</f>
        <v>0</v>
      </c>
      <c r="G48" s="835">
        <f t="shared" ref="G48:G79" si="20">P48-ROUND(Q48/HLOOKUP(G$10,$B$2:$D$8,6,0),0)</f>
        <v>0</v>
      </c>
      <c r="H48" s="835">
        <f t="shared" ref="H48:H79" si="21">Q48+ROUND(G48*HLOOKUP(G$10,$B$2:$D$8,3,0),)-ROUND(P48*HLOOKUP(G$10,$B$2:$D$8,2,0),0)</f>
        <v>0</v>
      </c>
      <c r="I48" s="835">
        <f t="shared" ref="I48:I79" si="22">R48-ROUND(S48/HLOOKUP(I$10,$B$2:$D$8,6,0),0)</f>
        <v>0</v>
      </c>
      <c r="J48" s="835">
        <f t="shared" ref="J48:J79" si="23">S48+ROUND(I48*HLOOKUP(I$10,$B$2:$D$8,3,0),)-ROUND(R48*HLOOKUP(I$10,$B$2:$D$8,2,0),0)</f>
        <v>0</v>
      </c>
      <c r="K48" s="835">
        <f t="shared" ref="K48:K79" si="24">T48-ROUND(U48/HLOOKUP(K$10,$B$2:$D$8,6,0),0)</f>
        <v>0</v>
      </c>
      <c r="L48" s="835">
        <f t="shared" ref="L48:L79" si="25">U48+ROUND(K48*HLOOKUP(K$10,$B$2:$D$8,3,0),)-ROUND(T48*HLOOKUP(K$10,$B$2:$D$8,2,0),0)</f>
        <v>0</v>
      </c>
      <c r="M48" s="816"/>
      <c r="N48" s="835">
        <f>SUMIF(HK_BS!$A:$A,환율변동효과!A48,HK_BS!$G:$G)</f>
        <v>0</v>
      </c>
      <c r="O48" s="835">
        <f>SUMIF(HK_BS!$A:$A,환율변동효과!A48,HK_BS!$H:$H)</f>
        <v>0</v>
      </c>
      <c r="P48" s="835">
        <f>SUMIF(DHK_BS!$A:$A,환율변동효과!A48,DHK_BS!$G:$G)</f>
        <v>0</v>
      </c>
      <c r="Q48" s="835">
        <f>SUMIF(DHK_BS!$A:$A,환율변동효과!A48,DHK_BS!$K:$K)</f>
        <v>0</v>
      </c>
      <c r="R48" s="835">
        <f>SUMIF(상해_BS!$A:$A,환율변동효과!A48,상해_BS!$G:$G)</f>
        <v>0</v>
      </c>
      <c r="S48" s="835">
        <f>SUMIF(상해_BS!$A:$A,환율변동효과!A48,상해_BS!$K:$K)</f>
        <v>0</v>
      </c>
      <c r="T48" s="835">
        <f>SUMIF(SG_BS!$A:$A,환율변동효과!A48,SG_BS!$G:$G)</f>
        <v>0</v>
      </c>
      <c r="U48" s="835">
        <f>SUMIF(SG_BS!$A:$A,환율변동효과!A48,SG_BS!$K:$K)</f>
        <v>0</v>
      </c>
    </row>
    <row r="49" spans="1:21" ht="13.5" customHeight="1">
      <c r="A49" s="831" t="s">
        <v>659</v>
      </c>
      <c r="B49" s="838" t="s">
        <v>660</v>
      </c>
      <c r="C49" s="831" t="s">
        <v>1512</v>
      </c>
      <c r="D49" s="833">
        <f t="shared" si="8"/>
        <v>0</v>
      </c>
      <c r="E49" s="834">
        <f t="shared" si="18"/>
        <v>0</v>
      </c>
      <c r="F49" s="835">
        <f t="shared" si="19"/>
        <v>0</v>
      </c>
      <c r="G49" s="835">
        <f t="shared" si="20"/>
        <v>0</v>
      </c>
      <c r="H49" s="835">
        <f t="shared" si="21"/>
        <v>0</v>
      </c>
      <c r="I49" s="835">
        <f t="shared" si="22"/>
        <v>0</v>
      </c>
      <c r="J49" s="835">
        <f t="shared" si="23"/>
        <v>0</v>
      </c>
      <c r="K49" s="835">
        <f t="shared" si="24"/>
        <v>0</v>
      </c>
      <c r="L49" s="835">
        <f t="shared" si="25"/>
        <v>0</v>
      </c>
      <c r="M49" s="816"/>
      <c r="N49" s="835">
        <f>SUMIF(HK_BS!$A:$A,환율변동효과!A49,HK_BS!$G:$G)</f>
        <v>0</v>
      </c>
      <c r="O49" s="835">
        <f>SUMIF(HK_BS!$A:$A,환율변동효과!A49,HK_BS!$H:$H)</f>
        <v>0</v>
      </c>
      <c r="P49" s="835">
        <f>SUMIF(DHK_BS!$A:$A,환율변동효과!A49,DHK_BS!$G:$G)</f>
        <v>0</v>
      </c>
      <c r="Q49" s="835">
        <f>SUMIF(DHK_BS!$A:$A,환율변동효과!A49,DHK_BS!$K:$K)</f>
        <v>0</v>
      </c>
      <c r="R49" s="835">
        <f>SUMIF(상해_BS!$A:$A,환율변동효과!A49,상해_BS!$G:$G)</f>
        <v>0</v>
      </c>
      <c r="S49" s="835">
        <f>SUMIF(상해_BS!$A:$A,환율변동효과!A49,상해_BS!$K:$K)</f>
        <v>0</v>
      </c>
      <c r="T49" s="835">
        <f>SUMIF(SG_BS!$A:$A,환율변동효과!A49,SG_BS!$G:$G)</f>
        <v>0</v>
      </c>
      <c r="U49" s="835">
        <f>SUMIF(SG_BS!$A:$A,환율변동효과!A49,SG_BS!$K:$K)</f>
        <v>0</v>
      </c>
    </row>
    <row r="50" spans="1:21" ht="13.5" customHeight="1">
      <c r="A50" s="831" t="s">
        <v>661</v>
      </c>
      <c r="B50" s="838" t="s">
        <v>662</v>
      </c>
      <c r="C50" s="831" t="s">
        <v>662</v>
      </c>
      <c r="D50" s="833">
        <f t="shared" si="8"/>
        <v>0</v>
      </c>
      <c r="E50" s="834">
        <f t="shared" si="18"/>
        <v>0</v>
      </c>
      <c r="F50" s="835">
        <f t="shared" si="19"/>
        <v>0</v>
      </c>
      <c r="G50" s="835">
        <f t="shared" si="20"/>
        <v>0</v>
      </c>
      <c r="H50" s="835">
        <f t="shared" si="21"/>
        <v>0</v>
      </c>
      <c r="I50" s="835">
        <f t="shared" si="22"/>
        <v>0</v>
      </c>
      <c r="J50" s="835">
        <f t="shared" si="23"/>
        <v>0</v>
      </c>
      <c r="K50" s="835">
        <f t="shared" si="24"/>
        <v>0</v>
      </c>
      <c r="L50" s="835">
        <f t="shared" si="25"/>
        <v>0</v>
      </c>
      <c r="M50" s="816"/>
      <c r="N50" s="835">
        <f>SUMIF(HK_BS!$A:$A,환율변동효과!A50,HK_BS!$G:$G)</f>
        <v>0</v>
      </c>
      <c r="O50" s="835">
        <f>SUMIF(HK_BS!$A:$A,환율변동효과!A50,HK_BS!$H:$H)</f>
        <v>0</v>
      </c>
      <c r="P50" s="835">
        <f>SUMIF(DHK_BS!$A:$A,환율변동효과!A50,DHK_BS!$G:$G)</f>
        <v>0</v>
      </c>
      <c r="Q50" s="835">
        <f>SUMIF(DHK_BS!$A:$A,환율변동효과!A50,DHK_BS!$K:$K)</f>
        <v>0</v>
      </c>
      <c r="R50" s="835">
        <f>SUMIF(상해_BS!$A:$A,환율변동효과!A50,상해_BS!$G:$G)</f>
        <v>0</v>
      </c>
      <c r="S50" s="835">
        <f>SUMIF(상해_BS!$A:$A,환율변동효과!A50,상해_BS!$K:$K)</f>
        <v>0</v>
      </c>
      <c r="T50" s="835">
        <f>SUMIF(SG_BS!$A:$A,환율변동효과!A50,SG_BS!$G:$G)</f>
        <v>0</v>
      </c>
      <c r="U50" s="835">
        <f>SUMIF(SG_BS!$A:$A,환율변동효과!A50,SG_BS!$K:$K)</f>
        <v>0</v>
      </c>
    </row>
    <row r="51" spans="1:21" ht="13.5" customHeight="1">
      <c r="A51" s="831" t="s">
        <v>663</v>
      </c>
      <c r="B51" s="838" t="s">
        <v>664</v>
      </c>
      <c r="C51" s="831" t="s">
        <v>1519</v>
      </c>
      <c r="D51" s="833">
        <f t="shared" si="8"/>
        <v>0</v>
      </c>
      <c r="E51" s="834">
        <f t="shared" si="18"/>
        <v>0</v>
      </c>
      <c r="F51" s="835">
        <f t="shared" si="19"/>
        <v>0</v>
      </c>
      <c r="G51" s="835">
        <f t="shared" si="20"/>
        <v>0</v>
      </c>
      <c r="H51" s="835">
        <f t="shared" si="21"/>
        <v>0</v>
      </c>
      <c r="I51" s="835">
        <f t="shared" si="22"/>
        <v>0</v>
      </c>
      <c r="J51" s="835">
        <f t="shared" si="23"/>
        <v>0</v>
      </c>
      <c r="K51" s="835">
        <f t="shared" si="24"/>
        <v>0</v>
      </c>
      <c r="L51" s="835">
        <f t="shared" si="25"/>
        <v>0</v>
      </c>
      <c r="M51" s="816"/>
      <c r="N51" s="835">
        <f>SUMIF(HK_BS!$A:$A,환율변동효과!A51,HK_BS!$G:$G)</f>
        <v>0</v>
      </c>
      <c r="O51" s="835">
        <f>SUMIF(HK_BS!$A:$A,환율변동효과!A51,HK_BS!$H:$H)</f>
        <v>0</v>
      </c>
      <c r="P51" s="835">
        <f>SUMIF(DHK_BS!$A:$A,환율변동효과!A51,DHK_BS!$G:$G)</f>
        <v>0</v>
      </c>
      <c r="Q51" s="835">
        <f>SUMIF(DHK_BS!$A:$A,환율변동효과!A51,DHK_BS!$K:$K)</f>
        <v>0</v>
      </c>
      <c r="R51" s="835">
        <f>SUMIF(상해_BS!$A:$A,환율변동효과!A51,상해_BS!$G:$G)</f>
        <v>0</v>
      </c>
      <c r="S51" s="835">
        <f>SUMIF(상해_BS!$A:$A,환율변동효과!A51,상해_BS!$K:$K)</f>
        <v>0</v>
      </c>
      <c r="T51" s="835">
        <f>SUMIF(SG_BS!$A:$A,환율변동효과!A51,SG_BS!$G:$G)</f>
        <v>0</v>
      </c>
      <c r="U51" s="835">
        <f>SUMIF(SG_BS!$A:$A,환율변동효과!A51,SG_BS!$K:$K)</f>
        <v>0</v>
      </c>
    </row>
    <row r="52" spans="1:21" ht="13.5" customHeight="1">
      <c r="A52" s="831" t="s">
        <v>665</v>
      </c>
      <c r="B52" s="838" t="s">
        <v>32</v>
      </c>
      <c r="C52" s="831" t="s">
        <v>874</v>
      </c>
      <c r="D52" s="833">
        <f t="shared" si="8"/>
        <v>-14566772</v>
      </c>
      <c r="E52" s="834">
        <f t="shared" si="18"/>
        <v>-18248.770000000019</v>
      </c>
      <c r="F52" s="835">
        <f t="shared" si="19"/>
        <v>-3461062</v>
      </c>
      <c r="G52" s="835">
        <f t="shared" si="20"/>
        <v>-58555.890000000014</v>
      </c>
      <c r="H52" s="835">
        <f t="shared" si="21"/>
        <v>-11105710</v>
      </c>
      <c r="I52" s="835">
        <f t="shared" si="22"/>
        <v>0</v>
      </c>
      <c r="J52" s="835">
        <f t="shared" si="23"/>
        <v>0</v>
      </c>
      <c r="K52" s="835">
        <f t="shared" si="24"/>
        <v>0</v>
      </c>
      <c r="L52" s="835">
        <f t="shared" si="25"/>
        <v>0</v>
      </c>
      <c r="M52" s="816"/>
      <c r="N52" s="835">
        <f>SUMIF(HK_BS!$A:$A,환율변동효과!A52,HK_BS!$G:$G)</f>
        <v>276063.23</v>
      </c>
      <c r="O52" s="835">
        <f>SUMIF(HK_BS!$A:$A,환율변동효과!A52,HK_BS!$H:$H)</f>
        <v>54274031</v>
      </c>
      <c r="P52" s="835">
        <f>SUMIF(DHK_BS!$A:$A,환율변동효과!A52,DHK_BS!$G:$G)</f>
        <v>885827.11</v>
      </c>
      <c r="Q52" s="835">
        <f>SUMIF(DHK_BS!$A:$A,환율변동효과!A52,DHK_BS!$K:$K)</f>
        <v>174153610</v>
      </c>
      <c r="R52" s="835">
        <f>SUMIF(상해_BS!$A:$A,환율변동효과!A52,상해_BS!$G:$G)</f>
        <v>0</v>
      </c>
      <c r="S52" s="835">
        <f>SUMIF(상해_BS!$A:$A,환율변동효과!A52,상해_BS!$K:$K)</f>
        <v>0</v>
      </c>
      <c r="T52" s="835">
        <f>SUMIF(SG_BS!$A:$A,환율변동효과!A52,SG_BS!$G:$G)</f>
        <v>0</v>
      </c>
      <c r="U52" s="835">
        <f>SUMIF(SG_BS!$A:$A,환율변동효과!A52,SG_BS!$K:$K)</f>
        <v>0</v>
      </c>
    </row>
    <row r="53" spans="1:21" ht="13.5" customHeight="1">
      <c r="A53" s="831" t="s">
        <v>666</v>
      </c>
      <c r="B53" s="838" t="s">
        <v>667</v>
      </c>
      <c r="C53" s="831" t="s">
        <v>1517</v>
      </c>
      <c r="D53" s="833">
        <f t="shared" si="8"/>
        <v>6941364</v>
      </c>
      <c r="E53" s="834">
        <f t="shared" si="18"/>
        <v>9773.6900000000023</v>
      </c>
      <c r="F53" s="835">
        <f t="shared" si="19"/>
        <v>1853678</v>
      </c>
      <c r="G53" s="835">
        <f t="shared" si="20"/>
        <v>26825.299999999988</v>
      </c>
      <c r="H53" s="835">
        <f t="shared" si="21"/>
        <v>5087686</v>
      </c>
      <c r="I53" s="835">
        <f t="shared" si="22"/>
        <v>0</v>
      </c>
      <c r="J53" s="835">
        <f t="shared" si="23"/>
        <v>0</v>
      </c>
      <c r="K53" s="835">
        <f t="shared" si="24"/>
        <v>0</v>
      </c>
      <c r="L53" s="835">
        <f t="shared" si="25"/>
        <v>0</v>
      </c>
      <c r="M53" s="816"/>
      <c r="N53" s="835">
        <f>SUMIF(HK_BS!$A:$A,환율변동효과!A53,HK_BS!$G:$G)</f>
        <v>-147859.31</v>
      </c>
      <c r="O53" s="835">
        <f>SUMIF(HK_BS!$A:$A,환율변동효과!A53,HK_BS!$H:$H)</f>
        <v>-29069140</v>
      </c>
      <c r="P53" s="835">
        <f>SUMIF(DHK_BS!$A:$A,환율변동효과!A53,DHK_BS!$G:$G)</f>
        <v>-405817.7</v>
      </c>
      <c r="Q53" s="835">
        <f>SUMIF(DHK_BS!$A:$A,환율변동효과!A53,DHK_BS!$K:$K)</f>
        <v>-79783760</v>
      </c>
      <c r="R53" s="835">
        <f>SUMIF(상해_BS!$A:$A,환율변동효과!A53,상해_BS!$G:$G)</f>
        <v>0</v>
      </c>
      <c r="S53" s="835">
        <f>SUMIF(상해_BS!$A:$A,환율변동효과!A53,상해_BS!$K:$K)</f>
        <v>0</v>
      </c>
      <c r="T53" s="835">
        <f>SUMIF(SG_BS!$A:$A,환율변동효과!A53,SG_BS!$G:$G)</f>
        <v>0</v>
      </c>
      <c r="U53" s="835">
        <f>SUMIF(SG_BS!$A:$A,환율변동효과!A53,SG_BS!$K:$K)</f>
        <v>0</v>
      </c>
    </row>
    <row r="54" spans="1:21" ht="13.5" customHeight="1">
      <c r="A54" s="831" t="s">
        <v>668</v>
      </c>
      <c r="B54" s="838" t="s">
        <v>669</v>
      </c>
      <c r="C54" s="831" t="s">
        <v>669</v>
      </c>
      <c r="D54" s="833">
        <f t="shared" si="8"/>
        <v>-26727150</v>
      </c>
      <c r="E54" s="834">
        <f t="shared" si="18"/>
        <v>-3332.5500000000029</v>
      </c>
      <c r="F54" s="835">
        <f t="shared" si="19"/>
        <v>-632051</v>
      </c>
      <c r="G54" s="835">
        <f t="shared" si="20"/>
        <v>-137588.84000000008</v>
      </c>
      <c r="H54" s="835">
        <f t="shared" si="21"/>
        <v>-26095099</v>
      </c>
      <c r="I54" s="835">
        <f t="shared" si="22"/>
        <v>0</v>
      </c>
      <c r="J54" s="835">
        <f t="shared" si="23"/>
        <v>0</v>
      </c>
      <c r="K54" s="835">
        <f t="shared" si="24"/>
        <v>0</v>
      </c>
      <c r="L54" s="835">
        <f t="shared" si="25"/>
        <v>0</v>
      </c>
      <c r="M54" s="816"/>
      <c r="N54" s="835">
        <f>SUMIF(HK_BS!$A:$A,환율변동효과!A54,HK_BS!$G:$G)</f>
        <v>50407.45</v>
      </c>
      <c r="O54" s="835">
        <f>SUMIF(HK_BS!$A:$A,환율변동효과!A54,HK_BS!$H:$H)</f>
        <v>9910105</v>
      </c>
      <c r="P54" s="835">
        <f>SUMIF(DHK_BS!$A:$A,환율변동효과!A54,DHK_BS!$G:$G)</f>
        <v>2081445.16</v>
      </c>
      <c r="Q54" s="835">
        <f>SUMIF(DHK_BS!$A:$A,환율변동효과!A54,DHK_BS!$K:$K)</f>
        <v>409212118</v>
      </c>
      <c r="R54" s="835">
        <f>SUMIF(상해_BS!$A:$A,환율변동효과!A54,상해_BS!$G:$G)</f>
        <v>0</v>
      </c>
      <c r="S54" s="835">
        <f>SUMIF(상해_BS!$A:$A,환율변동효과!A54,상해_BS!$K:$K)</f>
        <v>0</v>
      </c>
      <c r="T54" s="835">
        <f>SUMIF(SG_BS!$A:$A,환율변동효과!A54,SG_BS!$G:$G)</f>
        <v>0</v>
      </c>
      <c r="U54" s="835">
        <f>SUMIF(SG_BS!$A:$A,환율변동효과!A54,SG_BS!$K:$K)</f>
        <v>0</v>
      </c>
    </row>
    <row r="55" spans="1:21" ht="13.5" customHeight="1">
      <c r="A55" s="831" t="s">
        <v>670</v>
      </c>
      <c r="B55" s="838" t="s">
        <v>671</v>
      </c>
      <c r="C55" s="831" t="s">
        <v>1515</v>
      </c>
      <c r="D55" s="833">
        <f t="shared" si="8"/>
        <v>13875740</v>
      </c>
      <c r="E55" s="834">
        <f t="shared" si="18"/>
        <v>1939.6399999999994</v>
      </c>
      <c r="F55" s="835">
        <f t="shared" si="19"/>
        <v>367872</v>
      </c>
      <c r="G55" s="835">
        <f t="shared" si="20"/>
        <v>71221.489999999991</v>
      </c>
      <c r="H55" s="835">
        <f t="shared" si="21"/>
        <v>13507868</v>
      </c>
      <c r="I55" s="835">
        <f t="shared" si="22"/>
        <v>0</v>
      </c>
      <c r="J55" s="835">
        <f t="shared" si="23"/>
        <v>0</v>
      </c>
      <c r="K55" s="835">
        <f t="shared" si="24"/>
        <v>0</v>
      </c>
      <c r="L55" s="835">
        <f t="shared" si="25"/>
        <v>0</v>
      </c>
      <c r="M55" s="816"/>
      <c r="N55" s="835">
        <f>SUMIF(HK_BS!$A:$A,환율변동효과!A55,HK_BS!$G:$G)</f>
        <v>-29338.36</v>
      </c>
      <c r="O55" s="835">
        <f>SUMIF(HK_BS!$A:$A,환율변동효과!A55,HK_BS!$H:$H)</f>
        <v>-5767922</v>
      </c>
      <c r="P55" s="835">
        <f>SUMIF(DHK_BS!$A:$A,환율변동효과!A55,DHK_BS!$G:$G)</f>
        <v>-1077431.51</v>
      </c>
      <c r="Q55" s="835">
        <f>SUMIF(DHK_BS!$A:$A,환율변동효과!A55,DHK_BS!$K:$K)</f>
        <v>-211823035</v>
      </c>
      <c r="R55" s="835">
        <f>SUMIF(상해_BS!$A:$A,환율변동효과!A55,상해_BS!$G:$G)</f>
        <v>0</v>
      </c>
      <c r="S55" s="835">
        <f>SUMIF(상해_BS!$A:$A,환율변동효과!A55,상해_BS!$K:$K)</f>
        <v>0</v>
      </c>
      <c r="T55" s="835">
        <f>SUMIF(SG_BS!$A:$A,환율변동효과!A55,SG_BS!$G:$G)</f>
        <v>0</v>
      </c>
      <c r="U55" s="835">
        <f>SUMIF(SG_BS!$A:$A,환율변동효과!A55,SG_BS!$K:$K)</f>
        <v>0</v>
      </c>
    </row>
    <row r="56" spans="1:21" ht="13.5" customHeight="1">
      <c r="A56" s="831" t="s">
        <v>672</v>
      </c>
      <c r="B56" s="838" t="s">
        <v>346</v>
      </c>
      <c r="C56" s="831" t="s">
        <v>346</v>
      </c>
      <c r="D56" s="833">
        <f t="shared" si="8"/>
        <v>0</v>
      </c>
      <c r="E56" s="834">
        <f t="shared" si="18"/>
        <v>0</v>
      </c>
      <c r="F56" s="835">
        <f t="shared" si="19"/>
        <v>0</v>
      </c>
      <c r="G56" s="835">
        <f t="shared" si="20"/>
        <v>0</v>
      </c>
      <c r="H56" s="835">
        <f t="shared" si="21"/>
        <v>0</v>
      </c>
      <c r="I56" s="835">
        <f t="shared" si="22"/>
        <v>0</v>
      </c>
      <c r="J56" s="835">
        <f t="shared" si="23"/>
        <v>0</v>
      </c>
      <c r="K56" s="835">
        <f t="shared" si="24"/>
        <v>0</v>
      </c>
      <c r="L56" s="835">
        <f t="shared" si="25"/>
        <v>0</v>
      </c>
      <c r="M56" s="816"/>
      <c r="N56" s="835">
        <f>SUMIF(HK_BS!$A:$A,환율변동효과!A56,HK_BS!$G:$G)</f>
        <v>0</v>
      </c>
      <c r="O56" s="835">
        <f>SUMIF(HK_BS!$A:$A,환율변동효과!A56,HK_BS!$H:$H)</f>
        <v>0</v>
      </c>
      <c r="P56" s="835">
        <f>SUMIF(DHK_BS!$A:$A,환율변동효과!A56,DHK_BS!$G:$G)</f>
        <v>0</v>
      </c>
      <c r="Q56" s="835">
        <f>SUMIF(DHK_BS!$A:$A,환율변동효과!A56,DHK_BS!$K:$K)</f>
        <v>0</v>
      </c>
      <c r="R56" s="835">
        <f>SUMIF(상해_BS!$A:$A,환율변동효과!A56,상해_BS!$G:$G)</f>
        <v>0</v>
      </c>
      <c r="S56" s="835">
        <f>SUMIF(상해_BS!$A:$A,환율변동효과!A56,상해_BS!$K:$K)</f>
        <v>0</v>
      </c>
      <c r="T56" s="835">
        <f>SUMIF(SG_BS!$A:$A,환율변동효과!A56,SG_BS!$G:$G)</f>
        <v>0</v>
      </c>
      <c r="U56" s="835">
        <f>SUMIF(SG_BS!$A:$A,환율변동효과!A56,SG_BS!$K:$K)</f>
        <v>0</v>
      </c>
    </row>
    <row r="57" spans="1:21" ht="13.5" customHeight="1">
      <c r="A57" s="831" t="s">
        <v>673</v>
      </c>
      <c r="B57" s="838" t="s">
        <v>674</v>
      </c>
      <c r="C57" s="831" t="s">
        <v>1513</v>
      </c>
      <c r="D57" s="833">
        <f t="shared" si="8"/>
        <v>0</v>
      </c>
      <c r="E57" s="834">
        <f t="shared" si="18"/>
        <v>0</v>
      </c>
      <c r="F57" s="835">
        <f t="shared" si="19"/>
        <v>0</v>
      </c>
      <c r="G57" s="835">
        <f t="shared" si="20"/>
        <v>0</v>
      </c>
      <c r="H57" s="835">
        <f t="shared" si="21"/>
        <v>0</v>
      </c>
      <c r="I57" s="835">
        <f t="shared" si="22"/>
        <v>0</v>
      </c>
      <c r="J57" s="835">
        <f t="shared" si="23"/>
        <v>0</v>
      </c>
      <c r="K57" s="835">
        <f t="shared" si="24"/>
        <v>0</v>
      </c>
      <c r="L57" s="835">
        <f t="shared" si="25"/>
        <v>0</v>
      </c>
      <c r="M57" s="816"/>
      <c r="N57" s="835">
        <f>SUMIF(HK_BS!$A:$A,환율변동효과!A57,HK_BS!$G:$G)</f>
        <v>0</v>
      </c>
      <c r="O57" s="835">
        <f>SUMIF(HK_BS!$A:$A,환율변동효과!A57,HK_BS!$H:$H)</f>
        <v>0</v>
      </c>
      <c r="P57" s="835">
        <f>SUMIF(DHK_BS!$A:$A,환율변동효과!A57,DHK_BS!$G:$G)</f>
        <v>0</v>
      </c>
      <c r="Q57" s="835">
        <f>SUMIF(DHK_BS!$A:$A,환율변동효과!A57,DHK_BS!$K:$K)</f>
        <v>0</v>
      </c>
      <c r="R57" s="835">
        <f>SUMIF(상해_BS!$A:$A,환율변동효과!A57,상해_BS!$G:$G)</f>
        <v>0</v>
      </c>
      <c r="S57" s="835">
        <f>SUMIF(상해_BS!$A:$A,환율변동효과!A57,상해_BS!$K:$K)</f>
        <v>0</v>
      </c>
      <c r="T57" s="835">
        <f>SUMIF(SG_BS!$A:$A,환율변동효과!A57,SG_BS!$G:$G)</f>
        <v>0</v>
      </c>
      <c r="U57" s="835">
        <f>SUMIF(SG_BS!$A:$A,환율변동효과!A57,SG_BS!$K:$K)</f>
        <v>0</v>
      </c>
    </row>
    <row r="58" spans="1:21" ht="13.5" customHeight="1">
      <c r="A58" s="831" t="s">
        <v>675</v>
      </c>
      <c r="B58" s="838" t="s">
        <v>37</v>
      </c>
      <c r="C58" s="831" t="s">
        <v>37</v>
      </c>
      <c r="D58" s="833">
        <f t="shared" si="8"/>
        <v>0</v>
      </c>
      <c r="E58" s="834">
        <f t="shared" si="18"/>
        <v>0</v>
      </c>
      <c r="F58" s="835">
        <f t="shared" si="19"/>
        <v>0</v>
      </c>
      <c r="G58" s="835">
        <f t="shared" si="20"/>
        <v>0</v>
      </c>
      <c r="H58" s="835">
        <f t="shared" si="21"/>
        <v>0</v>
      </c>
      <c r="I58" s="835">
        <f t="shared" si="22"/>
        <v>0</v>
      </c>
      <c r="J58" s="835">
        <f t="shared" si="23"/>
        <v>0</v>
      </c>
      <c r="K58" s="835">
        <f t="shared" si="24"/>
        <v>0</v>
      </c>
      <c r="L58" s="835">
        <f t="shared" si="25"/>
        <v>0</v>
      </c>
      <c r="M58" s="816"/>
      <c r="N58" s="835">
        <f>SUMIF(HK_BS!$A:$A,환율변동효과!A58,HK_BS!$G:$G)</f>
        <v>0</v>
      </c>
      <c r="O58" s="835">
        <f>SUMIF(HK_BS!$A:$A,환율변동효과!A58,HK_BS!$H:$H)</f>
        <v>0</v>
      </c>
      <c r="P58" s="835">
        <f>SUMIF(DHK_BS!$A:$A,환율변동효과!A58,DHK_BS!$G:$G)</f>
        <v>0</v>
      </c>
      <c r="Q58" s="835">
        <f>SUMIF(DHK_BS!$A:$A,환율변동효과!A58,DHK_BS!$K:$K)</f>
        <v>0</v>
      </c>
      <c r="R58" s="835">
        <f>SUMIF(상해_BS!$A:$A,환율변동효과!A58,상해_BS!$G:$G)</f>
        <v>0</v>
      </c>
      <c r="S58" s="835">
        <f>SUMIF(상해_BS!$A:$A,환율변동효과!A58,상해_BS!$K:$K)</f>
        <v>0</v>
      </c>
      <c r="T58" s="835">
        <f>SUMIF(SG_BS!$A:$A,환율변동효과!A58,SG_BS!$G:$G)</f>
        <v>0</v>
      </c>
      <c r="U58" s="835">
        <f>SUMIF(SG_BS!$A:$A,환율변동효과!A58,SG_BS!$K:$K)</f>
        <v>0</v>
      </c>
    </row>
    <row r="59" spans="1:21" ht="13.5" customHeight="1">
      <c r="A59" s="831" t="s">
        <v>676</v>
      </c>
      <c r="B59" s="838" t="s">
        <v>38</v>
      </c>
      <c r="C59" s="831" t="s">
        <v>38</v>
      </c>
      <c r="D59" s="833">
        <f t="shared" si="8"/>
        <v>0</v>
      </c>
      <c r="E59" s="834">
        <f t="shared" si="18"/>
        <v>0</v>
      </c>
      <c r="F59" s="835">
        <f t="shared" si="19"/>
        <v>0</v>
      </c>
      <c r="G59" s="835">
        <f t="shared" si="20"/>
        <v>0</v>
      </c>
      <c r="H59" s="835">
        <f t="shared" si="21"/>
        <v>0</v>
      </c>
      <c r="I59" s="835">
        <f t="shared" si="22"/>
        <v>0</v>
      </c>
      <c r="J59" s="835">
        <f t="shared" si="23"/>
        <v>0</v>
      </c>
      <c r="K59" s="835">
        <f t="shared" si="24"/>
        <v>0</v>
      </c>
      <c r="L59" s="835">
        <f t="shared" si="25"/>
        <v>0</v>
      </c>
      <c r="M59" s="816"/>
      <c r="N59" s="835">
        <f>SUMIF(HK_BS!$A:$A,환율변동효과!A59,HK_BS!$G:$G)</f>
        <v>0</v>
      </c>
      <c r="O59" s="835">
        <f>SUMIF(HK_BS!$A:$A,환율변동효과!A59,HK_BS!$H:$H)</f>
        <v>0</v>
      </c>
      <c r="P59" s="835">
        <f>SUMIF(DHK_BS!$A:$A,환율변동효과!A59,DHK_BS!$G:$G)</f>
        <v>0</v>
      </c>
      <c r="Q59" s="835">
        <f>SUMIF(DHK_BS!$A:$A,환율변동효과!A59,DHK_BS!$K:$K)</f>
        <v>0</v>
      </c>
      <c r="R59" s="835">
        <f>SUMIF(상해_BS!$A:$A,환율변동효과!A59,상해_BS!$G:$G)</f>
        <v>0</v>
      </c>
      <c r="S59" s="835">
        <f>SUMIF(상해_BS!$A:$A,환율변동효과!A59,상해_BS!$K:$K)</f>
        <v>0</v>
      </c>
      <c r="T59" s="835">
        <f>SUMIF(SG_BS!$A:$A,환율변동효과!A59,SG_BS!$G:$G)</f>
        <v>0</v>
      </c>
      <c r="U59" s="835">
        <f>SUMIF(SG_BS!$A:$A,환율변동효과!A59,SG_BS!$K:$K)</f>
        <v>0</v>
      </c>
    </row>
    <row r="60" spans="1:21" ht="13.5" customHeight="1">
      <c r="A60" s="831" t="s">
        <v>677</v>
      </c>
      <c r="B60" s="838" t="s">
        <v>40</v>
      </c>
      <c r="C60" s="831" t="s">
        <v>40</v>
      </c>
      <c r="D60" s="833">
        <f t="shared" si="8"/>
        <v>0</v>
      </c>
      <c r="E60" s="834">
        <f t="shared" si="18"/>
        <v>0</v>
      </c>
      <c r="F60" s="835">
        <f t="shared" si="19"/>
        <v>0</v>
      </c>
      <c r="G60" s="835">
        <f t="shared" si="20"/>
        <v>0</v>
      </c>
      <c r="H60" s="835">
        <f t="shared" si="21"/>
        <v>0</v>
      </c>
      <c r="I60" s="835">
        <f t="shared" si="22"/>
        <v>0</v>
      </c>
      <c r="J60" s="835">
        <f t="shared" si="23"/>
        <v>0</v>
      </c>
      <c r="K60" s="835">
        <f t="shared" si="24"/>
        <v>0</v>
      </c>
      <c r="L60" s="835">
        <f t="shared" si="25"/>
        <v>0</v>
      </c>
      <c r="M60" s="816"/>
      <c r="N60" s="835">
        <f>SUMIF(HK_BS!$A:$A,환율변동효과!A60,HK_BS!$G:$G)</f>
        <v>0</v>
      </c>
      <c r="O60" s="835">
        <f>SUMIF(HK_BS!$A:$A,환율변동효과!A60,HK_BS!$H:$H)</f>
        <v>0</v>
      </c>
      <c r="P60" s="835">
        <f>SUMIF(DHK_BS!$A:$A,환율변동효과!A60,DHK_BS!$G:$G)</f>
        <v>0</v>
      </c>
      <c r="Q60" s="835">
        <f>SUMIF(DHK_BS!$A:$A,환율변동효과!A60,DHK_BS!$K:$K)</f>
        <v>0</v>
      </c>
      <c r="R60" s="835">
        <f>SUMIF(상해_BS!$A:$A,환율변동효과!A60,상해_BS!$G:$G)</f>
        <v>0</v>
      </c>
      <c r="S60" s="835">
        <f>SUMIF(상해_BS!$A:$A,환율변동효과!A60,상해_BS!$K:$K)</f>
        <v>0</v>
      </c>
      <c r="T60" s="835">
        <f>SUMIF(SG_BS!$A:$A,환율변동효과!A60,SG_BS!$G:$G)</f>
        <v>0</v>
      </c>
      <c r="U60" s="835">
        <f>SUMIF(SG_BS!$A:$A,환율변동효과!A60,SG_BS!$K:$K)</f>
        <v>0</v>
      </c>
    </row>
    <row r="61" spans="1:21" ht="13.5" customHeight="1">
      <c r="A61" s="831" t="s">
        <v>678</v>
      </c>
      <c r="B61" s="838" t="s">
        <v>41</v>
      </c>
      <c r="C61" s="831" t="s">
        <v>41</v>
      </c>
      <c r="D61" s="833">
        <f t="shared" si="8"/>
        <v>0</v>
      </c>
      <c r="E61" s="834">
        <f t="shared" si="18"/>
        <v>0</v>
      </c>
      <c r="F61" s="835">
        <f t="shared" si="19"/>
        <v>0</v>
      </c>
      <c r="G61" s="835">
        <f t="shared" si="20"/>
        <v>0</v>
      </c>
      <c r="H61" s="835">
        <f t="shared" si="21"/>
        <v>0</v>
      </c>
      <c r="I61" s="835">
        <f t="shared" si="22"/>
        <v>0</v>
      </c>
      <c r="J61" s="835">
        <f t="shared" si="23"/>
        <v>0</v>
      </c>
      <c r="K61" s="835">
        <f t="shared" si="24"/>
        <v>0</v>
      </c>
      <c r="L61" s="835">
        <f t="shared" si="25"/>
        <v>0</v>
      </c>
      <c r="M61" s="816"/>
      <c r="N61" s="835">
        <f>SUMIF(HK_BS!$A:$A,환율변동효과!A61,HK_BS!$G:$G)</f>
        <v>0</v>
      </c>
      <c r="O61" s="835">
        <f>SUMIF(HK_BS!$A:$A,환율변동효과!A61,HK_BS!$H:$H)</f>
        <v>0</v>
      </c>
      <c r="P61" s="835">
        <f>SUMIF(DHK_BS!$A:$A,환율변동효과!A61,DHK_BS!$G:$G)</f>
        <v>0</v>
      </c>
      <c r="Q61" s="835">
        <f>SUMIF(DHK_BS!$A:$A,환율변동효과!A61,DHK_BS!$K:$K)</f>
        <v>0</v>
      </c>
      <c r="R61" s="835">
        <f>SUMIF(상해_BS!$A:$A,환율변동효과!A61,상해_BS!$G:$G)</f>
        <v>0</v>
      </c>
      <c r="S61" s="835">
        <f>SUMIF(상해_BS!$A:$A,환율변동효과!A61,상해_BS!$K:$K)</f>
        <v>0</v>
      </c>
      <c r="T61" s="835">
        <f>SUMIF(SG_BS!$A:$A,환율변동효과!A61,SG_BS!$G:$G)</f>
        <v>0</v>
      </c>
      <c r="U61" s="835">
        <f>SUMIF(SG_BS!$A:$A,환율변동효과!A61,SG_BS!$K:$K)</f>
        <v>0</v>
      </c>
    </row>
    <row r="62" spans="1:21" ht="13.5" customHeight="1">
      <c r="A62" s="846" t="s">
        <v>1523</v>
      </c>
      <c r="B62" s="838" t="s">
        <v>39</v>
      </c>
      <c r="C62" s="831" t="s">
        <v>39</v>
      </c>
      <c r="D62" s="833">
        <f t="shared" si="8"/>
        <v>0</v>
      </c>
      <c r="E62" s="834">
        <f t="shared" si="18"/>
        <v>0</v>
      </c>
      <c r="F62" s="835">
        <f t="shared" si="19"/>
        <v>0</v>
      </c>
      <c r="G62" s="835">
        <f t="shared" si="20"/>
        <v>0</v>
      </c>
      <c r="H62" s="835">
        <f t="shared" si="21"/>
        <v>0</v>
      </c>
      <c r="I62" s="835">
        <f t="shared" si="22"/>
        <v>0</v>
      </c>
      <c r="J62" s="835">
        <f t="shared" si="23"/>
        <v>0</v>
      </c>
      <c r="K62" s="835">
        <f t="shared" si="24"/>
        <v>0</v>
      </c>
      <c r="L62" s="835">
        <f t="shared" si="25"/>
        <v>0</v>
      </c>
      <c r="M62" s="816"/>
      <c r="N62" s="835">
        <f>SUMIF(HK_BS!$A:$A,환율변동효과!A62,HK_BS!$G:$G)</f>
        <v>0</v>
      </c>
      <c r="O62" s="835">
        <f>SUMIF(HK_BS!$A:$A,환율변동효과!A62,HK_BS!$H:$H)</f>
        <v>0</v>
      </c>
      <c r="P62" s="835">
        <f>SUMIF(DHK_BS!$A:$A,환율변동효과!A62,DHK_BS!$G:$G)</f>
        <v>0</v>
      </c>
      <c r="Q62" s="835">
        <f>SUMIF(DHK_BS!$A:$A,환율변동효과!A62,DHK_BS!$K:$K)</f>
        <v>0</v>
      </c>
      <c r="R62" s="835">
        <f>SUMIF(상해_BS!$A:$A,환율변동효과!A62,상해_BS!$G:$G)</f>
        <v>0</v>
      </c>
      <c r="S62" s="835">
        <f>SUMIF(상해_BS!$A:$A,환율변동효과!A62,상해_BS!$K:$K)</f>
        <v>0</v>
      </c>
      <c r="T62" s="835">
        <f>SUMIF(SG_BS!$A:$A,환율변동효과!A62,SG_BS!$G:$G)</f>
        <v>0</v>
      </c>
      <c r="U62" s="835">
        <f>SUMIF(SG_BS!$A:$A,환율변동효과!A62,SG_BS!$K:$K)</f>
        <v>0</v>
      </c>
    </row>
    <row r="63" spans="1:21" ht="13.5" customHeight="1">
      <c r="A63" s="831" t="s">
        <v>679</v>
      </c>
      <c r="B63" s="838" t="s">
        <v>43</v>
      </c>
      <c r="C63" s="831" t="s">
        <v>43</v>
      </c>
      <c r="D63" s="833">
        <f t="shared" si="8"/>
        <v>0</v>
      </c>
      <c r="E63" s="834">
        <f t="shared" si="18"/>
        <v>0</v>
      </c>
      <c r="F63" s="835">
        <f t="shared" si="19"/>
        <v>0</v>
      </c>
      <c r="G63" s="835">
        <f t="shared" si="20"/>
        <v>0</v>
      </c>
      <c r="H63" s="835">
        <f t="shared" si="21"/>
        <v>0</v>
      </c>
      <c r="I63" s="835">
        <f t="shared" si="22"/>
        <v>0</v>
      </c>
      <c r="J63" s="835">
        <f t="shared" si="23"/>
        <v>0</v>
      </c>
      <c r="K63" s="835">
        <f t="shared" si="24"/>
        <v>0</v>
      </c>
      <c r="L63" s="835">
        <f t="shared" si="25"/>
        <v>0</v>
      </c>
      <c r="M63" s="816"/>
      <c r="N63" s="835">
        <f>SUMIF(HK_BS!$A:$A,환율변동효과!A63,HK_BS!$G:$G)</f>
        <v>0</v>
      </c>
      <c r="O63" s="835">
        <f>SUMIF(HK_BS!$A:$A,환율변동효과!A63,HK_BS!$H:$H)</f>
        <v>0</v>
      </c>
      <c r="P63" s="835">
        <f>SUMIF(DHK_BS!$A:$A,환율변동효과!A63,DHK_BS!$G:$G)</f>
        <v>0</v>
      </c>
      <c r="Q63" s="835">
        <f>SUMIF(DHK_BS!$A:$A,환율변동효과!A63,DHK_BS!$K:$K)</f>
        <v>0</v>
      </c>
      <c r="R63" s="835">
        <f>SUMIF(상해_BS!$A:$A,환율변동효과!A63,상해_BS!$G:$G)</f>
        <v>0</v>
      </c>
      <c r="S63" s="835">
        <f>SUMIF(상해_BS!$A:$A,환율변동효과!A63,상해_BS!$K:$K)</f>
        <v>0</v>
      </c>
      <c r="T63" s="835">
        <f>SUMIF(SG_BS!$A:$A,환율변동효과!A63,SG_BS!$G:$G)</f>
        <v>0</v>
      </c>
      <c r="U63" s="835">
        <f>SUMIF(SG_BS!$A:$A,환율변동효과!A63,SG_BS!$K:$K)</f>
        <v>0</v>
      </c>
    </row>
    <row r="64" spans="1:21" ht="13.5" customHeight="1">
      <c r="A64" s="831" t="s">
        <v>680</v>
      </c>
      <c r="B64" s="838" t="s">
        <v>44</v>
      </c>
      <c r="C64" s="831" t="s">
        <v>44</v>
      </c>
      <c r="D64" s="833">
        <f t="shared" si="8"/>
        <v>0</v>
      </c>
      <c r="E64" s="834">
        <f t="shared" si="18"/>
        <v>0</v>
      </c>
      <c r="F64" s="835">
        <f t="shared" si="19"/>
        <v>0</v>
      </c>
      <c r="G64" s="835">
        <f t="shared" si="20"/>
        <v>0</v>
      </c>
      <c r="H64" s="835">
        <f t="shared" si="21"/>
        <v>0</v>
      </c>
      <c r="I64" s="835">
        <f t="shared" si="22"/>
        <v>0</v>
      </c>
      <c r="J64" s="835">
        <f t="shared" si="23"/>
        <v>0</v>
      </c>
      <c r="K64" s="835">
        <f t="shared" si="24"/>
        <v>0</v>
      </c>
      <c r="L64" s="835">
        <f t="shared" si="25"/>
        <v>0</v>
      </c>
      <c r="M64" s="816"/>
      <c r="N64" s="835">
        <f>SUMIF(HK_BS!$A:$A,환율변동효과!A64,HK_BS!$G:$G)</f>
        <v>0</v>
      </c>
      <c r="O64" s="835">
        <f>SUMIF(HK_BS!$A:$A,환율변동효과!A64,HK_BS!$H:$H)</f>
        <v>0</v>
      </c>
      <c r="P64" s="835">
        <f>SUMIF(DHK_BS!$A:$A,환율변동효과!A64,DHK_BS!$G:$G)</f>
        <v>0</v>
      </c>
      <c r="Q64" s="835">
        <f>SUMIF(DHK_BS!$A:$A,환율변동효과!A64,DHK_BS!$K:$K)</f>
        <v>0</v>
      </c>
      <c r="R64" s="835">
        <f>SUMIF(상해_BS!$A:$A,환율변동효과!A64,상해_BS!$G:$G)</f>
        <v>0</v>
      </c>
      <c r="S64" s="835">
        <f>SUMIF(상해_BS!$A:$A,환율변동효과!A64,상해_BS!$K:$K)</f>
        <v>0</v>
      </c>
      <c r="T64" s="835">
        <f>SUMIF(SG_BS!$A:$A,환율변동효과!A64,SG_BS!$G:$G)</f>
        <v>0</v>
      </c>
      <c r="U64" s="835">
        <f>SUMIF(SG_BS!$A:$A,환율변동효과!A64,SG_BS!$K:$K)</f>
        <v>0</v>
      </c>
    </row>
    <row r="65" spans="1:21" ht="13.5" customHeight="1">
      <c r="A65" s="846" t="s">
        <v>1527</v>
      </c>
      <c r="B65" s="838" t="s">
        <v>19</v>
      </c>
      <c r="C65" s="831" t="s">
        <v>19</v>
      </c>
      <c r="D65" s="833">
        <f t="shared" si="8"/>
        <v>0</v>
      </c>
      <c r="E65" s="834">
        <f t="shared" si="18"/>
        <v>0</v>
      </c>
      <c r="F65" s="835">
        <f t="shared" si="19"/>
        <v>0</v>
      </c>
      <c r="G65" s="835">
        <f t="shared" si="20"/>
        <v>0</v>
      </c>
      <c r="H65" s="835">
        <f t="shared" si="21"/>
        <v>0</v>
      </c>
      <c r="I65" s="835">
        <f t="shared" si="22"/>
        <v>0</v>
      </c>
      <c r="J65" s="835">
        <f t="shared" si="23"/>
        <v>0</v>
      </c>
      <c r="K65" s="835">
        <f t="shared" si="24"/>
        <v>0</v>
      </c>
      <c r="L65" s="835">
        <f t="shared" si="25"/>
        <v>0</v>
      </c>
      <c r="M65" s="816"/>
      <c r="N65" s="835">
        <f>SUMIF(HK_BS!$A:$A,환율변동효과!A65,HK_BS!$G:$G)</f>
        <v>0</v>
      </c>
      <c r="O65" s="835">
        <f>SUMIF(HK_BS!$A:$A,환율변동효과!A65,HK_BS!$H:$H)</f>
        <v>0</v>
      </c>
      <c r="P65" s="835">
        <f>SUMIF(DHK_BS!$A:$A,환율변동효과!A65,DHK_BS!$G:$G)</f>
        <v>0</v>
      </c>
      <c r="Q65" s="835">
        <f>SUMIF(DHK_BS!$A:$A,환율변동효과!A65,DHK_BS!$K:$K)</f>
        <v>0</v>
      </c>
      <c r="R65" s="835">
        <f>SUMIF(상해_BS!$A:$A,환율변동효과!A65,상해_BS!$G:$G)</f>
        <v>0</v>
      </c>
      <c r="S65" s="835">
        <f>SUMIF(상해_BS!$A:$A,환율변동효과!A65,상해_BS!$K:$K)</f>
        <v>0</v>
      </c>
      <c r="T65" s="835">
        <f>SUMIF(SG_BS!$A:$A,환율변동효과!A65,SG_BS!$G:$G)</f>
        <v>0</v>
      </c>
      <c r="U65" s="835">
        <f>SUMIF(SG_BS!$A:$A,환율변동효과!A65,SG_BS!$K:$K)</f>
        <v>0</v>
      </c>
    </row>
    <row r="66" spans="1:21" ht="13.5" customHeight="1">
      <c r="A66" s="831"/>
      <c r="B66" s="832" t="s">
        <v>46</v>
      </c>
      <c r="C66" s="831"/>
      <c r="D66" s="833">
        <f t="shared" si="8"/>
        <v>0</v>
      </c>
      <c r="E66" s="834">
        <f t="shared" si="18"/>
        <v>0</v>
      </c>
      <c r="F66" s="835">
        <f t="shared" si="19"/>
        <v>0</v>
      </c>
      <c r="G66" s="835">
        <f t="shared" si="20"/>
        <v>0</v>
      </c>
      <c r="H66" s="835">
        <f t="shared" si="21"/>
        <v>0</v>
      </c>
      <c r="I66" s="835">
        <f t="shared" si="22"/>
        <v>0</v>
      </c>
      <c r="J66" s="835">
        <f t="shared" si="23"/>
        <v>0</v>
      </c>
      <c r="K66" s="835">
        <f t="shared" si="24"/>
        <v>0</v>
      </c>
      <c r="L66" s="835">
        <f t="shared" si="25"/>
        <v>0</v>
      </c>
      <c r="M66" s="816"/>
      <c r="N66" s="835">
        <f>SUMIF(HK_BS!$A:$A,환율변동효과!A66,HK_BS!$G:$G)</f>
        <v>0</v>
      </c>
      <c r="O66" s="835">
        <f>SUMIF(HK_BS!$A:$A,환율변동효과!A66,HK_BS!$H:$H)</f>
        <v>0</v>
      </c>
      <c r="P66" s="835">
        <f>SUMIF(DHK_BS!$A:$A,환율변동효과!A66,DHK_BS!$G:$G)</f>
        <v>0</v>
      </c>
      <c r="Q66" s="835">
        <f>SUMIF(DHK_BS!$A:$A,환율변동효과!A66,DHK_BS!$K:$K)</f>
        <v>0</v>
      </c>
      <c r="R66" s="835">
        <f>SUMIF(상해_BS!$A:$A,환율변동효과!A66,상해_BS!$G:$G)</f>
        <v>0</v>
      </c>
      <c r="S66" s="835">
        <f>SUMIF(상해_BS!$A:$A,환율변동효과!A66,상해_BS!$K:$K)</f>
        <v>0</v>
      </c>
      <c r="T66" s="835">
        <f>SUMIF(SG_BS!$A:$A,환율변동효과!A66,SG_BS!$G:$G)</f>
        <v>0</v>
      </c>
      <c r="U66" s="835">
        <f>SUMIF(SG_BS!$A:$A,환율변동효과!A66,SG_BS!$K:$K)</f>
        <v>0</v>
      </c>
    </row>
    <row r="67" spans="1:21" ht="13.5" customHeight="1">
      <c r="A67" s="831"/>
      <c r="B67" s="836" t="s">
        <v>47</v>
      </c>
      <c r="C67" s="839"/>
      <c r="D67" s="833">
        <f t="shared" si="8"/>
        <v>0</v>
      </c>
      <c r="E67" s="834">
        <f t="shared" si="18"/>
        <v>0</v>
      </c>
      <c r="F67" s="835">
        <f t="shared" si="19"/>
        <v>0</v>
      </c>
      <c r="G67" s="835">
        <f t="shared" si="20"/>
        <v>0</v>
      </c>
      <c r="H67" s="835">
        <f t="shared" si="21"/>
        <v>0</v>
      </c>
      <c r="I67" s="835">
        <f t="shared" si="22"/>
        <v>0</v>
      </c>
      <c r="J67" s="835">
        <f t="shared" si="23"/>
        <v>0</v>
      </c>
      <c r="K67" s="835">
        <f t="shared" si="24"/>
        <v>0</v>
      </c>
      <c r="L67" s="835">
        <f t="shared" si="25"/>
        <v>0</v>
      </c>
      <c r="M67" s="816"/>
      <c r="N67" s="835">
        <f>SUMIF(HK_BS!$A:$A,환율변동효과!A67,HK_BS!$G:$G)</f>
        <v>0</v>
      </c>
      <c r="O67" s="835">
        <f>SUMIF(HK_BS!$A:$A,환율변동효과!A67,HK_BS!$H:$H)</f>
        <v>0</v>
      </c>
      <c r="P67" s="835">
        <f>SUMIF(DHK_BS!$A:$A,환율변동효과!A67,DHK_BS!$G:$G)</f>
        <v>0</v>
      </c>
      <c r="Q67" s="835">
        <f>SUMIF(DHK_BS!$A:$A,환율변동효과!A67,DHK_BS!$K:$K)</f>
        <v>0</v>
      </c>
      <c r="R67" s="835">
        <f>SUMIF(상해_BS!$A:$A,환율변동효과!A67,상해_BS!$G:$G)</f>
        <v>0</v>
      </c>
      <c r="S67" s="835">
        <f>SUMIF(상해_BS!$A:$A,환율변동효과!A67,상해_BS!$K:$K)</f>
        <v>0</v>
      </c>
      <c r="T67" s="835">
        <f>SUMIF(SG_BS!$A:$A,환율변동효과!A67,SG_BS!$G:$G)</f>
        <v>0</v>
      </c>
      <c r="U67" s="835">
        <f>SUMIF(SG_BS!$A:$A,환율변동효과!A67,SG_BS!$K:$K)</f>
        <v>0</v>
      </c>
    </row>
    <row r="68" spans="1:21" ht="13.5" customHeight="1">
      <c r="A68" s="831" t="s">
        <v>681</v>
      </c>
      <c r="B68" s="838" t="s">
        <v>49</v>
      </c>
      <c r="C68" s="831" t="s">
        <v>48</v>
      </c>
      <c r="D68" s="833">
        <f t="shared" si="8"/>
        <v>-129857804</v>
      </c>
      <c r="E68" s="834">
        <f t="shared" si="18"/>
        <v>-133150.93999999994</v>
      </c>
      <c r="F68" s="835">
        <f t="shared" si="19"/>
        <v>-25253407</v>
      </c>
      <c r="G68" s="835">
        <f t="shared" si="20"/>
        <v>-551536.41999999993</v>
      </c>
      <c r="H68" s="835">
        <f t="shared" si="21"/>
        <v>-104604397</v>
      </c>
      <c r="I68" s="835">
        <f t="shared" si="22"/>
        <v>0</v>
      </c>
      <c r="J68" s="835">
        <f t="shared" si="23"/>
        <v>0</v>
      </c>
      <c r="K68" s="835">
        <f t="shared" si="24"/>
        <v>0</v>
      </c>
      <c r="L68" s="835">
        <f t="shared" si="25"/>
        <v>0</v>
      </c>
      <c r="M68" s="816"/>
      <c r="N68" s="835">
        <f>SUMIF(HK_BS!$A:$A,환율변동효과!A68,HK_BS!$G:$G)</f>
        <v>2014311.06</v>
      </c>
      <c r="O68" s="835">
        <f>SUMIF(HK_BS!$A:$A,환율변동효과!A68,HK_BS!$H:$H)</f>
        <v>396013554</v>
      </c>
      <c r="P68" s="835">
        <f>SUMIF(DHK_BS!$A:$A,환율변동효과!A68,DHK_BS!$G:$G)</f>
        <v>8343622.5800000001</v>
      </c>
      <c r="Q68" s="835">
        <f>SUMIF(DHK_BS!$A:$A,환율변동효과!A68,DHK_BS!$K:$K)</f>
        <v>1640356199</v>
      </c>
      <c r="R68" s="835">
        <f>SUMIF(상해_BS!$A:$A,환율변동효과!A68,상해_BS!$G:$G)</f>
        <v>0</v>
      </c>
      <c r="S68" s="835">
        <f>SUMIF(상해_BS!$A:$A,환율변동효과!A68,상해_BS!$K:$K)</f>
        <v>0</v>
      </c>
      <c r="T68" s="835">
        <f>SUMIF(SG_BS!$A:$A,환율변동효과!A68,SG_BS!$G:$G)</f>
        <v>0</v>
      </c>
      <c r="U68" s="835">
        <f>SUMIF(SG_BS!$A:$A,환율변동효과!A68,SG_BS!$K:$K)</f>
        <v>0</v>
      </c>
    </row>
    <row r="69" spans="1:21" ht="13.5" customHeight="1">
      <c r="A69" s="831" t="s">
        <v>682</v>
      </c>
      <c r="B69" s="838" t="s">
        <v>51</v>
      </c>
      <c r="C69" s="831" t="s">
        <v>51</v>
      </c>
      <c r="D69" s="833">
        <f t="shared" si="8"/>
        <v>0</v>
      </c>
      <c r="E69" s="834">
        <f t="shared" si="18"/>
        <v>0</v>
      </c>
      <c r="F69" s="835">
        <f t="shared" si="19"/>
        <v>0</v>
      </c>
      <c r="G69" s="835">
        <f t="shared" si="20"/>
        <v>0</v>
      </c>
      <c r="H69" s="835">
        <f t="shared" si="21"/>
        <v>0</v>
      </c>
      <c r="I69" s="835">
        <f t="shared" si="22"/>
        <v>0</v>
      </c>
      <c r="J69" s="835">
        <f t="shared" si="23"/>
        <v>0</v>
      </c>
      <c r="K69" s="835">
        <f t="shared" si="24"/>
        <v>0</v>
      </c>
      <c r="L69" s="835">
        <f t="shared" si="25"/>
        <v>0</v>
      </c>
      <c r="M69" s="816"/>
      <c r="N69" s="835">
        <f>SUMIF(HK_BS!$A:$A,환율변동효과!A69,HK_BS!$G:$G)</f>
        <v>0</v>
      </c>
      <c r="O69" s="835">
        <f>SUMIF(HK_BS!$A:$A,환율변동효과!A69,HK_BS!$H:$H)</f>
        <v>0</v>
      </c>
      <c r="P69" s="835">
        <f>SUMIF(DHK_BS!$A:$A,환율변동효과!A69,DHK_BS!$G:$G)</f>
        <v>0</v>
      </c>
      <c r="Q69" s="835">
        <f>SUMIF(DHK_BS!$A:$A,환율변동효과!A69,DHK_BS!$K:$K)</f>
        <v>0</v>
      </c>
      <c r="R69" s="835">
        <f>SUMIF(상해_BS!$A:$A,환율변동효과!A69,상해_BS!$G:$G)</f>
        <v>0</v>
      </c>
      <c r="S69" s="835">
        <f>SUMIF(상해_BS!$A:$A,환율변동효과!A69,상해_BS!$K:$K)</f>
        <v>0</v>
      </c>
      <c r="T69" s="835">
        <f>SUMIF(SG_BS!$A:$A,환율변동효과!A69,SG_BS!$G:$G)</f>
        <v>0</v>
      </c>
      <c r="U69" s="835">
        <f>SUMIF(SG_BS!$A:$A,환율변동효과!A69,SG_BS!$K:$K)</f>
        <v>0</v>
      </c>
    </row>
    <row r="70" spans="1:21" ht="13.5" customHeight="1">
      <c r="A70" s="831" t="s">
        <v>683</v>
      </c>
      <c r="B70" s="838" t="s">
        <v>53</v>
      </c>
      <c r="C70" s="831" t="s">
        <v>53</v>
      </c>
      <c r="D70" s="833">
        <f t="shared" si="8"/>
        <v>0</v>
      </c>
      <c r="E70" s="834">
        <f t="shared" si="18"/>
        <v>0</v>
      </c>
      <c r="F70" s="835">
        <f t="shared" si="19"/>
        <v>0</v>
      </c>
      <c r="G70" s="835">
        <f t="shared" si="20"/>
        <v>0</v>
      </c>
      <c r="H70" s="835">
        <f t="shared" si="21"/>
        <v>0</v>
      </c>
      <c r="I70" s="835">
        <f t="shared" si="22"/>
        <v>0</v>
      </c>
      <c r="J70" s="835">
        <f t="shared" si="23"/>
        <v>0</v>
      </c>
      <c r="K70" s="835">
        <f t="shared" si="24"/>
        <v>0</v>
      </c>
      <c r="L70" s="835">
        <f t="shared" si="25"/>
        <v>0</v>
      </c>
      <c r="M70" s="816"/>
      <c r="N70" s="835">
        <f>SUMIF(HK_BS!$A:$A,환율변동효과!A70,HK_BS!$G:$G)</f>
        <v>0</v>
      </c>
      <c r="O70" s="835">
        <f>SUMIF(HK_BS!$A:$A,환율변동효과!A70,HK_BS!$H:$H)</f>
        <v>0</v>
      </c>
      <c r="P70" s="835">
        <f>SUMIF(DHK_BS!$A:$A,환율변동효과!A70,DHK_BS!$G:$G)</f>
        <v>0</v>
      </c>
      <c r="Q70" s="835">
        <f>SUMIF(DHK_BS!$A:$A,환율변동효과!A70,DHK_BS!$K:$K)</f>
        <v>0</v>
      </c>
      <c r="R70" s="835">
        <f>SUMIF(상해_BS!$A:$A,환율변동효과!A70,상해_BS!$G:$G)</f>
        <v>0</v>
      </c>
      <c r="S70" s="835">
        <f>SUMIF(상해_BS!$A:$A,환율변동효과!A70,상해_BS!$K:$K)</f>
        <v>0</v>
      </c>
      <c r="T70" s="835">
        <f>SUMIF(SG_BS!$A:$A,환율변동효과!A70,SG_BS!$G:$G)</f>
        <v>0</v>
      </c>
      <c r="U70" s="835">
        <f>SUMIF(SG_BS!$A:$A,환율변동효과!A70,SG_BS!$K:$K)</f>
        <v>0</v>
      </c>
    </row>
    <row r="71" spans="1:21" ht="13.5" customHeight="1">
      <c r="A71" s="831" t="s">
        <v>684</v>
      </c>
      <c r="B71" s="838" t="s">
        <v>369</v>
      </c>
      <c r="C71" s="831" t="s">
        <v>369</v>
      </c>
      <c r="D71" s="833">
        <f t="shared" si="8"/>
        <v>0</v>
      </c>
      <c r="E71" s="834">
        <f t="shared" si="18"/>
        <v>0</v>
      </c>
      <c r="F71" s="835">
        <f t="shared" si="19"/>
        <v>0</v>
      </c>
      <c r="G71" s="835">
        <f t="shared" si="20"/>
        <v>0</v>
      </c>
      <c r="H71" s="835">
        <f t="shared" si="21"/>
        <v>0</v>
      </c>
      <c r="I71" s="835">
        <f t="shared" si="22"/>
        <v>0</v>
      </c>
      <c r="J71" s="835">
        <f t="shared" si="23"/>
        <v>0</v>
      </c>
      <c r="K71" s="835">
        <f t="shared" si="24"/>
        <v>0</v>
      </c>
      <c r="L71" s="835">
        <f t="shared" si="25"/>
        <v>0</v>
      </c>
      <c r="M71" s="816"/>
      <c r="N71" s="835">
        <f>SUMIF(HK_BS!$A:$A,환율변동효과!A71,HK_BS!$G:$G)</f>
        <v>0</v>
      </c>
      <c r="O71" s="835">
        <f>SUMIF(HK_BS!$A:$A,환율변동효과!A71,HK_BS!$H:$H)</f>
        <v>0</v>
      </c>
      <c r="P71" s="835">
        <f>SUMIF(DHK_BS!$A:$A,환율변동효과!A71,DHK_BS!$G:$G)</f>
        <v>0</v>
      </c>
      <c r="Q71" s="835">
        <f>SUMIF(DHK_BS!$A:$A,환율변동효과!A71,DHK_BS!$K:$K)</f>
        <v>0</v>
      </c>
      <c r="R71" s="835">
        <f>SUMIF(상해_BS!$A:$A,환율변동효과!A71,상해_BS!$G:$G)</f>
        <v>0</v>
      </c>
      <c r="S71" s="835">
        <f>SUMIF(상해_BS!$A:$A,환율변동효과!A71,상해_BS!$K:$K)</f>
        <v>0</v>
      </c>
      <c r="T71" s="835">
        <f>SUMIF(SG_BS!$A:$A,환율변동효과!A71,SG_BS!$G:$G)</f>
        <v>0</v>
      </c>
      <c r="U71" s="835">
        <f>SUMIF(SG_BS!$A:$A,환율변동효과!A71,SG_BS!$K:$K)</f>
        <v>0</v>
      </c>
    </row>
    <row r="72" spans="1:21" ht="13.5" customHeight="1">
      <c r="A72" s="831" t="s">
        <v>685</v>
      </c>
      <c r="B72" s="838" t="s">
        <v>52</v>
      </c>
      <c r="C72" s="831" t="s">
        <v>52</v>
      </c>
      <c r="D72" s="833">
        <f t="shared" si="8"/>
        <v>-4186175</v>
      </c>
      <c r="E72" s="834">
        <f t="shared" si="18"/>
        <v>-22014</v>
      </c>
      <c r="F72" s="835">
        <f t="shared" si="19"/>
        <v>-4175175</v>
      </c>
      <c r="G72" s="835">
        <f t="shared" si="20"/>
        <v>-58</v>
      </c>
      <c r="H72" s="835">
        <f t="shared" si="21"/>
        <v>-11000</v>
      </c>
      <c r="I72" s="835">
        <f t="shared" si="22"/>
        <v>0</v>
      </c>
      <c r="J72" s="835">
        <f t="shared" si="23"/>
        <v>0</v>
      </c>
      <c r="K72" s="835">
        <f t="shared" si="24"/>
        <v>0</v>
      </c>
      <c r="L72" s="835">
        <f t="shared" si="25"/>
        <v>0</v>
      </c>
      <c r="M72" s="816"/>
      <c r="N72" s="835">
        <f>SUMIF(HK_BS!$A:$A,환율변동효과!A72,HK_BS!$G:$G)</f>
        <v>333021</v>
      </c>
      <c r="O72" s="835">
        <f>SUMIF(HK_BS!$A:$A,환율변동효과!A72,HK_BS!$H:$H)</f>
        <v>65471929</v>
      </c>
      <c r="P72" s="835">
        <f>SUMIF(DHK_BS!$A:$A,환율변동효과!A72,DHK_BS!$G:$G)</f>
        <v>880</v>
      </c>
      <c r="Q72" s="835">
        <f>SUMIF(DHK_BS!$A:$A,환율변동효과!A72,DHK_BS!$K:$K)</f>
        <v>173008</v>
      </c>
      <c r="R72" s="835">
        <f>SUMIF(상해_BS!$A:$A,환율변동효과!A72,상해_BS!$G:$G)</f>
        <v>0</v>
      </c>
      <c r="S72" s="835">
        <f>SUMIF(상해_BS!$A:$A,환율변동효과!A72,상해_BS!$K:$K)</f>
        <v>0</v>
      </c>
      <c r="T72" s="835">
        <f>SUMIF(SG_BS!$A:$A,환율변동효과!A72,SG_BS!$G:$G)</f>
        <v>0</v>
      </c>
      <c r="U72" s="835">
        <f>SUMIF(SG_BS!$A:$A,환율변동효과!A72,SG_BS!$K:$K)</f>
        <v>0</v>
      </c>
    </row>
    <row r="73" spans="1:21" ht="13.5" customHeight="1">
      <c r="A73" s="831" t="s">
        <v>909</v>
      </c>
      <c r="B73" s="838" t="s">
        <v>183</v>
      </c>
      <c r="C73" s="831" t="s">
        <v>183</v>
      </c>
      <c r="D73" s="833">
        <f t="shared" si="8"/>
        <v>0</v>
      </c>
      <c r="E73" s="834">
        <f t="shared" si="18"/>
        <v>0</v>
      </c>
      <c r="F73" s="835">
        <f t="shared" si="19"/>
        <v>0</v>
      </c>
      <c r="G73" s="835">
        <f t="shared" si="20"/>
        <v>0</v>
      </c>
      <c r="H73" s="835">
        <f t="shared" si="21"/>
        <v>0</v>
      </c>
      <c r="I73" s="835">
        <f t="shared" si="22"/>
        <v>0</v>
      </c>
      <c r="J73" s="835">
        <f t="shared" si="23"/>
        <v>0</v>
      </c>
      <c r="K73" s="835">
        <f t="shared" si="24"/>
        <v>0</v>
      </c>
      <c r="L73" s="835">
        <f t="shared" si="25"/>
        <v>0</v>
      </c>
      <c r="M73" s="816"/>
      <c r="N73" s="835">
        <f>SUMIF(HK_BS!$A:$A,환율변동효과!A73,HK_BS!$G:$G)</f>
        <v>0</v>
      </c>
      <c r="O73" s="835">
        <f>SUMIF(HK_BS!$A:$A,환율변동효과!A73,HK_BS!$H:$H)</f>
        <v>0</v>
      </c>
      <c r="P73" s="835">
        <f>SUMIF(DHK_BS!$A:$A,환율변동효과!A73,DHK_BS!$G:$G)</f>
        <v>0</v>
      </c>
      <c r="Q73" s="835">
        <f>SUMIF(DHK_BS!$A:$A,환율변동효과!A73,DHK_BS!$K:$K)</f>
        <v>0</v>
      </c>
      <c r="R73" s="835">
        <f>SUMIF(상해_BS!$A:$A,환율변동효과!A73,상해_BS!$G:$G)</f>
        <v>0</v>
      </c>
      <c r="S73" s="835">
        <f>SUMIF(상해_BS!$A:$A,환율변동효과!A73,상해_BS!$K:$K)</f>
        <v>0</v>
      </c>
      <c r="T73" s="835">
        <f>SUMIF(SG_BS!$A:$A,환율변동효과!A73,SG_BS!$G:$G)</f>
        <v>0</v>
      </c>
      <c r="U73" s="835">
        <f>SUMIF(SG_BS!$A:$A,환율변동효과!A73,SG_BS!$K:$K)</f>
        <v>0</v>
      </c>
    </row>
    <row r="74" spans="1:21" ht="13.5" customHeight="1">
      <c r="A74" s="831" t="s">
        <v>686</v>
      </c>
      <c r="B74" s="838" t="s">
        <v>50</v>
      </c>
      <c r="C74" s="831" t="s">
        <v>50</v>
      </c>
      <c r="D74" s="833">
        <f t="shared" si="8"/>
        <v>0</v>
      </c>
      <c r="E74" s="834">
        <f t="shared" si="18"/>
        <v>0</v>
      </c>
      <c r="F74" s="835">
        <f t="shared" si="19"/>
        <v>0</v>
      </c>
      <c r="G74" s="835">
        <f t="shared" si="20"/>
        <v>0</v>
      </c>
      <c r="H74" s="835">
        <f t="shared" si="21"/>
        <v>0</v>
      </c>
      <c r="I74" s="835">
        <f t="shared" si="22"/>
        <v>0</v>
      </c>
      <c r="J74" s="835">
        <f t="shared" si="23"/>
        <v>0</v>
      </c>
      <c r="K74" s="835">
        <f t="shared" si="24"/>
        <v>0</v>
      </c>
      <c r="L74" s="835">
        <f t="shared" si="25"/>
        <v>0</v>
      </c>
      <c r="M74" s="816"/>
      <c r="N74" s="835">
        <f>SUMIF(HK_BS!$A:$A,환율변동효과!A74,HK_BS!$G:$G)</f>
        <v>0</v>
      </c>
      <c r="O74" s="835">
        <f>SUMIF(HK_BS!$A:$A,환율변동효과!A74,HK_BS!$H:$H)</f>
        <v>0</v>
      </c>
      <c r="P74" s="835">
        <f>SUMIF(DHK_BS!$A:$A,환율변동효과!A74,DHK_BS!$G:$G)</f>
        <v>0</v>
      </c>
      <c r="Q74" s="835">
        <f>SUMIF(DHK_BS!$A:$A,환율변동효과!A74,DHK_BS!$K:$K)</f>
        <v>0</v>
      </c>
      <c r="R74" s="835">
        <f>SUMIF(상해_BS!$A:$A,환율변동효과!A74,상해_BS!$G:$G)</f>
        <v>0</v>
      </c>
      <c r="S74" s="835">
        <f>SUMIF(상해_BS!$A:$A,환율변동효과!A74,상해_BS!$K:$K)</f>
        <v>0</v>
      </c>
      <c r="T74" s="835">
        <f>SUMIF(SG_BS!$A:$A,환율변동효과!A74,SG_BS!$G:$G)</f>
        <v>0</v>
      </c>
      <c r="U74" s="835">
        <f>SUMIF(SG_BS!$A:$A,환율변동효과!A74,SG_BS!$K:$K)</f>
        <v>0</v>
      </c>
    </row>
    <row r="75" spans="1:21" ht="13.5" customHeight="1">
      <c r="A75" s="831" t="s">
        <v>687</v>
      </c>
      <c r="B75" s="838" t="s">
        <v>54</v>
      </c>
      <c r="C75" s="831" t="s">
        <v>54</v>
      </c>
      <c r="D75" s="833">
        <f t="shared" si="8"/>
        <v>-4062995</v>
      </c>
      <c r="E75" s="834">
        <f t="shared" si="18"/>
        <v>-18348.520000000019</v>
      </c>
      <c r="F75" s="835">
        <f t="shared" si="19"/>
        <v>-3479980</v>
      </c>
      <c r="G75" s="835">
        <f t="shared" si="20"/>
        <v>-3074</v>
      </c>
      <c r="H75" s="835">
        <f t="shared" si="21"/>
        <v>-583015</v>
      </c>
      <c r="I75" s="835">
        <f t="shared" si="22"/>
        <v>0</v>
      </c>
      <c r="J75" s="835">
        <f t="shared" si="23"/>
        <v>0</v>
      </c>
      <c r="K75" s="835">
        <f t="shared" si="24"/>
        <v>0</v>
      </c>
      <c r="L75" s="835">
        <f t="shared" si="25"/>
        <v>0</v>
      </c>
      <c r="M75" s="816"/>
      <c r="N75" s="835">
        <f>SUMIF(HK_BS!$A:$A,환율변동효과!A75,HK_BS!$G:$G)</f>
        <v>277577.48</v>
      </c>
      <c r="O75" s="835">
        <f>SUMIF(HK_BS!$A:$A,환율변동효과!A75,HK_BS!$H:$H)</f>
        <v>54571733</v>
      </c>
      <c r="P75" s="835">
        <f>SUMIF(DHK_BS!$A:$A,환율변동효과!A75,DHK_BS!$G:$G)</f>
        <v>46500</v>
      </c>
      <c r="Q75" s="835">
        <f>SUMIF(DHK_BS!$A:$A,환율변동효과!A75,DHK_BS!$K:$K)</f>
        <v>9141900</v>
      </c>
      <c r="R75" s="835">
        <f>SUMIF(상해_BS!$A:$A,환율변동효과!A75,상해_BS!$G:$G)</f>
        <v>0</v>
      </c>
      <c r="S75" s="835">
        <f>SUMIF(상해_BS!$A:$A,환율변동효과!A75,상해_BS!$K:$K)</f>
        <v>0</v>
      </c>
      <c r="T75" s="835">
        <f>SUMIF(SG_BS!$A:$A,환율변동효과!A75,SG_BS!$G:$G)</f>
        <v>0</v>
      </c>
      <c r="U75" s="835">
        <f>SUMIF(SG_BS!$A:$A,환율변동효과!A75,SG_BS!$K:$K)</f>
        <v>0</v>
      </c>
    </row>
    <row r="76" spans="1:21" ht="13.5" customHeight="1">
      <c r="A76" s="831" t="s">
        <v>688</v>
      </c>
      <c r="B76" s="838" t="s">
        <v>689</v>
      </c>
      <c r="C76" s="831" t="s">
        <v>108</v>
      </c>
      <c r="D76" s="833">
        <f t="shared" si="8"/>
        <v>0</v>
      </c>
      <c r="E76" s="834">
        <f t="shared" si="18"/>
        <v>0</v>
      </c>
      <c r="F76" s="835">
        <f t="shared" si="19"/>
        <v>0</v>
      </c>
      <c r="G76" s="835">
        <f t="shared" si="20"/>
        <v>0</v>
      </c>
      <c r="H76" s="835">
        <f t="shared" si="21"/>
        <v>0</v>
      </c>
      <c r="I76" s="835">
        <f t="shared" si="22"/>
        <v>0</v>
      </c>
      <c r="J76" s="835">
        <f t="shared" si="23"/>
        <v>0</v>
      </c>
      <c r="K76" s="835">
        <f t="shared" si="24"/>
        <v>0</v>
      </c>
      <c r="L76" s="835">
        <f t="shared" si="25"/>
        <v>0</v>
      </c>
      <c r="M76" s="816"/>
      <c r="N76" s="835">
        <f>SUMIF(HK_BS!$A:$A,환율변동효과!A76,HK_BS!$G:$G)</f>
        <v>0</v>
      </c>
      <c r="O76" s="835">
        <f>SUMIF(HK_BS!$A:$A,환율변동효과!A76,HK_BS!$H:$H)</f>
        <v>0</v>
      </c>
      <c r="P76" s="835">
        <f>SUMIF(DHK_BS!$A:$A,환율변동효과!A76,DHK_BS!$G:$G)</f>
        <v>0</v>
      </c>
      <c r="Q76" s="835">
        <f>SUMIF(DHK_BS!$A:$A,환율변동효과!A76,DHK_BS!$K:$K)</f>
        <v>0</v>
      </c>
      <c r="R76" s="835">
        <f>SUMIF(상해_BS!$A:$A,환율변동효과!A76,상해_BS!$G:$G)</f>
        <v>0</v>
      </c>
      <c r="S76" s="835">
        <f>SUMIF(상해_BS!$A:$A,환율변동효과!A76,상해_BS!$K:$K)</f>
        <v>0</v>
      </c>
      <c r="T76" s="835">
        <f>SUMIF(SG_BS!$A:$A,환율변동효과!A76,SG_BS!$G:$G)</f>
        <v>0</v>
      </c>
      <c r="U76" s="835">
        <f>SUMIF(SG_BS!$A:$A,환율변동효과!A76,SG_BS!$K:$K)</f>
        <v>0</v>
      </c>
    </row>
    <row r="77" spans="1:21" ht="13.5" customHeight="1">
      <c r="A77" s="831" t="s">
        <v>690</v>
      </c>
      <c r="B77" s="838" t="s">
        <v>691</v>
      </c>
      <c r="C77" s="831" t="s">
        <v>691</v>
      </c>
      <c r="D77" s="833">
        <f t="shared" si="8"/>
        <v>0</v>
      </c>
      <c r="E77" s="834">
        <f t="shared" si="18"/>
        <v>0</v>
      </c>
      <c r="F77" s="835">
        <f t="shared" si="19"/>
        <v>0</v>
      </c>
      <c r="G77" s="835">
        <f t="shared" si="20"/>
        <v>0</v>
      </c>
      <c r="H77" s="835">
        <f t="shared" si="21"/>
        <v>0</v>
      </c>
      <c r="I77" s="835">
        <f t="shared" si="22"/>
        <v>0</v>
      </c>
      <c r="J77" s="835">
        <f t="shared" si="23"/>
        <v>0</v>
      </c>
      <c r="K77" s="835">
        <f t="shared" si="24"/>
        <v>0</v>
      </c>
      <c r="L77" s="835">
        <f t="shared" si="25"/>
        <v>0</v>
      </c>
      <c r="M77" s="816"/>
      <c r="N77" s="835">
        <f>SUMIF(HK_BS!$A:$A,환율변동효과!A77,HK_BS!$G:$G)</f>
        <v>0</v>
      </c>
      <c r="O77" s="835">
        <f>SUMIF(HK_BS!$A:$A,환율변동효과!A77,HK_BS!$H:$H)</f>
        <v>0</v>
      </c>
      <c r="P77" s="835">
        <f>SUMIF(DHK_BS!$A:$A,환율변동효과!A77,DHK_BS!$G:$G)</f>
        <v>0</v>
      </c>
      <c r="Q77" s="835">
        <f>SUMIF(DHK_BS!$A:$A,환율변동효과!A77,DHK_BS!$K:$K)</f>
        <v>0</v>
      </c>
      <c r="R77" s="835">
        <f>SUMIF(상해_BS!$A:$A,환율변동효과!A77,상해_BS!$G:$G)</f>
        <v>0</v>
      </c>
      <c r="S77" s="835">
        <f>SUMIF(상해_BS!$A:$A,환율변동효과!A77,상해_BS!$K:$K)</f>
        <v>0</v>
      </c>
      <c r="T77" s="835">
        <f>SUMIF(SG_BS!$A:$A,환율변동효과!A77,SG_BS!$G:$G)</f>
        <v>0</v>
      </c>
      <c r="U77" s="835">
        <f>SUMIF(SG_BS!$A:$A,환율변동효과!A77,SG_BS!$K:$K)</f>
        <v>0</v>
      </c>
    </row>
    <row r="78" spans="1:21" ht="13.5" customHeight="1">
      <c r="A78" s="831" t="s">
        <v>692</v>
      </c>
      <c r="B78" s="838" t="s">
        <v>55</v>
      </c>
      <c r="C78" s="831" t="s">
        <v>55</v>
      </c>
      <c r="D78" s="833">
        <f t="shared" si="8"/>
        <v>0</v>
      </c>
      <c r="E78" s="834">
        <f t="shared" si="18"/>
        <v>0</v>
      </c>
      <c r="F78" s="835">
        <f t="shared" si="19"/>
        <v>0</v>
      </c>
      <c r="G78" s="835">
        <f t="shared" si="20"/>
        <v>0</v>
      </c>
      <c r="H78" s="835">
        <f t="shared" si="21"/>
        <v>0</v>
      </c>
      <c r="I78" s="835">
        <f t="shared" si="22"/>
        <v>0</v>
      </c>
      <c r="J78" s="835">
        <f t="shared" si="23"/>
        <v>0</v>
      </c>
      <c r="K78" s="835">
        <f t="shared" si="24"/>
        <v>0</v>
      </c>
      <c r="L78" s="835">
        <f t="shared" si="25"/>
        <v>0</v>
      </c>
      <c r="M78" s="816"/>
      <c r="N78" s="835">
        <f>SUMIF(HK_BS!$A:$A,환율변동효과!A78,HK_BS!$G:$G)</f>
        <v>0</v>
      </c>
      <c r="O78" s="835">
        <f>SUMIF(HK_BS!$A:$A,환율변동효과!A78,HK_BS!$H:$H)</f>
        <v>0</v>
      </c>
      <c r="P78" s="835">
        <f>SUMIF(DHK_BS!$A:$A,환율변동효과!A78,DHK_BS!$G:$G)</f>
        <v>0</v>
      </c>
      <c r="Q78" s="835">
        <f>SUMIF(DHK_BS!$A:$A,환율변동효과!A78,DHK_BS!$K:$K)</f>
        <v>0</v>
      </c>
      <c r="R78" s="835">
        <f>SUMIF(상해_BS!$A:$A,환율변동효과!A78,상해_BS!$G:$G)</f>
        <v>0</v>
      </c>
      <c r="S78" s="835">
        <f>SUMIF(상해_BS!$A:$A,환율변동효과!A78,상해_BS!$K:$K)</f>
        <v>0</v>
      </c>
      <c r="T78" s="835">
        <f>SUMIF(SG_BS!$A:$A,환율변동효과!A78,SG_BS!$G:$G)</f>
        <v>0</v>
      </c>
      <c r="U78" s="835">
        <f>SUMIF(SG_BS!$A:$A,환율변동효과!A78,SG_BS!$K:$K)</f>
        <v>0</v>
      </c>
    </row>
    <row r="79" spans="1:21" ht="13.5" customHeight="1">
      <c r="A79" s="831" t="s">
        <v>693</v>
      </c>
      <c r="B79" s="838" t="s">
        <v>694</v>
      </c>
      <c r="C79" s="831" t="s">
        <v>694</v>
      </c>
      <c r="D79" s="833">
        <f t="shared" si="8"/>
        <v>0</v>
      </c>
      <c r="E79" s="834">
        <f t="shared" si="18"/>
        <v>0</v>
      </c>
      <c r="F79" s="835">
        <f t="shared" si="19"/>
        <v>0</v>
      </c>
      <c r="G79" s="835">
        <f t="shared" si="20"/>
        <v>0</v>
      </c>
      <c r="H79" s="835">
        <f t="shared" si="21"/>
        <v>0</v>
      </c>
      <c r="I79" s="835">
        <f t="shared" si="22"/>
        <v>0</v>
      </c>
      <c r="J79" s="835">
        <f t="shared" si="23"/>
        <v>0</v>
      </c>
      <c r="K79" s="835">
        <f t="shared" si="24"/>
        <v>0</v>
      </c>
      <c r="L79" s="835">
        <f t="shared" si="25"/>
        <v>0</v>
      </c>
      <c r="M79" s="816"/>
      <c r="N79" s="835">
        <f>SUMIF(HK_BS!$A:$A,환율변동효과!A79,HK_BS!$G:$G)</f>
        <v>0</v>
      </c>
      <c r="O79" s="835">
        <f>SUMIF(HK_BS!$A:$A,환율변동효과!A79,HK_BS!$H:$H)</f>
        <v>0</v>
      </c>
      <c r="P79" s="835">
        <f>SUMIF(DHK_BS!$A:$A,환율변동효과!A79,DHK_BS!$G:$G)</f>
        <v>0</v>
      </c>
      <c r="Q79" s="835">
        <f>SUMIF(DHK_BS!$A:$A,환율변동효과!A79,DHK_BS!$K:$K)</f>
        <v>0</v>
      </c>
      <c r="R79" s="835">
        <f>SUMIF(상해_BS!$A:$A,환율변동효과!A79,상해_BS!$G:$G)</f>
        <v>0</v>
      </c>
      <c r="S79" s="835">
        <f>SUMIF(상해_BS!$A:$A,환율변동효과!A79,상해_BS!$K:$K)</f>
        <v>0</v>
      </c>
      <c r="T79" s="835">
        <f>SUMIF(SG_BS!$A:$A,환율변동효과!A79,SG_BS!$G:$G)</f>
        <v>0</v>
      </c>
      <c r="U79" s="835">
        <f>SUMIF(SG_BS!$A:$A,환율변동효과!A79,SG_BS!$K:$K)</f>
        <v>0</v>
      </c>
    </row>
    <row r="80" spans="1:21" ht="13.5" customHeight="1">
      <c r="A80" s="831"/>
      <c r="B80" s="836" t="s">
        <v>56</v>
      </c>
      <c r="C80" s="839"/>
      <c r="D80" s="833">
        <f t="shared" si="8"/>
        <v>0</v>
      </c>
      <c r="E80" s="834">
        <f t="shared" ref="E80:E87" si="26">N80-ROUND(O80/HLOOKUP(E$10,$B$2:$D$8,6,0),0)</f>
        <v>0</v>
      </c>
      <c r="F80" s="835">
        <f t="shared" ref="F80:F87" si="27">O80+ROUND(E80*HLOOKUP(E$10,$B$2:$D$8,3,0),)-ROUND(N80*HLOOKUP(E$10,$B$2:$D$8,2,0),0)</f>
        <v>0</v>
      </c>
      <c r="G80" s="835">
        <f t="shared" ref="G80:G87" si="28">P80-ROUND(Q80/HLOOKUP(G$10,$B$2:$D$8,6,0),0)</f>
        <v>0</v>
      </c>
      <c r="H80" s="835">
        <f t="shared" ref="H80:H87" si="29">Q80+ROUND(G80*HLOOKUP(G$10,$B$2:$D$8,3,0),)-ROUND(P80*HLOOKUP(G$10,$B$2:$D$8,2,0),0)</f>
        <v>0</v>
      </c>
      <c r="I80" s="835">
        <f t="shared" ref="I80:I87" si="30">R80-ROUND(S80/HLOOKUP(I$10,$B$2:$D$8,6,0),0)</f>
        <v>0</v>
      </c>
      <c r="J80" s="835">
        <f t="shared" ref="J80:J87" si="31">S80+ROUND(I80*HLOOKUP(I$10,$B$2:$D$8,3,0),)-ROUND(R80*HLOOKUP(I$10,$B$2:$D$8,2,0),0)</f>
        <v>0</v>
      </c>
      <c r="K80" s="835">
        <f t="shared" ref="K80:K87" si="32">T80-ROUND(U80/HLOOKUP(K$10,$B$2:$D$8,6,0),0)</f>
        <v>0</v>
      </c>
      <c r="L80" s="835">
        <f t="shared" ref="L80:L87" si="33">U80+ROUND(K80*HLOOKUP(K$10,$B$2:$D$8,3,0),)-ROUND(T80*HLOOKUP(K$10,$B$2:$D$8,2,0),0)</f>
        <v>0</v>
      </c>
      <c r="M80" s="816"/>
      <c r="N80" s="835">
        <f>SUMIF(HK_BS!$A:$A,환율변동효과!A80,HK_BS!$G:$G)</f>
        <v>0</v>
      </c>
      <c r="O80" s="835">
        <f>SUMIF(HK_BS!$A:$A,환율변동효과!A80,HK_BS!$H:$H)</f>
        <v>0</v>
      </c>
      <c r="P80" s="835">
        <f>SUMIF(DHK_BS!$A:$A,환율변동효과!A80,DHK_BS!$G:$G)</f>
        <v>0</v>
      </c>
      <c r="Q80" s="835">
        <f>SUMIF(DHK_BS!$A:$A,환율변동효과!A80,DHK_BS!$K:$K)</f>
        <v>0</v>
      </c>
      <c r="R80" s="835">
        <f>SUMIF(상해_BS!$A:$A,환율변동효과!A80,상해_BS!$G:$G)</f>
        <v>0</v>
      </c>
      <c r="S80" s="835">
        <f>SUMIF(상해_BS!$A:$A,환율변동효과!A80,상해_BS!$K:$K)</f>
        <v>0</v>
      </c>
      <c r="T80" s="835">
        <f>SUMIF(SG_BS!$A:$A,환율변동효과!A80,SG_BS!$G:$G)</f>
        <v>0</v>
      </c>
      <c r="U80" s="835">
        <f>SUMIF(SG_BS!$A:$A,환율변동효과!A80,SG_BS!$K:$K)</f>
        <v>0</v>
      </c>
    </row>
    <row r="81" spans="1:21" ht="13.5" customHeight="1">
      <c r="A81" s="831" t="s">
        <v>695</v>
      </c>
      <c r="B81" s="838" t="s">
        <v>57</v>
      </c>
      <c r="C81" s="831" t="s">
        <v>57</v>
      </c>
      <c r="D81" s="833">
        <f t="shared" si="8"/>
        <v>0</v>
      </c>
      <c r="E81" s="834">
        <f t="shared" si="26"/>
        <v>0</v>
      </c>
      <c r="F81" s="835">
        <f t="shared" si="27"/>
        <v>0</v>
      </c>
      <c r="G81" s="835">
        <f t="shared" si="28"/>
        <v>0</v>
      </c>
      <c r="H81" s="835">
        <f t="shared" si="29"/>
        <v>0</v>
      </c>
      <c r="I81" s="835">
        <f t="shared" si="30"/>
        <v>0</v>
      </c>
      <c r="J81" s="835">
        <f t="shared" si="31"/>
        <v>0</v>
      </c>
      <c r="K81" s="835">
        <f t="shared" si="32"/>
        <v>0</v>
      </c>
      <c r="L81" s="835">
        <f t="shared" si="33"/>
        <v>0</v>
      </c>
      <c r="M81" s="816"/>
      <c r="N81" s="835">
        <f>SUMIF(HK_BS!$A:$A,환율변동효과!A81,HK_BS!$G:$G)</f>
        <v>0</v>
      </c>
      <c r="O81" s="835">
        <f>SUMIF(HK_BS!$A:$A,환율변동효과!A81,HK_BS!$H:$H)</f>
        <v>0</v>
      </c>
      <c r="P81" s="835">
        <f>SUMIF(DHK_BS!$A:$A,환율변동효과!A81,DHK_BS!$G:$G)</f>
        <v>0</v>
      </c>
      <c r="Q81" s="835">
        <f>SUMIF(DHK_BS!$A:$A,환율변동효과!A81,DHK_BS!$K:$K)</f>
        <v>0</v>
      </c>
      <c r="R81" s="835">
        <f>SUMIF(상해_BS!$A:$A,환율변동효과!A81,상해_BS!$G:$G)</f>
        <v>0</v>
      </c>
      <c r="S81" s="835">
        <f>SUMIF(상해_BS!$A:$A,환율변동효과!A81,상해_BS!$K:$K)</f>
        <v>0</v>
      </c>
      <c r="T81" s="835">
        <f>SUMIF(SG_BS!$A:$A,환율변동효과!A81,SG_BS!$G:$G)</f>
        <v>0</v>
      </c>
      <c r="U81" s="835">
        <f>SUMIF(SG_BS!$A:$A,환율변동효과!A81,SG_BS!$K:$K)</f>
        <v>0</v>
      </c>
    </row>
    <row r="82" spans="1:21" ht="13.5" customHeight="1">
      <c r="A82" s="831" t="s">
        <v>696</v>
      </c>
      <c r="B82" s="838" t="s">
        <v>59</v>
      </c>
      <c r="C82" s="831" t="s">
        <v>885</v>
      </c>
      <c r="D82" s="833">
        <f t="shared" ref="D82:D87" si="34">ROUND(SUM(F82,H82,J82,L82),)</f>
        <v>0</v>
      </c>
      <c r="E82" s="834">
        <f t="shared" si="26"/>
        <v>0</v>
      </c>
      <c r="F82" s="835">
        <f t="shared" si="27"/>
        <v>0</v>
      </c>
      <c r="G82" s="835">
        <f t="shared" si="28"/>
        <v>0</v>
      </c>
      <c r="H82" s="835">
        <f t="shared" si="29"/>
        <v>0</v>
      </c>
      <c r="I82" s="835">
        <f t="shared" si="30"/>
        <v>0</v>
      </c>
      <c r="J82" s="835">
        <f t="shared" si="31"/>
        <v>0</v>
      </c>
      <c r="K82" s="835">
        <f t="shared" si="32"/>
        <v>0</v>
      </c>
      <c r="L82" s="835">
        <f t="shared" si="33"/>
        <v>0</v>
      </c>
      <c r="M82" s="816"/>
      <c r="N82" s="835">
        <f>SUMIF(HK_BS!$A:$A,환율변동효과!A82,HK_BS!$G:$G)</f>
        <v>0</v>
      </c>
      <c r="O82" s="835">
        <f>SUMIF(HK_BS!$A:$A,환율변동효과!A82,HK_BS!$H:$H)</f>
        <v>0</v>
      </c>
      <c r="P82" s="835">
        <f>SUMIF(DHK_BS!$A:$A,환율변동효과!A82,DHK_BS!$G:$G)</f>
        <v>0</v>
      </c>
      <c r="Q82" s="835">
        <f>SUMIF(DHK_BS!$A:$A,환율변동효과!A82,DHK_BS!$K:$K)</f>
        <v>0</v>
      </c>
      <c r="R82" s="835">
        <f>SUMIF(상해_BS!$A:$A,환율변동효과!A82,상해_BS!$G:$G)</f>
        <v>0</v>
      </c>
      <c r="S82" s="835">
        <f>SUMIF(상해_BS!$A:$A,환율변동효과!A82,상해_BS!$K:$K)</f>
        <v>0</v>
      </c>
      <c r="T82" s="835">
        <f>SUMIF(SG_BS!$A:$A,환율변동효과!A82,SG_BS!$G:$G)</f>
        <v>0</v>
      </c>
      <c r="U82" s="835">
        <f>SUMIF(SG_BS!$A:$A,환율변동효과!A82,SG_BS!$K:$K)</f>
        <v>0</v>
      </c>
    </row>
    <row r="83" spans="1:21" ht="13.5" customHeight="1">
      <c r="A83" s="831" t="s">
        <v>697</v>
      </c>
      <c r="B83" s="838" t="s">
        <v>698</v>
      </c>
      <c r="C83" s="831" t="s">
        <v>698</v>
      </c>
      <c r="D83" s="833">
        <f t="shared" si="34"/>
        <v>0</v>
      </c>
      <c r="E83" s="834">
        <f t="shared" si="26"/>
        <v>0</v>
      </c>
      <c r="F83" s="835">
        <f t="shared" si="27"/>
        <v>0</v>
      </c>
      <c r="G83" s="835">
        <f t="shared" si="28"/>
        <v>0</v>
      </c>
      <c r="H83" s="835">
        <f t="shared" si="29"/>
        <v>0</v>
      </c>
      <c r="I83" s="835">
        <f t="shared" si="30"/>
        <v>0</v>
      </c>
      <c r="J83" s="835">
        <f t="shared" si="31"/>
        <v>0</v>
      </c>
      <c r="K83" s="835">
        <f t="shared" si="32"/>
        <v>0</v>
      </c>
      <c r="L83" s="835">
        <f t="shared" si="33"/>
        <v>0</v>
      </c>
      <c r="M83" s="816"/>
      <c r="N83" s="835">
        <f>SUMIF(HK_BS!$A:$A,환율변동효과!A83,HK_BS!$G:$G)</f>
        <v>0</v>
      </c>
      <c r="O83" s="835">
        <f>SUMIF(HK_BS!$A:$A,환율변동효과!A83,HK_BS!$H:$H)</f>
        <v>0</v>
      </c>
      <c r="P83" s="835">
        <f>SUMIF(DHK_BS!$A:$A,환율변동효과!A83,DHK_BS!$G:$G)</f>
        <v>0</v>
      </c>
      <c r="Q83" s="835">
        <f>SUMIF(DHK_BS!$A:$A,환율변동효과!A83,DHK_BS!$K:$K)</f>
        <v>0</v>
      </c>
      <c r="R83" s="835">
        <f>SUMIF(상해_BS!$A:$A,환율변동효과!A83,상해_BS!$G:$G)</f>
        <v>0</v>
      </c>
      <c r="S83" s="835">
        <f>SUMIF(상해_BS!$A:$A,환율변동효과!A83,상해_BS!$K:$K)</f>
        <v>0</v>
      </c>
      <c r="T83" s="835">
        <f>SUMIF(SG_BS!$A:$A,환율변동효과!A83,SG_BS!$G:$G)</f>
        <v>0</v>
      </c>
      <c r="U83" s="835">
        <f>SUMIF(SG_BS!$A:$A,환율변동효과!A83,SG_BS!$K:$K)</f>
        <v>0</v>
      </c>
    </row>
    <row r="84" spans="1:21" ht="13.5" customHeight="1">
      <c r="A84" s="831" t="s">
        <v>699</v>
      </c>
      <c r="B84" s="838" t="s">
        <v>700</v>
      </c>
      <c r="C84" s="831" t="s">
        <v>700</v>
      </c>
      <c r="D84" s="833">
        <f t="shared" si="34"/>
        <v>0</v>
      </c>
      <c r="E84" s="834">
        <f t="shared" si="26"/>
        <v>0</v>
      </c>
      <c r="F84" s="835">
        <f t="shared" si="27"/>
        <v>0</v>
      </c>
      <c r="G84" s="835">
        <f t="shared" si="28"/>
        <v>0</v>
      </c>
      <c r="H84" s="835">
        <f t="shared" si="29"/>
        <v>0</v>
      </c>
      <c r="I84" s="835">
        <f t="shared" si="30"/>
        <v>0</v>
      </c>
      <c r="J84" s="835">
        <f t="shared" si="31"/>
        <v>0</v>
      </c>
      <c r="K84" s="835">
        <f t="shared" si="32"/>
        <v>0</v>
      </c>
      <c r="L84" s="835">
        <f t="shared" si="33"/>
        <v>0</v>
      </c>
      <c r="M84" s="816"/>
      <c r="N84" s="835">
        <f>SUMIF(HK_BS!$A:$A,환율변동효과!A84,HK_BS!$G:$G)</f>
        <v>0</v>
      </c>
      <c r="O84" s="835">
        <f>SUMIF(HK_BS!$A:$A,환율변동효과!A84,HK_BS!$H:$H)</f>
        <v>0</v>
      </c>
      <c r="P84" s="835">
        <f>SUMIF(DHK_BS!$A:$A,환율변동효과!A84,DHK_BS!$G:$G)</f>
        <v>0</v>
      </c>
      <c r="Q84" s="835">
        <f>SUMIF(DHK_BS!$A:$A,환율변동효과!A84,DHK_BS!$K:$K)</f>
        <v>0</v>
      </c>
      <c r="R84" s="835">
        <f>SUMIF(상해_BS!$A:$A,환율변동효과!A84,상해_BS!$G:$G)</f>
        <v>0</v>
      </c>
      <c r="S84" s="835">
        <f>SUMIF(상해_BS!$A:$A,환율변동효과!A84,상해_BS!$K:$K)</f>
        <v>0</v>
      </c>
      <c r="T84" s="835">
        <f>SUMIF(SG_BS!$A:$A,환율변동효과!A84,SG_BS!$G:$G)</f>
        <v>0</v>
      </c>
      <c r="U84" s="835">
        <f>SUMIF(SG_BS!$A:$A,환율변동효과!A84,SG_BS!$K:$K)</f>
        <v>0</v>
      </c>
    </row>
    <row r="85" spans="1:21" ht="13.5" customHeight="1">
      <c r="A85" s="831" t="s">
        <v>701</v>
      </c>
      <c r="B85" s="838" t="s">
        <v>702</v>
      </c>
      <c r="C85" s="831" t="s">
        <v>702</v>
      </c>
      <c r="D85" s="833">
        <f t="shared" si="34"/>
        <v>0</v>
      </c>
      <c r="E85" s="834">
        <f t="shared" si="26"/>
        <v>0</v>
      </c>
      <c r="F85" s="835">
        <f t="shared" si="27"/>
        <v>0</v>
      </c>
      <c r="G85" s="835">
        <f t="shared" si="28"/>
        <v>0</v>
      </c>
      <c r="H85" s="835">
        <f t="shared" si="29"/>
        <v>0</v>
      </c>
      <c r="I85" s="835">
        <f t="shared" si="30"/>
        <v>0</v>
      </c>
      <c r="J85" s="835">
        <f t="shared" si="31"/>
        <v>0</v>
      </c>
      <c r="K85" s="835">
        <f t="shared" si="32"/>
        <v>0</v>
      </c>
      <c r="L85" s="835">
        <f t="shared" si="33"/>
        <v>0</v>
      </c>
      <c r="M85" s="816"/>
      <c r="N85" s="835">
        <f>SUMIF(HK_BS!$A:$A,환율변동효과!A85,HK_BS!$G:$G)</f>
        <v>0</v>
      </c>
      <c r="O85" s="835">
        <f>SUMIF(HK_BS!$A:$A,환율변동효과!A85,HK_BS!$H:$H)</f>
        <v>0</v>
      </c>
      <c r="P85" s="835">
        <f>SUMIF(DHK_BS!$A:$A,환율변동효과!A85,DHK_BS!$G:$G)</f>
        <v>0</v>
      </c>
      <c r="Q85" s="835">
        <f>SUMIF(DHK_BS!$A:$A,환율변동효과!A85,DHK_BS!$K:$K)</f>
        <v>0</v>
      </c>
      <c r="R85" s="835">
        <f>SUMIF(상해_BS!$A:$A,환율변동효과!A85,상해_BS!$G:$G)</f>
        <v>0</v>
      </c>
      <c r="S85" s="835">
        <f>SUMIF(상해_BS!$A:$A,환율변동효과!A85,상해_BS!$K:$K)</f>
        <v>0</v>
      </c>
      <c r="T85" s="835">
        <f>SUMIF(SG_BS!$A:$A,환율변동효과!A85,SG_BS!$G:$G)</f>
        <v>0</v>
      </c>
      <c r="U85" s="835">
        <f>SUMIF(SG_BS!$A:$A,환율변동효과!A85,SG_BS!$K:$K)</f>
        <v>0</v>
      </c>
    </row>
    <row r="86" spans="1:21" ht="13.5" customHeight="1">
      <c r="A86" s="831" t="s">
        <v>2440</v>
      </c>
      <c r="B86" s="838" t="s">
        <v>2439</v>
      </c>
      <c r="C86" s="831" t="s">
        <v>506</v>
      </c>
      <c r="D86" s="833">
        <f t="shared" ref="D86" si="35">ROUND(SUM(F86,H86,J86,L86),)</f>
        <v>0</v>
      </c>
      <c r="E86" s="834">
        <f t="shared" ref="E86" si="36">N86-ROUND(O86/HLOOKUP(E$10,$B$2:$D$8,6,0),0)</f>
        <v>0</v>
      </c>
      <c r="F86" s="835">
        <f t="shared" ref="F86" si="37">O86+ROUND(E86*HLOOKUP(E$10,$B$2:$D$8,3,0),)-ROUND(N86*HLOOKUP(E$10,$B$2:$D$8,2,0),0)</f>
        <v>0</v>
      </c>
      <c r="G86" s="835">
        <f t="shared" ref="G86" si="38">P86-ROUND(Q86/HLOOKUP(G$10,$B$2:$D$8,6,0),0)</f>
        <v>0</v>
      </c>
      <c r="H86" s="835">
        <f t="shared" ref="H86" si="39">Q86+ROUND(G86*HLOOKUP(G$10,$B$2:$D$8,3,0),)-ROUND(P86*HLOOKUP(G$10,$B$2:$D$8,2,0),0)</f>
        <v>0</v>
      </c>
      <c r="I86" s="835">
        <f t="shared" ref="I86" si="40">R86-ROUND(S86/HLOOKUP(I$10,$B$2:$D$8,6,0),0)</f>
        <v>0</v>
      </c>
      <c r="J86" s="835">
        <f t="shared" ref="J86" si="41">S86+ROUND(I86*HLOOKUP(I$10,$B$2:$D$8,3,0),)-ROUND(R86*HLOOKUP(I$10,$B$2:$D$8,2,0),0)</f>
        <v>0</v>
      </c>
      <c r="K86" s="835">
        <f t="shared" ref="K86" si="42">T86-ROUND(U86/HLOOKUP(K$10,$B$2:$D$8,6,0),0)</f>
        <v>0</v>
      </c>
      <c r="L86" s="835">
        <f t="shared" ref="L86" si="43">U86+ROUND(K86*HLOOKUP(K$10,$B$2:$D$8,3,0),)-ROUND(T86*HLOOKUP(K$10,$B$2:$D$8,2,0),0)</f>
        <v>0</v>
      </c>
      <c r="M86" s="816"/>
      <c r="N86" s="835">
        <f>SUMIF(HK_BS!$A:$A,환율변동효과!A86,HK_BS!$G:$G)</f>
        <v>0</v>
      </c>
      <c r="O86" s="835">
        <f>SUMIF(HK_BS!$A:$A,환율변동효과!A86,HK_BS!$H:$H)</f>
        <v>0</v>
      </c>
      <c r="P86" s="835">
        <f>SUMIF(DHK_BS!$A:$A,환율변동효과!A86,DHK_BS!$G:$G)</f>
        <v>0</v>
      </c>
      <c r="Q86" s="835">
        <f>SUMIF(DHK_BS!$A:$A,환율변동효과!A86,DHK_BS!$K:$K)</f>
        <v>0</v>
      </c>
      <c r="R86" s="835">
        <f>SUMIF(상해_BS!$A:$A,환율변동효과!A86,상해_BS!$G:$G)</f>
        <v>0</v>
      </c>
      <c r="S86" s="835">
        <f>SUMIF(상해_BS!$A:$A,환율변동효과!A86,상해_BS!$K:$K)</f>
        <v>0</v>
      </c>
      <c r="T86" s="835">
        <f>SUMIF(SG_BS!$A:$A,환율변동효과!A86,SG_BS!$G:$G)</f>
        <v>0</v>
      </c>
      <c r="U86" s="835">
        <f>SUMIF(SG_BS!$A:$A,환율변동효과!A86,SG_BS!$K:$K)</f>
        <v>0</v>
      </c>
    </row>
    <row r="87" spans="1:21" ht="13.5" customHeight="1">
      <c r="A87" s="831" t="s">
        <v>703</v>
      </c>
      <c r="B87" s="838" t="s">
        <v>590</v>
      </c>
      <c r="C87" s="831" t="s">
        <v>590</v>
      </c>
      <c r="D87" s="833">
        <f t="shared" si="34"/>
        <v>0</v>
      </c>
      <c r="E87" s="834">
        <f t="shared" si="26"/>
        <v>0</v>
      </c>
      <c r="F87" s="835">
        <f t="shared" si="27"/>
        <v>0</v>
      </c>
      <c r="G87" s="835">
        <f t="shared" si="28"/>
        <v>0</v>
      </c>
      <c r="H87" s="835">
        <f t="shared" si="29"/>
        <v>0</v>
      </c>
      <c r="I87" s="835">
        <f t="shared" si="30"/>
        <v>0</v>
      </c>
      <c r="J87" s="835">
        <f t="shared" si="31"/>
        <v>0</v>
      </c>
      <c r="K87" s="835">
        <f t="shared" si="32"/>
        <v>0</v>
      </c>
      <c r="L87" s="835">
        <f t="shared" si="33"/>
        <v>0</v>
      </c>
      <c r="M87" s="816"/>
      <c r="N87" s="835">
        <f>SUMIF(HK_BS!$A:$A,환율변동효과!A87,HK_BS!$G:$G)</f>
        <v>0</v>
      </c>
      <c r="O87" s="835">
        <f>SUMIF(HK_BS!$A:$A,환율변동효과!A87,HK_BS!$H:$H)</f>
        <v>0</v>
      </c>
      <c r="P87" s="835">
        <f>SUMIF(DHK_BS!$A:$A,환율변동효과!A87,DHK_BS!$G:$G)</f>
        <v>0</v>
      </c>
      <c r="Q87" s="835">
        <f>SUMIF(DHK_BS!$A:$A,환율변동효과!A87,DHK_BS!$K:$K)</f>
        <v>0</v>
      </c>
      <c r="R87" s="835">
        <f>SUMIF(상해_BS!$A:$A,환율변동효과!A87,상해_BS!$G:$G)</f>
        <v>0</v>
      </c>
      <c r="S87" s="835">
        <f>SUMIF(상해_BS!$A:$A,환율변동효과!A87,상해_BS!$K:$K)</f>
        <v>0</v>
      </c>
      <c r="T87" s="835">
        <f>SUMIF(SG_BS!$A:$A,환율변동효과!A87,SG_BS!$G:$G)</f>
        <v>0</v>
      </c>
      <c r="U87" s="835">
        <f>SUMIF(SG_BS!$A:$A,환율변동효과!A87,SG_BS!$K:$K)</f>
        <v>0</v>
      </c>
    </row>
    <row r="88" spans="1:21" ht="13.5" customHeight="1">
      <c r="A88" s="831"/>
      <c r="B88" s="836" t="s">
        <v>61</v>
      </c>
      <c r="C88" s="839"/>
      <c r="D88" s="833"/>
      <c r="E88" s="834"/>
      <c r="F88" s="835"/>
      <c r="G88" s="835"/>
      <c r="H88" s="835"/>
      <c r="I88" s="835"/>
      <c r="J88" s="835"/>
      <c r="K88" s="835"/>
      <c r="L88" s="835"/>
      <c r="M88" s="816"/>
      <c r="N88" s="835"/>
      <c r="O88" s="835"/>
      <c r="P88" s="835"/>
      <c r="Q88" s="835"/>
      <c r="R88" s="835"/>
      <c r="S88" s="835"/>
      <c r="T88" s="835"/>
      <c r="U88" s="835"/>
    </row>
    <row r="89" spans="1:21" ht="13.5" customHeight="1">
      <c r="A89" s="831" t="s">
        <v>704</v>
      </c>
      <c r="B89" s="838" t="s">
        <v>62</v>
      </c>
      <c r="C89" s="831" t="s">
        <v>63</v>
      </c>
      <c r="D89" s="833"/>
      <c r="E89" s="834"/>
      <c r="F89" s="835"/>
      <c r="G89" s="835"/>
      <c r="H89" s="835"/>
      <c r="I89" s="835"/>
      <c r="J89" s="835"/>
      <c r="K89" s="835"/>
      <c r="L89" s="835"/>
      <c r="M89" s="816"/>
      <c r="N89" s="835"/>
      <c r="O89" s="835"/>
      <c r="P89" s="835"/>
      <c r="Q89" s="835"/>
      <c r="R89" s="835"/>
      <c r="S89" s="835"/>
      <c r="T89" s="835"/>
      <c r="U89" s="835"/>
    </row>
    <row r="90" spans="1:21" ht="13.5" customHeight="1">
      <c r="A90" s="831" t="s">
        <v>705</v>
      </c>
      <c r="B90" s="838" t="s">
        <v>64</v>
      </c>
      <c r="C90" s="831" t="s">
        <v>64</v>
      </c>
      <c r="D90" s="833"/>
      <c r="E90" s="834"/>
      <c r="F90" s="835"/>
      <c r="G90" s="835"/>
      <c r="H90" s="835"/>
      <c r="I90" s="835"/>
      <c r="J90" s="835"/>
      <c r="K90" s="835"/>
      <c r="L90" s="835"/>
      <c r="M90" s="816"/>
      <c r="N90" s="835"/>
      <c r="O90" s="835"/>
      <c r="P90" s="835"/>
      <c r="Q90" s="835"/>
      <c r="R90" s="835"/>
      <c r="S90" s="835"/>
      <c r="T90" s="835"/>
      <c r="U90" s="835"/>
    </row>
    <row r="91" spans="1:21" ht="13.5" customHeight="1">
      <c r="A91" s="831" t="s">
        <v>706</v>
      </c>
      <c r="B91" s="838" t="s">
        <v>66</v>
      </c>
      <c r="C91" s="831" t="s">
        <v>66</v>
      </c>
      <c r="D91" s="833"/>
      <c r="E91" s="834"/>
      <c r="F91" s="835"/>
      <c r="G91" s="835"/>
      <c r="H91" s="835"/>
      <c r="I91" s="835"/>
      <c r="J91" s="835"/>
      <c r="K91" s="835"/>
      <c r="L91" s="835"/>
      <c r="M91" s="816"/>
      <c r="N91" s="835"/>
      <c r="O91" s="835"/>
      <c r="P91" s="835"/>
      <c r="Q91" s="835"/>
      <c r="R91" s="835"/>
      <c r="S91" s="835"/>
      <c r="T91" s="835"/>
      <c r="U91" s="835"/>
    </row>
    <row r="92" spans="1:21" ht="13.5" customHeight="1">
      <c r="A92" s="831" t="s">
        <v>709</v>
      </c>
      <c r="B92" s="838" t="s">
        <v>69</v>
      </c>
      <c r="C92" s="831" t="s">
        <v>889</v>
      </c>
      <c r="D92" s="833"/>
      <c r="E92" s="834"/>
      <c r="F92" s="835"/>
      <c r="G92" s="835"/>
      <c r="H92" s="835"/>
      <c r="I92" s="835"/>
      <c r="J92" s="835"/>
      <c r="K92" s="835"/>
      <c r="L92" s="835"/>
      <c r="M92" s="816"/>
      <c r="N92" s="835"/>
      <c r="O92" s="835"/>
      <c r="P92" s="835"/>
      <c r="Q92" s="835"/>
      <c r="R92" s="835"/>
      <c r="S92" s="835"/>
      <c r="T92" s="835"/>
      <c r="U92" s="835"/>
    </row>
    <row r="93" spans="1:21" ht="13.5" customHeight="1">
      <c r="A93" s="831" t="s">
        <v>1377</v>
      </c>
      <c r="B93" s="838" t="s">
        <v>68</v>
      </c>
      <c r="C93" s="831" t="s">
        <v>68</v>
      </c>
      <c r="D93" s="833"/>
      <c r="E93" s="834"/>
      <c r="F93" s="835"/>
      <c r="G93" s="835"/>
      <c r="H93" s="835"/>
      <c r="I93" s="835"/>
      <c r="J93" s="835"/>
      <c r="K93" s="835"/>
      <c r="L93" s="835"/>
      <c r="M93" s="816"/>
      <c r="N93" s="835"/>
      <c r="O93" s="835"/>
      <c r="P93" s="835"/>
      <c r="Q93" s="835"/>
      <c r="R93" s="835"/>
      <c r="S93" s="835"/>
      <c r="T93" s="835"/>
      <c r="U93" s="835"/>
    </row>
    <row r="94" spans="1:21" ht="13.5" customHeight="1">
      <c r="A94" s="831" t="s">
        <v>710</v>
      </c>
      <c r="B94" s="838" t="s">
        <v>711</v>
      </c>
      <c r="C94" s="831" t="s">
        <v>711</v>
      </c>
      <c r="D94" s="833"/>
      <c r="E94" s="834"/>
      <c r="F94" s="835"/>
      <c r="G94" s="835"/>
      <c r="H94" s="835"/>
      <c r="I94" s="835"/>
      <c r="J94" s="835"/>
      <c r="K94" s="835"/>
      <c r="L94" s="835"/>
      <c r="M94" s="816"/>
      <c r="N94" s="835"/>
      <c r="O94" s="835"/>
      <c r="P94" s="835"/>
      <c r="Q94" s="835"/>
      <c r="R94" s="835"/>
      <c r="S94" s="835"/>
      <c r="T94" s="835"/>
      <c r="U94" s="835"/>
    </row>
    <row r="95" spans="1:21" ht="13.5" customHeight="1">
      <c r="A95" s="831" t="s">
        <v>827</v>
      </c>
      <c r="B95" s="838" t="s">
        <v>375</v>
      </c>
      <c r="C95" s="831" t="s">
        <v>1367</v>
      </c>
      <c r="D95" s="833"/>
      <c r="E95" s="834"/>
      <c r="F95" s="835"/>
      <c r="G95" s="835"/>
      <c r="H95" s="835"/>
      <c r="I95" s="835"/>
      <c r="J95" s="835"/>
      <c r="K95" s="835"/>
      <c r="L95" s="835"/>
      <c r="M95" s="816"/>
      <c r="N95" s="835"/>
      <c r="O95" s="835"/>
      <c r="P95" s="835"/>
      <c r="Q95" s="835"/>
      <c r="R95" s="835"/>
      <c r="S95" s="835"/>
      <c r="T95" s="835"/>
      <c r="U95" s="835"/>
    </row>
    <row r="96" spans="1:21" ht="13.5" customHeight="1">
      <c r="A96" s="831" t="s">
        <v>712</v>
      </c>
      <c r="B96" s="838" t="s">
        <v>713</v>
      </c>
      <c r="C96" s="831" t="s">
        <v>715</v>
      </c>
      <c r="D96" s="833"/>
      <c r="E96" s="834"/>
      <c r="F96" s="835"/>
      <c r="G96" s="835"/>
      <c r="H96" s="835"/>
      <c r="I96" s="835"/>
      <c r="J96" s="835"/>
      <c r="K96" s="835"/>
      <c r="L96" s="835"/>
      <c r="M96" s="816"/>
      <c r="N96" s="835"/>
      <c r="O96" s="835"/>
      <c r="P96" s="835"/>
      <c r="Q96" s="835"/>
      <c r="R96" s="835"/>
      <c r="S96" s="835"/>
      <c r="T96" s="835"/>
      <c r="U96" s="835"/>
    </row>
    <row r="97" spans="1:21" ht="13.5" customHeight="1">
      <c r="A97" s="831" t="s">
        <v>714</v>
      </c>
      <c r="B97" s="838" t="s">
        <v>715</v>
      </c>
      <c r="C97" s="831" t="s">
        <v>715</v>
      </c>
      <c r="D97" s="833"/>
      <c r="E97" s="834"/>
      <c r="F97" s="835"/>
      <c r="G97" s="835"/>
      <c r="H97" s="835"/>
      <c r="I97" s="835"/>
      <c r="J97" s="835"/>
      <c r="K97" s="835"/>
      <c r="L97" s="835"/>
      <c r="M97" s="816"/>
      <c r="N97" s="835"/>
      <c r="O97" s="835"/>
      <c r="P97" s="835"/>
      <c r="Q97" s="835"/>
      <c r="R97" s="835"/>
      <c r="S97" s="835"/>
      <c r="T97" s="835"/>
      <c r="U97" s="835"/>
    </row>
    <row r="98" spans="1:21" ht="13.5" customHeight="1">
      <c r="A98" s="831" t="s">
        <v>1846</v>
      </c>
      <c r="B98" s="838" t="s">
        <v>1530</v>
      </c>
      <c r="C98" s="831" t="s">
        <v>1530</v>
      </c>
      <c r="D98" s="833"/>
      <c r="E98" s="834"/>
      <c r="F98" s="835"/>
      <c r="G98" s="835"/>
      <c r="H98" s="835"/>
      <c r="I98" s="835"/>
      <c r="J98" s="835"/>
      <c r="K98" s="835"/>
      <c r="L98" s="835"/>
      <c r="M98" s="816"/>
      <c r="N98" s="835"/>
      <c r="O98" s="835"/>
      <c r="P98" s="835"/>
      <c r="Q98" s="835"/>
      <c r="R98" s="835"/>
      <c r="S98" s="835"/>
      <c r="T98" s="835"/>
      <c r="U98" s="835"/>
    </row>
    <row r="99" spans="1:21" ht="13.5" customHeight="1">
      <c r="A99" s="831" t="s">
        <v>1847</v>
      </c>
      <c r="B99" s="838" t="s">
        <v>247</v>
      </c>
      <c r="C99" s="831" t="s">
        <v>1530</v>
      </c>
      <c r="D99" s="833"/>
      <c r="E99" s="834"/>
      <c r="F99" s="835"/>
      <c r="G99" s="835"/>
      <c r="H99" s="835"/>
      <c r="I99" s="835"/>
      <c r="J99" s="835"/>
      <c r="K99" s="835"/>
      <c r="L99" s="835"/>
      <c r="M99" s="816"/>
      <c r="N99" s="835"/>
      <c r="O99" s="835"/>
      <c r="P99" s="835"/>
      <c r="Q99" s="835"/>
      <c r="R99" s="835"/>
      <c r="S99" s="835"/>
      <c r="T99" s="835"/>
      <c r="U99" s="835"/>
    </row>
    <row r="100" spans="1:21" ht="13.5" customHeight="1">
      <c r="A100" s="831"/>
      <c r="B100" s="832" t="s">
        <v>240</v>
      </c>
      <c r="C100" s="831"/>
      <c r="D100" s="833"/>
      <c r="E100" s="834"/>
      <c r="F100" s="835"/>
      <c r="G100" s="835"/>
      <c r="H100" s="835"/>
      <c r="I100" s="835"/>
      <c r="J100" s="835"/>
      <c r="K100" s="835"/>
      <c r="L100" s="835"/>
      <c r="M100" s="816"/>
      <c r="N100" s="835"/>
      <c r="O100" s="835"/>
      <c r="P100" s="835"/>
      <c r="Q100" s="835"/>
      <c r="R100" s="835"/>
      <c r="S100" s="835"/>
      <c r="T100" s="835"/>
      <c r="U100" s="835"/>
    </row>
    <row r="101" spans="1:21" ht="14.25" customHeight="1" thickBot="1">
      <c r="A101" s="840"/>
      <c r="B101" s="841"/>
      <c r="C101" s="840"/>
      <c r="D101" s="842"/>
      <c r="E101" s="834"/>
      <c r="F101" s="835"/>
      <c r="G101" s="835"/>
      <c r="H101" s="835"/>
      <c r="I101" s="835"/>
      <c r="J101" s="835"/>
      <c r="K101" s="835"/>
      <c r="L101" s="835"/>
      <c r="M101" s="816"/>
      <c r="N101" s="843"/>
      <c r="O101" s="843"/>
      <c r="P101" s="843"/>
      <c r="Q101" s="843"/>
      <c r="R101" s="843"/>
      <c r="S101" s="843"/>
      <c r="T101" s="843"/>
      <c r="U101" s="843"/>
    </row>
    <row r="102" spans="1:21" ht="13.5" customHeight="1">
      <c r="D102" s="816">
        <f>SUM(D14:D65)-SUM(D66:D87)</f>
        <v>-31080115</v>
      </c>
    </row>
    <row r="104" spans="1:21" ht="13.5" customHeight="1">
      <c r="B104" s="844" t="s">
        <v>1841</v>
      </c>
      <c r="C104" s="844"/>
    </row>
    <row r="105" spans="1:21" ht="13.5" customHeight="1">
      <c r="B105" s="844" t="s">
        <v>359</v>
      </c>
      <c r="C105" s="845"/>
    </row>
    <row r="106" spans="1:21" ht="13.5" customHeight="1">
      <c r="B106" s="844" t="s">
        <v>8</v>
      </c>
      <c r="C106" s="845">
        <f t="shared" ref="C106:C127" si="44">SUMIF($C$16:$C$101,B106,$D$16:$D$101)</f>
        <v>0</v>
      </c>
    </row>
    <row r="107" spans="1:21" ht="13.5" customHeight="1">
      <c r="B107" s="844" t="s">
        <v>10</v>
      </c>
      <c r="C107" s="845">
        <f>SUMIF($C$16:$C$101,B107,$D$16:$D$101)</f>
        <v>-109060964</v>
      </c>
    </row>
    <row r="108" spans="1:21" ht="13.5" customHeight="1">
      <c r="B108" s="844" t="s">
        <v>12</v>
      </c>
      <c r="C108" s="845">
        <f t="shared" si="44"/>
        <v>0</v>
      </c>
    </row>
    <row r="109" spans="1:21" ht="13.5" customHeight="1">
      <c r="B109" s="844" t="s">
        <v>15</v>
      </c>
      <c r="C109" s="845">
        <f t="shared" si="44"/>
        <v>0</v>
      </c>
    </row>
    <row r="110" spans="1:21" ht="13.5" customHeight="1">
      <c r="B110" s="844" t="s">
        <v>1504</v>
      </c>
      <c r="C110" s="845">
        <f t="shared" si="44"/>
        <v>0</v>
      </c>
    </row>
    <row r="111" spans="1:21" ht="13.5" customHeight="1">
      <c r="B111" s="844" t="s">
        <v>13</v>
      </c>
      <c r="C111" s="845">
        <f t="shared" si="44"/>
        <v>0</v>
      </c>
    </row>
    <row r="112" spans="1:21" ht="13.5" customHeight="1">
      <c r="B112" s="844" t="s">
        <v>14</v>
      </c>
      <c r="C112" s="845">
        <f t="shared" si="44"/>
        <v>0</v>
      </c>
    </row>
    <row r="113" spans="2:3" ht="13.5" customHeight="1">
      <c r="B113" s="844" t="s">
        <v>16</v>
      </c>
      <c r="C113" s="845">
        <f t="shared" si="44"/>
        <v>-238332</v>
      </c>
    </row>
    <row r="114" spans="2:3" ht="13.5" customHeight="1">
      <c r="B114" s="844" t="s">
        <v>1505</v>
      </c>
      <c r="C114" s="845">
        <f t="shared" si="44"/>
        <v>0</v>
      </c>
    </row>
    <row r="115" spans="2:3" ht="13.5" customHeight="1">
      <c r="B115" s="844" t="s">
        <v>17</v>
      </c>
      <c r="C115" s="845">
        <f t="shared" si="44"/>
        <v>0</v>
      </c>
    </row>
    <row r="116" spans="2:3" ht="13.5" customHeight="1">
      <c r="B116" s="844" t="s">
        <v>1506</v>
      </c>
      <c r="C116" s="845">
        <f t="shared" si="44"/>
        <v>0</v>
      </c>
    </row>
    <row r="117" spans="2:3" ht="13.5" customHeight="1">
      <c r="B117" s="844" t="s">
        <v>105</v>
      </c>
      <c r="C117" s="845">
        <f t="shared" si="44"/>
        <v>0</v>
      </c>
    </row>
    <row r="118" spans="2:3" ht="13.5" customHeight="1">
      <c r="B118" s="844" t="s">
        <v>106</v>
      </c>
      <c r="C118" s="845">
        <f t="shared" si="44"/>
        <v>-785278</v>
      </c>
    </row>
    <row r="119" spans="2:3" ht="13.5" customHeight="1">
      <c r="B119" s="844" t="s">
        <v>23</v>
      </c>
      <c r="C119" s="845">
        <f t="shared" si="44"/>
        <v>-9043647</v>
      </c>
    </row>
    <row r="120" spans="2:3" ht="13.5" customHeight="1">
      <c r="B120" s="844" t="s">
        <v>1507</v>
      </c>
      <c r="C120" s="845">
        <f t="shared" si="44"/>
        <v>0</v>
      </c>
    </row>
    <row r="121" spans="2:3" ht="13.5" customHeight="1">
      <c r="B121" s="844" t="s">
        <v>21</v>
      </c>
      <c r="C121" s="845">
        <f t="shared" si="44"/>
        <v>0</v>
      </c>
    </row>
    <row r="122" spans="2:3" ht="13.5" customHeight="1">
      <c r="B122" s="844" t="s">
        <v>1508</v>
      </c>
      <c r="C122" s="845">
        <f t="shared" si="44"/>
        <v>0</v>
      </c>
    </row>
    <row r="123" spans="2:3" ht="13.5" customHeight="1">
      <c r="B123" s="844" t="s">
        <v>24</v>
      </c>
      <c r="C123" s="845">
        <f t="shared" si="44"/>
        <v>0</v>
      </c>
    </row>
    <row r="124" spans="2:3" ht="13.5" customHeight="1">
      <c r="B124" s="844" t="s">
        <v>1509</v>
      </c>
      <c r="C124" s="845">
        <f t="shared" si="44"/>
        <v>0</v>
      </c>
    </row>
    <row r="125" spans="2:3" ht="13.5" customHeight="1">
      <c r="B125" s="844" t="s">
        <v>1372</v>
      </c>
      <c r="C125" s="845">
        <f t="shared" si="44"/>
        <v>0</v>
      </c>
    </row>
    <row r="126" spans="2:3" ht="13.5" customHeight="1">
      <c r="B126" s="844" t="s">
        <v>1848</v>
      </c>
      <c r="C126" s="845">
        <f t="shared" si="44"/>
        <v>0</v>
      </c>
    </row>
    <row r="127" spans="2:3" ht="13.5" customHeight="1">
      <c r="B127" s="844" t="s">
        <v>22</v>
      </c>
      <c r="C127" s="845">
        <f t="shared" si="44"/>
        <v>0</v>
      </c>
    </row>
    <row r="128" spans="2:3" ht="13.5" customHeight="1">
      <c r="B128" s="844"/>
      <c r="C128" s="844"/>
    </row>
    <row r="129" spans="2:3" ht="13.5" customHeight="1">
      <c r="B129" s="844" t="s">
        <v>654</v>
      </c>
      <c r="C129" s="845">
        <f t="shared" ref="C129:C151" si="45">SUMIF($C$16:$C$101,B129,$D$16:$D$101)</f>
        <v>0</v>
      </c>
    </row>
    <row r="130" spans="2:3" ht="13.5" customHeight="1">
      <c r="B130" s="844" t="s">
        <v>904</v>
      </c>
      <c r="C130" s="845">
        <f>SUMIF($C$16:$C$101,B130,$D$16:$D$101)</f>
        <v>-12537095</v>
      </c>
    </row>
    <row r="131" spans="2:3" ht="13.5" customHeight="1">
      <c r="B131" s="844" t="s">
        <v>905</v>
      </c>
      <c r="C131" s="845">
        <f t="shared" si="45"/>
        <v>0</v>
      </c>
    </row>
    <row r="132" spans="2:3" ht="13.5" customHeight="1">
      <c r="B132" s="844" t="s">
        <v>31</v>
      </c>
      <c r="C132" s="845">
        <f t="shared" si="45"/>
        <v>0</v>
      </c>
    </row>
    <row r="133" spans="2:3" ht="13.5" customHeight="1">
      <c r="B133" s="844" t="s">
        <v>1521</v>
      </c>
      <c r="C133" s="845">
        <f t="shared" si="45"/>
        <v>0</v>
      </c>
    </row>
    <row r="134" spans="2:3" ht="13.5" customHeight="1">
      <c r="B134" s="844" t="s">
        <v>33</v>
      </c>
      <c r="C134" s="845">
        <f t="shared" si="45"/>
        <v>0</v>
      </c>
    </row>
    <row r="135" spans="2:3" ht="13.5" customHeight="1">
      <c r="B135" s="844" t="s">
        <v>1512</v>
      </c>
      <c r="C135" s="845">
        <f t="shared" si="45"/>
        <v>0</v>
      </c>
    </row>
    <row r="136" spans="2:3" ht="13.5" customHeight="1">
      <c r="B136" s="844" t="s">
        <v>662</v>
      </c>
      <c r="C136" s="845">
        <f t="shared" si="45"/>
        <v>0</v>
      </c>
    </row>
    <row r="137" spans="2:3" ht="13.5" customHeight="1">
      <c r="B137" s="844" t="s">
        <v>1519</v>
      </c>
      <c r="C137" s="845">
        <f t="shared" si="45"/>
        <v>0</v>
      </c>
    </row>
    <row r="138" spans="2:3" ht="13.5" customHeight="1">
      <c r="B138" s="844" t="s">
        <v>874</v>
      </c>
      <c r="C138" s="845">
        <f t="shared" si="45"/>
        <v>-14566772</v>
      </c>
    </row>
    <row r="139" spans="2:3" ht="13.5" customHeight="1">
      <c r="B139" s="844" t="s">
        <v>1517</v>
      </c>
      <c r="C139" s="845">
        <f t="shared" si="45"/>
        <v>6941364</v>
      </c>
    </row>
    <row r="140" spans="2:3" ht="13.5" customHeight="1">
      <c r="B140" s="844" t="s">
        <v>669</v>
      </c>
      <c r="C140" s="845">
        <f t="shared" si="45"/>
        <v>-26727150</v>
      </c>
    </row>
    <row r="141" spans="2:3" ht="13.5" customHeight="1">
      <c r="B141" s="844" t="s">
        <v>1515</v>
      </c>
      <c r="C141" s="845">
        <f t="shared" si="45"/>
        <v>13875740</v>
      </c>
    </row>
    <row r="142" spans="2:3" ht="13.5" customHeight="1">
      <c r="B142" s="844" t="s">
        <v>346</v>
      </c>
      <c r="C142" s="845">
        <f t="shared" si="45"/>
        <v>0</v>
      </c>
    </row>
    <row r="143" spans="2:3" ht="13.5" customHeight="1">
      <c r="B143" s="844" t="s">
        <v>1513</v>
      </c>
      <c r="C143" s="845">
        <f t="shared" si="45"/>
        <v>0</v>
      </c>
    </row>
    <row r="144" spans="2:3" ht="13.5" customHeight="1">
      <c r="B144" s="844" t="s">
        <v>37</v>
      </c>
      <c r="C144" s="845">
        <f t="shared" si="45"/>
        <v>0</v>
      </c>
    </row>
    <row r="145" spans="2:3" ht="13.5" customHeight="1">
      <c r="B145" s="844" t="s">
        <v>38</v>
      </c>
      <c r="C145" s="845">
        <f t="shared" si="45"/>
        <v>0</v>
      </c>
    </row>
    <row r="146" spans="2:3" ht="13.5" customHeight="1">
      <c r="B146" s="844" t="s">
        <v>40</v>
      </c>
      <c r="C146" s="845">
        <f t="shared" si="45"/>
        <v>0</v>
      </c>
    </row>
    <row r="147" spans="2:3" ht="13.5" customHeight="1">
      <c r="B147" s="844" t="s">
        <v>41</v>
      </c>
      <c r="C147" s="845">
        <f t="shared" si="45"/>
        <v>0</v>
      </c>
    </row>
    <row r="148" spans="2:3" ht="13.5" customHeight="1">
      <c r="B148" s="844" t="s">
        <v>39</v>
      </c>
      <c r="C148" s="845">
        <f t="shared" si="45"/>
        <v>0</v>
      </c>
    </row>
    <row r="149" spans="2:3" ht="13.5" customHeight="1">
      <c r="B149" s="844" t="s">
        <v>43</v>
      </c>
      <c r="C149" s="845">
        <f t="shared" si="45"/>
        <v>0</v>
      </c>
    </row>
    <row r="150" spans="2:3" ht="13.5" customHeight="1">
      <c r="B150" s="844" t="s">
        <v>44</v>
      </c>
      <c r="C150" s="845">
        <f t="shared" si="45"/>
        <v>0</v>
      </c>
    </row>
    <row r="151" spans="2:3" ht="13.5" customHeight="1">
      <c r="B151" s="844" t="s">
        <v>19</v>
      </c>
      <c r="C151" s="845">
        <f t="shared" si="45"/>
        <v>0</v>
      </c>
    </row>
    <row r="152" spans="2:3" ht="13.5" customHeight="1">
      <c r="B152" s="844"/>
      <c r="C152" s="844"/>
    </row>
    <row r="153" spans="2:3" ht="13.5" customHeight="1">
      <c r="B153" s="844"/>
      <c r="C153" s="844"/>
    </row>
    <row r="154" spans="2:3" ht="13.5" customHeight="1">
      <c r="B154" s="844"/>
      <c r="C154" s="844"/>
    </row>
    <row r="155" spans="2:3" ht="13.5" customHeight="1">
      <c r="B155" s="844" t="s">
        <v>48</v>
      </c>
      <c r="C155" s="845">
        <f t="shared" ref="C155:C166" si="46">SUMIF($C$16:$C$101,B155,$D$16:$D$101)</f>
        <v>-129857804</v>
      </c>
    </row>
    <row r="156" spans="2:3" ht="13.5" customHeight="1">
      <c r="B156" s="844" t="s">
        <v>51</v>
      </c>
      <c r="C156" s="845">
        <f t="shared" si="46"/>
        <v>0</v>
      </c>
    </row>
    <row r="157" spans="2:3" ht="13.5" customHeight="1">
      <c r="B157" s="844" t="s">
        <v>53</v>
      </c>
      <c r="C157" s="845">
        <f t="shared" si="46"/>
        <v>0</v>
      </c>
    </row>
    <row r="158" spans="2:3" ht="13.5" customHeight="1">
      <c r="B158" s="844" t="s">
        <v>369</v>
      </c>
      <c r="C158" s="845">
        <f t="shared" si="46"/>
        <v>0</v>
      </c>
    </row>
    <row r="159" spans="2:3" ht="13.5" customHeight="1">
      <c r="B159" s="844" t="s">
        <v>52</v>
      </c>
      <c r="C159" s="845">
        <f t="shared" si="46"/>
        <v>-4186175</v>
      </c>
    </row>
    <row r="160" spans="2:3" ht="13.5" customHeight="1">
      <c r="B160" s="844" t="s">
        <v>183</v>
      </c>
      <c r="C160" s="845">
        <f t="shared" si="46"/>
        <v>0</v>
      </c>
    </row>
    <row r="161" spans="2:3" ht="13.5" customHeight="1">
      <c r="B161" s="844" t="s">
        <v>50</v>
      </c>
      <c r="C161" s="845">
        <f t="shared" si="46"/>
        <v>0</v>
      </c>
    </row>
    <row r="162" spans="2:3" ht="13.5" customHeight="1">
      <c r="B162" s="844" t="s">
        <v>54</v>
      </c>
      <c r="C162" s="845">
        <f t="shared" si="46"/>
        <v>-4062995</v>
      </c>
    </row>
    <row r="163" spans="2:3" ht="13.5" customHeight="1">
      <c r="B163" s="844" t="s">
        <v>108</v>
      </c>
      <c r="C163" s="845">
        <f t="shared" si="46"/>
        <v>0</v>
      </c>
    </row>
    <row r="164" spans="2:3" ht="13.5" customHeight="1">
      <c r="B164" s="844" t="s">
        <v>691</v>
      </c>
      <c r="C164" s="845">
        <f t="shared" si="46"/>
        <v>0</v>
      </c>
    </row>
    <row r="165" spans="2:3" ht="13.5" customHeight="1">
      <c r="B165" s="844" t="s">
        <v>55</v>
      </c>
      <c r="C165" s="845">
        <f t="shared" si="46"/>
        <v>0</v>
      </c>
    </row>
    <row r="166" spans="2:3" ht="13.5" customHeight="1">
      <c r="B166" s="844" t="s">
        <v>694</v>
      </c>
      <c r="C166" s="845">
        <f t="shared" si="46"/>
        <v>0</v>
      </c>
    </row>
    <row r="167" spans="2:3" ht="13.5" customHeight="1">
      <c r="B167" s="844"/>
      <c r="C167" s="844"/>
    </row>
    <row r="168" spans="2:3" ht="13.5" customHeight="1">
      <c r="B168" s="844" t="s">
        <v>57</v>
      </c>
      <c r="C168" s="845">
        <f t="shared" ref="C168:C174" si="47">SUMIF($C$16:$C$101,B168,$D$16:$D$101)</f>
        <v>0</v>
      </c>
    </row>
    <row r="169" spans="2:3" ht="13.5" customHeight="1">
      <c r="B169" s="844" t="s">
        <v>885</v>
      </c>
      <c r="C169" s="845">
        <f t="shared" si="47"/>
        <v>0</v>
      </c>
    </row>
    <row r="170" spans="2:3" ht="13.5" customHeight="1">
      <c r="B170" s="844" t="s">
        <v>698</v>
      </c>
      <c r="C170" s="845">
        <f t="shared" si="47"/>
        <v>0</v>
      </c>
    </row>
    <row r="171" spans="2:3" ht="13.5" customHeight="1">
      <c r="B171" s="844" t="s">
        <v>700</v>
      </c>
      <c r="C171" s="845">
        <f t="shared" si="47"/>
        <v>0</v>
      </c>
    </row>
    <row r="172" spans="2:3" ht="13.5" customHeight="1">
      <c r="B172" s="844" t="s">
        <v>702</v>
      </c>
      <c r="C172" s="845">
        <f t="shared" si="47"/>
        <v>0</v>
      </c>
    </row>
    <row r="173" spans="2:3" ht="13.5" customHeight="1">
      <c r="B173" s="828" t="s">
        <v>2439</v>
      </c>
      <c r="C173" s="845">
        <f t="shared" si="47"/>
        <v>0</v>
      </c>
    </row>
    <row r="174" spans="2:3" ht="13.5" customHeight="1">
      <c r="B174" s="844" t="s">
        <v>590</v>
      </c>
      <c r="C174" s="845">
        <f t="shared" si="47"/>
        <v>0</v>
      </c>
    </row>
    <row r="175" spans="2:3" ht="13.5" customHeight="1">
      <c r="B175" s="844"/>
      <c r="C175" s="845"/>
    </row>
    <row r="176" spans="2:3" ht="13.5" customHeight="1">
      <c r="B176" s="844"/>
      <c r="C176" s="845"/>
    </row>
    <row r="177" spans="2:3" ht="13.5" customHeight="1">
      <c r="B177" s="844"/>
      <c r="C177" s="845"/>
    </row>
    <row r="178" spans="2:3" ht="13.5" customHeight="1">
      <c r="B178" s="844"/>
      <c r="C178" s="845"/>
    </row>
    <row r="179" spans="2:3" ht="13.5" customHeight="1">
      <c r="B179" s="844"/>
      <c r="C179" s="845"/>
    </row>
    <row r="180" spans="2:3" ht="13.5" customHeight="1">
      <c r="B180" s="844"/>
      <c r="C180" s="845"/>
    </row>
    <row r="181" spans="2:3" ht="13.5" customHeight="1">
      <c r="B181" s="844"/>
      <c r="C181" s="845"/>
    </row>
    <row r="182" spans="2:3" ht="13.5" customHeight="1">
      <c r="B182" s="844"/>
      <c r="C182" s="845"/>
    </row>
    <row r="183" spans="2:3" ht="13.5" customHeight="1">
      <c r="B183" s="844"/>
      <c r="C183" s="845"/>
    </row>
    <row r="184" spans="2:3" ht="13.5" customHeight="1">
      <c r="B184" s="844"/>
      <c r="C184" s="845"/>
    </row>
  </sheetData>
  <autoFilter ref="A12:U100" xr:uid="{00000000-0009-0000-0000-000024000000}"/>
  <mergeCells count="8">
    <mergeCell ref="N11:O11"/>
    <mergeCell ref="P11:Q11"/>
    <mergeCell ref="R11:S11"/>
    <mergeCell ref="T11:U11"/>
    <mergeCell ref="E11:F11"/>
    <mergeCell ref="G11:H11"/>
    <mergeCell ref="I11:J11"/>
    <mergeCell ref="K11:L11"/>
  </mergeCells>
  <phoneticPr fontId="3" type="noConversion"/>
  <conditionalFormatting sqref="D11:U11 A11:C101">
    <cfRule type="expression" dxfId="139" priority="4">
      <formula>NOT(ISERROR(SEARCH("false",A11)))</formula>
    </cfRule>
  </conditionalFormatting>
  <pageMargins left="0.7" right="0.7" top="0.75" bottom="0.75" header="0.3" footer="0.3"/>
  <pageSetup paperSize="9"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23">
    <tabColor theme="9" tint="0.79998168889431442"/>
  </sheetPr>
  <dimension ref="B2:Q95"/>
  <sheetViews>
    <sheetView showGridLines="0" workbookViewId="0"/>
  </sheetViews>
  <sheetFormatPr defaultColWidth="9" defaultRowHeight="13.5"/>
  <cols>
    <col min="1" max="1" width="2.625" style="97" customWidth="1"/>
    <col min="2" max="3" width="12" style="97" customWidth="1"/>
    <col min="4" max="4" width="9" style="97"/>
    <col min="5" max="5" width="23.125" style="97" customWidth="1"/>
    <col min="6" max="6" width="17.625" style="97" customWidth="1"/>
    <col min="7" max="7" width="9" style="97"/>
    <col min="8" max="8" width="23.125" style="97" customWidth="1"/>
    <col min="9" max="9" width="17.625" style="97" customWidth="1"/>
    <col min="10" max="10" width="10" style="97" bestFit="1" customWidth="1"/>
    <col min="11" max="12" width="9" style="97"/>
    <col min="13" max="13" width="10.5" style="97" bestFit="1" customWidth="1"/>
    <col min="14" max="14" width="9" style="97"/>
    <col min="15" max="15" width="10.5" style="97" bestFit="1" customWidth="1"/>
    <col min="16" max="16384" width="9" style="97"/>
  </cols>
  <sheetData>
    <row r="2" spans="2:17">
      <c r="B2" s="185" t="s">
        <v>410</v>
      </c>
      <c r="C2" s="185" t="s">
        <v>1437</v>
      </c>
      <c r="D2" s="185" t="s">
        <v>1444</v>
      </c>
      <c r="E2" s="185" t="s">
        <v>1445</v>
      </c>
      <c r="F2" s="185" t="s">
        <v>1446</v>
      </c>
      <c r="G2" s="675" t="s">
        <v>1447</v>
      </c>
      <c r="H2" s="675" t="s">
        <v>1448</v>
      </c>
      <c r="I2" s="185" t="s">
        <v>1449</v>
      </c>
    </row>
    <row r="3" spans="2:17">
      <c r="B3" s="185">
        <v>2022</v>
      </c>
      <c r="C3" s="185" t="s">
        <v>1402</v>
      </c>
      <c r="D3" s="187" t="s">
        <v>672</v>
      </c>
      <c r="E3" s="524" t="s">
        <v>346</v>
      </c>
      <c r="F3" s="520"/>
      <c r="G3" s="232" t="s">
        <v>673</v>
      </c>
      <c r="H3" s="520" t="s">
        <v>674</v>
      </c>
      <c r="I3" s="522"/>
      <c r="J3" s="761" t="s">
        <v>1647</v>
      </c>
      <c r="K3" s="761"/>
      <c r="L3" s="761"/>
      <c r="M3" s="761"/>
      <c r="N3" s="761"/>
      <c r="O3" s="761"/>
      <c r="P3" s="761"/>
      <c r="Q3" s="761"/>
    </row>
    <row r="4" spans="2:17">
      <c r="B4" s="185">
        <v>2022</v>
      </c>
      <c r="C4" s="185" t="s">
        <v>1434</v>
      </c>
      <c r="D4" s="189" t="s">
        <v>693</v>
      </c>
      <c r="E4" s="674" t="s">
        <v>694</v>
      </c>
      <c r="F4" s="519"/>
      <c r="G4" s="229" t="s">
        <v>703</v>
      </c>
      <c r="H4" s="519" t="s">
        <v>590</v>
      </c>
      <c r="I4" s="526"/>
    </row>
    <row r="5" spans="2:17">
      <c r="B5" s="185">
        <v>2022</v>
      </c>
      <c r="C5" s="185" t="s">
        <v>1434</v>
      </c>
      <c r="D5" s="189" t="s">
        <v>703</v>
      </c>
      <c r="E5" s="674" t="s">
        <v>590</v>
      </c>
      <c r="F5" s="519"/>
      <c r="G5" s="229" t="s">
        <v>693</v>
      </c>
      <c r="H5" s="519" t="s">
        <v>694</v>
      </c>
      <c r="I5" s="526"/>
    </row>
    <row r="6" spans="2:17">
      <c r="B6" s="185">
        <v>2022</v>
      </c>
      <c r="C6" s="185" t="s">
        <v>1434</v>
      </c>
      <c r="D6" s="190" t="s">
        <v>714</v>
      </c>
      <c r="E6" s="525" t="s">
        <v>715</v>
      </c>
      <c r="F6" s="527"/>
      <c r="G6" s="230"/>
      <c r="H6" s="527"/>
      <c r="I6" s="528"/>
    </row>
    <row r="7" spans="2:17">
      <c r="B7" s="185">
        <v>2022</v>
      </c>
      <c r="C7" s="185" t="s">
        <v>1654</v>
      </c>
      <c r="D7" s="1124" t="s">
        <v>907</v>
      </c>
      <c r="E7" s="674" t="s">
        <v>905</v>
      </c>
      <c r="F7" s="519"/>
      <c r="G7" s="1107">
        <v>17600</v>
      </c>
      <c r="H7" s="519" t="s">
        <v>904</v>
      </c>
      <c r="I7" s="526"/>
      <c r="J7" s="97" t="s">
        <v>2685</v>
      </c>
    </row>
    <row r="8" spans="2:17">
      <c r="B8" s="185">
        <v>2022</v>
      </c>
      <c r="C8" s="185" t="s">
        <v>1654</v>
      </c>
      <c r="D8" s="189" t="s">
        <v>907</v>
      </c>
      <c r="E8" s="674" t="s">
        <v>905</v>
      </c>
      <c r="F8" s="519">
        <f>지분법계산_엠에이치메디!C16</f>
        <v>65719307</v>
      </c>
      <c r="G8" s="229" t="s">
        <v>714</v>
      </c>
      <c r="H8" s="519" t="s">
        <v>715</v>
      </c>
      <c r="I8" s="526">
        <f>지분법계산_엠에이치메디!E16</f>
        <v>65719307</v>
      </c>
      <c r="J8" s="97" t="s">
        <v>1656</v>
      </c>
    </row>
    <row r="9" spans="2:17">
      <c r="B9" s="185">
        <v>2022</v>
      </c>
      <c r="C9" s="185" t="s">
        <v>1654</v>
      </c>
      <c r="D9" s="190" t="s">
        <v>907</v>
      </c>
      <c r="E9" s="525" t="s">
        <v>905</v>
      </c>
      <c r="F9" s="527">
        <f>지분법계산_엠에이치메디!C17</f>
        <v>14174152</v>
      </c>
      <c r="G9" s="230" t="s">
        <v>714</v>
      </c>
      <c r="H9" s="527" t="s">
        <v>715</v>
      </c>
      <c r="I9" s="528">
        <f>지분법계산_엠에이치메디!E17</f>
        <v>14174152</v>
      </c>
      <c r="J9" s="97" t="s">
        <v>1657</v>
      </c>
    </row>
    <row r="10" spans="2:17">
      <c r="B10" s="185"/>
      <c r="C10" s="185"/>
      <c r="D10" s="185"/>
      <c r="F10" s="184"/>
      <c r="G10" s="186"/>
      <c r="H10" s="184"/>
      <c r="I10" s="184"/>
    </row>
    <row r="11" spans="2:17">
      <c r="B11" s="185">
        <v>2023</v>
      </c>
      <c r="C11" s="185" t="s">
        <v>1434</v>
      </c>
      <c r="D11" s="187" t="s">
        <v>763</v>
      </c>
      <c r="E11" s="524" t="s">
        <v>176</v>
      </c>
      <c r="F11" s="520"/>
      <c r="G11" s="232" t="s">
        <v>673</v>
      </c>
      <c r="H11" s="520" t="s">
        <v>674</v>
      </c>
      <c r="I11" s="522"/>
      <c r="J11" s="761" t="s">
        <v>1648</v>
      </c>
      <c r="K11" s="761"/>
      <c r="L11" s="761"/>
      <c r="M11" s="761"/>
      <c r="N11" s="761"/>
      <c r="O11" s="761"/>
      <c r="P11" s="761"/>
      <c r="Q11" s="761"/>
    </row>
    <row r="12" spans="2:17">
      <c r="B12" s="185">
        <v>2023</v>
      </c>
      <c r="C12" s="185" t="s">
        <v>1434</v>
      </c>
      <c r="D12" s="189" t="s">
        <v>802</v>
      </c>
      <c r="E12" s="674" t="s">
        <v>179</v>
      </c>
      <c r="F12" s="519"/>
      <c r="G12" s="229" t="s">
        <v>693</v>
      </c>
      <c r="H12" s="519" t="s">
        <v>694</v>
      </c>
      <c r="I12" s="526"/>
    </row>
    <row r="13" spans="2:17">
      <c r="B13" s="185">
        <v>2023</v>
      </c>
      <c r="C13" s="185" t="s">
        <v>1434</v>
      </c>
      <c r="D13" s="189" t="s">
        <v>693</v>
      </c>
      <c r="E13" s="674" t="s">
        <v>694</v>
      </c>
      <c r="F13" s="519"/>
      <c r="G13" s="229" t="s">
        <v>764</v>
      </c>
      <c r="H13" s="519" t="s">
        <v>394</v>
      </c>
      <c r="I13" s="526"/>
    </row>
    <row r="14" spans="2:17">
      <c r="B14" s="185">
        <v>2023</v>
      </c>
      <c r="C14" s="185" t="s">
        <v>1434</v>
      </c>
      <c r="D14" s="189" t="s">
        <v>673</v>
      </c>
      <c r="E14" s="674" t="s">
        <v>674</v>
      </c>
      <c r="F14" s="519"/>
      <c r="G14" s="229" t="s">
        <v>672</v>
      </c>
      <c r="H14" s="519" t="s">
        <v>346</v>
      </c>
      <c r="I14" s="526"/>
      <c r="J14" s="97" t="s">
        <v>1649</v>
      </c>
    </row>
    <row r="15" spans="2:17">
      <c r="B15" s="185">
        <v>2023</v>
      </c>
      <c r="C15" s="185" t="s">
        <v>1434</v>
      </c>
      <c r="D15" s="189" t="s">
        <v>672</v>
      </c>
      <c r="E15" s="674" t="s">
        <v>346</v>
      </c>
      <c r="F15" s="519"/>
      <c r="G15" s="229" t="s">
        <v>703</v>
      </c>
      <c r="H15" s="519" t="s">
        <v>590</v>
      </c>
      <c r="I15" s="526"/>
      <c r="J15" s="97" t="s">
        <v>1650</v>
      </c>
    </row>
    <row r="16" spans="2:17">
      <c r="B16" s="185">
        <v>2023</v>
      </c>
      <c r="C16" s="185" t="s">
        <v>1434</v>
      </c>
      <c r="D16" s="189" t="s">
        <v>703</v>
      </c>
      <c r="E16" s="674" t="s">
        <v>590</v>
      </c>
      <c r="F16" s="519"/>
      <c r="G16" s="229" t="s">
        <v>693</v>
      </c>
      <c r="H16" s="519" t="s">
        <v>694</v>
      </c>
      <c r="I16" s="526"/>
      <c r="J16" s="97" t="s">
        <v>1650</v>
      </c>
    </row>
    <row r="17" spans="2:10">
      <c r="B17" s="185">
        <v>2023</v>
      </c>
      <c r="C17" s="185" t="s">
        <v>1434</v>
      </c>
      <c r="D17" s="189" t="s">
        <v>763</v>
      </c>
      <c r="E17" s="674" t="s">
        <v>176</v>
      </c>
      <c r="F17" s="519"/>
      <c r="G17" s="229" t="s">
        <v>673</v>
      </c>
      <c r="H17" s="519" t="s">
        <v>674</v>
      </c>
      <c r="I17" s="526"/>
    </row>
    <row r="18" spans="2:10">
      <c r="B18" s="185">
        <v>2023</v>
      </c>
      <c r="C18" s="185" t="s">
        <v>1434</v>
      </c>
      <c r="D18" s="189" t="s">
        <v>802</v>
      </c>
      <c r="E18" s="674" t="s">
        <v>179</v>
      </c>
      <c r="F18" s="519"/>
      <c r="G18" s="229" t="s">
        <v>703</v>
      </c>
      <c r="H18" s="519" t="s">
        <v>590</v>
      </c>
      <c r="I18" s="526"/>
    </row>
    <row r="19" spans="2:10">
      <c r="B19" s="185">
        <v>2023</v>
      </c>
      <c r="C19" s="185" t="s">
        <v>1434</v>
      </c>
      <c r="D19" s="189" t="s">
        <v>703</v>
      </c>
      <c r="E19" s="674" t="s">
        <v>590</v>
      </c>
      <c r="F19" s="519"/>
      <c r="G19" s="229" t="s">
        <v>764</v>
      </c>
      <c r="H19" s="519" t="s">
        <v>394</v>
      </c>
      <c r="I19" s="526"/>
    </row>
    <row r="20" spans="2:10">
      <c r="B20" s="185">
        <v>2023</v>
      </c>
      <c r="C20" s="185" t="s">
        <v>1434</v>
      </c>
      <c r="D20" s="189" t="s">
        <v>763</v>
      </c>
      <c r="E20" s="674" t="s">
        <v>176</v>
      </c>
      <c r="F20" s="519"/>
      <c r="G20" s="229" t="s">
        <v>673</v>
      </c>
      <c r="H20" s="519" t="s">
        <v>674</v>
      </c>
      <c r="I20" s="526"/>
    </row>
    <row r="21" spans="2:10">
      <c r="B21" s="185">
        <v>2023</v>
      </c>
      <c r="C21" s="185" t="s">
        <v>1434</v>
      </c>
      <c r="D21" s="189" t="s">
        <v>802</v>
      </c>
      <c r="E21" s="674" t="s">
        <v>179</v>
      </c>
      <c r="F21" s="519"/>
      <c r="G21" s="229" t="s">
        <v>703</v>
      </c>
      <c r="H21" s="519" t="s">
        <v>590</v>
      </c>
      <c r="I21" s="526"/>
    </row>
    <row r="22" spans="2:10">
      <c r="B22" s="185">
        <v>2023</v>
      </c>
      <c r="C22" s="185" t="s">
        <v>1434</v>
      </c>
      <c r="D22" s="189" t="s">
        <v>703</v>
      </c>
      <c r="E22" s="674" t="s">
        <v>590</v>
      </c>
      <c r="F22" s="519"/>
      <c r="G22" s="229" t="s">
        <v>764</v>
      </c>
      <c r="H22" s="519" t="s">
        <v>394</v>
      </c>
      <c r="I22" s="526"/>
    </row>
    <row r="23" spans="2:10">
      <c r="B23" s="185">
        <v>2023</v>
      </c>
      <c r="C23" s="185" t="s">
        <v>1434</v>
      </c>
      <c r="D23" s="189" t="s">
        <v>673</v>
      </c>
      <c r="E23" s="674" t="s">
        <v>674</v>
      </c>
      <c r="F23" s="519"/>
      <c r="G23" s="229" t="s">
        <v>672</v>
      </c>
      <c r="H23" s="519" t="s">
        <v>346</v>
      </c>
      <c r="I23" s="526"/>
      <c r="J23" s="97" t="s">
        <v>1649</v>
      </c>
    </row>
    <row r="24" spans="2:10">
      <c r="B24" s="185">
        <v>2023</v>
      </c>
      <c r="C24" s="185" t="s">
        <v>1434</v>
      </c>
      <c r="D24" s="189" t="s">
        <v>703</v>
      </c>
      <c r="E24" s="674" t="s">
        <v>590</v>
      </c>
      <c r="F24" s="519"/>
      <c r="G24" s="229">
        <v>92100</v>
      </c>
      <c r="H24" s="519" t="s">
        <v>122</v>
      </c>
      <c r="I24" s="526"/>
      <c r="J24" s="97" t="s">
        <v>1649</v>
      </c>
    </row>
    <row r="25" spans="2:10">
      <c r="B25" s="185">
        <v>2023</v>
      </c>
      <c r="C25" s="185" t="s">
        <v>1434</v>
      </c>
      <c r="D25" s="189" t="s">
        <v>693</v>
      </c>
      <c r="E25" s="674" t="s">
        <v>694</v>
      </c>
      <c r="F25" s="519"/>
      <c r="G25" s="229"/>
      <c r="H25" s="519"/>
      <c r="I25" s="526"/>
      <c r="J25" s="97" t="s">
        <v>1649</v>
      </c>
    </row>
    <row r="26" spans="2:10">
      <c r="B26" s="185">
        <v>2023</v>
      </c>
      <c r="C26" s="185" t="s">
        <v>1434</v>
      </c>
      <c r="D26" s="189" t="s">
        <v>672</v>
      </c>
      <c r="E26" s="674" t="s">
        <v>346</v>
      </c>
      <c r="F26" s="519"/>
      <c r="G26" s="229" t="s">
        <v>703</v>
      </c>
      <c r="H26" s="519" t="s">
        <v>590</v>
      </c>
      <c r="I26" s="526"/>
      <c r="J26" s="97" t="s">
        <v>1651</v>
      </c>
    </row>
    <row r="27" spans="2:10">
      <c r="B27" s="185">
        <v>2023</v>
      </c>
      <c r="C27" s="185" t="s">
        <v>1434</v>
      </c>
      <c r="D27" s="189" t="s">
        <v>703</v>
      </c>
      <c r="E27" s="674" t="s">
        <v>590</v>
      </c>
      <c r="F27" s="519"/>
      <c r="G27" s="229" t="s">
        <v>693</v>
      </c>
      <c r="H27" s="519" t="s">
        <v>694</v>
      </c>
      <c r="I27" s="526"/>
      <c r="J27" s="97" t="s">
        <v>1651</v>
      </c>
    </row>
    <row r="28" spans="2:10">
      <c r="B28" s="185">
        <v>2023</v>
      </c>
      <c r="C28" s="185" t="s">
        <v>1434</v>
      </c>
      <c r="D28" s="189" t="s">
        <v>763</v>
      </c>
      <c r="E28" s="674" t="s">
        <v>176</v>
      </c>
      <c r="F28" s="519"/>
      <c r="G28" s="229" t="s">
        <v>673</v>
      </c>
      <c r="H28" s="519" t="s">
        <v>674</v>
      </c>
      <c r="I28" s="526"/>
    </row>
    <row r="29" spans="2:10">
      <c r="B29" s="185">
        <v>2023</v>
      </c>
      <c r="C29" s="185" t="s">
        <v>1434</v>
      </c>
      <c r="D29" s="189" t="s">
        <v>802</v>
      </c>
      <c r="E29" s="674" t="s">
        <v>179</v>
      </c>
      <c r="F29" s="519"/>
      <c r="G29" s="229" t="s">
        <v>703</v>
      </c>
      <c r="H29" s="519" t="s">
        <v>590</v>
      </c>
      <c r="I29" s="526"/>
    </row>
    <row r="30" spans="2:10">
      <c r="B30" s="185">
        <v>2023</v>
      </c>
      <c r="C30" s="185" t="s">
        <v>1434</v>
      </c>
      <c r="D30" s="190" t="s">
        <v>703</v>
      </c>
      <c r="E30" s="525" t="s">
        <v>590</v>
      </c>
      <c r="F30" s="527"/>
      <c r="G30" s="230" t="s">
        <v>764</v>
      </c>
      <c r="H30" s="527" t="s">
        <v>394</v>
      </c>
      <c r="I30" s="528"/>
    </row>
    <row r="31" spans="2:10">
      <c r="B31" s="185">
        <v>2023</v>
      </c>
      <c r="C31" s="185" t="s">
        <v>1434</v>
      </c>
      <c r="D31" s="189" t="s">
        <v>717</v>
      </c>
      <c r="E31" s="674" t="s">
        <v>446</v>
      </c>
      <c r="F31" s="519">
        <v>0</v>
      </c>
      <c r="G31" s="229" t="s">
        <v>782</v>
      </c>
      <c r="H31" s="519" t="s">
        <v>397</v>
      </c>
      <c r="I31" s="526">
        <v>0</v>
      </c>
      <c r="J31" s="97" t="s">
        <v>2467</v>
      </c>
    </row>
    <row r="32" spans="2:10">
      <c r="B32" s="185">
        <v>2023</v>
      </c>
      <c r="C32" s="185" t="s">
        <v>1434</v>
      </c>
      <c r="D32" s="189" t="s">
        <v>717</v>
      </c>
      <c r="E32" s="674" t="s">
        <v>446</v>
      </c>
      <c r="F32" s="519">
        <v>0</v>
      </c>
      <c r="G32" s="229" t="s">
        <v>782</v>
      </c>
      <c r="H32" s="519" t="s">
        <v>397</v>
      </c>
      <c r="I32" s="526">
        <v>0</v>
      </c>
      <c r="J32" s="97" t="s">
        <v>2466</v>
      </c>
    </row>
    <row r="33" spans="2:17">
      <c r="B33" s="185">
        <v>2023</v>
      </c>
      <c r="C33" s="185" t="s">
        <v>1434</v>
      </c>
      <c r="D33" s="189" t="s">
        <v>717</v>
      </c>
      <c r="E33" s="674" t="s">
        <v>446</v>
      </c>
      <c r="F33" s="519">
        <v>0</v>
      </c>
      <c r="G33" s="229" t="s">
        <v>782</v>
      </c>
      <c r="H33" s="519" t="s">
        <v>397</v>
      </c>
      <c r="I33" s="526">
        <v>0</v>
      </c>
      <c r="J33" s="97" t="s">
        <v>2466</v>
      </c>
    </row>
    <row r="34" spans="2:17">
      <c r="B34" s="185">
        <v>2023</v>
      </c>
      <c r="C34" s="185" t="s">
        <v>1434</v>
      </c>
      <c r="D34" s="189" t="s">
        <v>717</v>
      </c>
      <c r="E34" s="674" t="s">
        <v>446</v>
      </c>
      <c r="F34" s="519">
        <v>0</v>
      </c>
      <c r="G34" s="229" t="s">
        <v>782</v>
      </c>
      <c r="H34" s="519" t="s">
        <v>397</v>
      </c>
      <c r="I34" s="526">
        <v>0</v>
      </c>
      <c r="J34" s="97" t="s">
        <v>2467</v>
      </c>
    </row>
    <row r="35" spans="2:17">
      <c r="B35" s="185">
        <v>2023</v>
      </c>
      <c r="C35" s="185" t="s">
        <v>1434</v>
      </c>
      <c r="D35" s="189" t="s">
        <v>628</v>
      </c>
      <c r="E35" s="674" t="s">
        <v>10</v>
      </c>
      <c r="F35" s="519">
        <v>0</v>
      </c>
      <c r="G35" s="229" t="s">
        <v>717</v>
      </c>
      <c r="H35" s="519" t="s">
        <v>446</v>
      </c>
      <c r="I35" s="526">
        <v>0</v>
      </c>
      <c r="J35" s="97" t="s">
        <v>2468</v>
      </c>
    </row>
    <row r="36" spans="2:17">
      <c r="B36" s="185">
        <v>2023</v>
      </c>
      <c r="C36" s="185" t="s">
        <v>1434</v>
      </c>
      <c r="D36" s="189" t="s">
        <v>1741</v>
      </c>
      <c r="E36" s="674" t="s">
        <v>893</v>
      </c>
      <c r="F36" s="519">
        <v>0</v>
      </c>
      <c r="G36" s="229" t="s">
        <v>646</v>
      </c>
      <c r="H36" s="519" t="s">
        <v>21</v>
      </c>
      <c r="I36" s="526">
        <v>0</v>
      </c>
      <c r="J36" s="97" t="s">
        <v>2468</v>
      </c>
    </row>
    <row r="37" spans="2:17">
      <c r="B37" s="185">
        <v>2023</v>
      </c>
      <c r="C37" s="185" t="s">
        <v>1403</v>
      </c>
      <c r="D37" s="191" t="s">
        <v>672</v>
      </c>
      <c r="E37" s="523" t="s">
        <v>346</v>
      </c>
      <c r="F37" s="518"/>
      <c r="G37" s="231" t="s">
        <v>703</v>
      </c>
      <c r="H37" s="518" t="s">
        <v>590</v>
      </c>
      <c r="I37" s="521"/>
      <c r="J37" s="761" t="s">
        <v>1652</v>
      </c>
      <c r="K37" s="761"/>
      <c r="L37" s="761"/>
      <c r="M37" s="761"/>
      <c r="N37" s="761"/>
      <c r="O37" s="761"/>
      <c r="P37" s="761"/>
      <c r="Q37" s="761"/>
    </row>
    <row r="38" spans="2:17">
      <c r="B38" s="185">
        <v>2023</v>
      </c>
      <c r="C38" s="185" t="s">
        <v>1403</v>
      </c>
      <c r="D38" s="187" t="s">
        <v>703</v>
      </c>
      <c r="E38" s="524" t="s">
        <v>590</v>
      </c>
      <c r="F38" s="522"/>
      <c r="G38" s="232" t="s">
        <v>693</v>
      </c>
      <c r="H38" s="520" t="s">
        <v>694</v>
      </c>
      <c r="I38" s="522"/>
      <c r="J38" s="761" t="s">
        <v>1652</v>
      </c>
      <c r="K38" s="761"/>
      <c r="L38" s="761"/>
      <c r="M38" s="761"/>
      <c r="N38" s="761"/>
      <c r="O38" s="761"/>
      <c r="P38" s="761"/>
      <c r="Q38" s="761"/>
    </row>
    <row r="39" spans="2:17">
      <c r="B39" s="185">
        <v>2023</v>
      </c>
      <c r="C39" s="185" t="s">
        <v>1535</v>
      </c>
      <c r="D39" s="189" t="s">
        <v>763</v>
      </c>
      <c r="E39" s="674" t="s">
        <v>176</v>
      </c>
      <c r="F39" s="526"/>
      <c r="G39" s="229" t="s">
        <v>673</v>
      </c>
      <c r="H39" s="519" t="s">
        <v>674</v>
      </c>
      <c r="I39" s="526"/>
    </row>
    <row r="40" spans="2:17">
      <c r="B40" s="185">
        <v>2023</v>
      </c>
      <c r="C40" s="185" t="s">
        <v>1535</v>
      </c>
      <c r="D40" s="189" t="s">
        <v>802</v>
      </c>
      <c r="E40" s="674" t="s">
        <v>179</v>
      </c>
      <c r="F40" s="526"/>
      <c r="G40" s="229" t="s">
        <v>703</v>
      </c>
      <c r="H40" s="519" t="s">
        <v>590</v>
      </c>
      <c r="I40" s="526"/>
    </row>
    <row r="41" spans="2:17">
      <c r="B41" s="185">
        <v>2023</v>
      </c>
      <c r="C41" s="185" t="s">
        <v>1535</v>
      </c>
      <c r="D41" s="190" t="s">
        <v>703</v>
      </c>
      <c r="E41" s="525" t="s">
        <v>590</v>
      </c>
      <c r="F41" s="528"/>
      <c r="G41" s="1107" t="s">
        <v>764</v>
      </c>
      <c r="H41" s="519" t="s">
        <v>394</v>
      </c>
      <c r="I41" s="526"/>
    </row>
    <row r="42" spans="2:17">
      <c r="B42" s="185">
        <v>2023</v>
      </c>
      <c r="C42" s="185" t="s">
        <v>1654</v>
      </c>
      <c r="D42" s="1114" t="s">
        <v>907</v>
      </c>
      <c r="E42" s="1115" t="s">
        <v>905</v>
      </c>
      <c r="F42" s="1110">
        <f>지분법계산_엠에이치메디!C35</f>
        <v>4593776</v>
      </c>
      <c r="G42" s="1108" t="s">
        <v>714</v>
      </c>
      <c r="H42" s="1109" t="s">
        <v>715</v>
      </c>
      <c r="I42" s="1110">
        <f>지분법계산_엠에이치메디!E35</f>
        <v>4593776</v>
      </c>
      <c r="J42" s="97" t="s">
        <v>1655</v>
      </c>
    </row>
    <row r="43" spans="2:17">
      <c r="B43" s="185">
        <v>2023</v>
      </c>
      <c r="C43" s="185" t="s">
        <v>1654</v>
      </c>
      <c r="D43" s="1116" t="s">
        <v>907</v>
      </c>
      <c r="E43" s="1117" t="s">
        <v>905</v>
      </c>
      <c r="F43" s="1113">
        <f>지분법계산_엠에이치메디!C36</f>
        <v>1099411</v>
      </c>
      <c r="G43" s="1111" t="s">
        <v>714</v>
      </c>
      <c r="H43" s="1112" t="s">
        <v>715</v>
      </c>
      <c r="I43" s="1113">
        <f>지분법계산_엠에이치메디!E36</f>
        <v>1099411</v>
      </c>
      <c r="J43" s="97" t="s">
        <v>1659</v>
      </c>
    </row>
    <row r="44" spans="2:17">
      <c r="B44" s="185">
        <v>2023</v>
      </c>
      <c r="C44" s="185" t="s">
        <v>1402</v>
      </c>
      <c r="D44" s="1114" t="s">
        <v>646</v>
      </c>
      <c r="E44" s="1115" t="s">
        <v>21</v>
      </c>
      <c r="F44" s="1110">
        <v>80909954</v>
      </c>
      <c r="G44" s="1108" t="s">
        <v>628</v>
      </c>
      <c r="H44" s="1109" t="s">
        <v>10</v>
      </c>
      <c r="I44" s="1110">
        <v>42605437</v>
      </c>
      <c r="J44" s="97" t="s">
        <v>1785</v>
      </c>
    </row>
    <row r="45" spans="2:17">
      <c r="B45" s="185">
        <v>2023</v>
      </c>
      <c r="C45" s="185" t="s">
        <v>1434</v>
      </c>
      <c r="D45" s="1124" t="s">
        <v>685</v>
      </c>
      <c r="E45" s="674" t="s">
        <v>52</v>
      </c>
      <c r="F45" s="526">
        <v>52683624</v>
      </c>
      <c r="G45" s="1107" t="s">
        <v>685</v>
      </c>
      <c r="H45" s="519" t="s">
        <v>52</v>
      </c>
      <c r="I45" s="526">
        <v>19506767</v>
      </c>
      <c r="J45" s="97" t="s">
        <v>1771</v>
      </c>
    </row>
    <row r="46" spans="2:17">
      <c r="B46" s="185">
        <v>2023</v>
      </c>
      <c r="C46" s="185" t="s">
        <v>1434</v>
      </c>
      <c r="D46" s="1124" t="s">
        <v>628</v>
      </c>
      <c r="E46" s="674" t="s">
        <v>10</v>
      </c>
      <c r="F46" s="526">
        <v>19506767</v>
      </c>
      <c r="G46" s="1107" t="s">
        <v>646</v>
      </c>
      <c r="H46" s="519" t="s">
        <v>21</v>
      </c>
      <c r="I46" s="526">
        <v>45873697</v>
      </c>
      <c r="J46" s="97" t="s">
        <v>1785</v>
      </c>
      <c r="O46" s="771"/>
    </row>
    <row r="47" spans="2:17">
      <c r="B47" s="185">
        <v>2023</v>
      </c>
      <c r="C47" s="185" t="s">
        <v>1434</v>
      </c>
      <c r="D47" s="1124" t="s">
        <v>714</v>
      </c>
      <c r="E47" s="674" t="s">
        <v>73</v>
      </c>
      <c r="F47" s="526">
        <v>7173854</v>
      </c>
      <c r="G47" s="1107" t="s">
        <v>645</v>
      </c>
      <c r="H47" s="519" t="s">
        <v>23</v>
      </c>
      <c r="I47" s="526">
        <v>52288298</v>
      </c>
      <c r="J47" s="97" t="s">
        <v>1785</v>
      </c>
    </row>
    <row r="48" spans="2:17">
      <c r="B48" s="185">
        <v>2023</v>
      </c>
      <c r="C48" s="185" t="s">
        <v>1434</v>
      </c>
      <c r="D48" s="1124" t="s">
        <v>717</v>
      </c>
      <c r="E48" s="674" t="s">
        <v>446</v>
      </c>
      <c r="F48" s="526">
        <v>0</v>
      </c>
      <c r="G48" s="1107" t="s">
        <v>628</v>
      </c>
      <c r="H48" s="519" t="s">
        <v>10</v>
      </c>
      <c r="I48" s="526">
        <v>0</v>
      </c>
      <c r="J48" s="97" t="s">
        <v>2469</v>
      </c>
    </row>
    <row r="49" spans="2:15">
      <c r="B49" s="185">
        <v>2023</v>
      </c>
      <c r="C49" s="185" t="s">
        <v>1434</v>
      </c>
      <c r="D49" s="1116" t="s">
        <v>646</v>
      </c>
      <c r="E49" s="1117" t="s">
        <v>21</v>
      </c>
      <c r="F49" s="1113">
        <v>0</v>
      </c>
      <c r="G49" s="1111" t="s">
        <v>1741</v>
      </c>
      <c r="H49" s="1112" t="s">
        <v>893</v>
      </c>
      <c r="I49" s="1113">
        <v>0</v>
      </c>
      <c r="J49" s="97" t="s">
        <v>2470</v>
      </c>
    </row>
    <row r="50" spans="2:15">
      <c r="B50" s="185">
        <v>2023</v>
      </c>
      <c r="C50" s="185" t="s">
        <v>1434</v>
      </c>
      <c r="D50" s="1114" t="s">
        <v>646</v>
      </c>
      <c r="E50" s="1115" t="s">
        <v>20</v>
      </c>
      <c r="F50" s="1110">
        <v>17252040</v>
      </c>
      <c r="G50" s="1108" t="s">
        <v>685</v>
      </c>
      <c r="H50" s="1109" t="s">
        <v>52</v>
      </c>
      <c r="I50" s="1110">
        <v>33176857</v>
      </c>
      <c r="J50" s="97" t="s">
        <v>2246</v>
      </c>
    </row>
    <row r="51" spans="2:15">
      <c r="B51" s="185">
        <v>2023</v>
      </c>
      <c r="C51" s="185" t="s">
        <v>1434</v>
      </c>
      <c r="D51" s="1124" t="s">
        <v>628</v>
      </c>
      <c r="E51" s="674" t="s">
        <v>10</v>
      </c>
      <c r="F51" s="526">
        <v>23098670</v>
      </c>
      <c r="G51" s="1107" t="s">
        <v>681</v>
      </c>
      <c r="H51" s="519" t="s">
        <v>48</v>
      </c>
      <c r="I51" s="526">
        <v>549370</v>
      </c>
      <c r="J51" s="97" t="s">
        <v>2245</v>
      </c>
    </row>
    <row r="52" spans="2:15">
      <c r="B52" s="185">
        <v>2023</v>
      </c>
      <c r="C52" s="185" t="s">
        <v>1434</v>
      </c>
      <c r="D52" s="1116" t="s">
        <v>714</v>
      </c>
      <c r="E52" s="1117" t="s">
        <v>73</v>
      </c>
      <c r="F52" s="1113">
        <v>-6624483</v>
      </c>
      <c r="G52" s="1111"/>
      <c r="H52" s="1112"/>
      <c r="I52" s="1113"/>
      <c r="J52" s="97" t="s">
        <v>2245</v>
      </c>
      <c r="O52" s="771"/>
    </row>
    <row r="53" spans="2:15">
      <c r="B53" s="185">
        <v>2023</v>
      </c>
      <c r="C53" s="185" t="s">
        <v>1397</v>
      </c>
      <c r="D53" s="1124" t="s">
        <v>714</v>
      </c>
      <c r="E53" s="674" t="s">
        <v>73</v>
      </c>
      <c r="F53" s="526">
        <v>4179222</v>
      </c>
      <c r="G53" s="1107" t="s">
        <v>2440</v>
      </c>
      <c r="H53" s="519" t="s">
        <v>2655</v>
      </c>
      <c r="I53" s="526">
        <v>5875283</v>
      </c>
      <c r="J53" s="97" t="s">
        <v>2691</v>
      </c>
    </row>
    <row r="54" spans="2:15">
      <c r="B54" s="185">
        <v>2023</v>
      </c>
      <c r="C54" s="185" t="s">
        <v>1433</v>
      </c>
      <c r="D54" s="1124" t="s">
        <v>714</v>
      </c>
      <c r="E54" s="674" t="s">
        <v>73</v>
      </c>
      <c r="F54" s="526">
        <v>1696061</v>
      </c>
      <c r="G54" s="1107"/>
      <c r="H54" s="519"/>
      <c r="I54" s="526"/>
      <c r="J54" s="97" t="s">
        <v>2690</v>
      </c>
    </row>
    <row r="55" spans="2:15">
      <c r="B55" s="185">
        <v>2023</v>
      </c>
      <c r="C55" s="185" t="s">
        <v>1434</v>
      </c>
      <c r="D55" s="1114" t="s">
        <v>827</v>
      </c>
      <c r="E55" s="1115" t="s">
        <v>375</v>
      </c>
      <c r="F55" s="1110">
        <f>I55</f>
        <v>568561</v>
      </c>
      <c r="G55" s="1108" t="s">
        <v>714</v>
      </c>
      <c r="H55" s="1109" t="s">
        <v>73</v>
      </c>
      <c r="I55" s="1110">
        <v>568561</v>
      </c>
      <c r="J55" s="97" t="s">
        <v>2681</v>
      </c>
    </row>
    <row r="56" spans="2:15">
      <c r="B56" s="185">
        <v>2023</v>
      </c>
      <c r="C56" s="185" t="s">
        <v>1434</v>
      </c>
      <c r="D56" s="1116" t="s">
        <v>714</v>
      </c>
      <c r="E56" s="1117" t="s">
        <v>73</v>
      </c>
      <c r="F56" s="1113">
        <f>I56</f>
        <v>2</v>
      </c>
      <c r="G56" s="1111" t="s">
        <v>628</v>
      </c>
      <c r="H56" s="1112" t="s">
        <v>10</v>
      </c>
      <c r="I56" s="1113">
        <v>2</v>
      </c>
      <c r="J56" s="97" t="s">
        <v>2682</v>
      </c>
    </row>
    <row r="57" spans="2:15">
      <c r="B57" s="185"/>
      <c r="C57" s="185"/>
      <c r="D57" s="185"/>
      <c r="F57" s="1125"/>
      <c r="G57" s="1126"/>
      <c r="H57" s="1125"/>
      <c r="I57" s="1125"/>
    </row>
    <row r="58" spans="2:15">
      <c r="B58" s="185">
        <v>2024</v>
      </c>
      <c r="C58" s="185" t="s">
        <v>1654</v>
      </c>
      <c r="D58" s="1114" t="s">
        <v>907</v>
      </c>
      <c r="E58" s="1115" t="s">
        <v>905</v>
      </c>
      <c r="F58" s="1110">
        <f>지분법계산_엠에이치메디!C64</f>
        <v>-7297802</v>
      </c>
      <c r="G58" s="1108" t="s">
        <v>714</v>
      </c>
      <c r="H58" s="1109" t="s">
        <v>73</v>
      </c>
      <c r="I58" s="1110">
        <f>지분법계산_엠에이치메디!E64</f>
        <v>-7297802</v>
      </c>
      <c r="J58" s="97" t="s">
        <v>1655</v>
      </c>
    </row>
    <row r="59" spans="2:15">
      <c r="B59" s="185">
        <v>2024</v>
      </c>
      <c r="C59" s="185" t="s">
        <v>1654</v>
      </c>
      <c r="D59" s="1124" t="s">
        <v>907</v>
      </c>
      <c r="E59" s="674" t="s">
        <v>905</v>
      </c>
      <c r="F59" s="526">
        <v>2</v>
      </c>
      <c r="G59" s="1107" t="s">
        <v>714</v>
      </c>
      <c r="H59" s="519" t="s">
        <v>73</v>
      </c>
      <c r="I59" s="526">
        <v>2</v>
      </c>
      <c r="J59" s="97" t="s">
        <v>2678</v>
      </c>
    </row>
    <row r="60" spans="2:15">
      <c r="B60" s="185">
        <v>2024</v>
      </c>
      <c r="C60" s="185" t="s">
        <v>1654</v>
      </c>
      <c r="D60" s="1124" t="s">
        <v>714</v>
      </c>
      <c r="E60" s="674" t="s">
        <v>73</v>
      </c>
      <c r="F60" s="526">
        <v>10766559</v>
      </c>
      <c r="G60" s="1107" t="s">
        <v>907</v>
      </c>
      <c r="H60" s="519" t="s">
        <v>905</v>
      </c>
      <c r="I60" s="526">
        <v>78288846</v>
      </c>
      <c r="J60" s="97" t="s">
        <v>2684</v>
      </c>
    </row>
    <row r="61" spans="2:15">
      <c r="B61" s="185">
        <v>2024</v>
      </c>
      <c r="C61" s="185" t="s">
        <v>1654</v>
      </c>
      <c r="D61" s="1116" t="s">
        <v>714</v>
      </c>
      <c r="E61" s="1117" t="s">
        <v>73</v>
      </c>
      <c r="F61" s="1113">
        <f>I60-F60</f>
        <v>67522287</v>
      </c>
      <c r="G61" s="1111"/>
      <c r="H61" s="1112"/>
      <c r="I61" s="1113"/>
      <c r="J61" s="97" t="s">
        <v>2683</v>
      </c>
    </row>
    <row r="62" spans="2:15">
      <c r="B62" s="185">
        <v>2024</v>
      </c>
      <c r="C62" s="185" t="s">
        <v>2687</v>
      </c>
      <c r="D62" s="1124" t="s">
        <v>827</v>
      </c>
      <c r="E62" s="674" t="s">
        <v>375</v>
      </c>
      <c r="F62" s="526">
        <f>I62</f>
        <v>157</v>
      </c>
      <c r="G62" s="1107" t="s">
        <v>714</v>
      </c>
      <c r="H62" s="519" t="s">
        <v>73</v>
      </c>
      <c r="I62" s="526">
        <v>157</v>
      </c>
      <c r="J62" s="97" t="s">
        <v>2688</v>
      </c>
    </row>
    <row r="63" spans="2:15">
      <c r="B63" s="185">
        <v>2024</v>
      </c>
      <c r="C63" s="185" t="s">
        <v>2686</v>
      </c>
      <c r="D63" s="1114" t="s">
        <v>714</v>
      </c>
      <c r="E63" s="1115" t="s">
        <v>715</v>
      </c>
      <c r="F63" s="1110">
        <v>52288298</v>
      </c>
      <c r="G63" s="1108" t="s">
        <v>714</v>
      </c>
      <c r="H63" s="1109" t="s">
        <v>715</v>
      </c>
      <c r="I63" s="1110">
        <v>52288298</v>
      </c>
      <c r="J63" s="97" t="s">
        <v>2704</v>
      </c>
    </row>
    <row r="64" spans="2:15">
      <c r="B64" s="185">
        <v>2024</v>
      </c>
      <c r="C64" s="185" t="s">
        <v>2686</v>
      </c>
      <c r="D64" s="1124" t="s">
        <v>685</v>
      </c>
      <c r="E64" s="674" t="s">
        <v>52</v>
      </c>
      <c r="F64" s="526">
        <v>52288298</v>
      </c>
      <c r="G64" s="1107" t="s">
        <v>714</v>
      </c>
      <c r="H64" s="519" t="s">
        <v>715</v>
      </c>
      <c r="I64" s="526">
        <v>45873697</v>
      </c>
      <c r="J64" s="97" t="s">
        <v>2704</v>
      </c>
    </row>
    <row r="65" spans="2:10">
      <c r="B65" s="185">
        <v>2024</v>
      </c>
      <c r="C65" s="185" t="s">
        <v>2686</v>
      </c>
      <c r="D65" s="1124" t="s">
        <v>714</v>
      </c>
      <c r="E65" s="674" t="s">
        <v>715</v>
      </c>
      <c r="F65" s="526">
        <v>45873697</v>
      </c>
      <c r="G65" s="1107" t="s">
        <v>714</v>
      </c>
      <c r="H65" s="519" t="s">
        <v>715</v>
      </c>
      <c r="I65" s="526">
        <v>251898565</v>
      </c>
      <c r="J65" s="97" t="s">
        <v>2703</v>
      </c>
    </row>
    <row r="66" spans="2:10">
      <c r="B66" s="185">
        <v>2024</v>
      </c>
      <c r="C66" s="185" t="s">
        <v>2686</v>
      </c>
      <c r="D66" s="1124" t="s">
        <v>714</v>
      </c>
      <c r="E66" s="674" t="s">
        <v>715</v>
      </c>
      <c r="F66" s="526">
        <v>251898565</v>
      </c>
      <c r="G66" s="1107" t="s">
        <v>714</v>
      </c>
      <c r="H66" s="519" t="s">
        <v>715</v>
      </c>
      <c r="I66" s="526">
        <v>274659548</v>
      </c>
      <c r="J66" s="97" t="s">
        <v>2703</v>
      </c>
    </row>
    <row r="67" spans="2:10">
      <c r="B67" s="185">
        <v>2024</v>
      </c>
      <c r="C67" s="185" t="s">
        <v>2686</v>
      </c>
      <c r="D67" s="1124" t="s">
        <v>714</v>
      </c>
      <c r="E67" s="674" t="s">
        <v>715</v>
      </c>
      <c r="F67" s="526">
        <v>274659548</v>
      </c>
      <c r="G67" s="1107" t="s">
        <v>714</v>
      </c>
      <c r="H67" s="519" t="s">
        <v>715</v>
      </c>
      <c r="I67" s="526">
        <v>257637300</v>
      </c>
      <c r="J67" s="97" t="s">
        <v>2703</v>
      </c>
    </row>
    <row r="68" spans="2:10">
      <c r="B68" s="185">
        <v>2024</v>
      </c>
      <c r="C68" s="185" t="s">
        <v>2686</v>
      </c>
      <c r="D68" s="1124" t="s">
        <v>714</v>
      </c>
      <c r="E68" s="674" t="s">
        <v>715</v>
      </c>
      <c r="F68" s="526">
        <v>257637300</v>
      </c>
      <c r="G68" s="1107" t="s">
        <v>714</v>
      </c>
      <c r="H68" s="519" t="s">
        <v>715</v>
      </c>
      <c r="I68" s="526">
        <v>331611358</v>
      </c>
      <c r="J68" s="97" t="s">
        <v>2703</v>
      </c>
    </row>
    <row r="69" spans="2:10">
      <c r="B69" s="185">
        <v>2024</v>
      </c>
      <c r="C69" s="185" t="s">
        <v>2686</v>
      </c>
      <c r="D69" s="1124" t="s">
        <v>714</v>
      </c>
      <c r="E69" s="674" t="s">
        <v>715</v>
      </c>
      <c r="F69" s="526">
        <v>331611358</v>
      </c>
      <c r="G69" s="1107" t="s">
        <v>628</v>
      </c>
      <c r="H69" s="519" t="s">
        <v>10</v>
      </c>
      <c r="I69" s="526">
        <v>115769432</v>
      </c>
      <c r="J69" s="97" t="s">
        <v>2704</v>
      </c>
    </row>
    <row r="70" spans="2:10">
      <c r="B70" s="185">
        <v>2024</v>
      </c>
      <c r="C70" s="185" t="s">
        <v>2686</v>
      </c>
      <c r="D70" s="1124" t="s">
        <v>714</v>
      </c>
      <c r="E70" s="674" t="s">
        <v>715</v>
      </c>
      <c r="F70" s="526">
        <v>115769432</v>
      </c>
      <c r="G70" s="1107" t="s">
        <v>714</v>
      </c>
      <c r="H70" s="519" t="s">
        <v>715</v>
      </c>
      <c r="I70" s="526">
        <v>72627779</v>
      </c>
      <c r="J70" s="97" t="s">
        <v>2704</v>
      </c>
    </row>
    <row r="71" spans="2:10">
      <c r="B71" s="185">
        <v>2024</v>
      </c>
      <c r="C71" s="185" t="s">
        <v>2686</v>
      </c>
      <c r="D71" s="1124" t="s">
        <v>714</v>
      </c>
      <c r="E71" s="674" t="s">
        <v>715</v>
      </c>
      <c r="F71" s="526">
        <v>72627779</v>
      </c>
      <c r="G71" s="1107" t="s">
        <v>685</v>
      </c>
      <c r="H71" s="519" t="s">
        <v>52</v>
      </c>
      <c r="I71" s="526">
        <v>52288298</v>
      </c>
      <c r="J71" s="97" t="s">
        <v>2704</v>
      </c>
    </row>
    <row r="72" spans="2:10">
      <c r="B72" s="185">
        <v>2024</v>
      </c>
      <c r="C72" s="185" t="s">
        <v>2705</v>
      </c>
      <c r="D72" s="1114" t="s">
        <v>2440</v>
      </c>
      <c r="E72" s="1115" t="s">
        <v>2655</v>
      </c>
      <c r="F72" s="1109">
        <v>7625559</v>
      </c>
      <c r="G72" s="1108" t="s">
        <v>714</v>
      </c>
      <c r="H72" s="1109" t="s">
        <v>73</v>
      </c>
      <c r="I72" s="1110">
        <v>7625559</v>
      </c>
      <c r="J72" s="97" t="s">
        <v>2706</v>
      </c>
    </row>
    <row r="73" spans="2:10">
      <c r="B73" s="185">
        <v>2024</v>
      </c>
      <c r="C73" s="185" t="s">
        <v>1433</v>
      </c>
      <c r="D73" s="1116" t="s">
        <v>714</v>
      </c>
      <c r="E73" s="1117" t="s">
        <v>73</v>
      </c>
      <c r="F73" s="1112">
        <f>I73</f>
        <v>1750276</v>
      </c>
      <c r="G73" s="1111" t="s">
        <v>2440</v>
      </c>
      <c r="H73" s="1112" t="s">
        <v>2655</v>
      </c>
      <c r="I73" s="1113">
        <v>1750276</v>
      </c>
      <c r="J73" s="97" t="s">
        <v>2707</v>
      </c>
    </row>
    <row r="74" spans="2:10">
      <c r="B74" s="185">
        <v>2024</v>
      </c>
      <c r="C74" s="185" t="s">
        <v>1434</v>
      </c>
      <c r="D74" s="1116" t="s">
        <v>714</v>
      </c>
      <c r="E74" s="1117" t="s">
        <v>715</v>
      </c>
      <c r="F74" s="1112">
        <v>-4995874</v>
      </c>
      <c r="G74" s="1111" t="s">
        <v>634</v>
      </c>
      <c r="H74" s="1112" t="s">
        <v>2712</v>
      </c>
      <c r="I74" s="1113">
        <f>F74</f>
        <v>-4995874</v>
      </c>
      <c r="J74" s="97" t="s">
        <v>2711</v>
      </c>
    </row>
    <row r="75" spans="2:10">
      <c r="B75" s="185">
        <v>2024</v>
      </c>
      <c r="C75" s="185" t="s">
        <v>2686</v>
      </c>
      <c r="D75" s="1116" t="s">
        <v>714</v>
      </c>
      <c r="E75" s="1117" t="s">
        <v>73</v>
      </c>
      <c r="F75" s="1112">
        <v>0</v>
      </c>
      <c r="G75" s="1111" t="s">
        <v>714</v>
      </c>
      <c r="H75" s="1112" t="s">
        <v>73</v>
      </c>
      <c r="I75" s="1113">
        <f>F75</f>
        <v>0</v>
      </c>
      <c r="J75" s="97" t="s">
        <v>2745</v>
      </c>
    </row>
    <row r="76" spans="2:10">
      <c r="B76" s="185">
        <v>2024</v>
      </c>
      <c r="C76" s="185" t="s">
        <v>1434</v>
      </c>
      <c r="D76" s="1116" t="s">
        <v>665</v>
      </c>
      <c r="E76" s="1117" t="s">
        <v>32</v>
      </c>
      <c r="F76" s="1112">
        <v>0</v>
      </c>
      <c r="G76" s="1111" t="s">
        <v>666</v>
      </c>
      <c r="H76" s="1112" t="s">
        <v>667</v>
      </c>
      <c r="I76" s="1113">
        <f>F76</f>
        <v>0</v>
      </c>
      <c r="J76" s="97" t="s">
        <v>2896</v>
      </c>
    </row>
    <row r="77" spans="2:10">
      <c r="B77" s="185"/>
      <c r="C77" s="185"/>
      <c r="D77" s="185"/>
      <c r="F77" s="1125"/>
      <c r="G77" s="1126"/>
      <c r="H77" s="1125"/>
      <c r="I77" s="1125"/>
      <c r="J77" s="1295"/>
    </row>
    <row r="78" spans="2:10">
      <c r="B78" s="185">
        <v>2025</v>
      </c>
      <c r="C78" s="185" t="s">
        <v>1434</v>
      </c>
      <c r="D78" s="1114" t="s">
        <v>645</v>
      </c>
      <c r="E78" s="1115" t="s">
        <v>23</v>
      </c>
      <c r="F78" s="1110">
        <v>43141653</v>
      </c>
      <c r="G78" s="1108" t="s">
        <v>714</v>
      </c>
      <c r="H78" s="1109" t="s">
        <v>73</v>
      </c>
      <c r="I78" s="1110">
        <v>43141653</v>
      </c>
      <c r="J78" s="97" t="s">
        <v>2894</v>
      </c>
    </row>
    <row r="79" spans="2:10">
      <c r="B79" s="185">
        <v>2025</v>
      </c>
      <c r="C79" s="185" t="s">
        <v>1434</v>
      </c>
      <c r="D79" s="1116" t="s">
        <v>645</v>
      </c>
      <c r="E79" s="1117" t="s">
        <v>23</v>
      </c>
      <c r="F79" s="1113">
        <v>72627778</v>
      </c>
      <c r="G79" s="1111" t="s">
        <v>646</v>
      </c>
      <c r="H79" s="1112" t="s">
        <v>21</v>
      </c>
      <c r="I79" s="1113">
        <v>72627778</v>
      </c>
      <c r="J79" s="97" t="s">
        <v>2894</v>
      </c>
    </row>
    <row r="80" spans="2:10">
      <c r="B80" s="185">
        <v>2025</v>
      </c>
      <c r="C80" s="185" t="s">
        <v>1434</v>
      </c>
      <c r="D80" s="1114" t="s">
        <v>2652</v>
      </c>
      <c r="E80" s="1115" t="s">
        <v>904</v>
      </c>
      <c r="F80" s="1110">
        <v>333082494</v>
      </c>
      <c r="G80" s="1108" t="s">
        <v>714</v>
      </c>
      <c r="H80" s="1109" t="s">
        <v>73</v>
      </c>
      <c r="I80" s="1110">
        <v>333082494</v>
      </c>
      <c r="J80" s="97" t="s">
        <v>3029</v>
      </c>
    </row>
    <row r="81" spans="2:10">
      <c r="B81" s="185">
        <v>2025</v>
      </c>
      <c r="C81" s="185" t="s">
        <v>3030</v>
      </c>
      <c r="D81" s="1124" t="s">
        <v>2652</v>
      </c>
      <c r="E81" s="674" t="s">
        <v>904</v>
      </c>
      <c r="F81" s="526">
        <v>28400000</v>
      </c>
      <c r="G81" s="1107" t="s">
        <v>714</v>
      </c>
      <c r="H81" s="519" t="s">
        <v>73</v>
      </c>
      <c r="I81" s="526">
        <v>28400000</v>
      </c>
      <c r="J81" s="97" t="s">
        <v>3028</v>
      </c>
    </row>
    <row r="82" spans="2:10">
      <c r="B82" s="185">
        <v>2025</v>
      </c>
      <c r="C82" s="185" t="s">
        <v>3031</v>
      </c>
      <c r="D82" s="1116" t="s">
        <v>2652</v>
      </c>
      <c r="E82" s="1117" t="s">
        <v>904</v>
      </c>
      <c r="F82" s="1113">
        <v>0</v>
      </c>
      <c r="G82" s="1111" t="s">
        <v>714</v>
      </c>
      <c r="H82" s="1112" t="s">
        <v>73</v>
      </c>
      <c r="I82" s="1113">
        <v>0</v>
      </c>
      <c r="J82" s="97" t="s">
        <v>3028</v>
      </c>
    </row>
    <row r="83" spans="2:10">
      <c r="B83" s="185"/>
      <c r="C83" s="185"/>
      <c r="D83" s="185"/>
      <c r="F83" s="1125"/>
      <c r="G83" s="1126"/>
      <c r="H83" s="1125"/>
      <c r="I83" s="1125"/>
    </row>
    <row r="84" spans="2:10">
      <c r="B84" s="185">
        <v>2026</v>
      </c>
      <c r="C84" s="185" t="s">
        <v>3412</v>
      </c>
      <c r="D84" s="1665" t="s">
        <v>3413</v>
      </c>
      <c r="E84" s="1115" t="s">
        <v>1667</v>
      </c>
      <c r="F84" s="1110">
        <f>지분법계산_에이티지씨!D181</f>
        <v>2067945777</v>
      </c>
      <c r="G84" s="1108" t="s">
        <v>907</v>
      </c>
      <c r="H84" s="1109" t="s">
        <v>905</v>
      </c>
      <c r="I84" s="1110">
        <f>F84</f>
        <v>2067945777</v>
      </c>
      <c r="J84" s="97" t="s">
        <v>1655</v>
      </c>
    </row>
    <row r="85" spans="2:10">
      <c r="B85" s="185"/>
      <c r="C85" s="185"/>
      <c r="D85" s="1116"/>
      <c r="E85" s="1117"/>
      <c r="F85" s="1113"/>
      <c r="G85" s="1111"/>
      <c r="H85" s="1112"/>
      <c r="I85" s="1113"/>
    </row>
    <row r="86" spans="2:10">
      <c r="B86" s="185"/>
      <c r="C86" s="185"/>
      <c r="D86" s="185"/>
      <c r="F86" s="1125"/>
      <c r="G86" s="1126"/>
      <c r="H86" s="1125"/>
      <c r="I86" s="1125"/>
    </row>
    <row r="87" spans="2:10">
      <c r="B87" s="185"/>
      <c r="C87" s="185"/>
      <c r="D87" s="185"/>
      <c r="F87" s="1125"/>
      <c r="G87" s="1126"/>
      <c r="H87" s="1125"/>
      <c r="I87" s="1125"/>
    </row>
    <row r="88" spans="2:10">
      <c r="B88" s="185"/>
      <c r="C88" s="185"/>
      <c r="D88" s="185"/>
      <c r="F88" s="1125"/>
      <c r="G88" s="1126"/>
      <c r="H88" s="1125"/>
      <c r="I88" s="1125"/>
    </row>
    <row r="89" spans="2:10">
      <c r="B89" s="185"/>
      <c r="C89" s="185"/>
      <c r="D89" s="185"/>
      <c r="F89" s="1125"/>
      <c r="G89" s="1126"/>
      <c r="H89" s="1125"/>
      <c r="I89" s="1125"/>
    </row>
    <row r="90" spans="2:10">
      <c r="C90" s="771"/>
    </row>
    <row r="91" spans="2:10" ht="14.25" thickBot="1">
      <c r="D91" s="287"/>
      <c r="E91" s="287"/>
      <c r="F91" s="313">
        <f>SUM(F3:F90)</f>
        <v>4361254059</v>
      </c>
      <c r="G91" s="287"/>
      <c r="H91" s="287"/>
      <c r="I91" s="313">
        <f>SUM(I3:I90)</f>
        <v>4361254059</v>
      </c>
    </row>
    <row r="92" spans="2:10" ht="14.25" thickTop="1">
      <c r="I92" s="180">
        <f>F91-I91</f>
        <v>0</v>
      </c>
    </row>
    <row r="93" spans="2:10">
      <c r="E93" s="97" t="s">
        <v>2692</v>
      </c>
      <c r="F93" s="771">
        <f>BS!V154+PL!W114</f>
        <v>4361254059</v>
      </c>
      <c r="I93" s="771">
        <f>BS!W154+PL!X114+PL!X115</f>
        <v>4361254059</v>
      </c>
    </row>
    <row r="94" spans="2:10">
      <c r="F94" s="771">
        <f>F93-F91</f>
        <v>0</v>
      </c>
      <c r="I94" s="771">
        <f>I93-I91</f>
        <v>0</v>
      </c>
    </row>
    <row r="95" spans="2:10">
      <c r="I95" s="771"/>
    </row>
  </sheetData>
  <autoFilter ref="B2:I75" xr:uid="{00000000-0009-0000-0000-00001D000000}"/>
  <phoneticPr fontId="3" type="noConversion"/>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26">
    <tabColor theme="9" tint="0.79998168889431442"/>
  </sheetPr>
  <dimension ref="B1:Y59"/>
  <sheetViews>
    <sheetView showGridLines="0" topLeftCell="A30" zoomScale="85" zoomScaleNormal="85" workbookViewId="0">
      <selection activeCell="E55" sqref="E55"/>
    </sheetView>
  </sheetViews>
  <sheetFormatPr defaultColWidth="9" defaultRowHeight="16.5"/>
  <cols>
    <col min="1" max="1" width="2.875" style="3" customWidth="1"/>
    <col min="2" max="2" width="13" style="3" customWidth="1"/>
    <col min="3" max="3" width="35.375" style="3" customWidth="1"/>
    <col min="4" max="4" width="14.625" style="3" customWidth="1"/>
    <col min="5" max="5" width="13.625" style="3" customWidth="1"/>
    <col min="6" max="6" width="11.625" style="3" customWidth="1"/>
    <col min="7" max="7" width="4.5" style="3" customWidth="1"/>
    <col min="8" max="8" width="0.625" style="260" customWidth="1"/>
    <col min="9" max="9" width="4.5" style="3" customWidth="1"/>
    <col min="10" max="11" width="9" style="3"/>
    <col min="12" max="16" width="13.5" style="3" customWidth="1"/>
    <col min="17" max="17" width="11.875" style="3" customWidth="1"/>
    <col min="18" max="18" width="8.625"/>
    <col min="19" max="19" width="2.375" style="3" customWidth="1"/>
    <col min="20" max="25" width="8.625" customWidth="1"/>
    <col min="26" max="16384" width="9" style="3"/>
  </cols>
  <sheetData>
    <row r="1" spans="2:22">
      <c r="B1" s="435" t="s">
        <v>606</v>
      </c>
    </row>
    <row r="3" spans="2:22" ht="17.25">
      <c r="B3" s="261" t="s">
        <v>487</v>
      </c>
      <c r="J3" s="261" t="s">
        <v>488</v>
      </c>
    </row>
    <row r="4" spans="2:22" ht="17.25" thickBot="1"/>
    <row r="5" spans="2:22" ht="18" thickBot="1">
      <c r="B5" s="164" t="s">
        <v>1397</v>
      </c>
    </row>
    <row r="7" spans="2:22" ht="17.25" thickBot="1">
      <c r="B7" s="127" t="s">
        <v>410</v>
      </c>
      <c r="C7" s="127" t="s">
        <v>405</v>
      </c>
      <c r="D7" s="127" t="s">
        <v>406</v>
      </c>
      <c r="E7" s="127" t="s">
        <v>407</v>
      </c>
      <c r="F7" s="127" t="s">
        <v>275</v>
      </c>
    </row>
    <row r="8" spans="2:22">
      <c r="B8" s="410">
        <v>42390</v>
      </c>
      <c r="C8" s="95" t="s">
        <v>617</v>
      </c>
      <c r="D8" s="95">
        <v>1240000</v>
      </c>
      <c r="E8" s="411">
        <f>ROUND(D8/$D$11,3)</f>
        <v>1</v>
      </c>
      <c r="F8" s="117"/>
      <c r="N8" s="262"/>
      <c r="Q8" s="262"/>
    </row>
    <row r="9" spans="2:22">
      <c r="B9" s="113"/>
      <c r="C9" s="95"/>
      <c r="D9" s="95"/>
      <c r="E9" s="411">
        <f>ROUND(D9/$D$11,3)</f>
        <v>0</v>
      </c>
      <c r="F9" s="112"/>
      <c r="P9" s="263"/>
    </row>
    <row r="10" spans="2:22">
      <c r="B10" s="95"/>
      <c r="C10" s="95"/>
      <c r="D10" s="95"/>
      <c r="E10" s="411">
        <f>ROUND(D10/$D$11,3)</f>
        <v>0</v>
      </c>
      <c r="F10" s="112"/>
      <c r="L10" s="671">
        <f>E8</f>
        <v>1</v>
      </c>
      <c r="M10" s="93"/>
      <c r="N10" s="671">
        <f>E17</f>
        <v>1</v>
      </c>
      <c r="O10" s="93"/>
      <c r="P10" s="671">
        <f>E36</f>
        <v>1</v>
      </c>
      <c r="Q10" s="93"/>
      <c r="R10" s="672">
        <f>E45</f>
        <v>1</v>
      </c>
      <c r="V10" s="672">
        <f>E54</f>
        <v>0.50209999999999999</v>
      </c>
    </row>
    <row r="11" spans="2:22" ht="17.25" thickBot="1">
      <c r="B11" s="2007" t="s">
        <v>142</v>
      </c>
      <c r="C11" s="2007"/>
      <c r="D11" s="115">
        <f>SUM(D8:D10)</f>
        <v>1240000</v>
      </c>
      <c r="E11" s="412">
        <f>SUM(E8:E10)</f>
        <v>1</v>
      </c>
      <c r="F11" s="116"/>
    </row>
    <row r="12" spans="2:22" ht="17.25" thickTop="1"/>
    <row r="13" spans="2:22" ht="17.25" thickBot="1"/>
    <row r="14" spans="2:22" ht="18" thickBot="1">
      <c r="B14" s="164" t="s">
        <v>1402</v>
      </c>
      <c r="M14" s="110"/>
      <c r="O14" s="417"/>
    </row>
    <row r="15" spans="2:22">
      <c r="L15" s="263"/>
      <c r="N15" s="264"/>
    </row>
    <row r="16" spans="2:22" ht="17.25" thickBot="1">
      <c r="B16" s="127" t="s">
        <v>410</v>
      </c>
      <c r="C16" s="127" t="s">
        <v>405</v>
      </c>
      <c r="D16" s="127" t="s">
        <v>406</v>
      </c>
      <c r="E16" s="127" t="s">
        <v>407</v>
      </c>
      <c r="F16" s="127" t="s">
        <v>275</v>
      </c>
      <c r="M16" s="671"/>
      <c r="N16" s="671">
        <f>E26</f>
        <v>1</v>
      </c>
    </row>
    <row r="17" spans="2:17">
      <c r="B17" s="410">
        <v>42889</v>
      </c>
      <c r="C17" s="95" t="s">
        <v>1406</v>
      </c>
      <c r="D17" s="95">
        <v>1007400</v>
      </c>
      <c r="E17" s="411">
        <f>ROUND((D17+D18)/$D$20,3)</f>
        <v>1</v>
      </c>
      <c r="F17" s="117"/>
      <c r="M17" s="264"/>
    </row>
    <row r="18" spans="2:17">
      <c r="B18" s="410">
        <v>45626</v>
      </c>
      <c r="C18" s="95" t="s">
        <v>1406</v>
      </c>
      <c r="D18" s="95">
        <v>3120000</v>
      </c>
      <c r="E18" s="411"/>
      <c r="F18" s="117"/>
    </row>
    <row r="19" spans="2:17">
      <c r="B19" s="95"/>
      <c r="C19" s="95"/>
      <c r="D19" s="95"/>
      <c r="E19" s="411"/>
      <c r="F19" s="112"/>
    </row>
    <row r="20" spans="2:17" ht="17.25" thickBot="1">
      <c r="B20" s="2007" t="s">
        <v>142</v>
      </c>
      <c r="C20" s="2007"/>
      <c r="D20" s="115">
        <f>SUM(D17:D19)</f>
        <v>4127400</v>
      </c>
      <c r="E20" s="412">
        <f>SUM(E17:E19)</f>
        <v>1</v>
      </c>
      <c r="F20" s="116"/>
    </row>
    <row r="21" spans="2:17" ht="17.25" thickTop="1"/>
    <row r="22" spans="2:17" ht="17.25" thickBot="1"/>
    <row r="23" spans="2:17" ht="18" thickBot="1">
      <c r="B23" s="164" t="s">
        <v>1403</v>
      </c>
      <c r="D23" s="1"/>
      <c r="J23" s="261" t="s">
        <v>489</v>
      </c>
    </row>
    <row r="25" spans="2:17" ht="14.25" customHeight="1" thickBot="1">
      <c r="B25" s="127" t="s">
        <v>410</v>
      </c>
      <c r="C25" s="127" t="s">
        <v>405</v>
      </c>
      <c r="D25" s="127" t="s">
        <v>406</v>
      </c>
      <c r="E25" s="127" t="s">
        <v>407</v>
      </c>
      <c r="F25" s="127" t="s">
        <v>275</v>
      </c>
      <c r="J25" s="2015" t="s">
        <v>492</v>
      </c>
      <c r="K25" s="2015"/>
      <c r="L25" s="268" t="s">
        <v>1397</v>
      </c>
      <c r="M25" s="268" t="s">
        <v>1402</v>
      </c>
      <c r="N25" s="268" t="s">
        <v>1403</v>
      </c>
      <c r="O25" s="268" t="s">
        <v>1404</v>
      </c>
      <c r="P25" s="268" t="s">
        <v>1398</v>
      </c>
      <c r="Q25" s="268" t="s">
        <v>3609</v>
      </c>
    </row>
    <row r="26" spans="2:17">
      <c r="B26" s="410">
        <v>45195</v>
      </c>
      <c r="C26" s="95" t="s">
        <v>1407</v>
      </c>
      <c r="D26" s="95">
        <v>1000000</v>
      </c>
      <c r="E26" s="411">
        <f>D26/$D$30</f>
        <v>1</v>
      </c>
      <c r="F26" s="117"/>
      <c r="J26" s="267" t="s">
        <v>1408</v>
      </c>
      <c r="L26" s="266">
        <f>L10</f>
        <v>1</v>
      </c>
      <c r="M26" s="266">
        <f>N10</f>
        <v>1</v>
      </c>
      <c r="N26" s="266">
        <v>0</v>
      </c>
      <c r="O26" s="266">
        <f>P10</f>
        <v>1</v>
      </c>
      <c r="P26" s="266">
        <f>R10</f>
        <v>1</v>
      </c>
      <c r="Q26" s="1782">
        <f>V10</f>
        <v>0.50209999999999999</v>
      </c>
    </row>
    <row r="27" spans="2:17">
      <c r="B27" s="95"/>
      <c r="C27" s="95"/>
      <c r="D27" s="95"/>
      <c r="E27" s="411">
        <f>D27/$D$30</f>
        <v>0</v>
      </c>
      <c r="F27" s="117"/>
      <c r="J27" s="269" t="s">
        <v>1409</v>
      </c>
      <c r="K27" s="269"/>
      <c r="L27" s="414">
        <v>0</v>
      </c>
      <c r="M27" s="414">
        <v>0</v>
      </c>
      <c r="N27" s="414">
        <f>N16*N10</f>
        <v>1</v>
      </c>
      <c r="O27" s="414">
        <v>0</v>
      </c>
      <c r="P27" s="414">
        <v>0</v>
      </c>
      <c r="Q27" s="1783">
        <v>0</v>
      </c>
    </row>
    <row r="28" spans="2:17">
      <c r="B28" s="95"/>
      <c r="C28" s="95"/>
      <c r="D28" s="95"/>
      <c r="E28" s="411">
        <f>D28/$D$30</f>
        <v>0</v>
      </c>
      <c r="F28" s="112"/>
      <c r="J28" s="267" t="s">
        <v>490</v>
      </c>
      <c r="L28" s="266">
        <f t="shared" ref="L28:Q28" si="0">SUM(L26:L27)</f>
        <v>1</v>
      </c>
      <c r="M28" s="266">
        <f t="shared" si="0"/>
        <v>1</v>
      </c>
      <c r="N28" s="266">
        <f t="shared" si="0"/>
        <v>1</v>
      </c>
      <c r="O28" s="266">
        <f t="shared" si="0"/>
        <v>1</v>
      </c>
      <c r="P28" s="266">
        <f t="shared" si="0"/>
        <v>1</v>
      </c>
      <c r="Q28" s="1782">
        <f t="shared" si="0"/>
        <v>0.50209999999999999</v>
      </c>
    </row>
    <row r="29" spans="2:17">
      <c r="D29" s="95"/>
      <c r="E29" s="411">
        <f>D29/$D$30</f>
        <v>0</v>
      </c>
      <c r="F29" s="206"/>
      <c r="J29" s="310" t="s">
        <v>491</v>
      </c>
      <c r="K29" s="311"/>
      <c r="L29" s="415">
        <f>1-L28</f>
        <v>0</v>
      </c>
      <c r="M29" s="415">
        <f t="shared" ref="M29:Q29" si="1">1-M28</f>
        <v>0</v>
      </c>
      <c r="N29" s="415">
        <f>1-N28</f>
        <v>0</v>
      </c>
      <c r="O29" s="415">
        <f>1-O28</f>
        <v>0</v>
      </c>
      <c r="P29" s="415">
        <f t="shared" si="1"/>
        <v>0</v>
      </c>
      <c r="Q29" s="1784">
        <f t="shared" si="1"/>
        <v>0.49790000000000001</v>
      </c>
    </row>
    <row r="30" spans="2:17" ht="17.25" thickBot="1">
      <c r="B30" s="2007" t="s">
        <v>142</v>
      </c>
      <c r="C30" s="2007"/>
      <c r="D30" s="115">
        <f>SUM(D26:D29)</f>
        <v>1000000</v>
      </c>
      <c r="E30" s="412">
        <f>SUM(E26:E29)</f>
        <v>1</v>
      </c>
      <c r="F30" s="116"/>
      <c r="J30" s="265" t="s">
        <v>479</v>
      </c>
      <c r="K30" s="265"/>
      <c r="L30" s="416">
        <f t="shared" ref="L30:Q30" si="2">SUM(L28:L29)</f>
        <v>1</v>
      </c>
      <c r="M30" s="416">
        <f t="shared" si="2"/>
        <v>1</v>
      </c>
      <c r="N30" s="416">
        <f t="shared" si="2"/>
        <v>1</v>
      </c>
      <c r="O30" s="416">
        <f t="shared" si="2"/>
        <v>1</v>
      </c>
      <c r="P30" s="416">
        <f t="shared" si="2"/>
        <v>1</v>
      </c>
      <c r="Q30" s="416">
        <f t="shared" si="2"/>
        <v>1</v>
      </c>
    </row>
    <row r="31" spans="2:17" ht="17.25" thickTop="1">
      <c r="J31" s="508"/>
      <c r="K31" s="508"/>
      <c r="L31" s="509"/>
      <c r="M31" s="509"/>
      <c r="N31" s="509"/>
      <c r="O31" s="509"/>
      <c r="P31" s="509"/>
      <c r="Q31" s="509"/>
    </row>
    <row r="32" spans="2:17" ht="17.25" thickBot="1"/>
    <row r="33" spans="2:6" ht="18" thickBot="1">
      <c r="B33" s="164" t="s">
        <v>1404</v>
      </c>
      <c r="D33" s="1"/>
    </row>
    <row r="35" spans="2:6" ht="17.25" thickBot="1">
      <c r="B35" s="127" t="s">
        <v>410</v>
      </c>
      <c r="C35" s="127" t="s">
        <v>405</v>
      </c>
      <c r="D35" s="127" t="s">
        <v>406</v>
      </c>
      <c r="E35" s="127" t="s">
        <v>407</v>
      </c>
      <c r="F35" s="127" t="s">
        <v>275</v>
      </c>
    </row>
    <row r="36" spans="2:6" ht="14.25" customHeight="1">
      <c r="B36" s="410">
        <v>43563</v>
      </c>
      <c r="C36" s="95" t="s">
        <v>1406</v>
      </c>
      <c r="D36" s="95">
        <v>165000</v>
      </c>
      <c r="E36" s="411">
        <f>D36/$D$39</f>
        <v>1</v>
      </c>
      <c r="F36" s="117"/>
    </row>
    <row r="37" spans="2:6" ht="14.25" customHeight="1">
      <c r="B37" s="95"/>
      <c r="C37" s="95"/>
      <c r="D37" s="95"/>
      <c r="E37" s="411">
        <f>D37/$D$39</f>
        <v>0</v>
      </c>
      <c r="F37" s="117"/>
    </row>
    <row r="38" spans="2:6">
      <c r="B38" s="95"/>
      <c r="C38" s="95"/>
      <c r="D38" s="95"/>
      <c r="E38" s="146"/>
      <c r="F38" s="112"/>
    </row>
    <row r="39" spans="2:6" ht="14.25" customHeight="1" thickBot="1">
      <c r="B39" s="2007" t="s">
        <v>142</v>
      </c>
      <c r="C39" s="2007"/>
      <c r="D39" s="115">
        <f>SUM(D36:D38)</f>
        <v>165000</v>
      </c>
      <c r="E39" s="413">
        <f>SUM(E36:E38)</f>
        <v>1</v>
      </c>
      <c r="F39" s="116"/>
    </row>
    <row r="40" spans="2:6" ht="17.25" thickTop="1"/>
    <row r="41" spans="2:6" ht="17.25" thickBot="1"/>
    <row r="42" spans="2:6" ht="18" thickBot="1">
      <c r="B42" s="164" t="s">
        <v>1398</v>
      </c>
    </row>
    <row r="44" spans="2:6" ht="17.25" thickBot="1">
      <c r="B44" s="127" t="s">
        <v>410</v>
      </c>
      <c r="C44" s="127" t="s">
        <v>405</v>
      </c>
      <c r="D44" s="127" t="s">
        <v>406</v>
      </c>
      <c r="E44" s="127" t="s">
        <v>407</v>
      </c>
      <c r="F44" s="127" t="s">
        <v>275</v>
      </c>
    </row>
    <row r="45" spans="2:6">
      <c r="B45" s="410">
        <v>45475</v>
      </c>
      <c r="C45" s="95" t="s">
        <v>1406</v>
      </c>
      <c r="D45" s="95">
        <v>20000</v>
      </c>
      <c r="E45" s="411">
        <f>D45/$D$48</f>
        <v>1</v>
      </c>
      <c r="F45" s="117"/>
    </row>
    <row r="46" spans="2:6">
      <c r="B46" s="95"/>
      <c r="C46" s="95"/>
      <c r="D46" s="95"/>
      <c r="E46" s="411">
        <f>D46/$D$48</f>
        <v>0</v>
      </c>
      <c r="F46" s="117"/>
    </row>
    <row r="47" spans="2:6">
      <c r="B47" s="95"/>
      <c r="C47" s="95"/>
      <c r="D47" s="95"/>
      <c r="E47" s="411"/>
      <c r="F47" s="112"/>
    </row>
    <row r="48" spans="2:6" ht="17.25" thickBot="1">
      <c r="B48" s="2007" t="s">
        <v>142</v>
      </c>
      <c r="C48" s="2007"/>
      <c r="D48" s="115">
        <f>SUM(D45:D47)</f>
        <v>20000</v>
      </c>
      <c r="E48" s="412">
        <f>SUM(E45:E47)</f>
        <v>1</v>
      </c>
      <c r="F48" s="116"/>
    </row>
    <row r="49" spans="2:6" ht="17.25" thickTop="1"/>
    <row r="50" spans="2:6" ht="17.25" thickBot="1"/>
    <row r="51" spans="2:6" ht="18" thickBot="1">
      <c r="B51" s="164" t="s">
        <v>3609</v>
      </c>
    </row>
    <row r="53" spans="2:6" ht="17.25" thickBot="1">
      <c r="B53" s="127" t="s">
        <v>410</v>
      </c>
      <c r="C53" s="127" t="s">
        <v>405</v>
      </c>
      <c r="D53" s="127" t="s">
        <v>406</v>
      </c>
      <c r="E53" s="127" t="s">
        <v>407</v>
      </c>
      <c r="F53" s="127" t="s">
        <v>275</v>
      </c>
    </row>
    <row r="54" spans="2:6">
      <c r="B54" s="410">
        <v>46154</v>
      </c>
      <c r="C54" s="95" t="s">
        <v>617</v>
      </c>
      <c r="D54" s="95">
        <v>16673333</v>
      </c>
      <c r="E54" s="411">
        <f>ROUND(D54/$D$57,4)</f>
        <v>0.50209999999999999</v>
      </c>
      <c r="F54" s="117"/>
    </row>
    <row r="55" spans="2:6">
      <c r="B55" s="95"/>
      <c r="C55" s="95" t="s">
        <v>3804</v>
      </c>
      <c r="D55" s="95">
        <f>33205457-16673333</f>
        <v>16532124</v>
      </c>
      <c r="E55" s="411"/>
      <c r="F55" s="117"/>
    </row>
    <row r="56" spans="2:6">
      <c r="B56" s="95"/>
      <c r="C56" s="95"/>
      <c r="D56" s="95"/>
      <c r="E56" s="411"/>
      <c r="F56" s="112"/>
    </row>
    <row r="57" spans="2:6" ht="17.25" thickBot="1">
      <c r="B57" s="2007" t="s">
        <v>142</v>
      </c>
      <c r="C57" s="2007"/>
      <c r="D57" s="115">
        <f>SUM(D54:D56)</f>
        <v>33205457</v>
      </c>
      <c r="E57" s="412">
        <f>SUM(E54:E56)</f>
        <v>0.50209999999999999</v>
      </c>
      <c r="F57" s="116"/>
    </row>
    <row r="58" spans="2:6" ht="17.25" thickTop="1"/>
    <row r="59" spans="2:6">
      <c r="B59" s="3" t="s">
        <v>3805</v>
      </c>
    </row>
  </sheetData>
  <mergeCells count="7">
    <mergeCell ref="B57:C57"/>
    <mergeCell ref="B48:C48"/>
    <mergeCell ref="J25:K25"/>
    <mergeCell ref="B11:C11"/>
    <mergeCell ref="B20:C20"/>
    <mergeCell ref="B30:C30"/>
    <mergeCell ref="B39:C39"/>
  </mergeCells>
  <phoneticPr fontId="3" type="noConversion"/>
  <pageMargins left="0.7" right="0.7" top="0.75" bottom="0.75" header="0.3" footer="0.3"/>
  <ignoredErrors>
    <ignoredError sqref="L29:P29" formula="1"/>
  </ignoredErrors>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28">
    <tabColor theme="9" tint="0.79998168889431442"/>
  </sheetPr>
  <dimension ref="B1:O47"/>
  <sheetViews>
    <sheetView showGridLines="0" zoomScale="85" zoomScaleNormal="85" workbookViewId="0">
      <selection activeCell="J41" sqref="J41"/>
    </sheetView>
  </sheetViews>
  <sheetFormatPr defaultColWidth="9" defaultRowHeight="13.5"/>
  <cols>
    <col min="1" max="1" width="2.5" style="87" customWidth="1"/>
    <col min="2" max="2" width="10.875" style="87" customWidth="1"/>
    <col min="3" max="3" width="1.875" style="87" customWidth="1"/>
    <col min="4" max="4" width="25.375" style="87" customWidth="1"/>
    <col min="5" max="5" width="12.5" style="87" bestFit="1" customWidth="1"/>
    <col min="6" max="6" width="14.125" style="87" bestFit="1" customWidth="1"/>
    <col min="7" max="7" width="12.625" style="87" bestFit="1" customWidth="1"/>
    <col min="8" max="8" width="13" style="87" bestFit="1" customWidth="1"/>
    <col min="9" max="10" width="13" style="87" customWidth="1"/>
    <col min="11" max="11" width="13" style="87" bestFit="1" customWidth="1"/>
    <col min="12" max="12" width="13.5" style="87" bestFit="1" customWidth="1"/>
    <col min="13" max="13" width="12.5" style="87" customWidth="1"/>
    <col min="14" max="15" width="11.5" style="87" bestFit="1" customWidth="1"/>
    <col min="16" max="16384" width="9" style="87"/>
  </cols>
  <sheetData>
    <row r="1" spans="2:11">
      <c r="B1" s="436" t="s">
        <v>594</v>
      </c>
    </row>
    <row r="2" spans="2:11" ht="17.25">
      <c r="B2" s="163" t="s">
        <v>252</v>
      </c>
      <c r="C2" s="166"/>
      <c r="E2" s="923" t="s">
        <v>2247</v>
      </c>
    </row>
    <row r="4" spans="2:11" ht="14.25" thickBot="1">
      <c r="B4" s="139" t="s">
        <v>343</v>
      </c>
      <c r="D4" s="165" t="s">
        <v>146</v>
      </c>
      <c r="E4" s="128" t="s">
        <v>1397</v>
      </c>
      <c r="F4" s="128" t="s">
        <v>1402</v>
      </c>
      <c r="G4" s="128" t="s">
        <v>1403</v>
      </c>
      <c r="H4" s="128" t="s">
        <v>1404</v>
      </c>
      <c r="I4" s="128" t="s">
        <v>1398</v>
      </c>
      <c r="J4" s="128" t="s">
        <v>3609</v>
      </c>
      <c r="K4" s="128" t="s">
        <v>142</v>
      </c>
    </row>
    <row r="5" spans="2:11">
      <c r="D5" s="173" t="s">
        <v>468</v>
      </c>
      <c r="E5" s="173"/>
      <c r="F5" s="173"/>
      <c r="G5" s="173"/>
      <c r="H5" s="173"/>
      <c r="I5" s="173"/>
      <c r="J5" s="173"/>
      <c r="K5" s="173"/>
    </row>
    <row r="6" spans="2:11">
      <c r="D6" s="87" t="s">
        <v>249</v>
      </c>
      <c r="E6" s="167"/>
      <c r="F6" s="167"/>
      <c r="G6" s="167"/>
      <c r="H6" s="167"/>
      <c r="I6" s="167"/>
      <c r="J6" s="167">
        <v>16655228500</v>
      </c>
      <c r="K6" s="167"/>
    </row>
    <row r="7" spans="2:11">
      <c r="D7" s="87" t="s">
        <v>65</v>
      </c>
      <c r="E7" s="167"/>
      <c r="F7" s="167"/>
      <c r="G7" s="167"/>
      <c r="H7" s="167"/>
      <c r="I7" s="167"/>
      <c r="J7" s="167">
        <v>77407695535</v>
      </c>
      <c r="K7" s="167"/>
    </row>
    <row r="8" spans="2:11">
      <c r="D8" s="87" t="s">
        <v>250</v>
      </c>
      <c r="E8" s="167"/>
      <c r="F8" s="167"/>
      <c r="G8" s="167"/>
      <c r="H8" s="167"/>
      <c r="I8" s="167"/>
      <c r="J8" s="167">
        <v>0</v>
      </c>
      <c r="K8" s="167"/>
    </row>
    <row r="9" spans="2:11">
      <c r="D9" s="87" t="s">
        <v>73</v>
      </c>
      <c r="E9" s="167"/>
      <c r="F9" s="167"/>
      <c r="G9" s="167"/>
      <c r="H9" s="167"/>
      <c r="I9" s="167"/>
      <c r="J9" s="167">
        <v>-92870163073</v>
      </c>
      <c r="K9" s="167"/>
    </row>
    <row r="10" spans="2:11" ht="14.25" thickBot="1">
      <c r="D10" s="176" t="s">
        <v>248</v>
      </c>
      <c r="E10" s="168"/>
      <c r="F10" s="168"/>
      <c r="G10" s="168"/>
      <c r="H10" s="168"/>
      <c r="I10" s="168"/>
      <c r="J10" s="168">
        <v>1192760962</v>
      </c>
      <c r="K10" s="168"/>
    </row>
    <row r="11" spans="2:11" ht="14.25" thickTop="1">
      <c r="E11" s="87" t="b">
        <f t="shared" ref="E11:J11" si="0">E10=SUM(E6:E9)</f>
        <v>1</v>
      </c>
      <c r="F11" s="87" t="b">
        <f t="shared" si="0"/>
        <v>1</v>
      </c>
      <c r="G11" s="87" t="b">
        <f t="shared" si="0"/>
        <v>1</v>
      </c>
      <c r="H11" s="87" t="b">
        <f t="shared" si="0"/>
        <v>1</v>
      </c>
      <c r="I11" s="87" t="b">
        <f t="shared" si="0"/>
        <v>1</v>
      </c>
      <c r="J11" s="87" t="b">
        <f t="shared" si="0"/>
        <v>1</v>
      </c>
    </row>
    <row r="13" spans="2:11">
      <c r="D13" s="169" t="s">
        <v>171</v>
      </c>
      <c r="E13" s="170"/>
      <c r="F13" s="170"/>
      <c r="G13" s="170"/>
      <c r="H13" s="170"/>
      <c r="I13" s="170"/>
      <c r="J13" s="1780">
        <v>0</v>
      </c>
      <c r="K13" s="169"/>
    </row>
    <row r="14" spans="2:11">
      <c r="D14" s="87" t="s">
        <v>459</v>
      </c>
      <c r="E14" s="89"/>
      <c r="F14" s="89"/>
      <c r="G14" s="89"/>
      <c r="H14" s="89"/>
      <c r="I14" s="89"/>
      <c r="J14" s="1781">
        <v>0</v>
      </c>
    </row>
    <row r="15" spans="2:11">
      <c r="D15" s="171" t="s">
        <v>246</v>
      </c>
      <c r="E15" s="172"/>
      <c r="F15" s="172"/>
      <c r="G15" s="172"/>
      <c r="H15" s="172"/>
      <c r="I15" s="172"/>
      <c r="J15" s="172">
        <v>0</v>
      </c>
      <c r="K15" s="171"/>
    </row>
    <row r="17" spans="4:11">
      <c r="D17" s="173" t="s">
        <v>460</v>
      </c>
      <c r="E17" s="173"/>
      <c r="F17" s="173"/>
      <c r="G17" s="173"/>
      <c r="H17" s="173"/>
      <c r="I17" s="173"/>
      <c r="J17" s="173"/>
      <c r="K17" s="173"/>
    </row>
    <row r="18" spans="4:11">
      <c r="D18" s="87" t="s">
        <v>248</v>
      </c>
      <c r="E18" s="167">
        <f>E10</f>
        <v>0</v>
      </c>
      <c r="F18" s="167">
        <f t="shared" ref="F18:K18" si="1">F10</f>
        <v>0</v>
      </c>
      <c r="G18" s="167">
        <f t="shared" si="1"/>
        <v>0</v>
      </c>
      <c r="H18" s="167">
        <f t="shared" si="1"/>
        <v>0</v>
      </c>
      <c r="I18" s="167">
        <f t="shared" ref="I18:J18" si="2">I10</f>
        <v>0</v>
      </c>
      <c r="J18" s="167">
        <f t="shared" si="2"/>
        <v>1192760962</v>
      </c>
      <c r="K18" s="167">
        <f t="shared" si="1"/>
        <v>0</v>
      </c>
    </row>
    <row r="19" spans="4:11">
      <c r="D19" s="87" t="s">
        <v>457</v>
      </c>
      <c r="E19" s="167">
        <v>0</v>
      </c>
      <c r="F19" s="167">
        <v>0</v>
      </c>
      <c r="G19" s="167">
        <v>0</v>
      </c>
      <c r="H19" s="167">
        <v>0</v>
      </c>
      <c r="I19" s="167">
        <v>0</v>
      </c>
      <c r="J19" s="167">
        <v>0</v>
      </c>
    </row>
    <row r="20" spans="4:11">
      <c r="D20" s="169" t="s">
        <v>142</v>
      </c>
      <c r="E20" s="174">
        <f>SUM(E18:E19)</f>
        <v>0</v>
      </c>
      <c r="F20" s="174">
        <f t="shared" ref="F20:K20" si="3">SUM(F18:F19)</f>
        <v>0</v>
      </c>
      <c r="G20" s="174">
        <f t="shared" si="3"/>
        <v>0</v>
      </c>
      <c r="H20" s="174">
        <f t="shared" si="3"/>
        <v>0</v>
      </c>
      <c r="I20" s="174">
        <f t="shared" ref="I20:J20" si="4">SUM(I18:I19)</f>
        <v>0</v>
      </c>
      <c r="J20" s="174">
        <f t="shared" si="4"/>
        <v>1192760962</v>
      </c>
      <c r="K20" s="174">
        <f t="shared" si="3"/>
        <v>0</v>
      </c>
    </row>
    <row r="21" spans="4:11" ht="14.25" thickBot="1">
      <c r="D21" s="87" t="s">
        <v>251</v>
      </c>
      <c r="E21" s="175"/>
      <c r="F21" s="517"/>
      <c r="G21" s="175"/>
      <c r="H21" s="175"/>
      <c r="I21" s="175"/>
      <c r="J21" s="175">
        <f>RoS!Q29</f>
        <v>0.49790000000000001</v>
      </c>
      <c r="K21" s="175"/>
    </row>
    <row r="22" spans="4:11" ht="14.25" thickBot="1">
      <c r="D22" s="176" t="s">
        <v>458</v>
      </c>
      <c r="E22" s="168">
        <f>ROUND(E20*E21,)</f>
        <v>0</v>
      </c>
      <c r="F22" s="168">
        <f t="shared" ref="F22:H22" si="5">ROUND(F20*F21,)</f>
        <v>0</v>
      </c>
      <c r="G22" s="168">
        <f t="shared" si="5"/>
        <v>0</v>
      </c>
      <c r="H22" s="168">
        <f t="shared" si="5"/>
        <v>0</v>
      </c>
      <c r="I22" s="168">
        <f t="shared" ref="I22:J22" si="6">ROUND(I20*I21,)</f>
        <v>0</v>
      </c>
      <c r="J22" s="168">
        <f t="shared" si="6"/>
        <v>593875683</v>
      </c>
      <c r="K22" s="177">
        <f>SUM(E22:J22)</f>
        <v>593875683</v>
      </c>
    </row>
    <row r="23" spans="4:11" ht="14.25" thickTop="1"/>
    <row r="24" spans="4:11">
      <c r="D24" s="173" t="s">
        <v>461</v>
      </c>
      <c r="E24" s="173"/>
      <c r="F24" s="173"/>
      <c r="G24" s="173"/>
      <c r="H24" s="173"/>
      <c r="I24" s="173"/>
      <c r="J24" s="173"/>
      <c r="K24" s="173"/>
    </row>
    <row r="25" spans="4:11">
      <c r="D25" s="87" t="s">
        <v>93</v>
      </c>
      <c r="E25" s="167">
        <f>E13</f>
        <v>0</v>
      </c>
      <c r="F25" s="167">
        <f t="shared" ref="F25:H25" si="7">F13</f>
        <v>0</v>
      </c>
      <c r="G25" s="167">
        <f t="shared" si="7"/>
        <v>0</v>
      </c>
      <c r="H25" s="167">
        <f t="shared" si="7"/>
        <v>0</v>
      </c>
      <c r="I25" s="167">
        <f t="shared" ref="I25:J25" si="8">I13</f>
        <v>0</v>
      </c>
      <c r="J25" s="167">
        <f t="shared" si="8"/>
        <v>0</v>
      </c>
      <c r="K25" s="167"/>
    </row>
    <row r="26" spans="4:11">
      <c r="D26" s="87" t="s">
        <v>449</v>
      </c>
      <c r="E26" s="167">
        <v>0</v>
      </c>
      <c r="F26" s="167">
        <v>0</v>
      </c>
      <c r="G26" s="167">
        <v>0</v>
      </c>
      <c r="H26" s="167">
        <v>0</v>
      </c>
      <c r="I26" s="167">
        <v>0</v>
      </c>
      <c r="J26" s="167">
        <v>0</v>
      </c>
      <c r="K26" s="167"/>
    </row>
    <row r="27" spans="4:11">
      <c r="D27" s="87" t="s">
        <v>450</v>
      </c>
      <c r="E27" s="167">
        <v>0</v>
      </c>
      <c r="F27" s="167">
        <v>0</v>
      </c>
      <c r="G27" s="167">
        <v>0</v>
      </c>
      <c r="H27" s="167">
        <v>0</v>
      </c>
      <c r="I27" s="167">
        <v>0</v>
      </c>
      <c r="J27" s="167">
        <v>0</v>
      </c>
      <c r="K27" s="167"/>
    </row>
    <row r="28" spans="4:11">
      <c r="D28" s="169" t="s">
        <v>469</v>
      </c>
      <c r="E28" s="174">
        <f>SUM(E25:E27)</f>
        <v>0</v>
      </c>
      <c r="F28" s="174">
        <f t="shared" ref="F28:H28" si="9">SUM(F25:F27)</f>
        <v>0</v>
      </c>
      <c r="G28" s="174">
        <f t="shared" si="9"/>
        <v>0</v>
      </c>
      <c r="H28" s="174">
        <f t="shared" si="9"/>
        <v>0</v>
      </c>
      <c r="I28" s="174">
        <f t="shared" ref="I28:J28" si="10">SUM(I25:I27)</f>
        <v>0</v>
      </c>
      <c r="J28" s="174">
        <f t="shared" si="10"/>
        <v>0</v>
      </c>
      <c r="K28" s="174"/>
    </row>
    <row r="29" spans="4:11" ht="14.25" thickBot="1">
      <c r="D29" s="87" t="s">
        <v>462</v>
      </c>
      <c r="E29" s="175">
        <f>E21</f>
        <v>0</v>
      </c>
      <c r="F29" s="175">
        <f t="shared" ref="F29:H29" si="11">F21</f>
        <v>0</v>
      </c>
      <c r="G29" s="175">
        <f t="shared" si="11"/>
        <v>0</v>
      </c>
      <c r="H29" s="175">
        <f t="shared" si="11"/>
        <v>0</v>
      </c>
      <c r="I29" s="175">
        <f t="shared" ref="I29:J29" si="12">I21</f>
        <v>0</v>
      </c>
      <c r="J29" s="175">
        <f t="shared" si="12"/>
        <v>0.49790000000000001</v>
      </c>
      <c r="K29" s="167"/>
    </row>
    <row r="30" spans="4:11" ht="14.25" thickBot="1">
      <c r="D30" s="176" t="s">
        <v>463</v>
      </c>
      <c r="E30" s="168">
        <f>ROUND(E28*E29,)</f>
        <v>0</v>
      </c>
      <c r="F30" s="313">
        <f>ROUND(F28*F29,)</f>
        <v>0</v>
      </c>
      <c r="G30" s="168">
        <f t="shared" ref="G30" si="13">ROUND(G28*G29,)</f>
        <v>0</v>
      </c>
      <c r="H30" s="168">
        <f t="shared" ref="H30:J30" si="14">ROUND(H28*H29,)</f>
        <v>0</v>
      </c>
      <c r="I30" s="168">
        <f t="shared" si="14"/>
        <v>0</v>
      </c>
      <c r="J30" s="168">
        <f t="shared" si="14"/>
        <v>0</v>
      </c>
      <c r="K30" s="177">
        <f>SUM(E30:J30)</f>
        <v>0</v>
      </c>
    </row>
    <row r="31" spans="4:11" ht="14.25" thickTop="1"/>
    <row r="32" spans="4:11">
      <c r="D32" s="173" t="s">
        <v>464</v>
      </c>
      <c r="E32" s="173"/>
      <c r="F32" s="173"/>
      <c r="G32" s="173"/>
      <c r="H32" s="173"/>
      <c r="I32" s="173"/>
      <c r="J32" s="173"/>
      <c r="K32" s="173"/>
    </row>
    <row r="33" spans="4:15">
      <c r="D33" s="87" t="s">
        <v>459</v>
      </c>
      <c r="E33" s="167">
        <f>ROUND(E14*E$29,)</f>
        <v>0</v>
      </c>
      <c r="F33" s="167">
        <f t="shared" ref="F33:H34" si="15">ROUND(F14*F$29,)</f>
        <v>0</v>
      </c>
      <c r="G33" s="167">
        <f t="shared" si="15"/>
        <v>0</v>
      </c>
      <c r="H33" s="167">
        <f t="shared" si="15"/>
        <v>0</v>
      </c>
      <c r="I33" s="167">
        <f t="shared" ref="I33:J33" si="16">ROUND(I14*I$29,)</f>
        <v>0</v>
      </c>
      <c r="J33" s="167">
        <f t="shared" si="16"/>
        <v>0</v>
      </c>
    </row>
    <row r="34" spans="4:15" ht="14.25" thickBot="1">
      <c r="D34" s="87" t="s">
        <v>149</v>
      </c>
      <c r="E34" s="167">
        <f>ROUND(E15*E$29,)</f>
        <v>0</v>
      </c>
      <c r="F34" s="167">
        <f t="shared" si="15"/>
        <v>0</v>
      </c>
      <c r="G34" s="167">
        <f t="shared" si="15"/>
        <v>0</v>
      </c>
      <c r="H34" s="167">
        <f t="shared" si="15"/>
        <v>0</v>
      </c>
      <c r="I34" s="167">
        <f t="shared" ref="I34:J34" si="17">ROUND(I15*I$29,)</f>
        <v>0</v>
      </c>
      <c r="J34" s="167">
        <f t="shared" si="17"/>
        <v>0</v>
      </c>
    </row>
    <row r="35" spans="4:15" ht="14.25" thickBot="1">
      <c r="D35" s="176" t="s">
        <v>463</v>
      </c>
      <c r="E35" s="168">
        <f>SUM(E33:E34)</f>
        <v>0</v>
      </c>
      <c r="F35" s="168">
        <f t="shared" ref="F35:H35" si="18">SUM(F33:F34)</f>
        <v>0</v>
      </c>
      <c r="G35" s="168">
        <f t="shared" si="18"/>
        <v>0</v>
      </c>
      <c r="H35" s="168">
        <f t="shared" si="18"/>
        <v>0</v>
      </c>
      <c r="I35" s="168">
        <f t="shared" ref="I35:J35" si="19">SUM(I33:I34)</f>
        <v>0</v>
      </c>
      <c r="J35" s="168">
        <f t="shared" si="19"/>
        <v>0</v>
      </c>
      <c r="K35" s="177">
        <f>SUM(E35:J35)</f>
        <v>0</v>
      </c>
    </row>
    <row r="36" spans="4:15" ht="15" thickTop="1" thickBot="1"/>
    <row r="37" spans="4:15">
      <c r="D37" s="173" t="s">
        <v>465</v>
      </c>
      <c r="E37" s="173"/>
      <c r="F37" s="173"/>
      <c r="G37" s="173"/>
      <c r="H37" s="173"/>
      <c r="I37" s="173"/>
      <c r="J37" s="173"/>
      <c r="K37" s="173"/>
      <c r="L37" s="293" t="s">
        <v>470</v>
      </c>
      <c r="M37" s="294" t="s">
        <v>241</v>
      </c>
    </row>
    <row r="38" spans="4:15">
      <c r="D38" s="87" t="s">
        <v>466</v>
      </c>
      <c r="E38" s="167"/>
      <c r="F38" s="167"/>
      <c r="G38" s="167"/>
      <c r="H38" s="167"/>
      <c r="I38" s="167"/>
      <c r="J38" s="167">
        <v>0</v>
      </c>
      <c r="K38" s="167"/>
      <c r="L38" s="289"/>
      <c r="M38" s="290">
        <f>K38-L38</f>
        <v>0</v>
      </c>
      <c r="O38" s="88"/>
    </row>
    <row r="39" spans="4:15">
      <c r="D39" s="87" t="s">
        <v>247</v>
      </c>
      <c r="E39" s="167"/>
      <c r="F39" s="167"/>
      <c r="G39" s="167"/>
      <c r="H39" s="167"/>
      <c r="I39" s="167"/>
      <c r="J39" s="167">
        <v>0</v>
      </c>
      <c r="K39" s="167"/>
      <c r="L39" s="289"/>
      <c r="M39" s="290">
        <f>K39-L39</f>
        <v>0</v>
      </c>
    </row>
    <row r="40" spans="4:15">
      <c r="D40" s="87" t="s">
        <v>253</v>
      </c>
      <c r="E40" s="181"/>
      <c r="F40" s="181"/>
      <c r="G40" s="181"/>
      <c r="H40" s="181"/>
      <c r="I40" s="181"/>
      <c r="J40" s="181">
        <v>0</v>
      </c>
      <c r="K40" s="181">
        <f>SUM(E40:J40)</f>
        <v>0</v>
      </c>
      <c r="L40" s="289"/>
      <c r="M40" s="290">
        <f>K40-L40</f>
        <v>0</v>
      </c>
      <c r="N40" s="305"/>
    </row>
    <row r="41" spans="4:15">
      <c r="D41" s="87" t="s">
        <v>602</v>
      </c>
      <c r="E41" s="167"/>
      <c r="F41" s="167"/>
      <c r="G41" s="167"/>
      <c r="H41" s="167"/>
      <c r="I41" s="167"/>
      <c r="J41" s="1785">
        <v>593875683</v>
      </c>
      <c r="L41" s="289"/>
      <c r="M41" s="290"/>
    </row>
    <row r="42" spans="4:15" ht="14.25" thickBot="1">
      <c r="D42" s="87" t="s">
        <v>401</v>
      </c>
      <c r="E42" s="167"/>
      <c r="F42" s="167"/>
      <c r="G42" s="167"/>
      <c r="H42" s="167"/>
      <c r="I42" s="167"/>
      <c r="J42" s="167"/>
      <c r="L42" s="289"/>
      <c r="M42" s="290">
        <f>K42-L42</f>
        <v>0</v>
      </c>
    </row>
    <row r="43" spans="4:15" ht="14.25" thickBot="1">
      <c r="D43" s="176" t="s">
        <v>467</v>
      </c>
      <c r="E43" s="168">
        <f>SUM(E38:E42)</f>
        <v>0</v>
      </c>
      <c r="F43" s="168">
        <f t="shared" ref="F43:H43" si="20">SUM(F38:F42)</f>
        <v>0</v>
      </c>
      <c r="G43" s="168">
        <f t="shared" si="20"/>
        <v>0</v>
      </c>
      <c r="H43" s="168">
        <f t="shared" si="20"/>
        <v>0</v>
      </c>
      <c r="I43" s="168">
        <f t="shared" ref="I43:J43" si="21">SUM(I38:I42)</f>
        <v>0</v>
      </c>
      <c r="J43" s="168">
        <f t="shared" si="21"/>
        <v>593875683</v>
      </c>
      <c r="K43" s="177">
        <f>SUM(E43:J43)</f>
        <v>593875683</v>
      </c>
      <c r="L43" s="292">
        <f>연결CE!G22</f>
        <v>117986065</v>
      </c>
      <c r="M43" s="291">
        <f>K43-L43</f>
        <v>475889618</v>
      </c>
    </row>
    <row r="44" spans="4:15" ht="14.25" thickTop="1">
      <c r="D44" s="178" t="s">
        <v>241</v>
      </c>
      <c r="E44" s="179">
        <f>E43-E22</f>
        <v>0</v>
      </c>
      <c r="F44" s="179">
        <f t="shared" ref="F44:K44" si="22">F43-F22</f>
        <v>0</v>
      </c>
      <c r="G44" s="179">
        <f t="shared" si="22"/>
        <v>0</v>
      </c>
      <c r="H44" s="179">
        <f t="shared" si="22"/>
        <v>0</v>
      </c>
      <c r="I44" s="179">
        <f t="shared" ref="I44:J44" si="23">I43-I22</f>
        <v>0</v>
      </c>
      <c r="J44" s="179">
        <f t="shared" si="23"/>
        <v>0</v>
      </c>
      <c r="K44" s="179">
        <f t="shared" si="22"/>
        <v>0</v>
      </c>
      <c r="N44" s="167"/>
    </row>
    <row r="46" spans="4:15">
      <c r="E46" s="167"/>
      <c r="F46" s="167"/>
    </row>
    <row r="47" spans="4:15">
      <c r="E47" s="167"/>
      <c r="F47" s="167"/>
      <c r="G47" s="167"/>
      <c r="H47" s="167"/>
      <c r="I47" s="167"/>
      <c r="J47" s="167"/>
    </row>
  </sheetData>
  <phoneticPr fontId="3" type="noConversion"/>
  <pageMargins left="0.7" right="0.7" top="0.75" bottom="0.75" header="0.3" footer="0.3"/>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5">
    <tabColor theme="9" tint="0.79998168889431442"/>
  </sheetPr>
  <dimension ref="B1:W152"/>
  <sheetViews>
    <sheetView showGridLines="0" topLeftCell="A98" zoomScale="95" zoomScaleNormal="70" workbookViewId="0">
      <selection activeCell="J112" sqref="J112"/>
    </sheetView>
  </sheetViews>
  <sheetFormatPr defaultColWidth="9" defaultRowHeight="13.5"/>
  <cols>
    <col min="1" max="1" width="2.375" style="3" customWidth="1"/>
    <col min="2" max="2" width="14.125" style="3" customWidth="1"/>
    <col min="3" max="3" width="24.125" style="3" customWidth="1"/>
    <col min="4" max="4" width="10" style="3" customWidth="1"/>
    <col min="5" max="5" width="20.375" style="3" bestFit="1" customWidth="1"/>
    <col min="6" max="6" width="14.125" style="3" customWidth="1"/>
    <col min="7" max="7" width="2.125" style="3" customWidth="1"/>
    <col min="8" max="8" width="8.625" style="3" customWidth="1"/>
    <col min="9" max="9" width="17.125" style="3" customWidth="1"/>
    <col min="10" max="10" width="15.375" style="94" customWidth="1"/>
    <col min="11" max="11" width="8.625" style="3" customWidth="1"/>
    <col min="12" max="12" width="17.125" style="3" customWidth="1"/>
    <col min="13" max="13" width="15.375" style="94" customWidth="1"/>
    <col min="14" max="14" width="15.625" style="94" bestFit="1" customWidth="1"/>
    <col min="15" max="15" width="45.125" style="3" bestFit="1" customWidth="1"/>
    <col min="16" max="17" width="2.375" style="306" bestFit="1" customWidth="1"/>
    <col min="18" max="18" width="13.625" style="3" bestFit="1" customWidth="1"/>
    <col min="19" max="19" width="12.625" style="3" bestFit="1" customWidth="1"/>
    <col min="20" max="20" width="16.125" style="3" bestFit="1" customWidth="1"/>
    <col min="21" max="23" width="14.875" style="1" bestFit="1" customWidth="1"/>
    <col min="24" max="24" width="11.125" style="3" bestFit="1" customWidth="1"/>
    <col min="25" max="16384" width="9" style="3"/>
  </cols>
  <sheetData>
    <row r="1" spans="2:23">
      <c r="B1" s="435" t="s">
        <v>592</v>
      </c>
      <c r="K1" s="66"/>
    </row>
    <row r="2" spans="2:23" ht="17.25">
      <c r="B2" s="192" t="s">
        <v>472</v>
      </c>
      <c r="K2" s="66"/>
    </row>
    <row r="3" spans="2:23">
      <c r="K3" s="66"/>
    </row>
    <row r="4" spans="2:23">
      <c r="K4" s="66"/>
    </row>
    <row r="5" spans="2:23" ht="16.5">
      <c r="B5" s="199" t="s">
        <v>476</v>
      </c>
      <c r="K5" s="66"/>
    </row>
    <row r="6" spans="2:23">
      <c r="K6" s="66"/>
    </row>
    <row r="7" spans="2:23">
      <c r="B7" s="295" t="s">
        <v>474</v>
      </c>
      <c r="C7" s="295"/>
      <c r="D7" s="295"/>
      <c r="E7" s="295"/>
      <c r="F7" s="295"/>
      <c r="H7" s="295" t="s">
        <v>475</v>
      </c>
      <c r="I7" s="295"/>
      <c r="J7" s="295"/>
      <c r="K7" s="295"/>
      <c r="L7" s="295"/>
      <c r="M7" s="295"/>
      <c r="N7" s="295"/>
      <c r="O7" s="295"/>
      <c r="P7" s="307"/>
      <c r="Q7" s="307"/>
    </row>
    <row r="8" spans="2:23">
      <c r="K8" s="66"/>
    </row>
    <row r="9" spans="2:23" ht="14.25" thickBot="1">
      <c r="B9" s="2016" t="s">
        <v>617</v>
      </c>
      <c r="C9" s="1998" t="s">
        <v>448</v>
      </c>
      <c r="D9" s="1998"/>
      <c r="E9" s="1998"/>
      <c r="F9" s="2016" t="s">
        <v>1397</v>
      </c>
      <c r="H9" s="197" t="s">
        <v>486</v>
      </c>
      <c r="I9" s="197" t="s">
        <v>263</v>
      </c>
      <c r="J9" s="198" t="s">
        <v>264</v>
      </c>
      <c r="K9" s="197" t="s">
        <v>486</v>
      </c>
      <c r="L9" s="197" t="s">
        <v>265</v>
      </c>
      <c r="M9" s="198" t="s">
        <v>266</v>
      </c>
      <c r="N9" s="233" t="s">
        <v>276</v>
      </c>
      <c r="O9" s="197" t="s">
        <v>275</v>
      </c>
      <c r="P9" s="308"/>
      <c r="Q9" s="308"/>
    </row>
    <row r="10" spans="2:23">
      <c r="B10" s="2016"/>
      <c r="C10" s="95"/>
      <c r="D10" s="95"/>
      <c r="E10" s="95"/>
      <c r="F10" s="2016"/>
      <c r="H10" s="205" t="s">
        <v>717</v>
      </c>
      <c r="I10" s="200" t="s">
        <v>1531</v>
      </c>
      <c r="J10" s="530">
        <f>E11</f>
        <v>0</v>
      </c>
      <c r="K10" s="236" t="s">
        <v>1741</v>
      </c>
      <c r="L10" s="200" t="s">
        <v>83</v>
      </c>
      <c r="M10" s="533">
        <f>J10-M11</f>
        <v>0</v>
      </c>
      <c r="N10" s="243">
        <f>-J10+M10</f>
        <v>0</v>
      </c>
      <c r="O10" s="735"/>
      <c r="P10" s="309">
        <f t="shared" ref="P10:P25" si="0">IF(H10&gt;$H$121,2,1)</f>
        <v>2</v>
      </c>
      <c r="Q10" s="309">
        <f t="shared" ref="Q10:Q25" si="1">IF(K10&gt;$H$121,2,1)</f>
        <v>2</v>
      </c>
      <c r="U10" s="67"/>
      <c r="V10" s="67"/>
      <c r="W10" s="67"/>
    </row>
    <row r="11" spans="2:23">
      <c r="B11" s="140"/>
      <c r="C11" s="193" t="s">
        <v>446</v>
      </c>
      <c r="D11" s="193"/>
      <c r="E11" s="155">
        <v>0</v>
      </c>
      <c r="F11" s="124"/>
      <c r="H11" s="206" t="s">
        <v>716</v>
      </c>
      <c r="I11" s="3" t="s">
        <v>239</v>
      </c>
      <c r="J11" s="531">
        <v>0</v>
      </c>
      <c r="K11" s="237" t="s">
        <v>1749</v>
      </c>
      <c r="L11" s="3" t="s">
        <v>84</v>
      </c>
      <c r="M11" s="534">
        <v>0</v>
      </c>
      <c r="N11" s="244">
        <f>-J11+M11</f>
        <v>0</v>
      </c>
      <c r="O11" s="736"/>
      <c r="P11" s="309">
        <f t="shared" si="0"/>
        <v>2</v>
      </c>
      <c r="Q11" s="309">
        <f t="shared" si="1"/>
        <v>2</v>
      </c>
      <c r="T11" s="94"/>
      <c r="U11" s="67"/>
      <c r="V11" s="67"/>
      <c r="W11" s="67"/>
    </row>
    <row r="12" spans="2:23">
      <c r="C12" s="194" t="s">
        <v>473</v>
      </c>
      <c r="D12" s="194"/>
      <c r="E12" s="155">
        <v>0</v>
      </c>
      <c r="H12" s="207" t="s">
        <v>1741</v>
      </c>
      <c r="I12" s="3" t="s">
        <v>83</v>
      </c>
      <c r="J12" s="531">
        <f>E12</f>
        <v>0</v>
      </c>
      <c r="K12" s="237" t="s">
        <v>719</v>
      </c>
      <c r="L12" s="3" t="s">
        <v>83</v>
      </c>
      <c r="M12" s="534">
        <f>J12+J13</f>
        <v>0</v>
      </c>
      <c r="N12" s="244">
        <f>-J12+M12-J13</f>
        <v>0</v>
      </c>
      <c r="O12" s="736"/>
      <c r="P12" s="309">
        <f t="shared" si="0"/>
        <v>2</v>
      </c>
      <c r="Q12" s="309">
        <f t="shared" si="1"/>
        <v>2</v>
      </c>
      <c r="R12" s="99"/>
      <c r="T12" s="94"/>
      <c r="U12" s="67"/>
      <c r="V12" s="67"/>
      <c r="W12" s="67"/>
    </row>
    <row r="13" spans="2:23">
      <c r="C13" s="194"/>
      <c r="D13" s="194"/>
      <c r="E13" s="155"/>
      <c r="H13" s="213" t="s">
        <v>1381</v>
      </c>
      <c r="I13" s="214" t="s">
        <v>1385</v>
      </c>
      <c r="J13" s="535">
        <v>0</v>
      </c>
      <c r="K13" s="239"/>
      <c r="L13" s="214"/>
      <c r="M13" s="240"/>
      <c r="N13" s="245"/>
      <c r="O13" s="737"/>
      <c r="P13" s="309">
        <f t="shared" si="0"/>
        <v>2</v>
      </c>
      <c r="Q13" s="309">
        <f t="shared" si="1"/>
        <v>1</v>
      </c>
      <c r="U13" s="67"/>
      <c r="V13" s="67"/>
      <c r="W13" s="67"/>
    </row>
    <row r="14" spans="2:23">
      <c r="H14" s="207"/>
      <c r="K14" s="237"/>
      <c r="M14" s="238"/>
      <c r="N14" s="244"/>
      <c r="O14" s="212"/>
      <c r="P14" s="309">
        <f t="shared" si="0"/>
        <v>1</v>
      </c>
      <c r="Q14" s="309">
        <f t="shared" si="1"/>
        <v>1</v>
      </c>
      <c r="U14" s="67"/>
      <c r="V14" s="67"/>
      <c r="W14" s="67"/>
    </row>
    <row r="15" spans="2:23">
      <c r="B15" s="2016" t="s">
        <v>1402</v>
      </c>
      <c r="C15" s="1998" t="s">
        <v>522</v>
      </c>
      <c r="D15" s="1998"/>
      <c r="E15" s="1998"/>
      <c r="F15" s="2016" t="s">
        <v>1403</v>
      </c>
      <c r="H15" s="206"/>
      <c r="K15" s="207"/>
      <c r="M15" s="195"/>
      <c r="N15" s="234"/>
      <c r="P15" s="309">
        <f t="shared" si="0"/>
        <v>1</v>
      </c>
      <c r="Q15" s="309">
        <f t="shared" si="1"/>
        <v>1</v>
      </c>
      <c r="U15" s="67"/>
      <c r="V15" s="67"/>
      <c r="W15" s="67"/>
    </row>
    <row r="16" spans="2:23">
      <c r="B16" s="2016"/>
      <c r="C16" s="95"/>
      <c r="D16" s="95"/>
      <c r="E16" s="95"/>
      <c r="F16" s="2016"/>
      <c r="H16" s="206" t="s">
        <v>717</v>
      </c>
      <c r="I16" s="3" t="s">
        <v>446</v>
      </c>
      <c r="J16" s="531">
        <f>E17</f>
        <v>0</v>
      </c>
      <c r="K16" s="769" t="s">
        <v>776</v>
      </c>
      <c r="L16" s="3" t="s">
        <v>2619</v>
      </c>
      <c r="M16" s="534">
        <f>J16-M17</f>
        <v>0</v>
      </c>
      <c r="N16" s="244">
        <f>-J16+M16</f>
        <v>0</v>
      </c>
      <c r="P16" s="309">
        <f t="shared" si="0"/>
        <v>2</v>
      </c>
      <c r="Q16" s="309">
        <f t="shared" si="1"/>
        <v>2</v>
      </c>
      <c r="U16" s="67"/>
      <c r="V16" s="67"/>
      <c r="W16" s="67"/>
    </row>
    <row r="17" spans="2:23">
      <c r="C17" s="194" t="s">
        <v>447</v>
      </c>
      <c r="E17" s="155">
        <v>0</v>
      </c>
      <c r="H17" s="207" t="s">
        <v>716</v>
      </c>
      <c r="I17" s="3" t="s">
        <v>447</v>
      </c>
      <c r="J17" s="531">
        <v>0</v>
      </c>
      <c r="K17" s="237" t="s">
        <v>1749</v>
      </c>
      <c r="L17" s="3" t="s">
        <v>84</v>
      </c>
      <c r="M17" s="534">
        <v>0</v>
      </c>
      <c r="N17" s="244">
        <f t="shared" ref="N17:N18" si="2">-J17+M17</f>
        <v>0</v>
      </c>
      <c r="P17" s="309">
        <f t="shared" si="0"/>
        <v>2</v>
      </c>
      <c r="Q17" s="309">
        <f t="shared" si="1"/>
        <v>2</v>
      </c>
      <c r="U17" s="67"/>
      <c r="V17" s="67"/>
      <c r="W17" s="67"/>
    </row>
    <row r="18" spans="2:23">
      <c r="C18" s="194" t="s">
        <v>447</v>
      </c>
      <c r="E18" s="155">
        <f>ROUND(34925.33*C35,)</f>
        <v>6623938</v>
      </c>
      <c r="H18" s="207" t="s">
        <v>716</v>
      </c>
      <c r="I18" s="3" t="s">
        <v>447</v>
      </c>
      <c r="J18" s="531">
        <f>E18</f>
        <v>6623938</v>
      </c>
      <c r="K18" s="769" t="s">
        <v>1749</v>
      </c>
      <c r="L18" s="3" t="s">
        <v>84</v>
      </c>
      <c r="M18" s="534">
        <f>J18</f>
        <v>6623938</v>
      </c>
      <c r="N18" s="244">
        <f t="shared" si="2"/>
        <v>0</v>
      </c>
      <c r="P18" s="309">
        <f t="shared" si="0"/>
        <v>2</v>
      </c>
      <c r="Q18" s="309">
        <f t="shared" si="1"/>
        <v>2</v>
      </c>
      <c r="U18" s="67"/>
      <c r="V18" s="67"/>
      <c r="W18" s="67"/>
    </row>
    <row r="19" spans="2:23">
      <c r="C19" s="194"/>
      <c r="E19" s="155"/>
      <c r="H19" s="206"/>
      <c r="J19" s="196"/>
      <c r="K19" s="237"/>
      <c r="M19" s="195"/>
      <c r="N19" s="244"/>
      <c r="P19" s="309">
        <f t="shared" si="0"/>
        <v>1</v>
      </c>
      <c r="Q19" s="309">
        <f t="shared" si="1"/>
        <v>1</v>
      </c>
      <c r="U19" s="67"/>
      <c r="V19" s="67"/>
      <c r="W19" s="67"/>
    </row>
    <row r="20" spans="2:23">
      <c r="H20" s="210"/>
      <c r="I20" s="202"/>
      <c r="J20" s="216"/>
      <c r="K20" s="249"/>
      <c r="L20" s="202"/>
      <c r="M20" s="204"/>
      <c r="N20" s="250"/>
      <c r="O20" s="202"/>
      <c r="P20" s="309">
        <f t="shared" si="0"/>
        <v>1</v>
      </c>
      <c r="Q20" s="309">
        <f t="shared" si="1"/>
        <v>1</v>
      </c>
      <c r="U20" s="67"/>
      <c r="V20" s="67"/>
      <c r="W20" s="67"/>
    </row>
    <row r="21" spans="2:23">
      <c r="H21" s="206"/>
      <c r="K21" s="207"/>
      <c r="M21" s="195"/>
      <c r="N21" s="234"/>
      <c r="P21" s="309">
        <f t="shared" si="0"/>
        <v>1</v>
      </c>
      <c r="Q21" s="309">
        <f t="shared" si="1"/>
        <v>1</v>
      </c>
      <c r="U21" s="67"/>
      <c r="V21" s="67"/>
      <c r="W21" s="67"/>
    </row>
    <row r="22" spans="2:23">
      <c r="B22" s="2016" t="s">
        <v>1406</v>
      </c>
      <c r="C22" s="1998" t="s">
        <v>448</v>
      </c>
      <c r="D22" s="1998"/>
      <c r="E22" s="1998"/>
      <c r="F22" s="2016" t="s">
        <v>1402</v>
      </c>
      <c r="H22" s="206" t="s">
        <v>717</v>
      </c>
      <c r="I22" s="3" t="s">
        <v>446</v>
      </c>
      <c r="J22" s="529">
        <f>E24</f>
        <v>378982137</v>
      </c>
      <c r="K22" s="248" t="s">
        <v>1741</v>
      </c>
      <c r="L22" s="3" t="s">
        <v>83</v>
      </c>
      <c r="M22" s="534">
        <v>0</v>
      </c>
      <c r="N22" s="247">
        <f>-J22+M22</f>
        <v>-378982137</v>
      </c>
      <c r="O22" s="251"/>
      <c r="P22" s="309">
        <f t="shared" si="0"/>
        <v>2</v>
      </c>
      <c r="Q22" s="309">
        <f t="shared" si="1"/>
        <v>2</v>
      </c>
      <c r="U22" s="67"/>
      <c r="V22" s="67"/>
      <c r="W22" s="67"/>
    </row>
    <row r="23" spans="2:23">
      <c r="B23" s="2016"/>
      <c r="C23" s="95"/>
      <c r="D23" s="95"/>
      <c r="E23" s="95"/>
      <c r="F23" s="2016"/>
      <c r="H23" s="206" t="s">
        <v>716</v>
      </c>
      <c r="I23" s="3" t="s">
        <v>447</v>
      </c>
      <c r="J23" s="529">
        <f t="shared" ref="J23" si="3">E25</f>
        <v>2468961</v>
      </c>
      <c r="K23" s="248" t="s">
        <v>1749</v>
      </c>
      <c r="L23" s="3" t="s">
        <v>84</v>
      </c>
      <c r="M23" s="534">
        <f>J23+J22</f>
        <v>381451098</v>
      </c>
      <c r="N23" s="247">
        <f>-J23+M23</f>
        <v>378982137</v>
      </c>
      <c r="O23" s="251"/>
      <c r="P23" s="309">
        <f t="shared" si="0"/>
        <v>2</v>
      </c>
      <c r="Q23" s="309">
        <f t="shared" si="1"/>
        <v>2</v>
      </c>
      <c r="U23" s="67"/>
      <c r="V23" s="67"/>
      <c r="W23" s="67"/>
    </row>
    <row r="24" spans="2:23">
      <c r="B24" s="140"/>
      <c r="C24" s="193" t="s">
        <v>446</v>
      </c>
      <c r="D24" s="193"/>
      <c r="E24" s="155">
        <v>378982137</v>
      </c>
      <c r="F24" s="124"/>
      <c r="H24" s="206" t="s">
        <v>1379</v>
      </c>
      <c r="I24" s="3" t="s">
        <v>1383</v>
      </c>
      <c r="J24" s="529">
        <v>0</v>
      </c>
      <c r="K24" s="248" t="s">
        <v>1755</v>
      </c>
      <c r="L24" s="3" t="s">
        <v>1387</v>
      </c>
      <c r="M24" s="534">
        <v>0</v>
      </c>
      <c r="N24" s="247">
        <f>-J24+M24</f>
        <v>0</v>
      </c>
      <c r="O24" s="251"/>
      <c r="P24" s="309">
        <f t="shared" si="0"/>
        <v>2</v>
      </c>
      <c r="Q24" s="309">
        <f t="shared" si="1"/>
        <v>2</v>
      </c>
      <c r="U24" s="67"/>
      <c r="V24" s="67"/>
      <c r="W24" s="67"/>
    </row>
    <row r="25" spans="2:23">
      <c r="B25" s="140"/>
      <c r="C25" s="193" t="s">
        <v>447</v>
      </c>
      <c r="D25" s="193"/>
      <c r="E25" s="155">
        <v>2468961</v>
      </c>
      <c r="F25" s="124"/>
      <c r="H25" s="206" t="s">
        <v>1381</v>
      </c>
      <c r="I25" s="3" t="s">
        <v>1385</v>
      </c>
      <c r="J25" s="531">
        <v>0</v>
      </c>
      <c r="K25" s="237" t="s">
        <v>1761</v>
      </c>
      <c r="L25" s="3" t="s">
        <v>1388</v>
      </c>
      <c r="M25" s="534">
        <v>0</v>
      </c>
      <c r="N25" s="247">
        <f>-J25+M25</f>
        <v>0</v>
      </c>
      <c r="O25" s="251"/>
      <c r="P25" s="309">
        <f t="shared" si="0"/>
        <v>2</v>
      </c>
      <c r="Q25" s="309">
        <f t="shared" si="1"/>
        <v>2</v>
      </c>
      <c r="U25" s="67"/>
      <c r="V25" s="67"/>
      <c r="W25" s="67"/>
    </row>
    <row r="26" spans="2:23">
      <c r="B26" s="140"/>
      <c r="C26" s="193" t="s">
        <v>2995</v>
      </c>
      <c r="D26" s="193"/>
      <c r="E26" s="155">
        <v>0</v>
      </c>
      <c r="F26" s="124"/>
      <c r="H26" s="206" t="s">
        <v>776</v>
      </c>
      <c r="I26" s="3" t="s">
        <v>2997</v>
      </c>
      <c r="J26" s="531">
        <f>M26</f>
        <v>0</v>
      </c>
      <c r="K26" s="769" t="s">
        <v>2996</v>
      </c>
      <c r="L26" s="3" t="s">
        <v>781</v>
      </c>
      <c r="M26" s="534">
        <f>E26</f>
        <v>0</v>
      </c>
      <c r="N26" s="247">
        <f>-J26+M26</f>
        <v>0</v>
      </c>
      <c r="P26" s="309">
        <f t="shared" ref="P26" si="4">IF(H26&gt;$H$121,2,1)</f>
        <v>2</v>
      </c>
      <c r="Q26" s="309">
        <f t="shared" ref="Q26" si="5">IF(K26&gt;$H$121,2,1)</f>
        <v>2</v>
      </c>
      <c r="U26" s="67"/>
      <c r="V26" s="67"/>
      <c r="W26" s="67"/>
    </row>
    <row r="27" spans="2:23">
      <c r="C27" s="194"/>
      <c r="D27" s="194"/>
      <c r="E27" s="155"/>
      <c r="H27" s="210"/>
      <c r="I27" s="202"/>
      <c r="J27" s="203"/>
      <c r="K27" s="241" t="s">
        <v>776</v>
      </c>
      <c r="L27" s="201"/>
      <c r="M27" s="242"/>
      <c r="N27" s="246"/>
      <c r="O27" s="202"/>
      <c r="P27" s="309">
        <f t="shared" ref="P27:P33" si="6">IF(H27&gt;$H$121,2,1)</f>
        <v>1</v>
      </c>
      <c r="Q27" s="309">
        <f t="shared" ref="Q27:Q33" si="7">IF(K27&gt;$H$121,2,1)</f>
        <v>2</v>
      </c>
      <c r="U27" s="67"/>
      <c r="V27" s="67"/>
      <c r="W27" s="67"/>
    </row>
    <row r="28" spans="2:23">
      <c r="C28" s="194"/>
      <c r="D28" s="194"/>
      <c r="E28" s="155"/>
      <c r="H28" s="206"/>
      <c r="K28" s="206"/>
      <c r="L28" s="65"/>
      <c r="M28" s="195"/>
      <c r="N28" s="235"/>
      <c r="P28" s="309">
        <f t="shared" si="6"/>
        <v>1</v>
      </c>
      <c r="Q28" s="309">
        <f t="shared" si="7"/>
        <v>1</v>
      </c>
      <c r="U28" s="67"/>
      <c r="V28" s="67"/>
      <c r="W28" s="67"/>
    </row>
    <row r="29" spans="2:23">
      <c r="B29" s="2016" t="s">
        <v>1402</v>
      </c>
      <c r="C29" s="1998" t="s">
        <v>448</v>
      </c>
      <c r="D29" s="1998"/>
      <c r="E29" s="1998"/>
      <c r="F29" s="2016" t="s">
        <v>1403</v>
      </c>
      <c r="H29" s="206" t="s">
        <v>716</v>
      </c>
      <c r="I29" s="3" t="s">
        <v>447</v>
      </c>
      <c r="J29" s="529">
        <f>E31</f>
        <v>0</v>
      </c>
      <c r="K29" s="248" t="s">
        <v>776</v>
      </c>
      <c r="L29" s="3" t="s">
        <v>385</v>
      </c>
      <c r="M29" s="534">
        <f>E31</f>
        <v>0</v>
      </c>
      <c r="N29" s="247">
        <f>-J29+M29</f>
        <v>0</v>
      </c>
      <c r="O29" s="251"/>
      <c r="P29" s="309">
        <f t="shared" si="6"/>
        <v>2</v>
      </c>
      <c r="Q29" s="309">
        <f t="shared" si="7"/>
        <v>2</v>
      </c>
      <c r="U29" s="67"/>
      <c r="V29" s="67"/>
      <c r="W29" s="67"/>
    </row>
    <row r="30" spans="2:23">
      <c r="B30" s="2016"/>
      <c r="C30" s="95"/>
      <c r="D30" s="95"/>
      <c r="E30" s="95"/>
      <c r="F30" s="2016"/>
      <c r="H30" s="206" t="s">
        <v>716</v>
      </c>
      <c r="I30" s="3" t="s">
        <v>447</v>
      </c>
      <c r="J30" s="529">
        <f t="shared" ref="J30" si="8">E32</f>
        <v>6000778</v>
      </c>
      <c r="K30" s="248" t="s">
        <v>1749</v>
      </c>
      <c r="L30" s="3" t="s">
        <v>84</v>
      </c>
      <c r="M30" s="534">
        <f>J30</f>
        <v>6000778</v>
      </c>
      <c r="N30" s="247">
        <f>-J30+M30</f>
        <v>0</v>
      </c>
      <c r="O30" s="251"/>
      <c r="P30" s="309">
        <f t="shared" si="6"/>
        <v>2</v>
      </c>
      <c r="Q30" s="309">
        <f t="shared" si="7"/>
        <v>2</v>
      </c>
      <c r="U30" s="67"/>
      <c r="V30" s="67"/>
      <c r="W30" s="67"/>
    </row>
    <row r="31" spans="2:23">
      <c r="B31" s="140"/>
      <c r="C31" s="193" t="s">
        <v>2619</v>
      </c>
      <c r="D31" s="193"/>
      <c r="E31" s="155">
        <v>0</v>
      </c>
      <c r="F31" s="124"/>
      <c r="H31" s="206" t="s">
        <v>1379</v>
      </c>
      <c r="I31" s="3" t="s">
        <v>1383</v>
      </c>
      <c r="J31" s="529">
        <v>0</v>
      </c>
      <c r="K31" s="248" t="s">
        <v>1755</v>
      </c>
      <c r="L31" s="3" t="s">
        <v>1387</v>
      </c>
      <c r="M31" s="534">
        <v>0</v>
      </c>
      <c r="N31" s="247">
        <f>-J31+M31</f>
        <v>0</v>
      </c>
      <c r="O31" s="251"/>
      <c r="P31" s="309">
        <f t="shared" si="6"/>
        <v>2</v>
      </c>
      <c r="Q31" s="309">
        <f t="shared" si="7"/>
        <v>2</v>
      </c>
      <c r="U31" s="67"/>
      <c r="V31" s="67"/>
      <c r="W31" s="67"/>
    </row>
    <row r="32" spans="2:23">
      <c r="B32" s="140"/>
      <c r="C32" s="193" t="s">
        <v>447</v>
      </c>
      <c r="D32" s="193"/>
      <c r="E32" s="155">
        <f>ROUND(31639.66*C35,)</f>
        <v>6000778</v>
      </c>
      <c r="F32" s="124"/>
      <c r="H32" s="206" t="s">
        <v>1381</v>
      </c>
      <c r="I32" s="3" t="s">
        <v>1385</v>
      </c>
      <c r="J32" s="531">
        <v>0</v>
      </c>
      <c r="K32" s="237" t="s">
        <v>1761</v>
      </c>
      <c r="L32" s="3" t="s">
        <v>1388</v>
      </c>
      <c r="M32" s="534">
        <v>0</v>
      </c>
      <c r="N32" s="247">
        <f>-J32+M32</f>
        <v>0</v>
      </c>
      <c r="O32" s="251"/>
      <c r="P32" s="309">
        <f t="shared" si="6"/>
        <v>2</v>
      </c>
      <c r="Q32" s="309">
        <f t="shared" si="7"/>
        <v>2</v>
      </c>
      <c r="U32" s="67"/>
      <c r="V32" s="67"/>
      <c r="W32" s="67"/>
    </row>
    <row r="33" spans="2:23">
      <c r="C33" s="194"/>
      <c r="D33" s="194"/>
      <c r="E33" s="155"/>
      <c r="H33" s="210"/>
      <c r="I33" s="202"/>
      <c r="J33" s="203"/>
      <c r="K33" s="241"/>
      <c r="L33" s="201"/>
      <c r="M33" s="242"/>
      <c r="N33" s="246"/>
      <c r="O33" s="202"/>
      <c r="P33" s="309">
        <f t="shared" si="6"/>
        <v>1</v>
      </c>
      <c r="Q33" s="309">
        <f t="shared" si="7"/>
        <v>1</v>
      </c>
      <c r="U33" s="67"/>
      <c r="V33" s="67"/>
      <c r="W33" s="67"/>
    </row>
    <row r="34" spans="2:23">
      <c r="B34" s="1128" t="s">
        <v>2620</v>
      </c>
      <c r="C34" s="1129"/>
      <c r="D34" s="194"/>
      <c r="E34" s="155"/>
      <c r="H34" s="206"/>
      <c r="K34" s="206"/>
      <c r="L34" s="65"/>
      <c r="M34" s="195"/>
      <c r="N34" s="235"/>
      <c r="U34" s="67"/>
      <c r="V34" s="67"/>
      <c r="W34" s="67"/>
    </row>
    <row r="35" spans="2:23">
      <c r="B35" s="1130" t="s">
        <v>2621</v>
      </c>
      <c r="C35" s="1131">
        <f>환율!C6</f>
        <v>189.66</v>
      </c>
      <c r="D35" s="194"/>
      <c r="E35" s="155"/>
      <c r="H35" s="206"/>
      <c r="K35" s="206"/>
      <c r="L35" s="65"/>
      <c r="M35" s="195"/>
      <c r="N35" s="235"/>
      <c r="U35" s="67"/>
      <c r="V35" s="67"/>
      <c r="W35" s="67"/>
    </row>
    <row r="36" spans="2:23">
      <c r="B36" s="1132" t="s">
        <v>2622</v>
      </c>
      <c r="C36" s="1133">
        <f>환율!C7</f>
        <v>196.6</v>
      </c>
      <c r="D36" s="194"/>
      <c r="E36" s="155"/>
      <c r="H36" s="206"/>
      <c r="K36" s="206"/>
      <c r="L36" s="65"/>
      <c r="M36" s="195"/>
      <c r="N36" s="235"/>
      <c r="U36" s="67"/>
      <c r="V36" s="67"/>
      <c r="W36" s="67"/>
    </row>
    <row r="37" spans="2:23">
      <c r="C37" s="194"/>
      <c r="D37" s="194"/>
      <c r="H37" s="206"/>
      <c r="J37" s="196"/>
      <c r="K37" s="207"/>
      <c r="M37" s="195"/>
      <c r="U37" s="67"/>
      <c r="V37" s="67"/>
      <c r="W37" s="67"/>
    </row>
    <row r="38" spans="2:23" ht="16.5">
      <c r="B38" s="199" t="s">
        <v>477</v>
      </c>
      <c r="C38" s="194"/>
      <c r="D38" s="194"/>
      <c r="F38" s="3" t="s">
        <v>3478</v>
      </c>
      <c r="H38" s="206"/>
      <c r="J38" s="196"/>
      <c r="K38" s="207"/>
      <c r="M38" s="195"/>
      <c r="U38" s="67"/>
      <c r="V38" s="67"/>
      <c r="W38" s="67"/>
    </row>
    <row r="39" spans="2:23" ht="16.5">
      <c r="B39" s="199"/>
      <c r="C39" s="194"/>
      <c r="D39" s="194"/>
      <c r="H39" s="206"/>
      <c r="J39" s="196"/>
      <c r="K39" s="207"/>
      <c r="M39" s="195"/>
      <c r="U39" s="67"/>
      <c r="V39" s="67"/>
      <c r="W39" s="67"/>
    </row>
    <row r="40" spans="2:23">
      <c r="B40" s="295" t="s">
        <v>608</v>
      </c>
      <c r="C40" s="295"/>
      <c r="D40" s="295"/>
      <c r="E40" s="295"/>
      <c r="F40" s="295"/>
      <c r="H40" s="295" t="s">
        <v>475</v>
      </c>
      <c r="I40" s="295"/>
      <c r="J40" s="295"/>
      <c r="K40" s="295"/>
      <c r="L40" s="295"/>
      <c r="M40" s="295"/>
      <c r="N40" s="295"/>
      <c r="O40" s="295"/>
      <c r="P40" s="307"/>
      <c r="Q40" s="307"/>
    </row>
    <row r="41" spans="2:23">
      <c r="K41" s="66"/>
    </row>
    <row r="42" spans="2:23" ht="14.25" thickBot="1">
      <c r="B42" s="2016" t="s">
        <v>1406</v>
      </c>
      <c r="C42" s="1998"/>
      <c r="D42" s="1998"/>
      <c r="E42" s="1998"/>
      <c r="F42" s="2016" t="s">
        <v>1397</v>
      </c>
      <c r="H42" s="197" t="s">
        <v>486</v>
      </c>
      <c r="I42" s="197" t="s">
        <v>263</v>
      </c>
      <c r="J42" s="198" t="s">
        <v>264</v>
      </c>
      <c r="K42" s="197" t="s">
        <v>486</v>
      </c>
      <c r="L42" s="197" t="s">
        <v>265</v>
      </c>
      <c r="M42" s="198" t="s">
        <v>266</v>
      </c>
      <c r="N42" s="198" t="s">
        <v>276</v>
      </c>
      <c r="O42" s="197" t="s">
        <v>275</v>
      </c>
      <c r="P42" s="308"/>
      <c r="Q42" s="308"/>
    </row>
    <row r="43" spans="2:23">
      <c r="B43" s="2016"/>
      <c r="C43" s="95"/>
      <c r="D43" s="95"/>
      <c r="E43" s="95"/>
      <c r="F43" s="2016"/>
      <c r="H43" s="208" t="s">
        <v>685</v>
      </c>
      <c r="I43" s="3" t="s">
        <v>52</v>
      </c>
      <c r="J43" s="532">
        <f>M43</f>
        <v>0</v>
      </c>
      <c r="K43" s="252" t="s">
        <v>634</v>
      </c>
      <c r="L43" s="65" t="s">
        <v>16</v>
      </c>
      <c r="M43" s="532">
        <f>E44</f>
        <v>0</v>
      </c>
      <c r="N43" s="256"/>
      <c r="O43" s="200"/>
      <c r="P43" s="309">
        <v>1</v>
      </c>
      <c r="Q43" s="309">
        <v>1</v>
      </c>
      <c r="U43" s="67"/>
      <c r="V43" s="67"/>
      <c r="W43" s="67"/>
    </row>
    <row r="44" spans="2:23">
      <c r="C44" s="193" t="s">
        <v>1534</v>
      </c>
      <c r="D44" s="193"/>
      <c r="E44" s="511">
        <v>0</v>
      </c>
      <c r="H44" s="208" t="s">
        <v>687</v>
      </c>
      <c r="I44" s="3" t="s">
        <v>54</v>
      </c>
      <c r="J44" s="532">
        <f>M44</f>
        <v>0</v>
      </c>
      <c r="K44" s="252" t="s">
        <v>630</v>
      </c>
      <c r="L44" s="65" t="s">
        <v>15</v>
      </c>
      <c r="M44" s="532">
        <f>E45</f>
        <v>0</v>
      </c>
      <c r="N44" s="256"/>
      <c r="P44" s="309">
        <v>1</v>
      </c>
      <c r="Q44" s="309">
        <v>1</v>
      </c>
      <c r="U44" s="67"/>
      <c r="V44" s="67"/>
      <c r="W44" s="67"/>
    </row>
    <row r="45" spans="2:23">
      <c r="C45" s="193" t="s">
        <v>15</v>
      </c>
      <c r="D45" s="193"/>
      <c r="E45" s="511">
        <v>0</v>
      </c>
      <c r="H45" s="208" t="s">
        <v>631</v>
      </c>
      <c r="I45" s="3" t="s">
        <v>816</v>
      </c>
      <c r="J45" s="532">
        <f>M44</f>
        <v>0</v>
      </c>
      <c r="K45" s="252" t="s">
        <v>714</v>
      </c>
      <c r="L45" s="65" t="s">
        <v>715</v>
      </c>
      <c r="M45" s="532">
        <f>J45</f>
        <v>0</v>
      </c>
      <c r="N45" s="256"/>
      <c r="P45" s="309">
        <v>1</v>
      </c>
      <c r="Q45" s="309">
        <v>1</v>
      </c>
      <c r="U45" s="67"/>
      <c r="V45" s="67"/>
      <c r="W45" s="67"/>
    </row>
    <row r="46" spans="2:23">
      <c r="C46" s="193"/>
      <c r="D46" s="193"/>
      <c r="E46" s="155"/>
      <c r="H46" s="297"/>
      <c r="I46" s="214"/>
      <c r="J46" s="538"/>
      <c r="K46" s="253"/>
      <c r="L46" s="512"/>
      <c r="M46" s="538"/>
      <c r="N46" s="257"/>
      <c r="O46" s="214"/>
      <c r="P46" s="309">
        <f>IF(H46&gt;$H$121,2,1)</f>
        <v>1</v>
      </c>
      <c r="Q46" s="309">
        <f>IF(K46&gt;$H$121,2,1)</f>
        <v>1</v>
      </c>
      <c r="U46" s="67"/>
      <c r="V46" s="67"/>
      <c r="W46" s="67"/>
    </row>
    <row r="47" spans="2:23">
      <c r="C47" s="193"/>
      <c r="D47" s="193"/>
      <c r="E47" s="155"/>
      <c r="H47" s="403"/>
      <c r="J47" s="195"/>
      <c r="K47" s="404"/>
      <c r="M47" s="238"/>
      <c r="N47" s="256"/>
      <c r="O47" s="756"/>
      <c r="P47" s="309">
        <f>IF(H47&gt;$H$121,2,1)</f>
        <v>1</v>
      </c>
      <c r="Q47" s="309">
        <f>IF(K47&gt;$H$121,2,1)</f>
        <v>1</v>
      </c>
      <c r="U47" s="67"/>
      <c r="V47" s="67"/>
      <c r="W47" s="67"/>
    </row>
    <row r="48" spans="2:23">
      <c r="J48" s="3"/>
      <c r="M48" s="3"/>
      <c r="O48" s="756"/>
      <c r="P48" s="309">
        <f>IF(H48&gt;$H$121,2,1)</f>
        <v>1</v>
      </c>
      <c r="Q48" s="309">
        <f>IF(K48&gt;$H$121,2,1)</f>
        <v>1</v>
      </c>
      <c r="U48" s="67"/>
      <c r="V48" s="67"/>
      <c r="W48" s="67"/>
    </row>
    <row r="49" spans="2:23">
      <c r="B49" s="2016" t="s">
        <v>1434</v>
      </c>
      <c r="C49" s="1998"/>
      <c r="D49" s="1998"/>
      <c r="E49" s="1998"/>
      <c r="F49" s="2016" t="s">
        <v>1403</v>
      </c>
      <c r="J49" s="3"/>
      <c r="M49" s="3"/>
      <c r="N49" s="3"/>
      <c r="P49" s="309">
        <f>IF(H49&gt;$H$121,2,1)</f>
        <v>1</v>
      </c>
      <c r="Q49" s="309">
        <f>IF(K49&gt;$H$121,2,1)</f>
        <v>1</v>
      </c>
      <c r="U49" s="67"/>
      <c r="V49" s="67"/>
      <c r="W49" s="67"/>
    </row>
    <row r="50" spans="2:23">
      <c r="B50" s="2016"/>
      <c r="C50" s="95"/>
      <c r="D50" s="95"/>
      <c r="E50" s="95"/>
      <c r="F50" s="2016"/>
      <c r="H50" s="209" t="s">
        <v>687</v>
      </c>
      <c r="I50" s="3" t="s">
        <v>54</v>
      </c>
      <c r="J50" s="532">
        <v>0</v>
      </c>
      <c r="K50" s="254" t="s">
        <v>630</v>
      </c>
      <c r="L50" s="65" t="s">
        <v>15</v>
      </c>
      <c r="M50" s="532">
        <v>0</v>
      </c>
      <c r="N50" s="256">
        <v>0</v>
      </c>
      <c r="P50" s="309">
        <v>1</v>
      </c>
      <c r="Q50" s="309">
        <v>1</v>
      </c>
      <c r="U50" s="67"/>
      <c r="V50" s="67"/>
      <c r="W50" s="67"/>
    </row>
    <row r="51" spans="2:23">
      <c r="B51" s="118"/>
      <c r="C51" s="193" t="s">
        <v>147</v>
      </c>
      <c r="D51" s="193"/>
      <c r="E51" s="511">
        <v>0</v>
      </c>
      <c r="F51" s="118"/>
      <c r="H51" s="209" t="s">
        <v>687</v>
      </c>
      <c r="I51" s="3" t="s">
        <v>54</v>
      </c>
      <c r="J51" s="532">
        <v>0</v>
      </c>
      <c r="K51" s="254" t="s">
        <v>630</v>
      </c>
      <c r="L51" s="65" t="s">
        <v>15</v>
      </c>
      <c r="M51" s="532">
        <v>0</v>
      </c>
      <c r="N51" s="256"/>
      <c r="P51" s="309">
        <v>1</v>
      </c>
      <c r="Q51" s="309">
        <v>1</v>
      </c>
      <c r="U51" s="67"/>
      <c r="V51" s="67"/>
      <c r="W51" s="67"/>
    </row>
    <row r="52" spans="2:23">
      <c r="C52" s="193" t="s">
        <v>478</v>
      </c>
      <c r="D52" s="193"/>
      <c r="E52" s="511">
        <v>0</v>
      </c>
      <c r="H52" s="209" t="s">
        <v>793</v>
      </c>
      <c r="I52" s="3" t="s">
        <v>133</v>
      </c>
      <c r="J52" s="532">
        <v>0</v>
      </c>
      <c r="K52" s="254" t="s">
        <v>802</v>
      </c>
      <c r="L52" s="65" t="s">
        <v>179</v>
      </c>
      <c r="M52" s="532">
        <v>0</v>
      </c>
      <c r="N52" s="256">
        <f>-J52+M52</f>
        <v>0</v>
      </c>
      <c r="P52" s="309">
        <f>IF(H52&gt;$H$121,2,1)</f>
        <v>2</v>
      </c>
      <c r="Q52" s="309">
        <f>IF(K52&gt;$H$121,2,1)</f>
        <v>2</v>
      </c>
      <c r="U52" s="67"/>
      <c r="V52" s="67"/>
      <c r="W52" s="67"/>
    </row>
    <row r="53" spans="2:23">
      <c r="H53" s="297"/>
      <c r="I53" s="214"/>
      <c r="J53" s="215"/>
      <c r="K53" s="255"/>
      <c r="L53" s="214"/>
      <c r="M53" s="214"/>
      <c r="N53" s="258"/>
      <c r="O53" s="214"/>
      <c r="P53" s="309">
        <f>IF(H53&gt;$H$121,2,1)</f>
        <v>1</v>
      </c>
      <c r="Q53" s="309">
        <f>IF(K53&gt;$H$121,2,1)</f>
        <v>1</v>
      </c>
      <c r="R53" s="94"/>
      <c r="U53" s="67"/>
      <c r="V53" s="67"/>
      <c r="W53" s="67"/>
    </row>
    <row r="54" spans="2:23">
      <c r="E54" s="94"/>
      <c r="H54" s="403"/>
      <c r="J54" s="195"/>
      <c r="M54" s="3"/>
      <c r="N54" s="3"/>
      <c r="P54" s="309">
        <f>IF(H54&gt;$H$121,2,1)</f>
        <v>1</v>
      </c>
      <c r="Q54" s="309">
        <f>IF(K54&gt;$H$121,2,1)</f>
        <v>1</v>
      </c>
      <c r="R54" s="94"/>
      <c r="U54" s="67"/>
      <c r="V54" s="67"/>
      <c r="W54" s="67"/>
    </row>
    <row r="55" spans="2:23">
      <c r="H55" s="206"/>
      <c r="J55" s="196"/>
      <c r="K55" s="207"/>
      <c r="M55" s="195"/>
      <c r="P55" s="309">
        <f>IF(H55&gt;$H$121,2,1)</f>
        <v>1</v>
      </c>
      <c r="Q55" s="309">
        <f>IF(K55&gt;$H$121,2,1)</f>
        <v>1</v>
      </c>
      <c r="U55" s="67"/>
      <c r="V55" s="67"/>
      <c r="W55" s="67"/>
    </row>
    <row r="56" spans="2:23">
      <c r="B56" s="2016" t="s">
        <v>617</v>
      </c>
      <c r="C56" s="1998"/>
      <c r="D56" s="1998"/>
      <c r="E56" s="1998"/>
      <c r="F56" s="2016" t="s">
        <v>1402</v>
      </c>
      <c r="H56" s="206" t="s">
        <v>681</v>
      </c>
      <c r="I56" s="3" t="s">
        <v>49</v>
      </c>
      <c r="J56" s="532">
        <f>E58</f>
        <v>398084282</v>
      </c>
      <c r="K56" s="248" t="s">
        <v>628</v>
      </c>
      <c r="L56" s="405" t="s">
        <v>11</v>
      </c>
      <c r="M56" s="532">
        <f>J56</f>
        <v>398084282</v>
      </c>
      <c r="N56" s="256">
        <v>0</v>
      </c>
      <c r="P56" s="309">
        <v>1</v>
      </c>
      <c r="Q56" s="309">
        <v>1</v>
      </c>
      <c r="U56" s="67"/>
      <c r="V56" s="67"/>
      <c r="W56" s="67"/>
    </row>
    <row r="57" spans="2:23">
      <c r="B57" s="2016"/>
      <c r="C57" s="95"/>
      <c r="D57" s="95"/>
      <c r="E57" s="95"/>
      <c r="F57" s="2016"/>
      <c r="H57" s="209" t="s">
        <v>629</v>
      </c>
      <c r="I57" s="3" t="s">
        <v>818</v>
      </c>
      <c r="J57" s="532">
        <f>E59</f>
        <v>418295</v>
      </c>
      <c r="K57" s="248" t="s">
        <v>778</v>
      </c>
      <c r="L57" s="3" t="s">
        <v>174</v>
      </c>
      <c r="M57" s="532">
        <f>J57</f>
        <v>418295</v>
      </c>
      <c r="N57" s="256">
        <f>M57</f>
        <v>418295</v>
      </c>
      <c r="O57" s="3" t="s">
        <v>1679</v>
      </c>
      <c r="P57" s="309">
        <v>1</v>
      </c>
      <c r="Q57" s="309">
        <f>IF(K57&gt;$H$121,2,1)</f>
        <v>2</v>
      </c>
      <c r="U57" s="67"/>
      <c r="V57" s="67"/>
      <c r="W57" s="67"/>
    </row>
    <row r="58" spans="2:23">
      <c r="C58" s="193" t="s">
        <v>10</v>
      </c>
      <c r="D58" s="193"/>
      <c r="E58" s="511">
        <v>398084282</v>
      </c>
      <c r="H58" s="206" t="s">
        <v>629</v>
      </c>
      <c r="I58" s="3" t="s">
        <v>818</v>
      </c>
      <c r="J58" s="532">
        <f>M58</f>
        <v>25222849</v>
      </c>
      <c r="K58" s="248" t="s">
        <v>714</v>
      </c>
      <c r="L58" s="3" t="s">
        <v>715</v>
      </c>
      <c r="M58" s="532">
        <v>25222849</v>
      </c>
      <c r="N58" s="256"/>
      <c r="O58" s="94" t="s">
        <v>2746</v>
      </c>
      <c r="P58" s="309">
        <f>IF(H58&gt;$H$121,2,1)</f>
        <v>2</v>
      </c>
      <c r="Q58" s="309">
        <f>IF(K58&gt;$H$121,2,1)</f>
        <v>2</v>
      </c>
      <c r="U58" s="67"/>
      <c r="V58" s="67"/>
      <c r="W58" s="67"/>
    </row>
    <row r="59" spans="2:23">
      <c r="C59" s="193" t="s">
        <v>182</v>
      </c>
      <c r="E59" s="511">
        <f>E75-M58</f>
        <v>418295</v>
      </c>
      <c r="J59" s="195"/>
      <c r="K59" s="248"/>
      <c r="M59" s="195"/>
      <c r="N59" s="256"/>
      <c r="P59" s="309">
        <f>IF(H59&gt;$H$121,2,1)</f>
        <v>1</v>
      </c>
      <c r="Q59" s="309">
        <f>IF(K59&gt;$H$121,2,1)</f>
        <v>1</v>
      </c>
      <c r="U59" s="67"/>
      <c r="V59" s="67"/>
      <c r="W59" s="67"/>
    </row>
    <row r="60" spans="2:23">
      <c r="C60" s="193"/>
      <c r="E60" s="155"/>
      <c r="J60" s="3"/>
      <c r="M60" s="3"/>
      <c r="N60" s="3"/>
      <c r="P60" s="309">
        <f>IF(H60&gt;$H$121,2,1)</f>
        <v>1</v>
      </c>
      <c r="Q60" s="309">
        <f>IF(K60&gt;$H$121,2,1)</f>
        <v>1</v>
      </c>
      <c r="U60" s="67"/>
      <c r="V60" s="67"/>
      <c r="W60" s="67"/>
    </row>
    <row r="61" spans="2:23">
      <c r="B61" s="2016" t="s">
        <v>1402</v>
      </c>
      <c r="C61" s="1998"/>
      <c r="D61" s="1998"/>
      <c r="E61" s="1998"/>
      <c r="F61" s="2016" t="s">
        <v>1403</v>
      </c>
      <c r="H61" s="206" t="s">
        <v>685</v>
      </c>
      <c r="I61" s="3" t="s">
        <v>52</v>
      </c>
      <c r="J61" s="532">
        <f>E63</f>
        <v>0</v>
      </c>
      <c r="K61" s="248" t="s">
        <v>683</v>
      </c>
      <c r="L61" s="405" t="s">
        <v>53</v>
      </c>
      <c r="M61" s="532">
        <f>J61</f>
        <v>0</v>
      </c>
      <c r="N61" s="256">
        <v>0</v>
      </c>
      <c r="P61" s="309">
        <v>1</v>
      </c>
      <c r="Q61" s="309">
        <v>1</v>
      </c>
      <c r="U61" s="67"/>
      <c r="V61" s="67"/>
      <c r="W61" s="67"/>
    </row>
    <row r="62" spans="2:23">
      <c r="B62" s="2016"/>
      <c r="C62" s="95"/>
      <c r="D62" s="95"/>
      <c r="E62" s="95"/>
      <c r="F62" s="2016"/>
      <c r="H62" s="206" t="s">
        <v>681</v>
      </c>
      <c r="I62" s="3" t="s">
        <v>49</v>
      </c>
      <c r="J62" s="532">
        <f>M62</f>
        <v>1638869734</v>
      </c>
      <c r="K62" s="248" t="s">
        <v>628</v>
      </c>
      <c r="L62" s="405" t="s">
        <v>11</v>
      </c>
      <c r="M62" s="532">
        <f>E64</f>
        <v>1638869734</v>
      </c>
      <c r="N62" s="256">
        <v>0</v>
      </c>
      <c r="P62" s="309">
        <v>1</v>
      </c>
      <c r="Q62" s="309">
        <v>1</v>
      </c>
      <c r="U62" s="67"/>
      <c r="V62" s="67"/>
      <c r="W62" s="67"/>
    </row>
    <row r="63" spans="2:23">
      <c r="C63" s="193" t="s">
        <v>2623</v>
      </c>
      <c r="D63" s="193"/>
      <c r="E63" s="511">
        <v>0</v>
      </c>
      <c r="J63" s="195"/>
      <c r="K63" s="248"/>
      <c r="M63" s="195"/>
      <c r="N63" s="256"/>
      <c r="P63" s="309">
        <f>IF(H63&gt;$H$121,2,1)</f>
        <v>1</v>
      </c>
      <c r="Q63" s="309">
        <f>IF(K63&gt;$H$121,2,1)</f>
        <v>1</v>
      </c>
      <c r="U63" s="67"/>
      <c r="V63" s="67"/>
      <c r="W63" s="67"/>
    </row>
    <row r="64" spans="2:23">
      <c r="C64" s="193" t="s">
        <v>10</v>
      </c>
      <c r="E64" s="511">
        <f>ROUND((8336061.72)*C36,)</f>
        <v>1638869734</v>
      </c>
      <c r="J64" s="195"/>
      <c r="K64" s="248"/>
      <c r="M64" s="195"/>
      <c r="N64" s="256"/>
      <c r="P64" s="309">
        <f>IF(H64&gt;$H$121,2,1)</f>
        <v>1</v>
      </c>
      <c r="Q64" s="309">
        <f>IF(K64&gt;$H$121,2,1)</f>
        <v>1</v>
      </c>
      <c r="U64" s="67"/>
      <c r="V64" s="67"/>
      <c r="W64" s="67"/>
    </row>
    <row r="65" spans="2:23">
      <c r="C65" s="193"/>
      <c r="E65" s="155"/>
      <c r="J65" s="3"/>
      <c r="M65" s="3"/>
      <c r="N65" s="3"/>
      <c r="P65" s="309">
        <f>IF(H65&gt;$H$121,2,1)</f>
        <v>1</v>
      </c>
      <c r="Q65" s="309">
        <f>IF(K65&gt;$H$121,2,1)</f>
        <v>1</v>
      </c>
      <c r="U65" s="67"/>
      <c r="V65" s="67"/>
      <c r="W65" s="67"/>
    </row>
    <row r="66" spans="2:23">
      <c r="B66" s="3" t="s">
        <v>2972</v>
      </c>
      <c r="C66" s="193"/>
      <c r="E66" s="155"/>
      <c r="J66" s="3"/>
      <c r="M66" s="3"/>
      <c r="N66" s="3"/>
      <c r="P66" s="309"/>
      <c r="Q66" s="309"/>
      <c r="U66" s="67"/>
      <c r="V66" s="67"/>
      <c r="W66" s="67"/>
    </row>
    <row r="67" spans="2:23">
      <c r="B67" s="1547"/>
      <c r="C67" s="1548"/>
      <c r="D67" s="1547" t="s">
        <v>2979</v>
      </c>
      <c r="E67" s="1549" t="s">
        <v>2980</v>
      </c>
      <c r="J67" s="3"/>
      <c r="M67" s="3"/>
      <c r="N67" s="3"/>
      <c r="P67" s="309"/>
      <c r="Q67" s="309"/>
      <c r="U67" s="67"/>
      <c r="V67" s="67"/>
      <c r="W67" s="67"/>
    </row>
    <row r="68" spans="2:23">
      <c r="B68" s="1547" t="s">
        <v>2973</v>
      </c>
      <c r="C68" s="1550">
        <v>147190811</v>
      </c>
      <c r="D68" s="1551">
        <v>2.1317742365681354E-2</v>
      </c>
      <c r="E68" s="1552">
        <f>ROUND(C68*D68,)</f>
        <v>3137776</v>
      </c>
      <c r="J68" s="3"/>
      <c r="M68" s="3"/>
      <c r="N68" s="3"/>
      <c r="P68" s="309"/>
      <c r="Q68" s="309"/>
      <c r="U68" s="67"/>
      <c r="V68" s="67"/>
      <c r="W68" s="67"/>
    </row>
    <row r="69" spans="2:23">
      <c r="B69" s="1547" t="s">
        <v>2974</v>
      </c>
      <c r="C69" s="1550">
        <v>246468612</v>
      </c>
      <c r="D69" s="1551">
        <v>8.636933990944369E-2</v>
      </c>
      <c r="E69" s="1552">
        <f t="shared" ref="E69:E74" si="9">ROUND(C69*D69,)</f>
        <v>21287331</v>
      </c>
      <c r="J69" s="3"/>
      <c r="M69" s="3"/>
      <c r="N69" s="3"/>
      <c r="P69" s="309"/>
      <c r="Q69" s="309"/>
      <c r="U69" s="67"/>
      <c r="V69" s="67"/>
      <c r="W69" s="67"/>
    </row>
    <row r="70" spans="2:23">
      <c r="B70" s="1547" t="s">
        <v>2975</v>
      </c>
      <c r="C70" s="1550">
        <v>4424859</v>
      </c>
      <c r="D70" s="1551">
        <v>0.27481945413468822</v>
      </c>
      <c r="E70" s="1552">
        <f t="shared" si="9"/>
        <v>1216037</v>
      </c>
      <c r="J70" s="3"/>
      <c r="M70" s="3"/>
      <c r="N70" s="3"/>
      <c r="P70" s="309"/>
      <c r="Q70" s="309"/>
      <c r="U70" s="67"/>
      <c r="V70" s="67"/>
      <c r="W70" s="67"/>
    </row>
    <row r="71" spans="2:23">
      <c r="B71" s="1547" t="s">
        <v>2976</v>
      </c>
      <c r="C71" s="1550">
        <v>0</v>
      </c>
      <c r="D71" s="1551">
        <v>0.65841689007870985</v>
      </c>
      <c r="E71" s="1552">
        <f t="shared" si="9"/>
        <v>0</v>
      </c>
      <c r="J71" s="3"/>
      <c r="M71" s="3"/>
      <c r="N71" s="3"/>
      <c r="P71" s="309"/>
      <c r="Q71" s="309"/>
      <c r="U71" s="67"/>
      <c r="V71" s="67"/>
      <c r="W71" s="67"/>
    </row>
    <row r="72" spans="2:23">
      <c r="B72" s="1547" t="s">
        <v>2977</v>
      </c>
      <c r="C72" s="1550">
        <v>0</v>
      </c>
      <c r="D72" s="1551">
        <v>1</v>
      </c>
      <c r="E72" s="1552">
        <f t="shared" si="9"/>
        <v>0</v>
      </c>
      <c r="J72" s="3"/>
      <c r="M72" s="3"/>
      <c r="N72" s="3"/>
      <c r="P72" s="309"/>
      <c r="Q72" s="309"/>
      <c r="U72" s="67"/>
      <c r="V72" s="67"/>
      <c r="W72" s="67"/>
    </row>
    <row r="73" spans="2:23">
      <c r="B73" s="1547" t="s">
        <v>2978</v>
      </c>
      <c r="C73" s="1550">
        <v>0</v>
      </c>
      <c r="D73" s="1551">
        <v>1</v>
      </c>
      <c r="E73" s="1552">
        <f t="shared" si="9"/>
        <v>0</v>
      </c>
      <c r="J73" s="3"/>
      <c r="M73" s="3"/>
      <c r="N73" s="3"/>
      <c r="U73" s="67"/>
      <c r="V73" s="67"/>
      <c r="W73" s="67"/>
    </row>
    <row r="74" spans="2:23">
      <c r="B74" s="1547" t="s">
        <v>1890</v>
      </c>
      <c r="C74" s="1550">
        <v>0</v>
      </c>
      <c r="D74" s="1551">
        <v>1</v>
      </c>
      <c r="E74" s="1552">
        <f t="shared" si="9"/>
        <v>0</v>
      </c>
      <c r="J74" s="3"/>
      <c r="M74" s="3"/>
      <c r="N74" s="3"/>
      <c r="U74" s="67"/>
      <c r="V74" s="67"/>
      <c r="W74" s="67"/>
    </row>
    <row r="75" spans="2:23">
      <c r="B75" s="1547"/>
      <c r="C75" s="1550">
        <f>SUM(C68:C74)</f>
        <v>398084282</v>
      </c>
      <c r="D75" s="1547" t="b">
        <f>C75=E58</f>
        <v>1</v>
      </c>
      <c r="E75" s="1552">
        <f>SUM(E68:E74)</f>
        <v>25641144</v>
      </c>
      <c r="J75" s="3"/>
      <c r="M75" s="3"/>
      <c r="N75" s="3"/>
      <c r="U75" s="67"/>
      <c r="V75" s="67"/>
      <c r="W75" s="67"/>
    </row>
    <row r="76" spans="2:23">
      <c r="C76" s="1546" t="b">
        <f>C75=E58</f>
        <v>1</v>
      </c>
      <c r="E76" s="155"/>
      <c r="J76" s="3"/>
      <c r="M76" s="3"/>
      <c r="N76" s="3"/>
      <c r="U76" s="67"/>
      <c r="V76" s="67"/>
      <c r="W76" s="67"/>
    </row>
    <row r="77" spans="2:23" ht="16.5">
      <c r="B77" s="199" t="s">
        <v>480</v>
      </c>
      <c r="C77" s="194"/>
      <c r="D77" s="194"/>
      <c r="H77" s="206"/>
      <c r="J77" s="196"/>
      <c r="K77" s="207"/>
      <c r="M77" s="195"/>
      <c r="U77" s="67"/>
      <c r="V77" s="67"/>
      <c r="W77" s="67"/>
    </row>
    <row r="78" spans="2:23" ht="16.5">
      <c r="B78" s="199"/>
      <c r="C78" s="194"/>
      <c r="D78" s="194"/>
      <c r="H78" s="206"/>
      <c r="J78" s="196"/>
      <c r="K78" s="207"/>
      <c r="M78" s="195"/>
      <c r="U78" s="67"/>
      <c r="V78" s="67"/>
      <c r="W78" s="67"/>
    </row>
    <row r="79" spans="2:23">
      <c r="B79" s="295" t="s">
        <v>474</v>
      </c>
      <c r="C79" s="295"/>
      <c r="D79" s="295"/>
      <c r="E79" s="295"/>
      <c r="F79" s="295"/>
      <c r="H79" s="295" t="s">
        <v>475</v>
      </c>
      <c r="I79" s="295"/>
      <c r="J79" s="295"/>
      <c r="K79" s="295"/>
      <c r="L79" s="295"/>
      <c r="M79" s="295"/>
      <c r="N79" s="295"/>
      <c r="O79" s="295"/>
      <c r="P79" s="307"/>
      <c r="Q79" s="307"/>
    </row>
    <row r="80" spans="2:23">
      <c r="K80" s="66"/>
    </row>
    <row r="81" spans="2:23" ht="14.25" thickBot="1">
      <c r="B81" s="211" t="s">
        <v>617</v>
      </c>
      <c r="C81" s="1998"/>
      <c r="D81" s="1998"/>
      <c r="E81" s="1998"/>
      <c r="F81" s="211" t="s">
        <v>1402</v>
      </c>
      <c r="H81" s="197" t="s">
        <v>486</v>
      </c>
      <c r="I81" s="197" t="s">
        <v>263</v>
      </c>
      <c r="J81" s="198" t="s">
        <v>264</v>
      </c>
      <c r="K81" s="197" t="s">
        <v>486</v>
      </c>
      <c r="L81" s="197" t="s">
        <v>265</v>
      </c>
      <c r="M81" s="198" t="s">
        <v>266</v>
      </c>
      <c r="N81" s="198" t="s">
        <v>276</v>
      </c>
      <c r="O81" s="197" t="s">
        <v>275</v>
      </c>
      <c r="P81" s="308"/>
      <c r="Q81" s="308"/>
    </row>
    <row r="82" spans="2:23">
      <c r="C82" s="95"/>
      <c r="D82" s="95"/>
      <c r="E82" s="95"/>
      <c r="H82" s="224" t="s">
        <v>482</v>
      </c>
      <c r="I82" s="220"/>
      <c r="J82" s="221"/>
      <c r="K82" s="219"/>
      <c r="L82" s="222"/>
      <c r="M82" s="221"/>
      <c r="N82" s="223"/>
      <c r="O82" s="220"/>
      <c r="U82" s="67"/>
      <c r="V82" s="67"/>
      <c r="W82" s="67"/>
    </row>
    <row r="83" spans="2:23">
      <c r="B83" s="93" t="s">
        <v>481</v>
      </c>
      <c r="J83" s="196"/>
      <c r="K83" s="207"/>
      <c r="M83" s="195"/>
      <c r="U83" s="67"/>
      <c r="V83" s="67"/>
      <c r="W83" s="67"/>
    </row>
    <row r="84" spans="2:23">
      <c r="B84" s="93"/>
      <c r="H84" s="226" t="s">
        <v>483</v>
      </c>
      <c r="J84" s="196"/>
      <c r="K84" s="207"/>
      <c r="M84" s="195"/>
      <c r="U84" s="67"/>
      <c r="V84" s="67"/>
      <c r="W84" s="67"/>
    </row>
    <row r="85" spans="2:23">
      <c r="B85" s="173" t="s">
        <v>2884</v>
      </c>
      <c r="C85" s="193" t="s">
        <v>3480</v>
      </c>
      <c r="E85" s="155">
        <f>SUM(E86:E87)</f>
        <v>50639702</v>
      </c>
      <c r="H85" s="206" t="s">
        <v>714</v>
      </c>
      <c r="I85" s="3" t="s">
        <v>715</v>
      </c>
      <c r="J85" s="532">
        <f>M85</f>
        <v>50639702</v>
      </c>
      <c r="K85" s="248" t="s">
        <v>1749</v>
      </c>
      <c r="L85" s="3" t="s">
        <v>84</v>
      </c>
      <c r="M85" s="534">
        <f>+E85</f>
        <v>50639702</v>
      </c>
      <c r="N85" s="256">
        <f>M85</f>
        <v>50639702</v>
      </c>
      <c r="O85" s="3" t="s">
        <v>3479</v>
      </c>
      <c r="P85" s="309">
        <v>1</v>
      </c>
      <c r="Q85" s="309">
        <f>IF(K85&gt;$H$121,2,1)</f>
        <v>2</v>
      </c>
      <c r="U85" s="67"/>
      <c r="V85" s="67"/>
      <c r="W85" s="67"/>
    </row>
    <row r="86" spans="2:23">
      <c r="C86" s="225" t="s">
        <v>2892</v>
      </c>
      <c r="E86" s="155">
        <v>50639702</v>
      </c>
      <c r="H86" s="206"/>
      <c r="J86" s="532"/>
      <c r="K86" s="206"/>
      <c r="M86" s="532"/>
      <c r="N86" s="256"/>
      <c r="P86" s="309">
        <v>1</v>
      </c>
      <c r="Q86" s="309">
        <v>1</v>
      </c>
      <c r="S86" s="94"/>
      <c r="U86" s="67"/>
      <c r="V86" s="67"/>
      <c r="W86" s="67"/>
    </row>
    <row r="87" spans="2:23">
      <c r="C87" s="225" t="s">
        <v>2893</v>
      </c>
      <c r="E87" s="155">
        <v>0</v>
      </c>
      <c r="H87" s="206"/>
      <c r="J87" s="195"/>
      <c r="K87" s="248"/>
      <c r="M87" s="238"/>
      <c r="N87" s="256"/>
      <c r="P87" s="309">
        <f>IF(H87&gt;$H$121,2,1)</f>
        <v>1</v>
      </c>
      <c r="Q87" s="309">
        <f>IF(K87&gt;$H$121,2,1)</f>
        <v>1</v>
      </c>
      <c r="S87" s="94"/>
      <c r="U87" s="67"/>
      <c r="V87" s="67"/>
      <c r="W87" s="67"/>
    </row>
    <row r="88" spans="2:23">
      <c r="C88" s="225"/>
      <c r="E88" s="155"/>
      <c r="H88" s="206"/>
      <c r="J88" s="195"/>
      <c r="K88" s="248"/>
      <c r="M88" s="238"/>
      <c r="N88" s="256"/>
      <c r="P88" s="309"/>
      <c r="Q88" s="309"/>
      <c r="S88" s="94"/>
      <c r="U88" s="67"/>
      <c r="V88" s="67"/>
      <c r="W88" s="67"/>
    </row>
    <row r="89" spans="2:23">
      <c r="C89" s="193" t="s">
        <v>3482</v>
      </c>
      <c r="E89" s="155">
        <f>SUM(E90:E91)</f>
        <v>1217629</v>
      </c>
      <c r="H89" s="206" t="s">
        <v>714</v>
      </c>
      <c r="I89" s="3" t="s">
        <v>715</v>
      </c>
      <c r="J89" s="532">
        <f>M89</f>
        <v>1217629</v>
      </c>
      <c r="K89" s="248" t="s">
        <v>1749</v>
      </c>
      <c r="L89" s="3" t="s">
        <v>84</v>
      </c>
      <c r="M89" s="534">
        <f>+E89</f>
        <v>1217629</v>
      </c>
      <c r="N89" s="256">
        <f>M89</f>
        <v>1217629</v>
      </c>
      <c r="O89" s="3" t="s">
        <v>3483</v>
      </c>
      <c r="P89" s="309">
        <v>1</v>
      </c>
      <c r="Q89" s="309">
        <f>IF(K89&gt;$H$121,2,1)</f>
        <v>2</v>
      </c>
      <c r="S89" s="94"/>
      <c r="U89" s="67"/>
      <c r="V89" s="67"/>
      <c r="W89" s="67"/>
    </row>
    <row r="90" spans="2:23">
      <c r="C90" s="225" t="s">
        <v>2892</v>
      </c>
      <c r="E90" s="155">
        <v>1217629</v>
      </c>
      <c r="H90" s="206"/>
      <c r="J90" s="532"/>
      <c r="K90" s="206"/>
      <c r="M90" s="532"/>
      <c r="N90" s="256"/>
      <c r="P90" s="309">
        <v>1</v>
      </c>
      <c r="Q90" s="309">
        <v>1</v>
      </c>
      <c r="S90" s="94"/>
      <c r="U90" s="67"/>
      <c r="V90" s="67"/>
      <c r="W90" s="67"/>
    </row>
    <row r="91" spans="2:23">
      <c r="C91" s="225" t="s">
        <v>2893</v>
      </c>
      <c r="E91" s="155">
        <v>0</v>
      </c>
      <c r="H91" s="206"/>
      <c r="J91" s="195"/>
      <c r="K91" s="248"/>
      <c r="M91" s="238"/>
      <c r="N91" s="256"/>
      <c r="P91" s="309">
        <f>IF(H91&gt;$H$121,2,1)</f>
        <v>1</v>
      </c>
      <c r="Q91" s="309">
        <f>IF(K91&gt;$H$121,2,1)</f>
        <v>1</v>
      </c>
      <c r="S91" s="94"/>
      <c r="U91" s="67"/>
      <c r="V91" s="67"/>
      <c r="W91" s="67"/>
    </row>
    <row r="92" spans="2:23">
      <c r="H92" s="226" t="s">
        <v>1536</v>
      </c>
      <c r="J92" s="195"/>
      <c r="K92" s="248"/>
      <c r="M92" s="238"/>
      <c r="N92" s="256"/>
      <c r="P92" s="309">
        <f>IF(H92&gt;$H$121,2,1)</f>
        <v>2</v>
      </c>
      <c r="Q92" s="309">
        <f>IF(K92&gt;$H$121,2,1)</f>
        <v>1</v>
      </c>
      <c r="S92" s="94"/>
      <c r="U92" s="67"/>
      <c r="V92" s="67"/>
      <c r="W92" s="67"/>
    </row>
    <row r="93" spans="2:23">
      <c r="C93" s="193" t="s">
        <v>1537</v>
      </c>
      <c r="E93" s="155">
        <v>0</v>
      </c>
      <c r="H93" s="206" t="s">
        <v>714</v>
      </c>
      <c r="I93" s="3" t="s">
        <v>715</v>
      </c>
      <c r="J93" s="532">
        <f>M93</f>
        <v>0</v>
      </c>
      <c r="K93" s="248" t="s">
        <v>658</v>
      </c>
      <c r="L93" s="3" t="s">
        <v>33</v>
      </c>
      <c r="M93" s="534">
        <f>E93</f>
        <v>0</v>
      </c>
      <c r="N93" s="256">
        <v>0</v>
      </c>
      <c r="O93" s="3" t="s">
        <v>2694</v>
      </c>
      <c r="P93" s="309">
        <v>1</v>
      </c>
      <c r="Q93" s="309">
        <v>1</v>
      </c>
      <c r="S93" s="94"/>
      <c r="U93" s="67"/>
      <c r="V93" s="67"/>
      <c r="W93" s="67"/>
    </row>
    <row r="94" spans="2:23">
      <c r="C94" s="225" t="s">
        <v>1538</v>
      </c>
      <c r="E94" s="155">
        <v>0</v>
      </c>
      <c r="H94" s="206" t="s">
        <v>659</v>
      </c>
      <c r="I94" s="3" t="s">
        <v>660</v>
      </c>
      <c r="J94" s="532">
        <f>E94</f>
        <v>0</v>
      </c>
      <c r="K94" s="248" t="s">
        <v>714</v>
      </c>
      <c r="L94" s="3" t="s">
        <v>715</v>
      </c>
      <c r="M94" s="534">
        <f>J94</f>
        <v>0</v>
      </c>
      <c r="N94" s="256"/>
      <c r="O94" s="3" t="s">
        <v>2695</v>
      </c>
      <c r="P94" s="309">
        <v>1</v>
      </c>
      <c r="Q94" s="309">
        <v>1</v>
      </c>
      <c r="S94" s="94"/>
      <c r="U94" s="67"/>
      <c r="V94" s="67"/>
      <c r="W94" s="67"/>
    </row>
    <row r="95" spans="2:23">
      <c r="C95" s="225" t="s">
        <v>1539</v>
      </c>
      <c r="E95" s="155">
        <v>0</v>
      </c>
      <c r="H95" s="210"/>
      <c r="I95" s="202"/>
      <c r="J95" s="537"/>
      <c r="K95" s="241"/>
      <c r="L95" s="202"/>
      <c r="M95" s="536"/>
      <c r="N95" s="259">
        <f>M95</f>
        <v>0</v>
      </c>
      <c r="O95" s="202"/>
      <c r="P95" s="309">
        <f>IF(H95&gt;$H$121,2,1)</f>
        <v>1</v>
      </c>
      <c r="Q95" s="309">
        <f t="shared" ref="Q95:Q100" si="10">IF(K95&gt;$H$121,2,1)</f>
        <v>1</v>
      </c>
      <c r="S95" s="94"/>
      <c r="U95" s="67"/>
      <c r="V95" s="67"/>
      <c r="W95" s="67"/>
    </row>
    <row r="96" spans="2:23">
      <c r="C96" s="225"/>
      <c r="D96" s="496"/>
      <c r="E96" s="288"/>
      <c r="H96" s="206"/>
      <c r="J96" s="195"/>
      <c r="K96" s="206"/>
      <c r="L96" s="65"/>
      <c r="M96" s="195"/>
      <c r="P96" s="309">
        <f>IF(H96&gt;$H$121,2,1)</f>
        <v>1</v>
      </c>
      <c r="Q96" s="309">
        <f t="shared" si="10"/>
        <v>1</v>
      </c>
      <c r="S96" s="94"/>
      <c r="U96" s="67"/>
      <c r="V96" s="67"/>
      <c r="W96" s="67"/>
    </row>
    <row r="97" spans="2:23">
      <c r="B97" s="93" t="s">
        <v>484</v>
      </c>
      <c r="E97" s="288"/>
      <c r="H97" s="224" t="s">
        <v>485</v>
      </c>
      <c r="I97" s="220"/>
      <c r="J97" s="221"/>
      <c r="K97" s="219"/>
      <c r="L97" s="222"/>
      <c r="M97" s="221"/>
      <c r="N97" s="223"/>
      <c r="O97" s="220"/>
      <c r="P97" s="309">
        <f>IF(H97&gt;$H$121,2,1)</f>
        <v>2</v>
      </c>
      <c r="Q97" s="309">
        <f t="shared" si="10"/>
        <v>1</v>
      </c>
      <c r="R97" s="94"/>
      <c r="U97" s="67"/>
      <c r="V97" s="67"/>
      <c r="W97" s="67"/>
    </row>
    <row r="98" spans="2:23">
      <c r="B98" s="93"/>
      <c r="J98" s="3"/>
      <c r="M98" s="3"/>
      <c r="N98" s="3"/>
      <c r="P98" s="309">
        <f>IF(H98&gt;$H$121,2,1)</f>
        <v>1</v>
      </c>
      <c r="Q98" s="309">
        <f t="shared" si="10"/>
        <v>1</v>
      </c>
      <c r="R98" s="94"/>
      <c r="U98" s="67"/>
      <c r="V98" s="67"/>
      <c r="W98" s="67"/>
    </row>
    <row r="99" spans="2:23">
      <c r="B99" s="173" t="s">
        <v>3481</v>
      </c>
      <c r="C99" s="193" t="s">
        <v>1557</v>
      </c>
      <c r="E99" s="155">
        <f>E100-E102-E101</f>
        <v>80845090</v>
      </c>
      <c r="H99" s="206" t="s">
        <v>1749</v>
      </c>
      <c r="I99" s="3" t="s">
        <v>84</v>
      </c>
      <c r="J99" s="532">
        <f>M99-J100-J101</f>
        <v>80845090</v>
      </c>
      <c r="K99" s="248" t="s">
        <v>645</v>
      </c>
      <c r="L99" s="3" t="s">
        <v>23</v>
      </c>
      <c r="M99" s="534">
        <f>E100</f>
        <v>141818694</v>
      </c>
      <c r="N99" s="256">
        <f>-J99</f>
        <v>-80845090</v>
      </c>
      <c r="O99" s="3" t="s">
        <v>3605</v>
      </c>
      <c r="P99" s="309">
        <f>IF(H99&gt;$H$121,2,1)</f>
        <v>2</v>
      </c>
      <c r="Q99" s="309">
        <f t="shared" si="10"/>
        <v>2</v>
      </c>
      <c r="U99" s="67"/>
      <c r="V99" s="67"/>
      <c r="W99" s="67"/>
    </row>
    <row r="100" spans="2:23">
      <c r="C100" s="225" t="s">
        <v>2969</v>
      </c>
      <c r="E100" s="155">
        <f>HK!E331+HK!E334</f>
        <v>141818694</v>
      </c>
      <c r="H100" s="206" t="s">
        <v>646</v>
      </c>
      <c r="I100" s="3" t="s">
        <v>21</v>
      </c>
      <c r="J100" s="534">
        <f>E101</f>
        <v>59224103</v>
      </c>
      <c r="K100" s="248"/>
      <c r="M100" s="534"/>
      <c r="N100" s="256"/>
      <c r="P100" s="309">
        <v>1</v>
      </c>
      <c r="Q100" s="309">
        <f t="shared" si="10"/>
        <v>1</v>
      </c>
      <c r="U100" s="67"/>
      <c r="V100" s="67"/>
      <c r="W100" s="67"/>
    </row>
    <row r="101" spans="2:23">
      <c r="C101" s="225" t="s">
        <v>2891</v>
      </c>
      <c r="E101" s="155">
        <f>HK!E332</f>
        <v>59224103</v>
      </c>
      <c r="H101" s="206" t="s">
        <v>645</v>
      </c>
      <c r="I101" s="3" t="s">
        <v>23</v>
      </c>
      <c r="J101" s="532">
        <f>E102</f>
        <v>1749501</v>
      </c>
      <c r="K101" s="248"/>
      <c r="M101" s="534"/>
      <c r="N101" s="256"/>
      <c r="P101" s="309">
        <v>1</v>
      </c>
      <c r="Q101" s="309">
        <v>1</v>
      </c>
      <c r="U101" s="67"/>
      <c r="V101" s="67"/>
      <c r="W101" s="67"/>
    </row>
    <row r="102" spans="2:23">
      <c r="C102" s="225" t="s">
        <v>1676</v>
      </c>
      <c r="E102" s="155">
        <f>HK!E335</f>
        <v>1749501</v>
      </c>
      <c r="H102" s="206"/>
      <c r="J102" s="195"/>
      <c r="K102" s="252"/>
      <c r="M102" s="534"/>
      <c r="N102" s="256"/>
      <c r="P102" s="309">
        <f>IF(H102&gt;$H$121,2,1)</f>
        <v>1</v>
      </c>
      <c r="Q102" s="309">
        <f>IF(K102&gt;$H$121,2,1)</f>
        <v>1</v>
      </c>
      <c r="U102" s="67"/>
      <c r="V102" s="67"/>
      <c r="W102" s="67"/>
    </row>
    <row r="103" spans="2:23">
      <c r="E103" s="67"/>
      <c r="H103" s="206"/>
      <c r="J103" s="195"/>
      <c r="K103" s="252"/>
      <c r="L103" s="65"/>
      <c r="M103" s="238"/>
      <c r="N103" s="256"/>
      <c r="P103" s="309">
        <f>IF(H103&gt;$H$121,2,1)</f>
        <v>1</v>
      </c>
      <c r="Q103" s="309">
        <f>IF(K103&gt;$H$121,2,1)</f>
        <v>1</v>
      </c>
      <c r="U103" s="67"/>
      <c r="V103" s="67"/>
      <c r="W103" s="67"/>
    </row>
    <row r="104" spans="2:23">
      <c r="E104" s="67"/>
      <c r="H104" s="206"/>
      <c r="J104" s="195"/>
      <c r="K104" s="252"/>
      <c r="L104" s="65"/>
      <c r="M104" s="238"/>
      <c r="N104" s="256"/>
      <c r="P104" s="309"/>
      <c r="Q104" s="309"/>
      <c r="U104" s="67"/>
      <c r="V104" s="67"/>
      <c r="W104" s="67"/>
    </row>
    <row r="105" spans="2:23">
      <c r="C105" s="193" t="s">
        <v>1557</v>
      </c>
      <c r="E105" s="155">
        <f>E106-E107</f>
        <v>0</v>
      </c>
      <c r="H105" s="206" t="s">
        <v>1749</v>
      </c>
      <c r="I105" s="3" t="s">
        <v>84</v>
      </c>
      <c r="J105" s="532">
        <f>M105-J106-J107</f>
        <v>0</v>
      </c>
      <c r="K105" s="248" t="s">
        <v>645</v>
      </c>
      <c r="L105" s="3" t="s">
        <v>23</v>
      </c>
      <c r="M105" s="534">
        <f>E106</f>
        <v>0</v>
      </c>
      <c r="N105" s="256">
        <f>-J105</f>
        <v>0</v>
      </c>
      <c r="O105" s="3" t="s">
        <v>3606</v>
      </c>
      <c r="P105" s="309">
        <f>IF(H105&gt;$H$121,2,1)</f>
        <v>2</v>
      </c>
      <c r="Q105" s="309">
        <f>IF(K105&gt;$H$121,2,1)</f>
        <v>2</v>
      </c>
      <c r="U105" s="67"/>
      <c r="V105" s="67"/>
      <c r="W105" s="67"/>
    </row>
    <row r="106" spans="2:23">
      <c r="C106" s="225" t="s">
        <v>2970</v>
      </c>
      <c r="E106" s="155">
        <f>DHK_BS!K34</f>
        <v>0</v>
      </c>
      <c r="H106" s="206" t="s">
        <v>645</v>
      </c>
      <c r="I106" s="3" t="s">
        <v>23</v>
      </c>
      <c r="J106" s="534">
        <f>E107</f>
        <v>0</v>
      </c>
      <c r="K106" s="248"/>
      <c r="M106" s="534"/>
      <c r="N106" s="256"/>
      <c r="P106" s="309">
        <v>1</v>
      </c>
      <c r="Q106" s="309">
        <f>IF(K106&gt;$H$121,2,1)</f>
        <v>1</v>
      </c>
      <c r="U106" s="67"/>
      <c r="V106" s="67"/>
      <c r="W106" s="67"/>
    </row>
    <row r="107" spans="2:23">
      <c r="C107" s="225" t="s">
        <v>2895</v>
      </c>
      <c r="E107" s="155">
        <f>ROUND(E106*HK_PL!G11/HK_PL!G5,)</f>
        <v>0</v>
      </c>
      <c r="H107" s="206" t="s">
        <v>645</v>
      </c>
      <c r="I107" s="3" t="s">
        <v>23</v>
      </c>
      <c r="J107" s="532">
        <f>E108</f>
        <v>0</v>
      </c>
      <c r="K107" s="248"/>
      <c r="M107" s="534"/>
      <c r="N107" s="256"/>
      <c r="P107" s="309">
        <v>1</v>
      </c>
      <c r="Q107" s="309">
        <v>1</v>
      </c>
      <c r="U107" s="67"/>
      <c r="V107" s="67"/>
      <c r="W107" s="67"/>
    </row>
    <row r="108" spans="2:23">
      <c r="E108" s="1"/>
      <c r="H108" s="206"/>
      <c r="J108" s="195"/>
      <c r="K108" s="252"/>
      <c r="M108" s="238"/>
      <c r="N108" s="256"/>
      <c r="P108" s="309">
        <f>IF(H108&gt;$H$121,2,1)</f>
        <v>1</v>
      </c>
      <c r="Q108" s="309">
        <f>IF(K108&gt;$H$121,2,1)</f>
        <v>1</v>
      </c>
      <c r="U108" s="67"/>
      <c r="V108" s="67"/>
      <c r="W108" s="67"/>
    </row>
    <row r="109" spans="2:23">
      <c r="E109" s="1"/>
      <c r="H109" s="206"/>
      <c r="J109" s="195"/>
      <c r="K109" s="252"/>
      <c r="M109" s="238"/>
      <c r="N109" s="256"/>
      <c r="P109" s="309"/>
      <c r="Q109" s="309"/>
      <c r="U109" s="67"/>
      <c r="V109" s="67"/>
      <c r="W109" s="67"/>
    </row>
    <row r="110" spans="2:23">
      <c r="C110" s="193"/>
      <c r="E110" s="155"/>
      <c r="H110" s="209" t="s">
        <v>763</v>
      </c>
      <c r="I110" s="3" t="s">
        <v>176</v>
      </c>
      <c r="J110" s="532">
        <f>ROUND(5473.9402*C35,)</f>
        <v>1038187</v>
      </c>
      <c r="K110" s="248" t="s">
        <v>763</v>
      </c>
      <c r="L110" s="3" t="s">
        <v>176</v>
      </c>
      <c r="M110" s="534">
        <f>E114</f>
        <v>0</v>
      </c>
      <c r="N110" s="256">
        <f>-J110</f>
        <v>-1038187</v>
      </c>
      <c r="O110" s="3" t="s">
        <v>3607</v>
      </c>
      <c r="P110" s="309">
        <v>1</v>
      </c>
      <c r="Q110" s="309">
        <f>IF(K110&gt;$H$121,2,1)</f>
        <v>2</v>
      </c>
      <c r="U110" s="67"/>
      <c r="V110" s="67"/>
      <c r="W110" s="67"/>
    </row>
    <row r="111" spans="2:23">
      <c r="C111" s="193"/>
      <c r="E111" s="155"/>
      <c r="H111" s="209" t="s">
        <v>714</v>
      </c>
      <c r="I111" s="3" t="s">
        <v>77</v>
      </c>
      <c r="J111" s="532">
        <v>464004</v>
      </c>
      <c r="K111" s="248"/>
      <c r="M111" s="534"/>
      <c r="N111" s="256"/>
      <c r="O111" s="3" t="s">
        <v>3607</v>
      </c>
      <c r="P111" s="309">
        <v>1</v>
      </c>
      <c r="Q111" s="309">
        <v>1</v>
      </c>
      <c r="U111" s="67"/>
      <c r="V111" s="67"/>
      <c r="W111" s="67"/>
    </row>
    <row r="112" spans="2:23">
      <c r="C112" s="193"/>
      <c r="E112" s="155"/>
      <c r="H112" s="209" t="s">
        <v>1794</v>
      </c>
      <c r="I112" s="3" t="s">
        <v>3487</v>
      </c>
      <c r="J112" s="532">
        <f>-SUM(J110:J111,J113)+M113</f>
        <v>74000</v>
      </c>
      <c r="K112" s="248"/>
      <c r="M112" s="534"/>
      <c r="N112" s="256"/>
      <c r="O112" s="3" t="s">
        <v>3488</v>
      </c>
      <c r="P112" s="309">
        <v>1</v>
      </c>
      <c r="Q112" s="309">
        <v>2</v>
      </c>
      <c r="U112" s="67"/>
      <c r="V112" s="67"/>
      <c r="W112" s="67"/>
    </row>
    <row r="113" spans="3:23">
      <c r="C113" s="225"/>
      <c r="E113" s="155"/>
      <c r="H113" s="206" t="s">
        <v>665</v>
      </c>
      <c r="I113" s="3" t="s">
        <v>32</v>
      </c>
      <c r="J113" s="532">
        <f>ROUND(54739.492*C36,)</f>
        <v>10761784</v>
      </c>
      <c r="K113" s="248" t="s">
        <v>666</v>
      </c>
      <c r="L113" s="65" t="s">
        <v>667</v>
      </c>
      <c r="M113" s="534">
        <f>ROUND(62756.7405*C36,)</f>
        <v>12337975</v>
      </c>
      <c r="N113" s="256"/>
      <c r="O113" s="3" t="s">
        <v>3608</v>
      </c>
      <c r="P113" s="309">
        <f>IF(H113&gt;$H$121,2,1)</f>
        <v>2</v>
      </c>
      <c r="Q113" s="309">
        <f>IF(K113&gt;$H$121,2,1)</f>
        <v>2</v>
      </c>
      <c r="U113" s="67"/>
      <c r="V113" s="67"/>
      <c r="W113" s="67"/>
    </row>
    <row r="114" spans="3:23">
      <c r="C114" s="225"/>
      <c r="D114" s="496"/>
      <c r="E114" s="288"/>
      <c r="H114" s="206"/>
      <c r="J114" s="195"/>
      <c r="K114" s="248"/>
      <c r="L114" s="65"/>
      <c r="M114" s="238"/>
      <c r="N114" s="256"/>
      <c r="P114" s="309"/>
      <c r="Q114" s="309"/>
      <c r="U114" s="67"/>
      <c r="V114" s="67"/>
      <c r="W114" s="67"/>
    </row>
    <row r="115" spans="3:23">
      <c r="D115" s="94"/>
      <c r="H115" s="206" t="s">
        <v>811</v>
      </c>
      <c r="I115" s="3" t="s">
        <v>238</v>
      </c>
      <c r="J115" s="532">
        <f>+Tax!F186</f>
        <v>4983889</v>
      </c>
      <c r="K115" s="252">
        <v>31700</v>
      </c>
      <c r="L115" s="3" t="s">
        <v>58</v>
      </c>
      <c r="M115" s="534">
        <f>+Tax!G188</f>
        <v>13339440</v>
      </c>
      <c r="N115" s="539">
        <f>-J115</f>
        <v>-4983889</v>
      </c>
      <c r="O115" s="3" t="s">
        <v>2994</v>
      </c>
      <c r="P115" s="309">
        <f>IF(H115&gt;$H$121,2,1)</f>
        <v>2</v>
      </c>
      <c r="Q115" s="309">
        <v>1</v>
      </c>
      <c r="U115" s="67"/>
      <c r="V115" s="67"/>
      <c r="W115" s="67"/>
    </row>
    <row r="116" spans="3:23">
      <c r="E116" s="288"/>
      <c r="H116" s="210" t="s">
        <v>714</v>
      </c>
      <c r="I116" s="202" t="s">
        <v>77</v>
      </c>
      <c r="J116" s="537">
        <f>+Tax!F187</f>
        <v>8355551</v>
      </c>
      <c r="K116" s="241"/>
      <c r="L116" s="201"/>
      <c r="M116" s="242"/>
      <c r="N116" s="259"/>
      <c r="O116" s="202"/>
      <c r="P116" s="309">
        <v>1</v>
      </c>
      <c r="Q116" s="309">
        <f>IF(K116&gt;$H$121,2,1)</f>
        <v>1</v>
      </c>
      <c r="R116" s="100"/>
      <c r="U116" s="67"/>
      <c r="V116" s="67"/>
      <c r="W116" s="67"/>
    </row>
    <row r="117" spans="3:23">
      <c r="E117" s="94"/>
      <c r="H117" s="206"/>
      <c r="J117" s="195"/>
      <c r="K117" s="206"/>
      <c r="M117" s="195"/>
      <c r="S117" s="94"/>
      <c r="U117" s="67"/>
      <c r="V117" s="67"/>
      <c r="W117" s="67"/>
    </row>
    <row r="118" spans="3:23">
      <c r="H118" s="206"/>
      <c r="J118" s="195"/>
      <c r="K118" s="206"/>
      <c r="M118" s="195"/>
      <c r="S118" s="94"/>
      <c r="U118" s="67"/>
      <c r="V118" s="67"/>
      <c r="W118" s="67"/>
    </row>
    <row r="119" spans="3:23">
      <c r="H119" s="202"/>
      <c r="I119" s="202"/>
      <c r="J119" s="203"/>
      <c r="K119" s="241"/>
      <c r="L119" s="201"/>
      <c r="M119" s="242"/>
      <c r="N119" s="259"/>
      <c r="O119" s="202"/>
    </row>
    <row r="120" spans="3:23" ht="14.25" thickBot="1">
      <c r="H120" s="217"/>
      <c r="I120" s="217"/>
      <c r="J120" s="218">
        <f>SUM(J10:J119)</f>
        <v>2676024414</v>
      </c>
      <c r="K120" s="227"/>
      <c r="L120" s="228"/>
      <c r="M120" s="218">
        <f>SUM(M10:M119)</f>
        <v>2676024414</v>
      </c>
      <c r="N120" s="218">
        <f>SUM(N10:N119)</f>
        <v>-34591540</v>
      </c>
      <c r="O120" s="217"/>
    </row>
    <row r="121" spans="3:23" ht="14.25" thickTop="1">
      <c r="H121" s="296">
        <v>40000</v>
      </c>
      <c r="K121" s="206"/>
      <c r="L121" s="4"/>
      <c r="M121" s="96">
        <f>J120-M120</f>
        <v>0</v>
      </c>
      <c r="N121" s="94" t="b">
        <f>N120=-PL!U115</f>
        <v>1</v>
      </c>
    </row>
    <row r="122" spans="3:23">
      <c r="K122" s="206"/>
      <c r="L122" s="4"/>
      <c r="M122" s="96"/>
    </row>
    <row r="123" spans="3:23">
      <c r="H123" s="298" t="s">
        <v>523</v>
      </c>
      <c r="I123" s="298"/>
      <c r="J123" s="299">
        <f>SUMIF($P$10:$P$119,1,$J$10:$J$119)</f>
        <v>2160134988</v>
      </c>
      <c r="K123" s="298"/>
      <c r="L123" s="300"/>
      <c r="M123" s="299">
        <f>SUMIF($Q$10:$Q$119,1,$M$10:$M$119)</f>
        <v>2050293456</v>
      </c>
      <c r="N123" s="299">
        <f>M123-J123</f>
        <v>-109841532</v>
      </c>
      <c r="O123" s="298"/>
      <c r="U123" s="3"/>
      <c r="V123" s="3"/>
      <c r="W123" s="3"/>
    </row>
    <row r="124" spans="3:23">
      <c r="H124" s="202" t="s">
        <v>524</v>
      </c>
      <c r="I124" s="202"/>
      <c r="J124" s="203">
        <f>SUMIF($P$10:$P$119,2,$J$10:$J$119)</f>
        <v>515889426</v>
      </c>
      <c r="K124" s="202"/>
      <c r="L124" s="301"/>
      <c r="M124" s="203">
        <f>SUMIF($Q$10:$Q$119,2,$M$10:$M$119)</f>
        <v>625730958</v>
      </c>
      <c r="N124" s="203">
        <f>M124-J124</f>
        <v>109841532</v>
      </c>
      <c r="O124" s="202"/>
      <c r="U124" s="3"/>
      <c r="V124" s="3"/>
      <c r="W124" s="3"/>
    </row>
    <row r="125" spans="3:23">
      <c r="H125" s="302"/>
      <c r="I125" s="302"/>
      <c r="J125" s="303">
        <f>SUM(J123:J124)</f>
        <v>2676024414</v>
      </c>
      <c r="K125" s="302"/>
      <c r="L125" s="304"/>
      <c r="M125" s="303">
        <f>SUM(M123:M124)</f>
        <v>2676024414</v>
      </c>
      <c r="N125" s="302"/>
      <c r="O125" s="302"/>
      <c r="U125" s="3"/>
      <c r="V125" s="3"/>
      <c r="W125" s="3"/>
    </row>
    <row r="126" spans="3:23">
      <c r="J126" s="94">
        <f>J120-J125</f>
        <v>0</v>
      </c>
      <c r="L126" s="4"/>
      <c r="M126" s="94">
        <f>M120-M125</f>
        <v>0</v>
      </c>
      <c r="N126" s="3"/>
      <c r="U126" s="3"/>
      <c r="V126" s="3"/>
      <c r="W126" s="3"/>
    </row>
    <row r="127" spans="3:23">
      <c r="J127" s="3"/>
      <c r="L127" s="4"/>
      <c r="M127" s="96"/>
      <c r="N127" s="3"/>
      <c r="U127" s="3"/>
      <c r="V127" s="3"/>
      <c r="W127" s="3"/>
    </row>
    <row r="128" spans="3:23">
      <c r="H128" s="3" t="s">
        <v>2692</v>
      </c>
      <c r="J128" s="96">
        <f>BS!S154+PL!T114</f>
        <v>2676024414</v>
      </c>
      <c r="L128" s="4"/>
      <c r="M128" s="96">
        <f>BS!T154+PL!U114+PL!U115</f>
        <v>2676024414</v>
      </c>
      <c r="N128" s="3"/>
      <c r="U128" s="3"/>
      <c r="V128" s="3"/>
      <c r="W128" s="3"/>
    </row>
    <row r="129" spans="8:23">
      <c r="J129" s="96">
        <f>J128-J125</f>
        <v>0</v>
      </c>
      <c r="L129" s="4"/>
      <c r="M129" s="96">
        <f>M128-M125</f>
        <v>0</v>
      </c>
      <c r="N129" s="3"/>
      <c r="U129" s="3"/>
      <c r="V129" s="3"/>
      <c r="W129" s="3"/>
    </row>
    <row r="130" spans="8:23">
      <c r="J130" s="3"/>
      <c r="L130" s="4"/>
      <c r="M130" s="96"/>
      <c r="N130" s="3"/>
      <c r="U130" s="3"/>
      <c r="V130" s="3"/>
      <c r="W130" s="3"/>
    </row>
    <row r="131" spans="8:23" ht="14.25" thickBot="1">
      <c r="J131" s="3"/>
      <c r="L131" s="4"/>
      <c r="M131" s="96"/>
      <c r="N131" s="3"/>
      <c r="U131" s="3"/>
      <c r="V131" s="3"/>
      <c r="W131" s="3"/>
    </row>
    <row r="132" spans="8:23" ht="14.25" thickBot="1">
      <c r="H132" s="1708" t="s">
        <v>1794</v>
      </c>
      <c r="I132" s="1709" t="s">
        <v>1668</v>
      </c>
      <c r="J132" s="1710">
        <f>SUMIF($H$9:$H$119,H132,$J$9:$J$119)</f>
        <v>74000</v>
      </c>
      <c r="K132" s="1709" t="s">
        <v>1794</v>
      </c>
      <c r="L132" s="1709" t="s">
        <v>1668</v>
      </c>
      <c r="M132" s="1711">
        <f>SUMIF($K$9:$K$119,K132,$M$9:$M$119)</f>
        <v>0</v>
      </c>
      <c r="N132" s="3" t="s">
        <v>3489</v>
      </c>
      <c r="U132" s="3"/>
      <c r="V132" s="3"/>
      <c r="W132" s="3"/>
    </row>
    <row r="133" spans="8:23">
      <c r="J133" s="3"/>
      <c r="L133" s="4"/>
      <c r="M133" s="96"/>
      <c r="N133" s="3"/>
      <c r="U133" s="3"/>
      <c r="V133" s="3"/>
      <c r="W133" s="3"/>
    </row>
    <row r="134" spans="8:23">
      <c r="J134" s="3"/>
      <c r="L134" s="4"/>
      <c r="M134" s="96"/>
      <c r="N134" s="3"/>
      <c r="U134" s="3"/>
      <c r="V134" s="3"/>
      <c r="W134" s="3"/>
    </row>
    <row r="135" spans="8:23">
      <c r="J135" s="3"/>
      <c r="L135" s="4"/>
      <c r="M135" s="96"/>
      <c r="N135" s="3"/>
      <c r="U135" s="3"/>
      <c r="V135" s="3"/>
      <c r="W135" s="3"/>
    </row>
    <row r="136" spans="8:23">
      <c r="J136" s="3"/>
      <c r="L136" s="4"/>
      <c r="M136" s="96"/>
      <c r="N136" s="3"/>
      <c r="U136" s="3"/>
      <c r="V136" s="3"/>
      <c r="W136" s="3"/>
    </row>
    <row r="137" spans="8:23">
      <c r="J137" s="3"/>
      <c r="L137" s="4"/>
      <c r="M137" s="96"/>
      <c r="N137" s="3"/>
      <c r="U137" s="3"/>
      <c r="V137" s="3"/>
      <c r="W137" s="3"/>
    </row>
    <row r="138" spans="8:23">
      <c r="J138" s="3"/>
      <c r="L138" s="4"/>
      <c r="M138" s="96"/>
      <c r="N138" s="3"/>
      <c r="U138" s="3"/>
      <c r="V138" s="3"/>
      <c r="W138" s="3"/>
    </row>
    <row r="139" spans="8:23">
      <c r="J139" s="3"/>
      <c r="L139" s="4"/>
      <c r="M139" s="96"/>
      <c r="N139" s="3"/>
      <c r="U139" s="3"/>
      <c r="V139" s="3"/>
      <c r="W139" s="3"/>
    </row>
    <row r="140" spans="8:23">
      <c r="J140" s="3"/>
      <c r="L140" s="4"/>
      <c r="M140" s="96"/>
      <c r="N140" s="3"/>
      <c r="U140" s="3"/>
      <c r="V140" s="3"/>
      <c r="W140" s="3"/>
    </row>
    <row r="141" spans="8:23">
      <c r="J141" s="3"/>
      <c r="L141" s="4"/>
      <c r="M141" s="96"/>
      <c r="N141" s="3"/>
      <c r="U141" s="3"/>
      <c r="V141" s="3"/>
      <c r="W141" s="3"/>
    </row>
    <row r="142" spans="8:23">
      <c r="J142" s="3"/>
      <c r="L142" s="4"/>
      <c r="M142" s="96"/>
      <c r="N142" s="3"/>
      <c r="U142" s="3"/>
      <c r="V142" s="3"/>
      <c r="W142" s="3"/>
    </row>
    <row r="143" spans="8:23">
      <c r="J143" s="3"/>
      <c r="L143" s="4"/>
      <c r="M143" s="96"/>
      <c r="N143" s="3"/>
      <c r="U143" s="3"/>
      <c r="V143" s="3"/>
      <c r="W143" s="3"/>
    </row>
    <row r="144" spans="8:23">
      <c r="J144" s="3"/>
      <c r="L144" s="4"/>
      <c r="M144" s="96"/>
      <c r="N144" s="3"/>
      <c r="U144" s="3"/>
      <c r="V144" s="3"/>
      <c r="W144" s="3"/>
    </row>
    <row r="145" spans="10:23">
      <c r="J145" s="3"/>
      <c r="L145" s="4"/>
      <c r="M145" s="96"/>
      <c r="N145" s="3"/>
      <c r="U145" s="3"/>
      <c r="V145" s="3"/>
      <c r="W145" s="3"/>
    </row>
    <row r="146" spans="10:23">
      <c r="J146" s="3"/>
      <c r="L146" s="4"/>
      <c r="M146" s="96"/>
      <c r="N146" s="3"/>
      <c r="U146" s="3"/>
      <c r="V146" s="3"/>
      <c r="W146" s="3"/>
    </row>
    <row r="147" spans="10:23">
      <c r="J147" s="3"/>
      <c r="L147" s="4"/>
      <c r="M147" s="96"/>
      <c r="N147" s="3"/>
      <c r="U147" s="3"/>
      <c r="V147" s="3"/>
      <c r="W147" s="3"/>
    </row>
    <row r="148" spans="10:23">
      <c r="J148" s="3"/>
      <c r="L148" s="4"/>
      <c r="M148" s="96"/>
      <c r="N148" s="3"/>
      <c r="U148" s="3"/>
      <c r="V148" s="3"/>
      <c r="W148" s="3"/>
    </row>
    <row r="149" spans="10:23">
      <c r="J149" s="3"/>
      <c r="L149" s="4"/>
      <c r="M149" s="96"/>
      <c r="N149" s="3"/>
      <c r="U149" s="3"/>
      <c r="V149" s="3"/>
      <c r="W149" s="3"/>
    </row>
    <row r="150" spans="10:23">
      <c r="J150" s="3"/>
      <c r="L150" s="4"/>
      <c r="M150" s="96"/>
      <c r="N150" s="3"/>
      <c r="U150" s="3"/>
      <c r="V150" s="3"/>
      <c r="W150" s="3"/>
    </row>
    <row r="151" spans="10:23">
      <c r="J151" s="3"/>
      <c r="L151" s="4"/>
      <c r="M151" s="96"/>
      <c r="N151" s="3"/>
    </row>
    <row r="152" spans="10:23">
      <c r="J152" s="3"/>
      <c r="L152" s="4"/>
      <c r="M152" s="96"/>
      <c r="N152" s="3"/>
    </row>
  </sheetData>
  <autoFilter ref="H9:Q121" xr:uid="{00000000-0009-0000-0000-00001B000000}"/>
  <mergeCells count="25">
    <mergeCell ref="B42:B43"/>
    <mergeCell ref="C42:E42"/>
    <mergeCell ref="F42:F43"/>
    <mergeCell ref="B61:B62"/>
    <mergeCell ref="C61:E61"/>
    <mergeCell ref="F61:F62"/>
    <mergeCell ref="C81:E81"/>
    <mergeCell ref="F49:F50"/>
    <mergeCell ref="C49:E49"/>
    <mergeCell ref="B49:B50"/>
    <mergeCell ref="B56:B57"/>
    <mergeCell ref="C56:E56"/>
    <mergeCell ref="F56:F57"/>
    <mergeCell ref="B29:B30"/>
    <mergeCell ref="C29:E29"/>
    <mergeCell ref="F29:F30"/>
    <mergeCell ref="B9:B10"/>
    <mergeCell ref="C9:E9"/>
    <mergeCell ref="F9:F10"/>
    <mergeCell ref="B22:B23"/>
    <mergeCell ref="C22:E22"/>
    <mergeCell ref="F22:F23"/>
    <mergeCell ref="B15:B16"/>
    <mergeCell ref="C15:E15"/>
    <mergeCell ref="F15:F16"/>
  </mergeCells>
  <phoneticPr fontId="3" type="noConversion"/>
  <pageMargins left="0.7" right="0.7" top="0.75" bottom="0.75" header="0.3" footer="0.3"/>
  <pageSetup paperSize="9" orientation="portrait" horizontalDpi="300" verticalDpi="300" r:id="rId1"/>
  <drawing r:id="rId2"/>
  <legacyDrawing r:id="rId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27">
    <tabColor theme="9" tint="0.79998168889431442"/>
  </sheetPr>
  <dimension ref="A1:Q251"/>
  <sheetViews>
    <sheetView showGridLines="0" topLeftCell="A44" zoomScale="85" zoomScaleNormal="85" workbookViewId="0">
      <selection activeCell="G188" sqref="G188"/>
    </sheetView>
  </sheetViews>
  <sheetFormatPr defaultRowHeight="16.5" outlineLevelRow="1"/>
  <cols>
    <col min="1" max="1" width="4.875" bestFit="1" customWidth="1"/>
    <col min="2" max="2" width="23.875" customWidth="1"/>
    <col min="3" max="3" width="15.125" bestFit="1" customWidth="1"/>
    <col min="4" max="4" width="17.875" bestFit="1" customWidth="1"/>
    <col min="5" max="5" width="18.625" bestFit="1" customWidth="1"/>
    <col min="6" max="6" width="20.125" customWidth="1"/>
    <col min="7" max="7" width="19.375" customWidth="1"/>
    <col min="8" max="8" width="65.625" bestFit="1" customWidth="1"/>
    <col min="9" max="9" width="13.5" bestFit="1" customWidth="1"/>
    <col min="10" max="10" width="14.625" bestFit="1" customWidth="1"/>
    <col min="11" max="11" width="28.125" bestFit="1" customWidth="1"/>
    <col min="12" max="12" width="13.625" bestFit="1" customWidth="1"/>
    <col min="13" max="13" width="12.625" bestFit="1" customWidth="1"/>
    <col min="14" max="14" width="3.875" bestFit="1" customWidth="1"/>
  </cols>
  <sheetData>
    <row r="1" spans="2:11" s="16" customFormat="1" ht="29.25">
      <c r="B1" s="17" t="s">
        <v>295</v>
      </c>
    </row>
    <row r="2" spans="2:11" s="16" customFormat="1" ht="13.5"/>
    <row r="3" spans="2:11" s="16" customFormat="1" ht="13.5">
      <c r="B3" s="78" t="s">
        <v>296</v>
      </c>
      <c r="C3" s="18"/>
      <c r="D3" s="18"/>
      <c r="E3" s="19"/>
      <c r="F3" s="18"/>
      <c r="G3" s="18"/>
      <c r="H3" s="18"/>
      <c r="I3" s="18"/>
      <c r="J3" s="18"/>
      <c r="K3" s="18"/>
    </row>
    <row r="4" spans="2:11" s="16" customFormat="1" ht="14.25" thickBot="1">
      <c r="C4" s="18"/>
      <c r="D4" s="18"/>
      <c r="E4" s="19"/>
      <c r="F4" s="18"/>
      <c r="G4" s="18"/>
      <c r="H4" s="18"/>
      <c r="I4" s="18"/>
      <c r="J4" s="18"/>
      <c r="K4" s="18"/>
    </row>
    <row r="5" spans="2:11" s="16" customFormat="1" ht="13.5">
      <c r="B5" s="56" t="s">
        <v>1680</v>
      </c>
      <c r="C5" s="57"/>
      <c r="D5" s="57"/>
      <c r="E5" s="57"/>
      <c r="F5" s="57"/>
      <c r="G5" s="57"/>
      <c r="H5" s="58"/>
      <c r="I5" s="18"/>
      <c r="J5" s="18"/>
    </row>
    <row r="6" spans="2:11" s="16" customFormat="1" ht="14.25" outlineLevel="1" thickBot="1">
      <c r="B6" s="59"/>
      <c r="C6" s="18"/>
      <c r="D6" s="18"/>
      <c r="E6" s="18"/>
      <c r="F6" s="18"/>
      <c r="G6" s="18"/>
      <c r="H6" s="60"/>
      <c r="I6" s="18"/>
      <c r="J6" s="18"/>
    </row>
    <row r="7" spans="2:11" s="16" customFormat="1" ht="13.5" outlineLevel="1">
      <c r="B7" s="21" t="s">
        <v>184</v>
      </c>
      <c r="C7" s="22" t="s">
        <v>2249</v>
      </c>
      <c r="D7" s="23" t="s">
        <v>186</v>
      </c>
      <c r="E7" s="18"/>
      <c r="F7" s="18"/>
      <c r="G7" s="18"/>
      <c r="H7" s="60"/>
      <c r="I7" s="18"/>
      <c r="J7" s="18"/>
    </row>
    <row r="8" spans="2:11" s="16" customFormat="1" ht="14.25" outlineLevel="1" thickBot="1">
      <c r="B8" s="24">
        <v>0</v>
      </c>
      <c r="C8" s="25">
        <v>0.24199999999999999</v>
      </c>
      <c r="D8" s="26">
        <v>0.24199999999999999</v>
      </c>
      <c r="E8" s="18"/>
      <c r="F8" s="18"/>
      <c r="G8" s="18"/>
      <c r="H8" s="60"/>
      <c r="I8" s="18"/>
      <c r="J8" s="18"/>
    </row>
    <row r="9" spans="2:11" s="16" customFormat="1" ht="13.5" outlineLevel="1">
      <c r="B9" s="59"/>
      <c r="C9" s="18"/>
      <c r="D9" s="18"/>
      <c r="E9" s="18"/>
      <c r="F9" s="18"/>
      <c r="G9" s="18"/>
      <c r="H9" s="60"/>
      <c r="I9" s="18"/>
      <c r="J9" s="18"/>
    </row>
    <row r="10" spans="2:11" s="16" customFormat="1" ht="14.25" outlineLevel="1" thickBot="1">
      <c r="B10" s="59"/>
      <c r="C10" s="18"/>
      <c r="D10" s="18"/>
      <c r="E10" s="18"/>
      <c r="F10" s="18"/>
      <c r="G10" s="18"/>
      <c r="H10" s="60"/>
      <c r="I10" s="18"/>
      <c r="J10" s="18"/>
    </row>
    <row r="11" spans="2:11" s="16" customFormat="1" ht="13.5" outlineLevel="1">
      <c r="B11" s="21" t="s">
        <v>188</v>
      </c>
      <c r="C11" s="22" t="s">
        <v>190</v>
      </c>
      <c r="D11" s="22" t="s">
        <v>192</v>
      </c>
      <c r="E11" s="22" t="s">
        <v>194</v>
      </c>
      <c r="F11" s="22" t="s">
        <v>196</v>
      </c>
      <c r="G11" s="23" t="s">
        <v>198</v>
      </c>
      <c r="H11" s="60"/>
      <c r="I11" s="18"/>
      <c r="J11" s="18"/>
    </row>
    <row r="12" spans="2:11" s="16" customFormat="1" ht="13.5" outlineLevel="1">
      <c r="B12" s="27" t="s">
        <v>199</v>
      </c>
      <c r="C12" s="28">
        <f>E21</f>
        <v>0</v>
      </c>
      <c r="D12" s="28" t="s">
        <v>200</v>
      </c>
      <c r="E12" s="28"/>
      <c r="F12" s="28">
        <f>ROUND(E12*C8*(1-B8),0)</f>
        <v>0</v>
      </c>
      <c r="G12" s="29">
        <f>F12</f>
        <v>0</v>
      </c>
      <c r="H12" s="60" t="s">
        <v>2442</v>
      </c>
      <c r="I12" s="18"/>
      <c r="J12" s="18"/>
    </row>
    <row r="13" spans="2:11" s="16" customFormat="1" ht="13.5" outlineLevel="1">
      <c r="B13" s="27" t="s">
        <v>201</v>
      </c>
      <c r="C13" s="28">
        <f>E22</f>
        <v>0</v>
      </c>
      <c r="D13" s="28" t="s">
        <v>202</v>
      </c>
      <c r="E13" s="28">
        <f>C13</f>
        <v>0</v>
      </c>
      <c r="F13" s="28"/>
      <c r="G13" s="29"/>
      <c r="H13" s="60"/>
      <c r="I13" s="18"/>
      <c r="J13" s="18"/>
    </row>
    <row r="14" spans="2:11" s="16" customFormat="1" ht="13.5" outlineLevel="1">
      <c r="B14" s="27" t="s">
        <v>203</v>
      </c>
      <c r="C14" s="28">
        <f>E23</f>
        <v>0</v>
      </c>
      <c r="D14" s="28" t="s">
        <v>204</v>
      </c>
      <c r="E14" s="28">
        <f>C14</f>
        <v>0</v>
      </c>
      <c r="F14" s="28">
        <f>ROUND(E14*C8,0)</f>
        <v>0</v>
      </c>
      <c r="G14" s="29">
        <f>F14</f>
        <v>0</v>
      </c>
      <c r="H14" s="60"/>
      <c r="I14" s="18"/>
      <c r="J14" s="18"/>
    </row>
    <row r="15" spans="2:11" s="16" customFormat="1" ht="13.5" outlineLevel="1">
      <c r="B15" s="27" t="s">
        <v>205</v>
      </c>
      <c r="C15" s="28">
        <f>E24+E25</f>
        <v>0</v>
      </c>
      <c r="D15" s="28" t="s">
        <v>204</v>
      </c>
      <c r="E15" s="28">
        <f>C15</f>
        <v>0</v>
      </c>
      <c r="F15" s="28">
        <f>ROUND(E15*D8,0)</f>
        <v>0</v>
      </c>
      <c r="G15" s="29">
        <f>F15</f>
        <v>0</v>
      </c>
      <c r="H15" s="60"/>
      <c r="I15" s="18"/>
      <c r="J15" s="18"/>
    </row>
    <row r="16" spans="2:11" s="16" customFormat="1" ht="13.5" outlineLevel="1">
      <c r="B16" s="27" t="s">
        <v>65</v>
      </c>
      <c r="C16" s="28">
        <f>E26</f>
        <v>0</v>
      </c>
      <c r="D16" s="28" t="s">
        <v>202</v>
      </c>
      <c r="E16" s="28">
        <f>C16</f>
        <v>0</v>
      </c>
      <c r="F16" s="28"/>
      <c r="G16" s="29"/>
      <c r="H16" s="60"/>
      <c r="I16" s="18"/>
      <c r="J16" s="18"/>
    </row>
    <row r="17" spans="2:10" s="16" customFormat="1" ht="13.5" outlineLevel="1">
      <c r="B17" s="27" t="s">
        <v>71</v>
      </c>
      <c r="C17" s="28">
        <f>E27</f>
        <v>0</v>
      </c>
      <c r="D17" s="28" t="s">
        <v>202</v>
      </c>
      <c r="E17" s="28">
        <f>C17</f>
        <v>0</v>
      </c>
      <c r="F17" s="28"/>
      <c r="G17" s="29"/>
      <c r="H17" s="60" t="s">
        <v>2441</v>
      </c>
      <c r="I17" s="18"/>
      <c r="J17" s="18"/>
    </row>
    <row r="18" spans="2:10" s="16" customFormat="1" ht="14.25" outlineLevel="1" thickBot="1">
      <c r="B18" s="30" t="s">
        <v>206</v>
      </c>
      <c r="C18" s="31">
        <f>SUM(C12:C17)</f>
        <v>0</v>
      </c>
      <c r="D18" s="31"/>
      <c r="E18" s="31">
        <f>SUM(E12:E17)</f>
        <v>0</v>
      </c>
      <c r="F18" s="31">
        <f>SUM(F12:F17)</f>
        <v>0</v>
      </c>
      <c r="G18" s="32">
        <f>SUM(G12:G17)</f>
        <v>0</v>
      </c>
      <c r="H18" s="60"/>
      <c r="I18" s="18"/>
      <c r="J18" s="18"/>
    </row>
    <row r="19" spans="2:10" s="16" customFormat="1" ht="13.5" outlineLevel="1">
      <c r="B19" s="61"/>
      <c r="C19" s="18"/>
      <c r="D19" s="18"/>
      <c r="E19" s="18"/>
      <c r="F19" s="18"/>
      <c r="G19" s="18"/>
      <c r="H19" s="60"/>
      <c r="I19" s="18"/>
      <c r="J19" s="18"/>
    </row>
    <row r="20" spans="2:10" s="16" customFormat="1" ht="13.5" outlineLevel="1">
      <c r="B20" s="62"/>
      <c r="C20" s="33" t="s">
        <v>3426</v>
      </c>
      <c r="D20" s="33" t="s">
        <v>3427</v>
      </c>
      <c r="E20" s="33" t="s">
        <v>142</v>
      </c>
      <c r="F20" s="18"/>
      <c r="G20" s="18"/>
      <c r="H20" s="60"/>
      <c r="I20" s="18"/>
      <c r="J20" s="18"/>
    </row>
    <row r="21" spans="2:10" s="16" customFormat="1" ht="13.5" outlineLevel="1">
      <c r="B21" s="27" t="s">
        <v>199</v>
      </c>
      <c r="C21" s="28">
        <v>0</v>
      </c>
      <c r="D21" s="28">
        <v>0</v>
      </c>
      <c r="E21" s="28">
        <f>C21+D21</f>
        <v>0</v>
      </c>
      <c r="F21" s="18" t="s">
        <v>207</v>
      </c>
      <c r="G21" s="18"/>
      <c r="H21" s="60"/>
      <c r="I21" s="18"/>
      <c r="J21" s="18"/>
    </row>
    <row r="22" spans="2:10" s="16" customFormat="1" ht="13.5" outlineLevel="1">
      <c r="B22" s="27" t="s">
        <v>201</v>
      </c>
      <c r="C22" s="28"/>
      <c r="D22" s="28"/>
      <c r="E22" s="28">
        <f t="shared" ref="E22:E28" si="0">C22+D22</f>
        <v>0</v>
      </c>
      <c r="F22" s="18"/>
      <c r="G22" s="18"/>
      <c r="H22" s="60"/>
      <c r="I22" s="18"/>
      <c r="J22" s="18"/>
    </row>
    <row r="23" spans="2:10" s="16" customFormat="1" ht="13.5" outlineLevel="1">
      <c r="B23" s="27" t="s">
        <v>208</v>
      </c>
      <c r="C23" s="28"/>
      <c r="D23" s="28"/>
      <c r="E23" s="28">
        <f t="shared" si="0"/>
        <v>0</v>
      </c>
      <c r="F23" s="18"/>
      <c r="G23" s="18"/>
      <c r="H23" s="60"/>
      <c r="I23" s="18"/>
      <c r="J23" s="18"/>
    </row>
    <row r="24" spans="2:10" s="16" customFormat="1" ht="13.5" outlineLevel="1">
      <c r="B24" s="27" t="s">
        <v>210</v>
      </c>
      <c r="C24" s="28">
        <v>0</v>
      </c>
      <c r="D24" s="28">
        <v>0</v>
      </c>
      <c r="E24" s="28">
        <f t="shared" si="0"/>
        <v>0</v>
      </c>
      <c r="F24" s="18"/>
      <c r="G24" s="18"/>
      <c r="H24" s="60"/>
      <c r="I24" s="18"/>
      <c r="J24" s="18"/>
    </row>
    <row r="25" spans="2:10" s="16" customFormat="1" ht="13.5" outlineLevel="1">
      <c r="B25" s="27" t="s">
        <v>211</v>
      </c>
      <c r="C25" s="28">
        <v>0</v>
      </c>
      <c r="D25" s="28">
        <v>0</v>
      </c>
      <c r="E25" s="28">
        <f t="shared" si="0"/>
        <v>0</v>
      </c>
      <c r="F25" s="18" t="s">
        <v>212</v>
      </c>
      <c r="G25" s="18"/>
      <c r="H25" s="60"/>
      <c r="I25" s="18"/>
      <c r="J25" s="18"/>
    </row>
    <row r="26" spans="2:10" s="16" customFormat="1" ht="13.5" outlineLevel="1">
      <c r="B26" s="27" t="s">
        <v>65</v>
      </c>
      <c r="C26" s="28"/>
      <c r="D26" s="28"/>
      <c r="E26" s="28">
        <f t="shared" si="0"/>
        <v>0</v>
      </c>
      <c r="F26" s="18"/>
      <c r="G26" s="18"/>
      <c r="H26" s="60"/>
      <c r="I26" s="18"/>
      <c r="J26" s="18"/>
    </row>
    <row r="27" spans="2:10" s="16" customFormat="1" ht="13.5" outlineLevel="1">
      <c r="B27" s="27" t="s">
        <v>71</v>
      </c>
      <c r="C27" s="28">
        <v>0</v>
      </c>
      <c r="D27" s="28">
        <v>0</v>
      </c>
      <c r="E27" s="28">
        <f t="shared" si="0"/>
        <v>0</v>
      </c>
      <c r="F27" s="18"/>
      <c r="G27" s="18"/>
      <c r="H27" s="60"/>
      <c r="I27" s="18"/>
      <c r="J27" s="18"/>
    </row>
    <row r="28" spans="2:10" s="16" customFormat="1" ht="13.5" outlineLevel="1">
      <c r="B28" s="27" t="s">
        <v>206</v>
      </c>
      <c r="C28" s="28">
        <f>SUM(C21:C27)</f>
        <v>0</v>
      </c>
      <c r="D28" s="28">
        <f>SUM(D21:D27)</f>
        <v>0</v>
      </c>
      <c r="E28" s="28">
        <f t="shared" si="0"/>
        <v>0</v>
      </c>
      <c r="F28" s="18"/>
      <c r="G28" s="18"/>
      <c r="H28" s="60"/>
      <c r="I28" s="18"/>
      <c r="J28" s="18"/>
    </row>
    <row r="29" spans="2:10" s="16" customFormat="1" ht="14.25" thickBot="1">
      <c r="B29" s="68"/>
      <c r="C29" s="63"/>
      <c r="D29" s="63"/>
      <c r="E29" s="63"/>
      <c r="F29" s="63"/>
      <c r="G29" s="63"/>
      <c r="H29" s="64"/>
      <c r="I29" s="18"/>
      <c r="J29" s="18"/>
    </row>
    <row r="30" spans="2:10" s="16" customFormat="1" ht="14.25" thickBot="1">
      <c r="C30" s="18"/>
      <c r="D30" s="18"/>
      <c r="E30" s="18"/>
      <c r="F30" s="18"/>
      <c r="G30" s="18"/>
      <c r="H30" s="18"/>
      <c r="I30" s="18"/>
      <c r="J30" s="18"/>
    </row>
    <row r="31" spans="2:10" s="16" customFormat="1" ht="13.5">
      <c r="B31" s="56" t="s">
        <v>1681</v>
      </c>
      <c r="C31" s="57"/>
      <c r="D31" s="57"/>
      <c r="E31" s="57"/>
      <c r="F31" s="57"/>
      <c r="G31" s="57"/>
      <c r="H31" s="58"/>
      <c r="I31" s="18"/>
      <c r="J31" s="18"/>
    </row>
    <row r="32" spans="2:10" s="16" customFormat="1" ht="14.25" thickBot="1">
      <c r="B32" s="59"/>
      <c r="C32" s="18"/>
      <c r="D32" s="18"/>
      <c r="E32" s="18"/>
      <c r="F32" s="18"/>
      <c r="G32" s="18"/>
      <c r="H32" s="60"/>
      <c r="I32" s="18"/>
      <c r="J32" s="18"/>
    </row>
    <row r="33" spans="2:10" s="16" customFormat="1" ht="13.5">
      <c r="B33" s="21" t="s">
        <v>214</v>
      </c>
      <c r="C33" s="22" t="s">
        <v>2248</v>
      </c>
      <c r="D33" s="23" t="s">
        <v>185</v>
      </c>
      <c r="E33" s="18"/>
      <c r="F33" s="18"/>
      <c r="G33" s="18"/>
      <c r="H33" s="60"/>
      <c r="I33" s="18"/>
      <c r="J33" s="18"/>
    </row>
    <row r="34" spans="2:10" s="16" customFormat="1" ht="14.25" thickBot="1">
      <c r="B34" s="24">
        <f>D34/C34</f>
        <v>0.68181818181818188</v>
      </c>
      <c r="C34" s="25">
        <v>0.24199999999999999</v>
      </c>
      <c r="D34" s="26">
        <v>0.16500000000000001</v>
      </c>
      <c r="E34" s="18"/>
      <c r="F34" s="18"/>
      <c r="G34" s="18"/>
      <c r="H34" s="60"/>
      <c r="I34" s="18"/>
      <c r="J34" s="18"/>
    </row>
    <row r="35" spans="2:10" s="16" customFormat="1" ht="13.5">
      <c r="B35" s="59" t="s">
        <v>2445</v>
      </c>
      <c r="C35" s="942"/>
      <c r="D35" s="942"/>
      <c r="E35" s="18"/>
      <c r="F35" s="18"/>
      <c r="G35" s="18"/>
      <c r="H35" s="60"/>
      <c r="I35" s="18"/>
      <c r="J35" s="18"/>
    </row>
    <row r="36" spans="2:10" s="16" customFormat="1" ht="14.25" thickBot="1">
      <c r="B36" s="59"/>
      <c r="C36" s="18"/>
      <c r="D36" s="18"/>
      <c r="E36" s="18"/>
      <c r="F36" s="18"/>
      <c r="G36" s="18"/>
      <c r="H36" s="60"/>
      <c r="I36" s="18"/>
      <c r="J36" s="18"/>
    </row>
    <row r="37" spans="2:10" s="16" customFormat="1" ht="13.5">
      <c r="B37" s="21" t="s">
        <v>187</v>
      </c>
      <c r="C37" s="22" t="s">
        <v>189</v>
      </c>
      <c r="D37" s="22" t="s">
        <v>191</v>
      </c>
      <c r="E37" s="22" t="s">
        <v>193</v>
      </c>
      <c r="F37" s="22" t="s">
        <v>195</v>
      </c>
      <c r="G37" s="23" t="s">
        <v>197</v>
      </c>
      <c r="H37" s="60"/>
      <c r="I37" s="18"/>
      <c r="J37" s="18"/>
    </row>
    <row r="38" spans="2:10" s="16" customFormat="1" ht="13.5">
      <c r="B38" s="27" t="s">
        <v>199</v>
      </c>
      <c r="C38" s="28">
        <f>E47</f>
        <v>588924764</v>
      </c>
      <c r="D38" s="28" t="s">
        <v>200</v>
      </c>
      <c r="E38" s="28">
        <f>IF(D38="배당(지분법주식)",IF(C38&gt;0,C38,0),0)</f>
        <v>588924764</v>
      </c>
      <c r="F38" s="28">
        <f>ROUND(E38*C34*(1-B34),0)</f>
        <v>45347207</v>
      </c>
      <c r="G38" s="29">
        <v>0</v>
      </c>
      <c r="H38" s="60" t="s">
        <v>297</v>
      </c>
      <c r="I38" s="18"/>
      <c r="J38" s="18"/>
    </row>
    <row r="39" spans="2:10" s="16" customFormat="1" ht="13.5">
      <c r="B39" s="27" t="s">
        <v>201</v>
      </c>
      <c r="C39" s="28">
        <f>E48</f>
        <v>0</v>
      </c>
      <c r="D39" s="28" t="s">
        <v>202</v>
      </c>
      <c r="E39" s="28">
        <f>C39</f>
        <v>0</v>
      </c>
      <c r="F39" s="28"/>
      <c r="G39" s="29">
        <f t="shared" ref="G39:G43" si="1">F39</f>
        <v>0</v>
      </c>
      <c r="H39" s="60"/>
      <c r="I39" s="18"/>
      <c r="J39" s="18"/>
    </row>
    <row r="40" spans="2:10" s="16" customFormat="1" ht="13.5">
      <c r="B40" s="27" t="s">
        <v>203</v>
      </c>
      <c r="C40" s="28">
        <f>E49</f>
        <v>0</v>
      </c>
      <c r="D40" s="28" t="s">
        <v>204</v>
      </c>
      <c r="E40" s="28">
        <f>C40</f>
        <v>0</v>
      </c>
      <c r="F40" s="28">
        <f>ROUND(E40*C34,0)</f>
        <v>0</v>
      </c>
      <c r="G40" s="29">
        <f t="shared" si="1"/>
        <v>0</v>
      </c>
      <c r="H40" s="60"/>
      <c r="I40" s="18"/>
      <c r="J40" s="18"/>
    </row>
    <row r="41" spans="2:10" s="16" customFormat="1" ht="13.5">
      <c r="B41" s="27" t="s">
        <v>205</v>
      </c>
      <c r="C41" s="28">
        <f>E50+E51</f>
        <v>80845090</v>
      </c>
      <c r="D41" s="28" t="s">
        <v>204</v>
      </c>
      <c r="E41" s="28">
        <f>C41</f>
        <v>80845090</v>
      </c>
      <c r="F41" s="28">
        <f>ROUND(E41*D34,0)</f>
        <v>13339440</v>
      </c>
      <c r="G41" s="29">
        <f t="shared" si="1"/>
        <v>13339440</v>
      </c>
      <c r="H41" s="60"/>
      <c r="I41" s="18"/>
      <c r="J41" s="18"/>
    </row>
    <row r="42" spans="2:10" s="16" customFormat="1" ht="13.5">
      <c r="B42" s="27" t="s">
        <v>65</v>
      </c>
      <c r="C42" s="28">
        <f>E52</f>
        <v>0</v>
      </c>
      <c r="D42" s="28" t="s">
        <v>202</v>
      </c>
      <c r="E42" s="28">
        <f>C42</f>
        <v>0</v>
      </c>
      <c r="F42" s="28"/>
      <c r="G42" s="29">
        <f t="shared" si="1"/>
        <v>0</v>
      </c>
      <c r="H42" s="60"/>
      <c r="I42" s="18"/>
      <c r="J42" s="18"/>
    </row>
    <row r="43" spans="2:10" s="16" customFormat="1" ht="13.5">
      <c r="B43" s="27" t="s">
        <v>71</v>
      </c>
      <c r="C43" s="28">
        <f>E53</f>
        <v>195867615</v>
      </c>
      <c r="D43" s="28" t="s">
        <v>202</v>
      </c>
      <c r="E43" s="28">
        <f>C43</f>
        <v>195867615</v>
      </c>
      <c r="F43" s="28"/>
      <c r="G43" s="29">
        <f t="shared" si="1"/>
        <v>0</v>
      </c>
      <c r="H43" s="60" t="s">
        <v>297</v>
      </c>
      <c r="I43" s="18"/>
      <c r="J43" s="18"/>
    </row>
    <row r="44" spans="2:10" s="16" customFormat="1" ht="14.25" thickBot="1">
      <c r="B44" s="30" t="s">
        <v>206</v>
      </c>
      <c r="C44" s="31">
        <f>SUM(C38:C43)</f>
        <v>865637469</v>
      </c>
      <c r="D44" s="31"/>
      <c r="E44" s="31">
        <f>SUM(E38:E43)</f>
        <v>865637469</v>
      </c>
      <c r="F44" s="31">
        <f>SUM(F38:F43)</f>
        <v>58686647</v>
      </c>
      <c r="G44" s="32">
        <f>SUM(G38:G43)</f>
        <v>13339440</v>
      </c>
      <c r="H44" s="60"/>
      <c r="I44" s="18"/>
      <c r="J44" s="18"/>
    </row>
    <row r="45" spans="2:10" s="16" customFormat="1" ht="13.5">
      <c r="B45" s="61"/>
      <c r="C45" s="18"/>
      <c r="D45" s="18"/>
      <c r="E45" s="18"/>
      <c r="F45" s="18"/>
      <c r="G45" s="18"/>
      <c r="H45" s="60"/>
      <c r="I45" s="18"/>
      <c r="J45" s="18"/>
    </row>
    <row r="46" spans="2:10" s="16" customFormat="1" ht="13.5">
      <c r="B46" s="62"/>
      <c r="C46" s="33" t="str">
        <f>C20</f>
        <v>2025년말 누적</v>
      </c>
      <c r="D46" s="33" t="str">
        <f>D20</f>
        <v>2026년말</v>
      </c>
      <c r="E46" s="33" t="s">
        <v>142</v>
      </c>
      <c r="F46" s="18"/>
      <c r="G46" s="18"/>
      <c r="H46" s="60"/>
      <c r="I46" s="18"/>
      <c r="J46" s="18"/>
    </row>
    <row r="47" spans="2:10" s="16" customFormat="1" ht="13.5">
      <c r="B47" s="27" t="s">
        <v>199</v>
      </c>
      <c r="C47" s="28">
        <v>574922261</v>
      </c>
      <c r="D47" s="28">
        <f>HK!D358</f>
        <v>14002503</v>
      </c>
      <c r="E47" s="28">
        <f>C47+D47</f>
        <v>588924764</v>
      </c>
      <c r="F47" s="18" t="s">
        <v>207</v>
      </c>
      <c r="G47" s="18"/>
      <c r="H47" s="60"/>
      <c r="I47" s="18"/>
      <c r="J47" s="18"/>
    </row>
    <row r="48" spans="2:10" s="16" customFormat="1" ht="13.5">
      <c r="B48" s="27" t="s">
        <v>201</v>
      </c>
      <c r="C48" s="28"/>
      <c r="D48" s="28"/>
      <c r="E48" s="28">
        <f t="shared" ref="E48:E54" si="2">C48+D48</f>
        <v>0</v>
      </c>
      <c r="F48" s="18"/>
      <c r="G48" s="18"/>
      <c r="H48" s="60"/>
      <c r="I48" s="18"/>
      <c r="J48" s="18"/>
    </row>
    <row r="49" spans="2:10" s="16" customFormat="1" ht="13.5">
      <c r="B49" s="27" t="s">
        <v>203</v>
      </c>
      <c r="C49" s="28"/>
      <c r="D49" s="28"/>
      <c r="E49" s="28">
        <f t="shared" si="2"/>
        <v>0</v>
      </c>
      <c r="F49" s="18"/>
      <c r="G49" s="18"/>
      <c r="H49" s="60"/>
      <c r="I49" s="18"/>
      <c r="J49" s="18"/>
    </row>
    <row r="50" spans="2:10" s="16" customFormat="1" ht="13.5">
      <c r="B50" s="27" t="s">
        <v>209</v>
      </c>
      <c r="C50" s="28">
        <v>50639702</v>
      </c>
      <c r="D50" s="28">
        <f>-C50</f>
        <v>-50639702</v>
      </c>
      <c r="E50" s="28">
        <f t="shared" si="2"/>
        <v>0</v>
      </c>
      <c r="F50" s="18" t="s">
        <v>215</v>
      </c>
      <c r="G50" s="18"/>
      <c r="H50" s="60"/>
      <c r="I50" s="18"/>
      <c r="J50" s="18"/>
    </row>
    <row r="51" spans="2:10" s="16" customFormat="1" ht="13.5">
      <c r="B51" s="27" t="s">
        <v>211</v>
      </c>
      <c r="C51" s="28">
        <v>0</v>
      </c>
      <c r="D51" s="28">
        <f>RIT!E99</f>
        <v>80845090</v>
      </c>
      <c r="E51" s="28">
        <f t="shared" si="2"/>
        <v>80845090</v>
      </c>
      <c r="F51" s="18" t="s">
        <v>2437</v>
      </c>
      <c r="G51" s="18"/>
      <c r="H51" s="60"/>
      <c r="I51" s="18"/>
      <c r="J51" s="18"/>
    </row>
    <row r="52" spans="2:10" s="16" customFormat="1" ht="13.5">
      <c r="B52" s="27" t="s">
        <v>65</v>
      </c>
      <c r="C52" s="28"/>
      <c r="D52" s="28"/>
      <c r="E52" s="28">
        <f t="shared" si="2"/>
        <v>0</v>
      </c>
      <c r="F52" s="18"/>
      <c r="G52" s="18"/>
      <c r="H52" s="60"/>
      <c r="I52" s="18"/>
      <c r="J52" s="18"/>
    </row>
    <row r="53" spans="2:10" s="16" customFormat="1" ht="13.5">
      <c r="B53" s="27" t="s">
        <v>71</v>
      </c>
      <c r="C53" s="28">
        <v>95899090</v>
      </c>
      <c r="D53" s="28">
        <f>HK_PL!H87</f>
        <v>99968525</v>
      </c>
      <c r="E53" s="28">
        <f t="shared" si="2"/>
        <v>195867615</v>
      </c>
      <c r="F53" s="18" t="s">
        <v>213</v>
      </c>
      <c r="G53" s="18"/>
      <c r="H53" s="60"/>
      <c r="I53" s="18"/>
      <c r="J53" s="18"/>
    </row>
    <row r="54" spans="2:10" s="16" customFormat="1" ht="13.5">
      <c r="B54" s="27" t="s">
        <v>206</v>
      </c>
      <c r="C54" s="28">
        <f>SUM(C47:C53)</f>
        <v>721461053</v>
      </c>
      <c r="D54" s="28">
        <f>SUM(D47:D53)</f>
        <v>144176416</v>
      </c>
      <c r="E54" s="28">
        <f t="shared" si="2"/>
        <v>865637469</v>
      </c>
      <c r="F54" s="18"/>
      <c r="G54" s="18"/>
      <c r="H54" s="60"/>
      <c r="I54" s="18"/>
      <c r="J54" s="18"/>
    </row>
    <row r="55" spans="2:10" s="16" customFormat="1" ht="14.25" thickBot="1">
      <c r="B55" s="68"/>
      <c r="C55" s="63"/>
      <c r="D55" s="63"/>
      <c r="E55" s="63"/>
      <c r="F55" s="63"/>
      <c r="G55" s="63"/>
      <c r="H55" s="64"/>
      <c r="I55" s="18"/>
      <c r="J55" s="18"/>
    </row>
    <row r="56" spans="2:10" s="16" customFormat="1" ht="14.25" thickBot="1">
      <c r="C56" s="18"/>
      <c r="D56" s="18"/>
      <c r="E56" s="18"/>
      <c r="F56" s="18"/>
      <c r="G56" s="18"/>
      <c r="H56" s="18"/>
      <c r="I56" s="18"/>
      <c r="J56" s="18"/>
    </row>
    <row r="57" spans="2:10" s="16" customFormat="1" ht="13.5">
      <c r="B57" s="56" t="s">
        <v>1682</v>
      </c>
      <c r="C57" s="57"/>
      <c r="D57" s="57"/>
      <c r="E57" s="57"/>
      <c r="F57" s="57"/>
      <c r="G57" s="57"/>
      <c r="H57" s="58"/>
      <c r="I57" s="18"/>
      <c r="J57" s="18"/>
    </row>
    <row r="58" spans="2:10" s="16" customFormat="1" ht="14.25" thickBot="1">
      <c r="B58" s="59"/>
      <c r="C58" s="18"/>
      <c r="D58" s="18"/>
      <c r="E58" s="18"/>
      <c r="F58" s="18"/>
      <c r="G58" s="18"/>
      <c r="H58" s="60"/>
      <c r="I58" s="18"/>
      <c r="J58" s="18"/>
    </row>
    <row r="59" spans="2:10" s="16" customFormat="1" ht="13.5">
      <c r="B59" s="21" t="s">
        <v>214</v>
      </c>
      <c r="C59" s="22" t="s">
        <v>2248</v>
      </c>
      <c r="D59" s="23" t="s">
        <v>185</v>
      </c>
      <c r="E59" s="18"/>
      <c r="F59" s="18"/>
      <c r="G59" s="18"/>
      <c r="H59" s="60"/>
      <c r="I59" s="18"/>
      <c r="J59" s="18"/>
    </row>
    <row r="60" spans="2:10" s="16" customFormat="1" ht="14.25" thickBot="1">
      <c r="B60" s="24">
        <f>D60/C60</f>
        <v>0.68181818181818188</v>
      </c>
      <c r="C60" s="25">
        <v>0.24199999999999999</v>
      </c>
      <c r="D60" s="26">
        <f>D34</f>
        <v>0.16500000000000001</v>
      </c>
      <c r="E60" s="18"/>
      <c r="F60" s="18"/>
      <c r="G60" s="18"/>
      <c r="H60" s="60"/>
      <c r="I60" s="18"/>
      <c r="J60" s="18"/>
    </row>
    <row r="61" spans="2:10" s="16" customFormat="1" ht="13.5">
      <c r="B61" s="59" t="s">
        <v>2446</v>
      </c>
      <c r="C61" s="18"/>
      <c r="D61" s="18"/>
      <c r="E61" s="18"/>
      <c r="F61" s="18"/>
      <c r="G61" s="18"/>
      <c r="H61" s="60"/>
      <c r="I61" s="18"/>
      <c r="J61" s="18"/>
    </row>
    <row r="62" spans="2:10" s="16" customFormat="1" ht="14.25" thickBot="1">
      <c r="B62" s="59"/>
      <c r="C62" s="18"/>
      <c r="D62" s="18"/>
      <c r="E62" s="18"/>
      <c r="F62" s="18"/>
      <c r="G62" s="18"/>
      <c r="H62" s="60"/>
      <c r="I62" s="18"/>
      <c r="J62" s="18"/>
    </row>
    <row r="63" spans="2:10" s="16" customFormat="1" ht="13.5">
      <c r="B63" s="21" t="s">
        <v>187</v>
      </c>
      <c r="C63" s="22" t="s">
        <v>189</v>
      </c>
      <c r="D63" s="22" t="s">
        <v>191</v>
      </c>
      <c r="E63" s="22" t="s">
        <v>193</v>
      </c>
      <c r="F63" s="22" t="s">
        <v>195</v>
      </c>
      <c r="G63" s="23" t="s">
        <v>197</v>
      </c>
      <c r="H63" s="60"/>
      <c r="I63" s="18"/>
      <c r="J63" s="18"/>
    </row>
    <row r="64" spans="2:10" s="16" customFormat="1" ht="13.5">
      <c r="B64" s="27" t="s">
        <v>199</v>
      </c>
      <c r="C64" s="28">
        <f>E73</f>
        <v>-1340725865</v>
      </c>
      <c r="D64" s="28" t="s">
        <v>200</v>
      </c>
      <c r="E64" s="28"/>
      <c r="F64" s="28">
        <f>ROUND(E64*C60*(1-B60),0)</f>
        <v>0</v>
      </c>
      <c r="G64" s="29">
        <f t="shared" ref="G64:G69" si="3">F64</f>
        <v>0</v>
      </c>
      <c r="H64" s="60" t="s">
        <v>2441</v>
      </c>
      <c r="I64" s="18"/>
      <c r="J64" s="18"/>
    </row>
    <row r="65" spans="2:10" s="16" customFormat="1" ht="13.5">
      <c r="B65" s="27" t="s">
        <v>201</v>
      </c>
      <c r="C65" s="28">
        <f>E74</f>
        <v>0</v>
      </c>
      <c r="D65" s="28" t="s">
        <v>202</v>
      </c>
      <c r="E65" s="28">
        <f>C65</f>
        <v>0</v>
      </c>
      <c r="F65" s="28"/>
      <c r="G65" s="29">
        <f t="shared" si="3"/>
        <v>0</v>
      </c>
      <c r="H65" s="60"/>
      <c r="I65" s="18"/>
      <c r="J65" s="18"/>
    </row>
    <row r="66" spans="2:10" s="16" customFormat="1" ht="13.5">
      <c r="B66" s="27" t="s">
        <v>203</v>
      </c>
      <c r="C66" s="28">
        <f>E75</f>
        <v>0</v>
      </c>
      <c r="D66" s="28" t="s">
        <v>204</v>
      </c>
      <c r="E66" s="28">
        <f>C66</f>
        <v>0</v>
      </c>
      <c r="F66" s="28">
        <f>ROUND(E66*C60,0)</f>
        <v>0</v>
      </c>
      <c r="G66" s="29">
        <f t="shared" si="3"/>
        <v>0</v>
      </c>
      <c r="H66" s="60"/>
      <c r="I66" s="18"/>
      <c r="J66" s="18"/>
    </row>
    <row r="67" spans="2:10" s="16" customFormat="1" ht="13.5">
      <c r="B67" s="27" t="s">
        <v>205</v>
      </c>
      <c r="C67" s="28">
        <f>E76+E77</f>
        <v>0</v>
      </c>
      <c r="D67" s="28" t="s">
        <v>204</v>
      </c>
      <c r="E67" s="28">
        <f>C67</f>
        <v>0</v>
      </c>
      <c r="F67" s="28">
        <f>ROUND(E67*D60,0)</f>
        <v>0</v>
      </c>
      <c r="G67" s="29">
        <f t="shared" si="3"/>
        <v>0</v>
      </c>
      <c r="H67" s="60"/>
      <c r="I67" s="18"/>
      <c r="J67" s="18"/>
    </row>
    <row r="68" spans="2:10" s="16" customFormat="1" ht="13.5">
      <c r="B68" s="27" t="s">
        <v>65</v>
      </c>
      <c r="C68" s="28">
        <f>E78</f>
        <v>0</v>
      </c>
      <c r="D68" s="28" t="s">
        <v>202</v>
      </c>
      <c r="E68" s="28">
        <f>C68</f>
        <v>0</v>
      </c>
      <c r="F68" s="28"/>
      <c r="G68" s="29">
        <f t="shared" si="3"/>
        <v>0</v>
      </c>
      <c r="H68" s="60"/>
      <c r="I68" s="18"/>
      <c r="J68" s="18"/>
    </row>
    <row r="69" spans="2:10" s="16" customFormat="1" ht="13.5">
      <c r="B69" s="27" t="s">
        <v>71</v>
      </c>
      <c r="C69" s="28">
        <f>E79</f>
        <v>-122811246</v>
      </c>
      <c r="D69" s="28" t="s">
        <v>202</v>
      </c>
      <c r="E69" s="28">
        <f>C69</f>
        <v>-122811246</v>
      </c>
      <c r="F69" s="28"/>
      <c r="G69" s="29">
        <f t="shared" si="3"/>
        <v>0</v>
      </c>
      <c r="H69" s="60" t="s">
        <v>2441</v>
      </c>
      <c r="I69" s="18"/>
      <c r="J69" s="18"/>
    </row>
    <row r="70" spans="2:10" s="16" customFormat="1" ht="14.25" thickBot="1">
      <c r="B70" s="30" t="s">
        <v>216</v>
      </c>
      <c r="C70" s="31">
        <f>SUM(C64:C69)</f>
        <v>-1463537111</v>
      </c>
      <c r="D70" s="31"/>
      <c r="E70" s="31">
        <f>SUM(E64:E69)</f>
        <v>-122811246</v>
      </c>
      <c r="F70" s="31">
        <f>SUM(F64:F69)</f>
        <v>0</v>
      </c>
      <c r="G70" s="32">
        <f>SUM(G64:G69)</f>
        <v>0</v>
      </c>
      <c r="H70" s="60"/>
      <c r="I70" s="18"/>
      <c r="J70" s="18"/>
    </row>
    <row r="71" spans="2:10" s="16" customFormat="1" ht="13.5">
      <c r="B71" s="61"/>
      <c r="C71" s="18"/>
      <c r="D71" s="18"/>
      <c r="E71" s="18"/>
      <c r="F71" s="18"/>
      <c r="G71" s="18"/>
      <c r="H71" s="60"/>
      <c r="I71" s="18"/>
      <c r="J71" s="18"/>
    </row>
    <row r="72" spans="2:10" s="16" customFormat="1" ht="13.5">
      <c r="B72" s="62"/>
      <c r="C72" s="33" t="str">
        <f>C46</f>
        <v>2025년말 누적</v>
      </c>
      <c r="D72" s="33" t="str">
        <f>D46</f>
        <v>2026년말</v>
      </c>
      <c r="E72" s="33" t="s">
        <v>217</v>
      </c>
      <c r="F72" s="18"/>
      <c r="G72" s="18"/>
      <c r="H72" s="60"/>
      <c r="I72" s="18"/>
      <c r="J72" s="18"/>
    </row>
    <row r="73" spans="2:10" s="16" customFormat="1" ht="13.5">
      <c r="B73" s="27" t="s">
        <v>199</v>
      </c>
      <c r="C73" s="28">
        <v>-1243799536</v>
      </c>
      <c r="D73" s="28">
        <f>DHK!D179</f>
        <v>-96926329</v>
      </c>
      <c r="E73" s="28">
        <f>C73+D73</f>
        <v>-1340725865</v>
      </c>
      <c r="F73" s="18" t="s">
        <v>218</v>
      </c>
      <c r="G73" s="18"/>
      <c r="H73" s="60"/>
      <c r="I73" s="18"/>
      <c r="J73" s="18"/>
    </row>
    <row r="74" spans="2:10" s="16" customFormat="1" ht="13.5">
      <c r="B74" s="27" t="s">
        <v>201</v>
      </c>
      <c r="C74" s="28"/>
      <c r="D74" s="28"/>
      <c r="E74" s="28">
        <f t="shared" ref="E74:E80" si="4">C74+D74</f>
        <v>0</v>
      </c>
      <c r="F74" s="18"/>
      <c r="G74" s="18"/>
      <c r="H74" s="60"/>
      <c r="I74" s="18"/>
      <c r="J74" s="18"/>
    </row>
    <row r="75" spans="2:10" s="16" customFormat="1" ht="13.5">
      <c r="B75" s="27" t="s">
        <v>219</v>
      </c>
      <c r="C75" s="28"/>
      <c r="D75" s="28"/>
      <c r="E75" s="28">
        <f t="shared" si="4"/>
        <v>0</v>
      </c>
      <c r="F75" s="18"/>
      <c r="G75" s="18"/>
      <c r="H75" s="60"/>
      <c r="I75" s="18"/>
      <c r="J75" s="18"/>
    </row>
    <row r="76" spans="2:10" s="16" customFormat="1" ht="13.5">
      <c r="B76" s="27" t="s">
        <v>220</v>
      </c>
      <c r="C76" s="28"/>
      <c r="D76" s="28"/>
      <c r="E76" s="28">
        <f t="shared" si="4"/>
        <v>0</v>
      </c>
      <c r="F76" s="18" t="s">
        <v>221</v>
      </c>
      <c r="G76" s="18"/>
      <c r="H76" s="60"/>
      <c r="I76" s="18"/>
      <c r="J76" s="18"/>
    </row>
    <row r="77" spans="2:10" s="16" customFormat="1" ht="13.5">
      <c r="B77" s="27" t="s">
        <v>222</v>
      </c>
      <c r="C77" s="28"/>
      <c r="D77" s="28"/>
      <c r="E77" s="28"/>
      <c r="F77" s="18"/>
      <c r="G77" s="18"/>
      <c r="H77" s="60"/>
      <c r="I77" s="18"/>
      <c r="J77" s="18"/>
    </row>
    <row r="78" spans="2:10" s="16" customFormat="1" ht="13.5">
      <c r="B78" s="27" t="s">
        <v>65</v>
      </c>
      <c r="C78" s="28"/>
      <c r="D78" s="28"/>
      <c r="E78" s="28">
        <f t="shared" si="4"/>
        <v>0</v>
      </c>
      <c r="F78" s="18"/>
      <c r="G78" s="18"/>
      <c r="H78" s="60"/>
      <c r="I78" s="18"/>
      <c r="J78" s="18"/>
    </row>
    <row r="79" spans="2:10" s="16" customFormat="1" ht="13.5">
      <c r="B79" s="27" t="s">
        <v>71</v>
      </c>
      <c r="C79" s="28">
        <v>-45357225</v>
      </c>
      <c r="D79" s="28">
        <f>DHK!D180</f>
        <v>-77454021</v>
      </c>
      <c r="E79" s="28">
        <f t="shared" si="4"/>
        <v>-122811246</v>
      </c>
      <c r="F79" s="18" t="s">
        <v>223</v>
      </c>
      <c r="G79" s="18"/>
      <c r="H79" s="60"/>
      <c r="I79" s="18"/>
      <c r="J79" s="18"/>
    </row>
    <row r="80" spans="2:10" s="16" customFormat="1" ht="13.5">
      <c r="B80" s="27" t="s">
        <v>216</v>
      </c>
      <c r="C80" s="28">
        <f>SUM(C73:C79)</f>
        <v>-1289156761</v>
      </c>
      <c r="D80" s="28">
        <f>SUM(D73:D79)</f>
        <v>-174380350</v>
      </c>
      <c r="E80" s="28">
        <f t="shared" si="4"/>
        <v>-1463537111</v>
      </c>
      <c r="F80" s="18"/>
      <c r="G80" s="18"/>
      <c r="H80" s="60"/>
      <c r="I80" s="18"/>
      <c r="J80" s="18"/>
    </row>
    <row r="81" spans="2:10" s="16" customFormat="1" ht="13.5">
      <c r="B81" s="61"/>
      <c r="C81" s="18"/>
      <c r="D81" s="18"/>
      <c r="E81" s="18"/>
      <c r="F81" s="18"/>
      <c r="G81" s="18"/>
      <c r="H81" s="60"/>
      <c r="I81" s="18"/>
      <c r="J81" s="18"/>
    </row>
    <row r="82" spans="2:10" s="16" customFormat="1" ht="14.25" thickBot="1">
      <c r="B82" s="68"/>
      <c r="C82" s="63"/>
      <c r="D82" s="63"/>
      <c r="E82" s="63"/>
      <c r="F82" s="63"/>
      <c r="G82" s="63"/>
      <c r="H82" s="64"/>
      <c r="I82" s="18"/>
      <c r="J82" s="18"/>
    </row>
    <row r="83" spans="2:10" s="16" customFormat="1" ht="14.25" thickBot="1">
      <c r="C83" s="18"/>
      <c r="D83" s="18"/>
      <c r="E83" s="18"/>
      <c r="F83" s="18"/>
      <c r="G83" s="18"/>
      <c r="H83" s="18"/>
      <c r="I83" s="18"/>
      <c r="J83" s="18"/>
    </row>
    <row r="84" spans="2:10" s="16" customFormat="1" ht="13.5">
      <c r="B84" s="56" t="s">
        <v>1683</v>
      </c>
      <c r="C84" s="57"/>
      <c r="D84" s="57"/>
      <c r="E84" s="57"/>
      <c r="F84" s="57"/>
      <c r="G84" s="57"/>
      <c r="H84" s="58"/>
      <c r="I84" s="18"/>
      <c r="J84" s="18"/>
    </row>
    <row r="85" spans="2:10" s="16" customFormat="1" ht="14.25" thickBot="1">
      <c r="B85" s="59"/>
      <c r="C85" s="18"/>
      <c r="D85" s="18"/>
      <c r="E85" s="18"/>
      <c r="F85" s="18"/>
      <c r="G85" s="18"/>
      <c r="H85" s="60"/>
      <c r="I85" s="18"/>
      <c r="J85" s="18"/>
    </row>
    <row r="86" spans="2:10" s="16" customFormat="1" ht="13.5">
      <c r="B86" s="21" t="s">
        <v>214</v>
      </c>
      <c r="C86" s="22" t="s">
        <v>2248</v>
      </c>
      <c r="D86" s="23" t="s">
        <v>185</v>
      </c>
      <c r="E86" s="18"/>
      <c r="F86" s="18"/>
      <c r="G86" s="18"/>
      <c r="H86" s="60"/>
      <c r="I86" s="18"/>
      <c r="J86" s="18"/>
    </row>
    <row r="87" spans="2:10" s="16" customFormat="1" ht="14.25" thickBot="1">
      <c r="B87" s="24">
        <v>1</v>
      </c>
      <c r="C87" s="25">
        <v>0.24199999999999999</v>
      </c>
      <c r="D87" s="26">
        <v>0.25</v>
      </c>
      <c r="E87" s="18"/>
      <c r="F87" s="18"/>
      <c r="G87" s="18"/>
      <c r="H87" s="60"/>
      <c r="I87" s="18"/>
      <c r="J87" s="18"/>
    </row>
    <row r="88" spans="2:10" s="16" customFormat="1" ht="13.5">
      <c r="B88" s="59" t="s">
        <v>2436</v>
      </c>
      <c r="C88" s="18"/>
      <c r="D88" s="18"/>
      <c r="E88" s="18"/>
      <c r="F88" s="18"/>
      <c r="G88" s="18"/>
      <c r="H88" s="60"/>
      <c r="I88" s="18"/>
      <c r="J88" s="18"/>
    </row>
    <row r="89" spans="2:10" s="16" customFormat="1" ht="14.25" thickBot="1">
      <c r="B89" s="59"/>
      <c r="C89" s="18"/>
      <c r="D89" s="18"/>
      <c r="E89" s="18"/>
      <c r="F89" s="18"/>
      <c r="G89" s="18"/>
      <c r="H89" s="60"/>
      <c r="I89" s="18"/>
      <c r="J89" s="18"/>
    </row>
    <row r="90" spans="2:10" s="16" customFormat="1" ht="13.5">
      <c r="B90" s="21" t="s">
        <v>187</v>
      </c>
      <c r="C90" s="22" t="s">
        <v>189</v>
      </c>
      <c r="D90" s="22" t="s">
        <v>191</v>
      </c>
      <c r="E90" s="22" t="s">
        <v>193</v>
      </c>
      <c r="F90" s="22" t="s">
        <v>195</v>
      </c>
      <c r="G90" s="23" t="s">
        <v>197</v>
      </c>
      <c r="H90" s="60"/>
      <c r="I90" s="18"/>
      <c r="J90" s="18"/>
    </row>
    <row r="91" spans="2:10" s="16" customFormat="1" ht="13.5">
      <c r="B91" s="27" t="s">
        <v>199</v>
      </c>
      <c r="C91" s="28">
        <f>E100</f>
        <v>-232689315</v>
      </c>
      <c r="D91" s="28" t="s">
        <v>200</v>
      </c>
      <c r="E91" s="28"/>
      <c r="F91" s="28">
        <f>ROUND(E91*C87*(1-B87),0)</f>
        <v>0</v>
      </c>
      <c r="G91" s="29">
        <f t="shared" ref="G91:G96" si="5">F91</f>
        <v>0</v>
      </c>
      <c r="H91" s="60" t="s">
        <v>2441</v>
      </c>
      <c r="I91" s="18"/>
      <c r="J91" s="18"/>
    </row>
    <row r="92" spans="2:10" s="16" customFormat="1" ht="13.5">
      <c r="B92" s="27" t="s">
        <v>201</v>
      </c>
      <c r="C92" s="28">
        <f>E101</f>
        <v>0</v>
      </c>
      <c r="D92" s="28" t="s">
        <v>202</v>
      </c>
      <c r="E92" s="28">
        <f>C92</f>
        <v>0</v>
      </c>
      <c r="F92" s="28"/>
      <c r="G92" s="29">
        <f t="shared" si="5"/>
        <v>0</v>
      </c>
      <c r="H92" s="60"/>
      <c r="I92" s="18"/>
      <c r="J92" s="18"/>
    </row>
    <row r="93" spans="2:10" s="16" customFormat="1" ht="13.5">
      <c r="B93" s="27" t="s">
        <v>203</v>
      </c>
      <c r="C93" s="28">
        <f>E102</f>
        <v>0</v>
      </c>
      <c r="D93" s="28" t="s">
        <v>204</v>
      </c>
      <c r="E93" s="28">
        <f>C93</f>
        <v>0</v>
      </c>
      <c r="F93" s="28">
        <f>ROUND(E93*C87,0)</f>
        <v>0</v>
      </c>
      <c r="G93" s="29">
        <f t="shared" si="5"/>
        <v>0</v>
      </c>
      <c r="H93" s="60"/>
      <c r="I93" s="18"/>
      <c r="J93" s="18"/>
    </row>
    <row r="94" spans="2:10" s="16" customFormat="1" ht="13.5">
      <c r="B94" s="27" t="s">
        <v>205</v>
      </c>
      <c r="C94" s="28">
        <f>E103+E104</f>
        <v>0</v>
      </c>
      <c r="D94" s="28" t="s">
        <v>204</v>
      </c>
      <c r="E94" s="28">
        <f>C94</f>
        <v>0</v>
      </c>
      <c r="F94" s="28">
        <f>ROUND(E94*D87,0)</f>
        <v>0</v>
      </c>
      <c r="G94" s="29">
        <f t="shared" si="5"/>
        <v>0</v>
      </c>
      <c r="H94" s="60"/>
      <c r="I94" s="18"/>
      <c r="J94" s="18"/>
    </row>
    <row r="95" spans="2:10" s="16" customFormat="1" ht="13.5">
      <c r="B95" s="27" t="s">
        <v>65</v>
      </c>
      <c r="C95" s="28">
        <f>E105</f>
        <v>0</v>
      </c>
      <c r="D95" s="28" t="s">
        <v>202</v>
      </c>
      <c r="E95" s="28">
        <f>C95</f>
        <v>0</v>
      </c>
      <c r="F95" s="28"/>
      <c r="G95" s="29">
        <f t="shared" si="5"/>
        <v>0</v>
      </c>
      <c r="H95" s="60"/>
      <c r="I95" s="18"/>
      <c r="J95" s="18"/>
    </row>
    <row r="96" spans="2:10" s="16" customFormat="1" ht="13.5">
      <c r="B96" s="27" t="s">
        <v>71</v>
      </c>
      <c r="C96" s="28">
        <f>E106</f>
        <v>-6065572</v>
      </c>
      <c r="D96" s="28" t="s">
        <v>202</v>
      </c>
      <c r="E96" s="28">
        <f>C96</f>
        <v>-6065572</v>
      </c>
      <c r="F96" s="28"/>
      <c r="G96" s="29">
        <f t="shared" si="5"/>
        <v>0</v>
      </c>
      <c r="H96" s="60" t="s">
        <v>2441</v>
      </c>
      <c r="I96" s="18"/>
      <c r="J96" s="18"/>
    </row>
    <row r="97" spans="2:10" s="16" customFormat="1" ht="14.25" thickBot="1">
      <c r="B97" s="30" t="s">
        <v>216</v>
      </c>
      <c r="C97" s="31">
        <f>SUM(C91:C96)</f>
        <v>-238754887</v>
      </c>
      <c r="D97" s="31"/>
      <c r="E97" s="31">
        <f>SUM(E91:E96)</f>
        <v>-6065572</v>
      </c>
      <c r="F97" s="31">
        <f>SUM(F91:F96)</f>
        <v>0</v>
      </c>
      <c r="G97" s="32">
        <f>SUM(G91:G96)</f>
        <v>0</v>
      </c>
      <c r="H97" s="60"/>
      <c r="I97" s="18"/>
      <c r="J97" s="18"/>
    </row>
    <row r="98" spans="2:10" s="16" customFormat="1" ht="13.5">
      <c r="B98" s="61"/>
      <c r="C98" s="18"/>
      <c r="D98" s="18"/>
      <c r="E98" s="18"/>
      <c r="F98" s="18"/>
      <c r="G98" s="18"/>
      <c r="H98" s="60"/>
      <c r="I98" s="18"/>
      <c r="J98" s="18"/>
    </row>
    <row r="99" spans="2:10" s="16" customFormat="1" ht="13.5">
      <c r="B99" s="62"/>
      <c r="C99" s="33" t="str">
        <f>C72</f>
        <v>2025년말 누적</v>
      </c>
      <c r="D99" s="33" t="str">
        <f>D72</f>
        <v>2026년말</v>
      </c>
      <c r="E99" s="33" t="s">
        <v>142</v>
      </c>
      <c r="F99" s="18"/>
      <c r="G99" s="18"/>
      <c r="H99" s="60"/>
      <c r="I99" s="18"/>
      <c r="J99" s="18"/>
    </row>
    <row r="100" spans="2:10" s="16" customFormat="1" ht="13.5">
      <c r="B100" s="27" t="s">
        <v>199</v>
      </c>
      <c r="C100" s="28">
        <v>-249980633</v>
      </c>
      <c r="D100" s="28">
        <f>상해!D219</f>
        <v>17291318</v>
      </c>
      <c r="E100" s="28">
        <f>C100+D100</f>
        <v>-232689315</v>
      </c>
      <c r="F100" s="18" t="s">
        <v>218</v>
      </c>
      <c r="G100" s="18"/>
      <c r="H100" s="60"/>
      <c r="I100" s="18"/>
      <c r="J100" s="18"/>
    </row>
    <row r="101" spans="2:10" s="16" customFormat="1" ht="13.5">
      <c r="B101" s="27" t="s">
        <v>201</v>
      </c>
      <c r="C101" s="28">
        <v>0</v>
      </c>
      <c r="D101" s="28"/>
      <c r="E101" s="28">
        <f t="shared" ref="E101:E103" si="6">C101+D101</f>
        <v>0</v>
      </c>
      <c r="F101" s="18"/>
      <c r="G101" s="18"/>
      <c r="H101" s="60"/>
      <c r="I101" s="18"/>
      <c r="J101" s="18"/>
    </row>
    <row r="102" spans="2:10" s="16" customFormat="1" ht="13.5">
      <c r="B102" s="27" t="s">
        <v>219</v>
      </c>
      <c r="C102" s="28">
        <v>0</v>
      </c>
      <c r="D102" s="28"/>
      <c r="E102" s="28">
        <f t="shared" si="6"/>
        <v>0</v>
      </c>
      <c r="F102" s="18"/>
      <c r="G102" s="18"/>
      <c r="H102" s="60"/>
      <c r="I102" s="18"/>
      <c r="J102" s="18"/>
    </row>
    <row r="103" spans="2:10" s="16" customFormat="1" ht="13.5">
      <c r="B103" s="27" t="s">
        <v>220</v>
      </c>
      <c r="C103" s="28">
        <v>0</v>
      </c>
      <c r="D103" s="28"/>
      <c r="E103" s="28">
        <f t="shared" si="6"/>
        <v>0</v>
      </c>
      <c r="F103" s="18"/>
      <c r="G103" s="18"/>
      <c r="H103" s="60"/>
      <c r="I103" s="18"/>
      <c r="J103" s="18"/>
    </row>
    <row r="104" spans="2:10" s="16" customFormat="1" ht="13.5">
      <c r="B104" s="27" t="s">
        <v>222</v>
      </c>
      <c r="C104" s="28"/>
      <c r="D104" s="28"/>
      <c r="E104" s="28"/>
      <c r="F104" s="18"/>
      <c r="G104" s="18"/>
      <c r="H104" s="60"/>
      <c r="I104" s="18"/>
      <c r="J104" s="18"/>
    </row>
    <row r="105" spans="2:10" s="16" customFormat="1" ht="13.5">
      <c r="B105" s="27" t="s">
        <v>600</v>
      </c>
      <c r="C105" s="28">
        <v>0</v>
      </c>
      <c r="D105" s="28"/>
      <c r="E105" s="28">
        <f t="shared" ref="E105:E107" si="7">C105+D105</f>
        <v>0</v>
      </c>
      <c r="F105" s="18"/>
      <c r="G105" s="18"/>
      <c r="H105" s="60"/>
      <c r="I105" s="18"/>
      <c r="J105" s="18"/>
    </row>
    <row r="106" spans="2:10" s="16" customFormat="1" ht="13.5">
      <c r="B106" s="27" t="s">
        <v>71</v>
      </c>
      <c r="C106" s="28">
        <v>-5372152</v>
      </c>
      <c r="D106" s="28">
        <f>상해!D221</f>
        <v>-693420</v>
      </c>
      <c r="E106" s="28">
        <f t="shared" si="7"/>
        <v>-6065572</v>
      </c>
      <c r="F106" s="18" t="s">
        <v>180</v>
      </c>
      <c r="G106" s="18"/>
      <c r="H106" s="60"/>
      <c r="I106" s="18"/>
      <c r="J106" s="18"/>
    </row>
    <row r="107" spans="2:10" s="16" customFormat="1" ht="13.5">
      <c r="B107" s="27" t="s">
        <v>216</v>
      </c>
      <c r="C107" s="28">
        <f>SUM(C100:C106)</f>
        <v>-255352785</v>
      </c>
      <c r="D107" s="28">
        <f>SUM(D100:D106)</f>
        <v>16597898</v>
      </c>
      <c r="E107" s="28">
        <f t="shared" si="7"/>
        <v>-238754887</v>
      </c>
      <c r="F107" s="18"/>
      <c r="G107" s="18"/>
      <c r="H107" s="60"/>
      <c r="I107" s="18"/>
      <c r="J107" s="18"/>
    </row>
    <row r="108" spans="2:10" s="16" customFormat="1" ht="13.5">
      <c r="B108" s="61"/>
      <c r="C108" s="18"/>
      <c r="D108" s="18"/>
      <c r="E108" s="18"/>
      <c r="F108" s="18"/>
      <c r="G108" s="18"/>
      <c r="H108" s="60"/>
      <c r="I108" s="18"/>
      <c r="J108" s="18"/>
    </row>
    <row r="109" spans="2:10" s="16" customFormat="1" ht="14.25" thickBot="1">
      <c r="B109" s="68"/>
      <c r="C109" s="63"/>
      <c r="D109" s="63"/>
      <c r="E109" s="63"/>
      <c r="F109" s="63"/>
      <c r="G109" s="63"/>
      <c r="H109" s="64"/>
      <c r="I109" s="18"/>
      <c r="J109" s="18"/>
    </row>
    <row r="110" spans="2:10" s="16" customFormat="1" ht="13.5">
      <c r="C110" s="18"/>
      <c r="D110" s="18"/>
      <c r="E110" s="18"/>
      <c r="F110" s="18"/>
      <c r="G110" s="18"/>
      <c r="H110" s="18"/>
      <c r="I110" s="18"/>
      <c r="J110" s="18"/>
    </row>
    <row r="111" spans="2:10" s="16" customFormat="1" ht="14.25" thickBot="1">
      <c r="C111" s="18"/>
      <c r="D111" s="18"/>
      <c r="E111" s="18"/>
      <c r="F111" s="18"/>
      <c r="G111" s="18"/>
      <c r="H111" s="18"/>
      <c r="I111" s="18"/>
      <c r="J111" s="18"/>
    </row>
    <row r="112" spans="2:10" s="16" customFormat="1" ht="13.5">
      <c r="B112" s="56" t="s">
        <v>1684</v>
      </c>
      <c r="C112" s="57"/>
      <c r="D112" s="57"/>
      <c r="E112" s="57"/>
      <c r="F112" s="57"/>
      <c r="G112" s="57"/>
      <c r="H112" s="58"/>
      <c r="I112" s="18"/>
      <c r="J112" s="18"/>
    </row>
    <row r="113" spans="2:10" s="16" customFormat="1" ht="14.25" thickBot="1">
      <c r="B113" s="59"/>
      <c r="C113" s="18"/>
      <c r="D113" s="18"/>
      <c r="E113" s="18"/>
      <c r="F113" s="18"/>
      <c r="G113" s="18"/>
      <c r="H113" s="60"/>
      <c r="I113" s="18"/>
      <c r="J113" s="18"/>
    </row>
    <row r="114" spans="2:10" s="16" customFormat="1" ht="13.5">
      <c r="B114" s="21" t="s">
        <v>2443</v>
      </c>
      <c r="C114" s="22" t="s">
        <v>2248</v>
      </c>
      <c r="D114" s="23" t="s">
        <v>185</v>
      </c>
      <c r="E114" s="18"/>
      <c r="F114" s="18"/>
      <c r="G114" s="18"/>
      <c r="H114" s="60"/>
      <c r="I114" s="18"/>
      <c r="J114" s="18"/>
    </row>
    <row r="115" spans="2:10" s="16" customFormat="1" ht="14.25" thickBot="1">
      <c r="B115" s="24">
        <f>D115/C115</f>
        <v>0.70247933884297531</v>
      </c>
      <c r="C115" s="25">
        <v>0.24199999999999999</v>
      </c>
      <c r="D115" s="26">
        <v>0.17</v>
      </c>
      <c r="E115" s="18"/>
      <c r="F115" s="18"/>
      <c r="G115" s="18"/>
      <c r="H115" s="60"/>
      <c r="I115" s="18"/>
      <c r="J115" s="18"/>
    </row>
    <row r="116" spans="2:10" s="16" customFormat="1" ht="13.5">
      <c r="B116" s="59" t="s">
        <v>2444</v>
      </c>
      <c r="C116" s="18"/>
      <c r="D116" s="18"/>
      <c r="E116" s="18"/>
      <c r="F116" s="18"/>
      <c r="G116" s="941"/>
      <c r="H116" s="60"/>
      <c r="I116" s="18"/>
      <c r="J116" s="18"/>
    </row>
    <row r="117" spans="2:10" s="16" customFormat="1" ht="14.25" thickBot="1">
      <c r="B117" s="59"/>
      <c r="C117" s="18"/>
      <c r="D117" s="18"/>
      <c r="E117" s="18"/>
      <c r="F117" s="18"/>
      <c r="G117" s="18"/>
      <c r="H117" s="60"/>
      <c r="I117" s="18"/>
      <c r="J117" s="18"/>
    </row>
    <row r="118" spans="2:10" s="16" customFormat="1" ht="13.5">
      <c r="B118" s="21" t="s">
        <v>187</v>
      </c>
      <c r="C118" s="22" t="s">
        <v>189</v>
      </c>
      <c r="D118" s="22" t="s">
        <v>191</v>
      </c>
      <c r="E118" s="22" t="s">
        <v>193</v>
      </c>
      <c r="F118" s="22" t="s">
        <v>195</v>
      </c>
      <c r="G118" s="23" t="s">
        <v>197</v>
      </c>
      <c r="H118" s="60"/>
      <c r="I118" s="18"/>
      <c r="J118" s="18"/>
    </row>
    <row r="119" spans="2:10" s="16" customFormat="1" ht="13.5">
      <c r="B119" s="27" t="s">
        <v>199</v>
      </c>
      <c r="C119" s="28">
        <f>E128</f>
        <v>-23556849</v>
      </c>
      <c r="D119" s="28" t="s">
        <v>200</v>
      </c>
      <c r="E119" s="28"/>
      <c r="F119" s="28">
        <f>ROUND(E119*C115*(1-B115),0)</f>
        <v>0</v>
      </c>
      <c r="G119" s="29">
        <f t="shared" ref="G119:G124" si="8">F119</f>
        <v>0</v>
      </c>
      <c r="H119" s="60"/>
      <c r="I119" s="18"/>
      <c r="J119" s="18"/>
    </row>
    <row r="120" spans="2:10" s="16" customFormat="1" ht="13.5">
      <c r="B120" s="27" t="s">
        <v>201</v>
      </c>
      <c r="C120" s="28">
        <v>0</v>
      </c>
      <c r="D120" s="28" t="s">
        <v>202</v>
      </c>
      <c r="E120" s="28">
        <f>C120</f>
        <v>0</v>
      </c>
      <c r="F120" s="28"/>
      <c r="G120" s="29">
        <f t="shared" si="8"/>
        <v>0</v>
      </c>
      <c r="H120" s="60"/>
      <c r="I120" s="18"/>
      <c r="J120" s="18"/>
    </row>
    <row r="121" spans="2:10" s="16" customFormat="1" ht="13.5">
      <c r="B121" s="27" t="s">
        <v>203</v>
      </c>
      <c r="C121" s="28">
        <f>E130</f>
        <v>0</v>
      </c>
      <c r="D121" s="28" t="s">
        <v>204</v>
      </c>
      <c r="E121" s="28">
        <f>C121</f>
        <v>0</v>
      </c>
      <c r="F121" s="28">
        <f>ROUND(E121*C115,0)</f>
        <v>0</v>
      </c>
      <c r="G121" s="29">
        <f t="shared" si="8"/>
        <v>0</v>
      </c>
      <c r="H121" s="60"/>
      <c r="I121" s="18"/>
      <c r="J121" s="18"/>
    </row>
    <row r="122" spans="2:10" s="16" customFormat="1" ht="13.5">
      <c r="B122" s="27" t="s">
        <v>205</v>
      </c>
      <c r="C122" s="28">
        <f>E131+E132</f>
        <v>0</v>
      </c>
      <c r="D122" s="28" t="s">
        <v>204</v>
      </c>
      <c r="E122" s="28">
        <f>C122</f>
        <v>0</v>
      </c>
      <c r="F122" s="28">
        <f>ROUND(E122*D115,0)</f>
        <v>0</v>
      </c>
      <c r="G122" s="29">
        <f t="shared" si="8"/>
        <v>0</v>
      </c>
      <c r="H122" s="60"/>
      <c r="I122" s="18"/>
      <c r="J122" s="18"/>
    </row>
    <row r="123" spans="2:10" s="16" customFormat="1" ht="13.5">
      <c r="B123" s="27" t="s">
        <v>65</v>
      </c>
      <c r="C123" s="28">
        <f>E133</f>
        <v>0</v>
      </c>
      <c r="D123" s="28" t="s">
        <v>202</v>
      </c>
      <c r="E123" s="28">
        <f>C123</f>
        <v>0</v>
      </c>
      <c r="F123" s="28"/>
      <c r="G123" s="29">
        <f t="shared" si="8"/>
        <v>0</v>
      </c>
      <c r="H123" s="60"/>
      <c r="I123" s="18"/>
      <c r="J123" s="18"/>
    </row>
    <row r="124" spans="2:10" s="16" customFormat="1" ht="13.5">
      <c r="B124" s="27" t="s">
        <v>71</v>
      </c>
      <c r="C124" s="28">
        <f>E134</f>
        <v>3718991</v>
      </c>
      <c r="D124" s="28" t="s">
        <v>202</v>
      </c>
      <c r="E124" s="28">
        <f>C124</f>
        <v>3718991</v>
      </c>
      <c r="F124" s="28"/>
      <c r="G124" s="29">
        <f t="shared" si="8"/>
        <v>0</v>
      </c>
      <c r="H124" s="60"/>
      <c r="I124" s="18"/>
      <c r="J124" s="18"/>
    </row>
    <row r="125" spans="2:10" s="16" customFormat="1" ht="14.25" thickBot="1">
      <c r="B125" s="30" t="s">
        <v>216</v>
      </c>
      <c r="C125" s="31">
        <f>SUM(C119:C124)</f>
        <v>-19837858</v>
      </c>
      <c r="D125" s="31"/>
      <c r="E125" s="31">
        <f>SUM(E119:E124)</f>
        <v>3718991</v>
      </c>
      <c r="F125" s="31">
        <f>SUM(F119:F124)</f>
        <v>0</v>
      </c>
      <c r="G125" s="32">
        <f>SUM(G119:G124)</f>
        <v>0</v>
      </c>
      <c r="H125" s="60"/>
      <c r="I125" s="18"/>
      <c r="J125" s="18"/>
    </row>
    <row r="126" spans="2:10" s="16" customFormat="1" ht="13.5">
      <c r="B126" s="61"/>
      <c r="C126" s="18"/>
      <c r="D126" s="18"/>
      <c r="E126" s="18"/>
      <c r="F126" s="18"/>
      <c r="G126" s="18"/>
      <c r="H126" s="60"/>
      <c r="I126" s="18"/>
      <c r="J126" s="18"/>
    </row>
    <row r="127" spans="2:10" s="16" customFormat="1" ht="13.5">
      <c r="B127" s="62"/>
      <c r="C127" s="33" t="str">
        <f>C99</f>
        <v>2025년말 누적</v>
      </c>
      <c r="D127" s="33" t="str">
        <f>D99</f>
        <v>2026년말</v>
      </c>
      <c r="E127" s="33" t="s">
        <v>142</v>
      </c>
      <c r="F127" s="18"/>
      <c r="G127" s="18"/>
      <c r="H127" s="60"/>
      <c r="I127" s="18"/>
      <c r="J127" s="18"/>
    </row>
    <row r="128" spans="2:10" s="16" customFormat="1" ht="13.5">
      <c r="B128" s="27" t="s">
        <v>199</v>
      </c>
      <c r="C128" s="28">
        <v>-14870818</v>
      </c>
      <c r="D128" s="28">
        <f>SG!D142</f>
        <v>-8686031</v>
      </c>
      <c r="E128" s="28">
        <f>C128+D128</f>
        <v>-23556849</v>
      </c>
      <c r="F128" s="18" t="s">
        <v>601</v>
      </c>
      <c r="G128" s="18"/>
      <c r="H128" s="60"/>
      <c r="I128" s="18"/>
      <c r="J128" s="18"/>
    </row>
    <row r="129" spans="2:10" s="16" customFormat="1" ht="13.5">
      <c r="B129" s="27" t="s">
        <v>201</v>
      </c>
      <c r="C129" s="28">
        <v>0</v>
      </c>
      <c r="D129" s="28"/>
      <c r="E129" s="28">
        <f t="shared" ref="E129:E131" si="9">C129+D129</f>
        <v>0</v>
      </c>
      <c r="F129" s="18"/>
      <c r="G129" s="18"/>
      <c r="H129" s="60"/>
      <c r="I129" s="18"/>
      <c r="J129" s="18"/>
    </row>
    <row r="130" spans="2:10" s="16" customFormat="1" ht="13.5">
      <c r="B130" s="27" t="s">
        <v>219</v>
      </c>
      <c r="C130" s="28">
        <v>0</v>
      </c>
      <c r="D130" s="28"/>
      <c r="E130" s="28">
        <f t="shared" si="9"/>
        <v>0</v>
      </c>
      <c r="F130" s="18"/>
      <c r="G130" s="18"/>
      <c r="H130" s="60"/>
      <c r="I130" s="18"/>
      <c r="J130" s="18"/>
    </row>
    <row r="131" spans="2:10" s="16" customFormat="1" ht="13.5">
      <c r="B131" s="27" t="s">
        <v>220</v>
      </c>
      <c r="C131" s="28">
        <v>0</v>
      </c>
      <c r="D131" s="28"/>
      <c r="E131" s="28">
        <f t="shared" si="9"/>
        <v>0</v>
      </c>
      <c r="F131" s="18"/>
      <c r="G131" s="18"/>
      <c r="H131" s="60"/>
      <c r="I131" s="18"/>
      <c r="J131" s="18"/>
    </row>
    <row r="132" spans="2:10" s="16" customFormat="1" ht="13.5">
      <c r="B132" s="27" t="s">
        <v>222</v>
      </c>
      <c r="C132" s="28"/>
      <c r="D132" s="28"/>
      <c r="E132" s="28"/>
      <c r="F132" s="18"/>
      <c r="G132" s="18"/>
      <c r="H132" s="60"/>
      <c r="I132" s="18"/>
      <c r="J132" s="18"/>
    </row>
    <row r="133" spans="2:10" s="16" customFormat="1" ht="13.5">
      <c r="B133" s="27" t="s">
        <v>65</v>
      </c>
      <c r="C133" s="28">
        <v>0</v>
      </c>
      <c r="D133" s="28"/>
      <c r="E133" s="28">
        <f t="shared" ref="E133:E135" si="10">C133+D133</f>
        <v>0</v>
      </c>
      <c r="F133" s="18"/>
      <c r="G133" s="18"/>
      <c r="H133" s="60"/>
      <c r="I133" s="18"/>
      <c r="J133" s="18"/>
    </row>
    <row r="134" spans="2:10" s="16" customFormat="1" ht="13.5">
      <c r="B134" s="27" t="s">
        <v>71</v>
      </c>
      <c r="C134" s="28">
        <v>1977681</v>
      </c>
      <c r="D134" s="28">
        <f>SG!D144</f>
        <v>1741310</v>
      </c>
      <c r="E134" s="28">
        <f t="shared" si="10"/>
        <v>3718991</v>
      </c>
      <c r="F134" s="18" t="s">
        <v>180</v>
      </c>
      <c r="G134" s="18"/>
      <c r="H134" s="60"/>
      <c r="I134" s="18"/>
      <c r="J134" s="18"/>
    </row>
    <row r="135" spans="2:10" s="16" customFormat="1" ht="13.5">
      <c r="B135" s="27" t="s">
        <v>216</v>
      </c>
      <c r="C135" s="28">
        <f>SUM(C128:C134)</f>
        <v>-12893137</v>
      </c>
      <c r="D135" s="28">
        <f>SUM(D128:D134)</f>
        <v>-6944721</v>
      </c>
      <c r="E135" s="28">
        <f t="shared" si="10"/>
        <v>-19837858</v>
      </c>
      <c r="F135" s="18"/>
      <c r="G135" s="18"/>
      <c r="H135" s="60"/>
      <c r="I135" s="18"/>
      <c r="J135" s="18"/>
    </row>
    <row r="136" spans="2:10" s="16" customFormat="1" ht="13.5">
      <c r="B136" s="61"/>
      <c r="C136" s="18"/>
      <c r="D136" s="18"/>
      <c r="E136" s="18"/>
      <c r="F136" s="18"/>
      <c r="G136" s="18"/>
      <c r="H136" s="60"/>
      <c r="I136" s="18"/>
      <c r="J136" s="18"/>
    </row>
    <row r="137" spans="2:10" s="16" customFormat="1" ht="14.25" thickBot="1">
      <c r="B137" s="68"/>
      <c r="C137" s="63"/>
      <c r="D137" s="63"/>
      <c r="E137" s="63"/>
      <c r="F137" s="63"/>
      <c r="G137" s="63"/>
      <c r="H137" s="64"/>
      <c r="I137" s="18"/>
      <c r="J137" s="18"/>
    </row>
    <row r="138" spans="2:10" s="16" customFormat="1" ht="13.5">
      <c r="C138" s="18"/>
      <c r="D138" s="18"/>
      <c r="E138" s="18"/>
      <c r="F138" s="18"/>
      <c r="G138" s="18"/>
      <c r="H138" s="18"/>
      <c r="I138" s="18"/>
      <c r="J138" s="18"/>
    </row>
    <row r="139" spans="2:10" s="16" customFormat="1" ht="14.25" thickBot="1">
      <c r="C139" s="18"/>
      <c r="D139" s="18"/>
      <c r="E139" s="18"/>
      <c r="F139" s="18"/>
      <c r="G139" s="18"/>
      <c r="H139" s="18"/>
      <c r="I139" s="18"/>
      <c r="J139" s="18"/>
    </row>
    <row r="140" spans="2:10" s="16" customFormat="1" ht="13.5">
      <c r="B140" s="56" t="s">
        <v>3796</v>
      </c>
      <c r="C140" s="57"/>
      <c r="D140" s="57"/>
      <c r="E140" s="57"/>
      <c r="F140" s="57"/>
      <c r="G140" s="57"/>
      <c r="H140" s="58"/>
      <c r="I140" s="18"/>
      <c r="J140" s="18"/>
    </row>
    <row r="141" spans="2:10" s="16" customFormat="1" ht="14.25" thickBot="1">
      <c r="B141" s="59"/>
      <c r="C141" s="18"/>
      <c r="D141" s="18"/>
      <c r="E141" s="18"/>
      <c r="F141" s="18"/>
      <c r="G141" s="18"/>
      <c r="H141" s="60"/>
      <c r="I141" s="18"/>
      <c r="J141" s="18"/>
    </row>
    <row r="142" spans="2:10" s="16" customFormat="1" ht="13.5">
      <c r="B142" s="21" t="s">
        <v>3797</v>
      </c>
      <c r="C142" s="22" t="s">
        <v>2248</v>
      </c>
      <c r="D142" s="23" t="s">
        <v>3798</v>
      </c>
      <c r="E142" s="18"/>
      <c r="F142" s="18"/>
      <c r="G142" s="18"/>
      <c r="H142" s="60"/>
      <c r="I142" s="18"/>
      <c r="J142" s="18"/>
    </row>
    <row r="143" spans="2:10" s="16" customFormat="1" ht="14.25" thickBot="1">
      <c r="B143" s="24">
        <v>0</v>
      </c>
      <c r="C143" s="25">
        <v>0.24199999999999999</v>
      </c>
      <c r="D143" s="26">
        <v>0.24199999999999999</v>
      </c>
      <c r="E143" s="18"/>
      <c r="F143" s="18"/>
      <c r="G143" s="18"/>
      <c r="H143" s="60"/>
      <c r="I143" s="18"/>
      <c r="J143" s="18"/>
    </row>
    <row r="144" spans="2:10" s="16" customFormat="1" ht="13.5">
      <c r="B144" s="59"/>
      <c r="C144" s="18"/>
      <c r="D144" s="18"/>
      <c r="E144" s="18"/>
      <c r="F144" s="18"/>
      <c r="G144" s="18"/>
      <c r="H144" s="60"/>
      <c r="I144" s="18"/>
      <c r="J144" s="18"/>
    </row>
    <row r="145" spans="2:10" s="16" customFormat="1" ht="14.25" thickBot="1">
      <c r="B145" s="59"/>
      <c r="C145" s="18"/>
      <c r="D145" s="18"/>
      <c r="E145" s="18"/>
      <c r="F145" s="18"/>
      <c r="G145" s="18"/>
      <c r="H145" s="60"/>
      <c r="I145" s="18"/>
      <c r="J145" s="18"/>
    </row>
    <row r="146" spans="2:10" s="16" customFormat="1" ht="13.5">
      <c r="B146" s="21" t="s">
        <v>187</v>
      </c>
      <c r="C146" s="22" t="s">
        <v>189</v>
      </c>
      <c r="D146" s="22" t="s">
        <v>191</v>
      </c>
      <c r="E146" s="22" t="s">
        <v>193</v>
      </c>
      <c r="F146" s="22" t="s">
        <v>195</v>
      </c>
      <c r="G146" s="23" t="s">
        <v>197</v>
      </c>
      <c r="H146" s="60"/>
      <c r="I146" s="18"/>
      <c r="J146" s="18"/>
    </row>
    <row r="147" spans="2:10" s="16" customFormat="1" ht="13.5">
      <c r="B147" s="27" t="s">
        <v>199</v>
      </c>
      <c r="C147" s="28">
        <f>E156</f>
        <v>0</v>
      </c>
      <c r="D147" s="28" t="s">
        <v>200</v>
      </c>
      <c r="E147" s="28">
        <f>IF(D147="배당(지분법주식)",IF(C147&gt;0,C147,0),0)</f>
        <v>0</v>
      </c>
      <c r="F147" s="28">
        <f>ROUND(E147*C143*(1-B143),0)</f>
        <v>0</v>
      </c>
      <c r="G147" s="29">
        <v>0</v>
      </c>
      <c r="H147" s="60"/>
      <c r="I147" s="18"/>
      <c r="J147" s="18"/>
    </row>
    <row r="148" spans="2:10" s="16" customFormat="1" ht="13.5">
      <c r="B148" s="27" t="s">
        <v>201</v>
      </c>
      <c r="C148" s="28">
        <f>E157</f>
        <v>0</v>
      </c>
      <c r="D148" s="28" t="s">
        <v>202</v>
      </c>
      <c r="E148" s="28">
        <f>C148</f>
        <v>0</v>
      </c>
      <c r="F148" s="28"/>
      <c r="G148" s="29">
        <f t="shared" ref="G148:G152" si="11">F148</f>
        <v>0</v>
      </c>
      <c r="H148" s="60"/>
      <c r="I148" s="18"/>
      <c r="J148" s="18"/>
    </row>
    <row r="149" spans="2:10" s="16" customFormat="1" ht="13.5">
      <c r="B149" s="27" t="s">
        <v>203</v>
      </c>
      <c r="C149" s="28">
        <f>E158</f>
        <v>0</v>
      </c>
      <c r="D149" s="28" t="s">
        <v>204</v>
      </c>
      <c r="E149" s="28">
        <f>C149</f>
        <v>0</v>
      </c>
      <c r="F149" s="28">
        <f>ROUND(E149*C143,0)</f>
        <v>0</v>
      </c>
      <c r="G149" s="29">
        <f t="shared" si="11"/>
        <v>0</v>
      </c>
      <c r="H149" s="60"/>
      <c r="I149" s="18"/>
      <c r="J149" s="18"/>
    </row>
    <row r="150" spans="2:10" s="16" customFormat="1" ht="13.5">
      <c r="B150" s="27" t="s">
        <v>205</v>
      </c>
      <c r="C150" s="28">
        <f>E159+E160</f>
        <v>0</v>
      </c>
      <c r="D150" s="28" t="s">
        <v>204</v>
      </c>
      <c r="E150" s="28">
        <f>C150</f>
        <v>0</v>
      </c>
      <c r="F150" s="28">
        <f>ROUND(E150*D143,0)</f>
        <v>0</v>
      </c>
      <c r="G150" s="29">
        <f t="shared" si="11"/>
        <v>0</v>
      </c>
      <c r="H150" s="60"/>
      <c r="I150" s="18"/>
      <c r="J150" s="18"/>
    </row>
    <row r="151" spans="2:10" s="16" customFormat="1" ht="13.5">
      <c r="B151" s="27" t="s">
        <v>65</v>
      </c>
      <c r="C151" s="28">
        <f>E161</f>
        <v>0</v>
      </c>
      <c r="D151" s="28" t="s">
        <v>202</v>
      </c>
      <c r="E151" s="28">
        <f>C151</f>
        <v>0</v>
      </c>
      <c r="F151" s="28"/>
      <c r="G151" s="29">
        <f t="shared" si="11"/>
        <v>0</v>
      </c>
      <c r="H151" s="60"/>
      <c r="I151" s="18"/>
      <c r="J151" s="18"/>
    </row>
    <row r="152" spans="2:10" s="16" customFormat="1" ht="13.5">
      <c r="B152" s="27" t="s">
        <v>71</v>
      </c>
      <c r="C152" s="28">
        <f>E162</f>
        <v>0</v>
      </c>
      <c r="D152" s="28" t="s">
        <v>202</v>
      </c>
      <c r="E152" s="28">
        <f>C152</f>
        <v>0</v>
      </c>
      <c r="F152" s="28"/>
      <c r="G152" s="29">
        <f t="shared" si="11"/>
        <v>0</v>
      </c>
      <c r="H152" s="60"/>
      <c r="I152" s="18"/>
      <c r="J152" s="18"/>
    </row>
    <row r="153" spans="2:10" s="16" customFormat="1" ht="14.25" thickBot="1">
      <c r="B153" s="30" t="s">
        <v>206</v>
      </c>
      <c r="C153" s="31">
        <f>SUM(C147:C152)</f>
        <v>0</v>
      </c>
      <c r="D153" s="31"/>
      <c r="E153" s="31">
        <f>SUM(E147:E152)</f>
        <v>0</v>
      </c>
      <c r="F153" s="31">
        <f>SUM(F147:F152)</f>
        <v>0</v>
      </c>
      <c r="G153" s="32">
        <f>SUM(G147:G152)</f>
        <v>0</v>
      </c>
      <c r="H153" s="60"/>
      <c r="I153" s="18"/>
      <c r="J153" s="18"/>
    </row>
    <row r="154" spans="2:10" s="16" customFormat="1" ht="13.5">
      <c r="B154" s="61"/>
      <c r="C154" s="18"/>
      <c r="D154" s="18"/>
      <c r="E154" s="18"/>
      <c r="F154" s="18"/>
      <c r="G154" s="18"/>
      <c r="H154" s="60"/>
      <c r="I154" s="18"/>
      <c r="J154" s="18"/>
    </row>
    <row r="155" spans="2:10" s="16" customFormat="1" ht="13.5">
      <c r="B155" s="62"/>
      <c r="C155" s="33" t="str">
        <f>C127</f>
        <v>2025년말 누적</v>
      </c>
      <c r="D155" s="33" t="str">
        <f t="shared" ref="D155:E155" si="12">D127</f>
        <v>2026년말</v>
      </c>
      <c r="E155" s="33" t="str">
        <f t="shared" si="12"/>
        <v>합계</v>
      </c>
      <c r="F155" s="18"/>
      <c r="G155" s="18"/>
      <c r="H155" s="60"/>
      <c r="I155" s="18"/>
      <c r="J155" s="18"/>
    </row>
    <row r="156" spans="2:10" s="16" customFormat="1" ht="13.5">
      <c r="B156" s="27" t="s">
        <v>199</v>
      </c>
      <c r="C156" s="28">
        <v>0</v>
      </c>
      <c r="D156" s="28">
        <f>HK!D467</f>
        <v>0</v>
      </c>
      <c r="E156" s="28">
        <f>C156+D156</f>
        <v>0</v>
      </c>
      <c r="F156" s="18" t="s">
        <v>3799</v>
      </c>
      <c r="G156" s="18"/>
      <c r="H156" s="60"/>
      <c r="I156" s="18"/>
      <c r="J156" s="18"/>
    </row>
    <row r="157" spans="2:10" s="16" customFormat="1" ht="13.5">
      <c r="B157" s="27" t="s">
        <v>201</v>
      </c>
      <c r="C157" s="28"/>
      <c r="D157" s="28"/>
      <c r="E157" s="28">
        <f t="shared" ref="E157:E163" si="13">C157+D157</f>
        <v>0</v>
      </c>
      <c r="F157" s="18"/>
      <c r="G157" s="18"/>
      <c r="H157" s="60"/>
      <c r="I157" s="18"/>
      <c r="J157" s="18"/>
    </row>
    <row r="158" spans="2:10" s="16" customFormat="1" ht="13.5">
      <c r="B158" s="27" t="s">
        <v>203</v>
      </c>
      <c r="C158" s="28"/>
      <c r="D158" s="28"/>
      <c r="E158" s="28">
        <f t="shared" si="13"/>
        <v>0</v>
      </c>
      <c r="F158" s="18"/>
      <c r="G158" s="18"/>
      <c r="H158" s="60"/>
      <c r="I158" s="18"/>
      <c r="J158" s="18"/>
    </row>
    <row r="159" spans="2:10" s="16" customFormat="1" ht="13.5">
      <c r="B159" s="27" t="s">
        <v>209</v>
      </c>
      <c r="C159" s="28">
        <v>0</v>
      </c>
      <c r="D159" s="28">
        <f>-C159</f>
        <v>0</v>
      </c>
      <c r="E159" s="28">
        <f t="shared" si="13"/>
        <v>0</v>
      </c>
      <c r="F159" s="18"/>
      <c r="G159" s="18"/>
      <c r="H159" s="60"/>
      <c r="I159" s="18"/>
      <c r="J159" s="18"/>
    </row>
    <row r="160" spans="2:10" s="16" customFormat="1" ht="13.5">
      <c r="B160" s="27" t="s">
        <v>211</v>
      </c>
      <c r="C160" s="28">
        <v>0</v>
      </c>
      <c r="D160" s="28">
        <f>RIT!E208</f>
        <v>0</v>
      </c>
      <c r="E160" s="28">
        <f t="shared" si="13"/>
        <v>0</v>
      </c>
      <c r="F160" s="18" t="s">
        <v>3800</v>
      </c>
      <c r="G160" s="18"/>
      <c r="H160" s="60"/>
      <c r="I160" s="18"/>
      <c r="J160" s="18"/>
    </row>
    <row r="161" spans="2:11" s="16" customFormat="1" ht="13.5">
      <c r="B161" s="27" t="s">
        <v>65</v>
      </c>
      <c r="C161" s="28"/>
      <c r="D161" s="28"/>
      <c r="E161" s="28">
        <f t="shared" si="13"/>
        <v>0</v>
      </c>
      <c r="F161" s="18"/>
      <c r="G161" s="18"/>
      <c r="H161" s="60"/>
      <c r="I161" s="18"/>
      <c r="J161" s="18"/>
    </row>
    <row r="162" spans="2:11" s="16" customFormat="1" ht="13.5">
      <c r="B162" s="27" t="s">
        <v>71</v>
      </c>
      <c r="C162" s="28">
        <v>0</v>
      </c>
      <c r="D162" s="28">
        <f>HK_PL!H196</f>
        <v>0</v>
      </c>
      <c r="E162" s="28">
        <f t="shared" si="13"/>
        <v>0</v>
      </c>
      <c r="F162" s="18"/>
      <c r="G162" s="18"/>
      <c r="H162" s="60"/>
      <c r="I162" s="18"/>
      <c r="J162" s="18"/>
    </row>
    <row r="163" spans="2:11" s="16" customFormat="1" ht="13.5">
      <c r="B163" s="27" t="s">
        <v>206</v>
      </c>
      <c r="C163" s="28">
        <f>SUM(C156:C162)</f>
        <v>0</v>
      </c>
      <c r="D163" s="28">
        <f>SUM(D156:D162)</f>
        <v>0</v>
      </c>
      <c r="E163" s="28">
        <f t="shared" si="13"/>
        <v>0</v>
      </c>
      <c r="F163" s="18"/>
      <c r="G163" s="18"/>
      <c r="H163" s="60"/>
      <c r="I163" s="18"/>
      <c r="J163" s="18"/>
    </row>
    <row r="164" spans="2:11" s="16" customFormat="1" ht="13.5">
      <c r="B164" s="61"/>
      <c r="C164" s="18"/>
      <c r="D164" s="18"/>
      <c r="E164" s="18"/>
      <c r="F164" s="18"/>
      <c r="G164" s="18"/>
      <c r="H164" s="60"/>
      <c r="I164" s="18"/>
      <c r="J164" s="18"/>
    </row>
    <row r="165" spans="2:11" s="16" customFormat="1" ht="14.25" thickBot="1">
      <c r="B165" s="68"/>
      <c r="C165" s="63"/>
      <c r="D165" s="63"/>
      <c r="E165" s="63"/>
      <c r="F165" s="63"/>
      <c r="G165" s="63"/>
      <c r="H165" s="64"/>
      <c r="I165" s="18"/>
      <c r="J165" s="18"/>
    </row>
    <row r="166" spans="2:11" s="16" customFormat="1" ht="13.5">
      <c r="C166" s="18"/>
      <c r="D166" s="18"/>
      <c r="E166" s="18"/>
      <c r="F166" s="18"/>
      <c r="G166" s="18"/>
      <c r="H166" s="18"/>
      <c r="I166" s="18"/>
      <c r="J166" s="18"/>
    </row>
    <row r="167" spans="2:11" s="16" customFormat="1" ht="13.5">
      <c r="C167" s="18"/>
      <c r="D167" s="18"/>
      <c r="E167" s="18"/>
      <c r="F167" s="18"/>
      <c r="G167" s="18"/>
      <c r="H167" s="18"/>
      <c r="I167" s="18"/>
      <c r="J167" s="18"/>
    </row>
    <row r="168" spans="2:11" s="16" customFormat="1" ht="13.5">
      <c r="C168" s="18"/>
      <c r="D168" s="18"/>
      <c r="E168" s="18"/>
      <c r="F168" s="18"/>
      <c r="G168" s="18"/>
      <c r="H168" s="18"/>
      <c r="I168" s="18"/>
      <c r="J168" s="18"/>
    </row>
    <row r="169" spans="2:11" s="16" customFormat="1" ht="13.5">
      <c r="B169" s="20" t="s">
        <v>224</v>
      </c>
      <c r="C169" s="18"/>
      <c r="D169" s="18"/>
      <c r="E169" s="18"/>
      <c r="H169" s="18"/>
      <c r="I169" s="18"/>
      <c r="J169" s="18"/>
    </row>
    <row r="170" spans="2:11" s="16" customFormat="1" ht="14.25" thickBot="1">
      <c r="B170" s="20"/>
      <c r="C170" s="18"/>
      <c r="D170" s="18"/>
      <c r="E170" s="18"/>
      <c r="H170" s="18"/>
      <c r="I170" s="18"/>
      <c r="J170" s="18"/>
      <c r="K170" s="18"/>
    </row>
    <row r="171" spans="2:11" s="16" customFormat="1" ht="13.5">
      <c r="B171" s="21" t="s">
        <v>225</v>
      </c>
      <c r="C171" s="22" t="s">
        <v>226</v>
      </c>
      <c r="D171" s="22" t="s">
        <v>227</v>
      </c>
      <c r="E171" s="23" t="s">
        <v>228</v>
      </c>
      <c r="H171" s="18"/>
      <c r="I171" s="18"/>
      <c r="J171" s="18"/>
      <c r="K171" s="18"/>
    </row>
    <row r="172" spans="2:11" s="16" customFormat="1" ht="13.5">
      <c r="B172" s="27" t="s">
        <v>199</v>
      </c>
      <c r="C172" s="28">
        <f>G12+G38+G64+G91+G119+G147</f>
        <v>0</v>
      </c>
      <c r="D172" s="28">
        <v>0</v>
      </c>
      <c r="E172" s="29">
        <f>C172-D172</f>
        <v>0</v>
      </c>
      <c r="H172" s="18"/>
      <c r="I172" s="18"/>
      <c r="J172" s="18"/>
      <c r="K172" s="18"/>
    </row>
    <row r="173" spans="2:11" s="16" customFormat="1" ht="13.5">
      <c r="B173" s="27" t="s">
        <v>201</v>
      </c>
      <c r="C173" s="28">
        <f t="shared" ref="C173:C177" si="14">G13+G39+G65+G92+G120+G148</f>
        <v>0</v>
      </c>
      <c r="D173" s="28"/>
      <c r="E173" s="29">
        <f>C173-D173</f>
        <v>0</v>
      </c>
      <c r="H173" s="18"/>
      <c r="I173" s="18"/>
      <c r="J173" s="18"/>
      <c r="K173" s="18"/>
    </row>
    <row r="174" spans="2:11" s="16" customFormat="1" ht="13.5">
      <c r="B174" s="27" t="s">
        <v>220</v>
      </c>
      <c r="C174" s="28">
        <f t="shared" si="14"/>
        <v>0</v>
      </c>
      <c r="D174" s="28"/>
      <c r="E174" s="29">
        <f>C174-D174</f>
        <v>0</v>
      </c>
      <c r="H174" s="18"/>
      <c r="I174" s="18"/>
      <c r="J174" s="18"/>
      <c r="K174" s="18"/>
    </row>
    <row r="175" spans="2:11" s="16" customFormat="1" ht="13.5">
      <c r="B175" s="27" t="s">
        <v>222</v>
      </c>
      <c r="C175" s="28">
        <f>G15+G41+G67+G94+G122+G150</f>
        <v>13339440</v>
      </c>
      <c r="D175" s="28"/>
      <c r="E175" s="29">
        <f>C175-D175</f>
        <v>13339440</v>
      </c>
      <c r="H175" s="18"/>
      <c r="I175" s="18"/>
      <c r="J175" s="18"/>
      <c r="K175" s="18"/>
    </row>
    <row r="176" spans="2:11" s="16" customFormat="1" ht="13.5">
      <c r="B176" s="27" t="s">
        <v>65</v>
      </c>
      <c r="C176" s="28">
        <f t="shared" si="14"/>
        <v>0</v>
      </c>
      <c r="D176" s="28"/>
      <c r="E176" s="29"/>
      <c r="H176" s="18"/>
      <c r="I176" s="18"/>
      <c r="J176" s="18"/>
      <c r="K176" s="18"/>
    </row>
    <row r="177" spans="1:17" s="16" customFormat="1" ht="13.5">
      <c r="B177" s="27" t="s">
        <v>71</v>
      </c>
      <c r="C177" s="28">
        <f t="shared" si="14"/>
        <v>0</v>
      </c>
      <c r="D177" s="28">
        <v>0</v>
      </c>
      <c r="E177" s="29">
        <f>C177-D177</f>
        <v>0</v>
      </c>
      <c r="H177" s="18"/>
      <c r="I177" s="18"/>
      <c r="J177" s="18"/>
      <c r="K177" s="18"/>
    </row>
    <row r="178" spans="1:17" s="16" customFormat="1" ht="14.25" thickBot="1">
      <c r="B178" s="30" t="s">
        <v>216</v>
      </c>
      <c r="C178" s="31">
        <f>SUM(C172:C177)</f>
        <v>13339440</v>
      </c>
      <c r="D178" s="31">
        <f>SUM(D172:D177)</f>
        <v>0</v>
      </c>
      <c r="E178" s="32">
        <f>SUM(E172:E177)</f>
        <v>13339440</v>
      </c>
      <c r="H178" s="18"/>
      <c r="I178" s="18"/>
      <c r="J178" s="18"/>
      <c r="K178" s="18"/>
    </row>
    <row r="179" spans="1:17" s="16" customFormat="1" ht="13.5">
      <c r="C179" s="18"/>
      <c r="D179" s="18"/>
      <c r="E179" s="18"/>
      <c r="H179" s="18"/>
      <c r="I179" s="18"/>
      <c r="J179" s="18"/>
      <c r="K179" s="18"/>
    </row>
    <row r="180" spans="1:17" s="16" customFormat="1" ht="13.5">
      <c r="B180" s="2017" t="s">
        <v>229</v>
      </c>
      <c r="C180" s="2018"/>
    </row>
    <row r="181" spans="1:17" s="16" customFormat="1" ht="13.5">
      <c r="C181" s="34"/>
    </row>
    <row r="182" spans="1:17" s="16" customFormat="1" ht="14.25" thickBot="1"/>
    <row r="183" spans="1:17" s="16" customFormat="1" ht="14.25" thickBot="1">
      <c r="B183" s="2019" t="s">
        <v>231</v>
      </c>
      <c r="C183" s="2020"/>
      <c r="D183" s="2020" t="s">
        <v>233</v>
      </c>
      <c r="E183" s="2020"/>
      <c r="F183" s="2021" t="s">
        <v>234</v>
      </c>
      <c r="G183" s="2022"/>
    </row>
    <row r="184" spans="1:17" s="16" customFormat="1" ht="14.25" thickBot="1">
      <c r="B184" s="35" t="s">
        <v>235</v>
      </c>
      <c r="C184" s="36" t="s">
        <v>236</v>
      </c>
      <c r="D184" s="36" t="s">
        <v>155</v>
      </c>
      <c r="E184" s="36" t="s">
        <v>236</v>
      </c>
      <c r="F184" s="36" t="s">
        <v>230</v>
      </c>
      <c r="G184" s="37" t="s">
        <v>232</v>
      </c>
    </row>
    <row r="185" spans="1:17" s="16" customFormat="1" ht="13.5">
      <c r="B185" s="38"/>
      <c r="C185" s="39"/>
      <c r="D185" s="40"/>
      <c r="E185" s="40"/>
      <c r="F185" s="41"/>
      <c r="G185" s="42"/>
    </row>
    <row r="186" spans="1:17" s="16" customFormat="1" ht="13.5">
      <c r="B186" s="43" t="s">
        <v>811</v>
      </c>
      <c r="C186" s="44" t="s">
        <v>92</v>
      </c>
      <c r="D186" s="45"/>
      <c r="E186" s="44"/>
      <c r="F186" s="46">
        <f>G188-F187</f>
        <v>4983889</v>
      </c>
      <c r="G186" s="47"/>
      <c r="H186" s="16" t="s">
        <v>2696</v>
      </c>
    </row>
    <row r="187" spans="1:17" s="16" customFormat="1" ht="13.5">
      <c r="B187" s="43" t="s">
        <v>714</v>
      </c>
      <c r="C187" s="44" t="s">
        <v>77</v>
      </c>
      <c r="D187" s="45"/>
      <c r="E187" s="44"/>
      <c r="F187" s="46">
        <v>8355551</v>
      </c>
      <c r="G187" s="47"/>
      <c r="H187" s="16" t="s">
        <v>2438</v>
      </c>
    </row>
    <row r="188" spans="1:17" s="16" customFormat="1" ht="13.5">
      <c r="B188" s="43"/>
      <c r="C188" s="44"/>
      <c r="D188" s="45">
        <v>31700</v>
      </c>
      <c r="E188" s="44" t="s">
        <v>58</v>
      </c>
      <c r="F188" s="46"/>
      <c r="G188" s="47">
        <f>E178</f>
        <v>13339440</v>
      </c>
    </row>
    <row r="189" spans="1:17" s="16" customFormat="1" ht="14.25" thickBot="1">
      <c r="B189" s="48"/>
      <c r="C189" s="49"/>
      <c r="D189" s="50"/>
      <c r="E189" s="49"/>
      <c r="F189" s="51"/>
      <c r="G189" s="52"/>
    </row>
    <row r="190" spans="1:17" s="54" customFormat="1" ht="13.5">
      <c r="A190" s="53"/>
      <c r="F190" s="54">
        <f>SUM(F185:F189)-SUM(G185:G189)</f>
        <v>0</v>
      </c>
      <c r="J190" s="55"/>
      <c r="K190" s="55"/>
      <c r="L190" s="55"/>
      <c r="M190" s="55"/>
      <c r="N190" s="55"/>
      <c r="O190" s="55"/>
      <c r="P190" s="55"/>
      <c r="Q190" s="55"/>
    </row>
    <row r="196" spans="2:8">
      <c r="B196" s="69" t="s">
        <v>280</v>
      </c>
      <c r="C196" s="70"/>
      <c r="D196" s="70"/>
      <c r="E196" s="70"/>
      <c r="F196" s="70"/>
      <c r="G196" s="70"/>
      <c r="H196" s="71"/>
    </row>
    <row r="197" spans="2:8">
      <c r="B197" s="72"/>
      <c r="C197" s="16"/>
      <c r="D197" s="16"/>
      <c r="E197" s="16"/>
      <c r="F197" s="16"/>
      <c r="G197" s="16"/>
      <c r="H197" s="73"/>
    </row>
    <row r="198" spans="2:8">
      <c r="B198" s="72" t="s">
        <v>278</v>
      </c>
      <c r="C198" s="16"/>
      <c r="D198" s="16"/>
      <c r="E198" s="16"/>
      <c r="F198" s="16"/>
      <c r="G198" s="16"/>
      <c r="H198" s="73"/>
    </row>
    <row r="199" spans="2:8">
      <c r="B199" s="72"/>
      <c r="C199" s="16"/>
      <c r="D199" s="16"/>
      <c r="E199" s="16"/>
      <c r="F199" s="16"/>
      <c r="G199" s="16"/>
      <c r="H199" s="73"/>
    </row>
    <row r="200" spans="2:8">
      <c r="B200" s="72" t="s">
        <v>279</v>
      </c>
      <c r="C200" s="16"/>
      <c r="D200" s="16"/>
      <c r="E200" s="16"/>
      <c r="F200" s="16"/>
      <c r="G200" s="16"/>
      <c r="H200" s="73"/>
    </row>
    <row r="201" spans="2:8">
      <c r="B201" s="72"/>
      <c r="C201" s="16"/>
      <c r="D201" s="16"/>
      <c r="E201" s="16"/>
      <c r="F201" s="16"/>
      <c r="G201" s="16"/>
      <c r="H201" s="73"/>
    </row>
    <row r="202" spans="2:8">
      <c r="B202" s="74" t="s">
        <v>281</v>
      </c>
      <c r="C202" s="16"/>
      <c r="D202" s="16"/>
      <c r="E202" s="16"/>
      <c r="F202" s="16"/>
      <c r="G202" s="16"/>
      <c r="H202" s="73"/>
    </row>
    <row r="203" spans="2:8">
      <c r="B203" s="72" t="s">
        <v>282</v>
      </c>
      <c r="C203" s="16"/>
      <c r="D203" s="16"/>
      <c r="E203" s="16"/>
      <c r="F203" s="16"/>
      <c r="G203" s="16"/>
      <c r="H203" s="73"/>
    </row>
    <row r="204" spans="2:8">
      <c r="B204" s="72"/>
      <c r="C204" s="16"/>
      <c r="D204" s="16"/>
      <c r="E204" s="16"/>
      <c r="F204" s="16"/>
      <c r="G204" s="16"/>
      <c r="H204" s="73"/>
    </row>
    <row r="205" spans="2:8">
      <c r="B205" s="74" t="s">
        <v>283</v>
      </c>
      <c r="C205" s="16"/>
      <c r="D205" s="16"/>
      <c r="E205" s="16"/>
      <c r="F205" s="16"/>
      <c r="G205" s="16"/>
      <c r="H205" s="73"/>
    </row>
    <row r="206" spans="2:8">
      <c r="B206" s="72" t="s">
        <v>284</v>
      </c>
      <c r="C206" s="16"/>
      <c r="D206" s="16"/>
      <c r="E206" s="16"/>
      <c r="F206" s="16"/>
      <c r="G206" s="16"/>
      <c r="H206" s="73"/>
    </row>
    <row r="207" spans="2:8">
      <c r="B207" s="72"/>
      <c r="C207" s="16"/>
      <c r="D207" s="16"/>
      <c r="E207" s="16"/>
      <c r="F207" s="16"/>
      <c r="G207" s="16"/>
      <c r="H207" s="73"/>
    </row>
    <row r="208" spans="2:8">
      <c r="B208" s="74" t="s">
        <v>285</v>
      </c>
      <c r="C208" s="16"/>
      <c r="D208" s="16"/>
      <c r="E208" s="16"/>
      <c r="F208" s="16"/>
      <c r="G208" s="16"/>
      <c r="H208" s="73"/>
    </row>
    <row r="209" spans="2:8">
      <c r="B209" s="72"/>
      <c r="C209" s="16"/>
      <c r="D209" s="16"/>
      <c r="E209" s="16"/>
      <c r="F209" s="16"/>
      <c r="G209" s="16"/>
      <c r="H209" s="73"/>
    </row>
    <row r="210" spans="2:8">
      <c r="B210" s="74" t="s">
        <v>286</v>
      </c>
      <c r="C210" s="16"/>
      <c r="D210" s="16"/>
      <c r="E210" s="16"/>
      <c r="F210" s="16"/>
      <c r="G210" s="16"/>
      <c r="H210" s="73"/>
    </row>
    <row r="211" spans="2:8">
      <c r="B211" s="72" t="s">
        <v>287</v>
      </c>
      <c r="C211" s="16"/>
      <c r="D211" s="16"/>
      <c r="E211" s="16"/>
      <c r="F211" s="16"/>
      <c r="G211" s="16"/>
      <c r="H211" s="73"/>
    </row>
    <row r="212" spans="2:8">
      <c r="B212" s="72" t="s">
        <v>288</v>
      </c>
      <c r="C212" s="16"/>
      <c r="D212" s="16"/>
      <c r="E212" s="16"/>
      <c r="F212" s="16"/>
      <c r="G212" s="16"/>
      <c r="H212" s="73"/>
    </row>
    <row r="213" spans="2:8">
      <c r="B213" s="72"/>
      <c r="C213" s="16"/>
      <c r="D213" s="16"/>
      <c r="E213" s="16"/>
      <c r="F213" s="16"/>
      <c r="G213" s="16"/>
      <c r="H213" s="73"/>
    </row>
    <row r="214" spans="2:8">
      <c r="B214" s="74" t="s">
        <v>289</v>
      </c>
      <c r="C214" s="16"/>
      <c r="D214" s="16"/>
      <c r="E214" s="16"/>
      <c r="F214" s="16"/>
      <c r="G214" s="16"/>
      <c r="H214" s="73"/>
    </row>
    <row r="215" spans="2:8">
      <c r="B215" s="72" t="s">
        <v>290</v>
      </c>
      <c r="C215" s="16"/>
      <c r="D215" s="16"/>
      <c r="E215" s="16"/>
      <c r="F215" s="16"/>
      <c r="G215" s="16"/>
      <c r="H215" s="73"/>
    </row>
    <row r="216" spans="2:8">
      <c r="B216" s="72" t="s">
        <v>291</v>
      </c>
      <c r="C216" s="16"/>
      <c r="D216" s="16"/>
      <c r="E216" s="16"/>
      <c r="F216" s="16"/>
      <c r="G216" s="16"/>
      <c r="H216" s="73"/>
    </row>
    <row r="217" spans="2:8">
      <c r="B217" s="72"/>
      <c r="C217" s="16"/>
      <c r="D217" s="16"/>
      <c r="E217" s="16"/>
      <c r="F217" s="16"/>
      <c r="G217" s="16"/>
      <c r="H217" s="73"/>
    </row>
    <row r="218" spans="2:8">
      <c r="B218" s="74" t="s">
        <v>292</v>
      </c>
      <c r="C218" s="16"/>
      <c r="D218" s="16"/>
      <c r="E218" s="16"/>
      <c r="F218" s="16"/>
      <c r="G218" s="16"/>
      <c r="H218" s="73"/>
    </row>
    <row r="219" spans="2:8">
      <c r="B219" s="72" t="s">
        <v>293</v>
      </c>
      <c r="C219" s="16"/>
      <c r="D219" s="16"/>
      <c r="E219" s="16"/>
      <c r="F219" s="16"/>
      <c r="G219" s="16"/>
      <c r="H219" s="73"/>
    </row>
    <row r="220" spans="2:8">
      <c r="B220" s="72" t="s">
        <v>294</v>
      </c>
      <c r="C220" s="16"/>
      <c r="D220" s="16"/>
      <c r="E220" s="16"/>
      <c r="F220" s="16"/>
      <c r="G220" s="16"/>
      <c r="H220" s="73"/>
    </row>
    <row r="221" spans="2:8">
      <c r="B221" s="75"/>
      <c r="C221" s="76"/>
      <c r="D221" s="76"/>
      <c r="E221" s="76"/>
      <c r="F221" s="76"/>
      <c r="G221" s="76"/>
      <c r="H221" s="77"/>
    </row>
    <row r="224" spans="2:8">
      <c r="B224" s="79" t="s">
        <v>298</v>
      </c>
      <c r="C224" s="80"/>
      <c r="D224" s="80"/>
      <c r="E224" s="80"/>
      <c r="F224" s="80"/>
      <c r="G224" s="80"/>
      <c r="H224" s="81"/>
    </row>
    <row r="225" spans="2:8">
      <c r="B225" s="82"/>
      <c r="H225" s="83"/>
    </row>
    <row r="226" spans="2:8">
      <c r="B226" s="82" t="s">
        <v>306</v>
      </c>
      <c r="H226" s="83"/>
    </row>
    <row r="227" spans="2:8">
      <c r="B227" s="82" t="s">
        <v>307</v>
      </c>
      <c r="H227" s="83"/>
    </row>
    <row r="228" spans="2:8">
      <c r="B228" s="82" t="s">
        <v>308</v>
      </c>
      <c r="H228" s="83"/>
    </row>
    <row r="229" spans="2:8">
      <c r="B229" s="82" t="s">
        <v>309</v>
      </c>
      <c r="H229" s="83"/>
    </row>
    <row r="230" spans="2:8">
      <c r="B230" s="82" t="s">
        <v>310</v>
      </c>
      <c r="H230" s="83"/>
    </row>
    <row r="231" spans="2:8">
      <c r="B231" s="82" t="s">
        <v>311</v>
      </c>
      <c r="H231" s="83"/>
    </row>
    <row r="232" spans="2:8">
      <c r="B232" s="82" t="s">
        <v>312</v>
      </c>
      <c r="H232" s="83"/>
    </row>
    <row r="233" spans="2:8">
      <c r="B233" s="82"/>
      <c r="H233" s="83"/>
    </row>
    <row r="234" spans="2:8">
      <c r="B234" s="82" t="s">
        <v>313</v>
      </c>
      <c r="H234" s="83"/>
    </row>
    <row r="235" spans="2:8">
      <c r="B235" s="82" t="s">
        <v>314</v>
      </c>
      <c r="H235" s="83"/>
    </row>
    <row r="236" spans="2:8">
      <c r="B236" s="82" t="s">
        <v>315</v>
      </c>
      <c r="H236" s="83"/>
    </row>
    <row r="237" spans="2:8">
      <c r="B237" s="82" t="s">
        <v>316</v>
      </c>
      <c r="H237" s="83"/>
    </row>
    <row r="238" spans="2:8">
      <c r="B238" s="82" t="s">
        <v>317</v>
      </c>
      <c r="H238" s="83"/>
    </row>
    <row r="239" spans="2:8">
      <c r="B239" s="82" t="s">
        <v>318</v>
      </c>
      <c r="H239" s="83"/>
    </row>
    <row r="240" spans="2:8">
      <c r="B240" s="82" t="s">
        <v>319</v>
      </c>
      <c r="H240" s="83"/>
    </row>
    <row r="241" spans="2:8">
      <c r="B241" s="82" t="s">
        <v>320</v>
      </c>
      <c r="H241" s="83"/>
    </row>
    <row r="242" spans="2:8">
      <c r="B242" s="82" t="s">
        <v>321</v>
      </c>
      <c r="H242" s="83"/>
    </row>
    <row r="243" spans="2:8">
      <c r="B243" s="82"/>
      <c r="H243" s="83"/>
    </row>
    <row r="244" spans="2:8">
      <c r="B244" s="82"/>
      <c r="H244" s="83"/>
    </row>
    <row r="245" spans="2:8">
      <c r="B245" s="82" t="s">
        <v>299</v>
      </c>
      <c r="H245" s="83"/>
    </row>
    <row r="246" spans="2:8">
      <c r="B246" s="82" t="s">
        <v>300</v>
      </c>
      <c r="H246" s="83"/>
    </row>
    <row r="247" spans="2:8">
      <c r="B247" s="82" t="s">
        <v>301</v>
      </c>
      <c r="H247" s="83"/>
    </row>
    <row r="248" spans="2:8">
      <c r="B248" s="82" t="s">
        <v>302</v>
      </c>
      <c r="H248" s="83"/>
    </row>
    <row r="249" spans="2:8">
      <c r="B249" s="82" t="s">
        <v>303</v>
      </c>
      <c r="H249" s="83"/>
    </row>
    <row r="250" spans="2:8">
      <c r="B250" s="82" t="s">
        <v>304</v>
      </c>
      <c r="H250" s="83"/>
    </row>
    <row r="251" spans="2:8">
      <c r="B251" s="84" t="s">
        <v>305</v>
      </c>
      <c r="C251" s="85"/>
      <c r="D251" s="85"/>
      <c r="E251" s="85"/>
      <c r="F251" s="85"/>
      <c r="G251" s="85"/>
      <c r="H251" s="86"/>
    </row>
  </sheetData>
  <mergeCells count="4">
    <mergeCell ref="B180:C180"/>
    <mergeCell ref="B183:C183"/>
    <mergeCell ref="D183:E183"/>
    <mergeCell ref="F183:G183"/>
  </mergeCells>
  <phoneticPr fontId="13" type="noConversion"/>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29">
    <tabColor theme="9" tint="0.79998168889431442"/>
  </sheetPr>
  <dimension ref="A1:D143"/>
  <sheetViews>
    <sheetView topLeftCell="A3" zoomScale="85" zoomScaleNormal="85" workbookViewId="0">
      <selection activeCell="A3" sqref="A3"/>
    </sheetView>
  </sheetViews>
  <sheetFormatPr defaultRowHeight="16.5"/>
  <cols>
    <col min="1" max="1" width="21.125" customWidth="1"/>
    <col min="2" max="4" width="24.625" customWidth="1"/>
  </cols>
  <sheetData>
    <row r="1" spans="1:4">
      <c r="A1" t="s">
        <v>2250</v>
      </c>
      <c r="B1" s="932" t="s">
        <v>2251</v>
      </c>
    </row>
    <row r="3" spans="1:4" ht="17.25" thickBot="1">
      <c r="A3" s="933" t="s">
        <v>2252</v>
      </c>
    </row>
    <row r="4" spans="1:4" ht="17.25" thickTop="1">
      <c r="A4" s="924"/>
    </row>
    <row r="5" spans="1:4">
      <c r="A5" s="925" t="s">
        <v>2253</v>
      </c>
      <c r="B5" s="925" t="s">
        <v>2254</v>
      </c>
      <c r="C5" s="925" t="s">
        <v>2255</v>
      </c>
      <c r="D5" s="925" t="s">
        <v>2256</v>
      </c>
    </row>
    <row r="6" spans="1:4">
      <c r="A6" s="926" t="s">
        <v>2257</v>
      </c>
      <c r="B6" s="934" t="s">
        <v>2258</v>
      </c>
      <c r="C6" s="927" t="s">
        <v>2258</v>
      </c>
      <c r="D6" s="934" t="s">
        <v>2258</v>
      </c>
    </row>
    <row r="7" spans="1:4">
      <c r="A7" s="928" t="s">
        <v>2259</v>
      </c>
      <c r="B7" s="935">
        <v>10</v>
      </c>
      <c r="C7" s="929">
        <v>10</v>
      </c>
      <c r="D7" s="935">
        <v>10</v>
      </c>
    </row>
    <row r="8" spans="1:4">
      <c r="A8" s="926" t="s">
        <v>2260</v>
      </c>
      <c r="B8" s="934">
        <v>25</v>
      </c>
      <c r="C8" s="927">
        <v>25</v>
      </c>
      <c r="D8" s="934" t="s">
        <v>2261</v>
      </c>
    </row>
    <row r="9" spans="1:4">
      <c r="A9" s="928" t="s">
        <v>2262</v>
      </c>
      <c r="B9" s="935">
        <v>0</v>
      </c>
      <c r="C9" s="929">
        <v>0</v>
      </c>
      <c r="D9" s="929">
        <v>0</v>
      </c>
    </row>
    <row r="10" spans="1:4">
      <c r="A10" s="926" t="s">
        <v>2263</v>
      </c>
      <c r="B10" s="934">
        <v>25</v>
      </c>
      <c r="C10" s="927">
        <v>25</v>
      </c>
      <c r="D10" s="934">
        <v>25</v>
      </c>
    </row>
    <row r="11" spans="1:4">
      <c r="A11" s="928" t="s">
        <v>2264</v>
      </c>
      <c r="B11" s="935">
        <v>35</v>
      </c>
      <c r="C11" s="929">
        <v>35</v>
      </c>
      <c r="D11" s="935" t="s">
        <v>2265</v>
      </c>
    </row>
    <row r="12" spans="1:4">
      <c r="A12" s="926" t="s">
        <v>2266</v>
      </c>
      <c r="B12" s="934">
        <v>22</v>
      </c>
      <c r="C12" s="927">
        <v>22</v>
      </c>
      <c r="D12" s="934">
        <v>22</v>
      </c>
    </row>
    <row r="13" spans="1:4">
      <c r="A13" s="928" t="s">
        <v>2267</v>
      </c>
      <c r="B13" s="935">
        <v>30</v>
      </c>
      <c r="C13" s="929">
        <v>30</v>
      </c>
      <c r="D13" s="935">
        <v>30</v>
      </c>
    </row>
    <row r="14" spans="1:4">
      <c r="A14" s="926" t="s">
        <v>2268</v>
      </c>
      <c r="B14" s="934">
        <v>23</v>
      </c>
      <c r="C14" s="927">
        <v>23</v>
      </c>
      <c r="D14" s="934">
        <v>23</v>
      </c>
    </row>
    <row r="15" spans="1:4">
      <c r="A15" s="928" t="s">
        <v>2269</v>
      </c>
      <c r="B15" s="935">
        <v>20</v>
      </c>
      <c r="C15" s="929">
        <v>20</v>
      </c>
      <c r="D15" s="935" t="s">
        <v>2270</v>
      </c>
    </row>
    <row r="16" spans="1:4">
      <c r="A16" s="926" t="s">
        <v>2271</v>
      </c>
      <c r="B16" s="934">
        <v>0</v>
      </c>
      <c r="C16" s="927">
        <v>0</v>
      </c>
      <c r="D16" s="934">
        <v>0</v>
      </c>
    </row>
    <row r="17" spans="1:4">
      <c r="A17" s="928" t="s">
        <v>2272</v>
      </c>
      <c r="B17" s="935">
        <v>0</v>
      </c>
      <c r="C17" s="929">
        <v>0</v>
      </c>
      <c r="D17" s="929">
        <v>0</v>
      </c>
    </row>
    <row r="18" spans="1:4">
      <c r="A18" s="926" t="s">
        <v>2273</v>
      </c>
      <c r="B18" s="934" t="s">
        <v>2274</v>
      </c>
      <c r="C18" s="927" t="s">
        <v>2274</v>
      </c>
      <c r="D18" s="934" t="s">
        <v>2275</v>
      </c>
    </row>
    <row r="19" spans="1:4">
      <c r="A19" s="928" t="s">
        <v>2276</v>
      </c>
      <c r="B19" s="935">
        <v>9</v>
      </c>
      <c r="C19" s="929">
        <v>9</v>
      </c>
      <c r="D19" s="935" t="s">
        <v>2277</v>
      </c>
    </row>
    <row r="20" spans="1:4">
      <c r="A20" s="926" t="s">
        <v>2278</v>
      </c>
      <c r="B20" s="934">
        <v>25</v>
      </c>
      <c r="C20" s="927">
        <v>25</v>
      </c>
      <c r="D20" s="934">
        <v>25</v>
      </c>
    </row>
    <row r="21" spans="1:4">
      <c r="A21" s="928" t="s">
        <v>2279</v>
      </c>
      <c r="B21" s="935">
        <v>0</v>
      </c>
      <c r="C21" s="929">
        <v>0</v>
      </c>
      <c r="D21" s="935">
        <v>0</v>
      </c>
    </row>
    <row r="22" spans="1:4">
      <c r="A22" s="926" t="s">
        <v>2280</v>
      </c>
      <c r="B22" s="934">
        <v>25</v>
      </c>
      <c r="C22" s="927">
        <v>25</v>
      </c>
      <c r="D22" s="934">
        <v>25</v>
      </c>
    </row>
    <row r="23" spans="1:4">
      <c r="A23" s="928" t="s">
        <v>2281</v>
      </c>
      <c r="B23" s="929">
        <v>10</v>
      </c>
      <c r="C23" s="929">
        <v>10</v>
      </c>
      <c r="D23" s="935">
        <v>10</v>
      </c>
    </row>
    <row r="24" spans="1:4">
      <c r="A24" s="926" t="s">
        <v>2282</v>
      </c>
      <c r="B24" s="934">
        <v>22</v>
      </c>
      <c r="C24" s="927">
        <v>22</v>
      </c>
      <c r="D24" s="934">
        <v>30</v>
      </c>
    </row>
    <row r="25" spans="1:4">
      <c r="A25" s="928" t="s">
        <v>2283</v>
      </c>
      <c r="B25" s="935">
        <v>34</v>
      </c>
      <c r="C25" s="935">
        <v>34</v>
      </c>
      <c r="D25" s="935">
        <v>34</v>
      </c>
    </row>
    <row r="26" spans="1:4">
      <c r="A26" s="926" t="s">
        <v>2284</v>
      </c>
      <c r="B26" s="934">
        <v>0</v>
      </c>
      <c r="C26" s="927">
        <v>0</v>
      </c>
      <c r="D26" s="934">
        <v>0</v>
      </c>
    </row>
    <row r="27" spans="1:4">
      <c r="A27" s="928" t="s">
        <v>2285</v>
      </c>
      <c r="B27" s="935">
        <v>18.5</v>
      </c>
      <c r="C27" s="929">
        <v>18.5</v>
      </c>
      <c r="D27" s="935">
        <v>18.5</v>
      </c>
    </row>
    <row r="28" spans="1:4">
      <c r="A28" s="926" t="s">
        <v>2286</v>
      </c>
      <c r="B28" s="927">
        <v>10</v>
      </c>
      <c r="C28" s="927">
        <v>10</v>
      </c>
      <c r="D28" s="934">
        <v>10</v>
      </c>
    </row>
    <row r="29" spans="1:4">
      <c r="A29" s="928" t="s">
        <v>2287</v>
      </c>
      <c r="B29" s="935">
        <v>20</v>
      </c>
      <c r="C29" s="929">
        <v>20</v>
      </c>
      <c r="D29" s="935" t="s">
        <v>2288</v>
      </c>
    </row>
    <row r="30" spans="1:4">
      <c r="A30" s="926" t="s">
        <v>2289</v>
      </c>
      <c r="B30" s="934">
        <v>15</v>
      </c>
      <c r="C30" s="934" t="s">
        <v>2290</v>
      </c>
      <c r="D30" s="934" t="s">
        <v>2291</v>
      </c>
    </row>
    <row r="31" spans="1:4">
      <c r="A31" s="928" t="s">
        <v>2292</v>
      </c>
      <c r="B31" s="935">
        <v>0</v>
      </c>
      <c r="C31" s="929">
        <v>0</v>
      </c>
      <c r="D31" s="935">
        <v>0</v>
      </c>
    </row>
    <row r="32" spans="1:4">
      <c r="A32" s="926" t="s">
        <v>2293</v>
      </c>
      <c r="B32" s="934">
        <v>27</v>
      </c>
      <c r="C32" s="927">
        <v>27</v>
      </c>
      <c r="D32" s="934" t="s">
        <v>2294</v>
      </c>
    </row>
    <row r="33" spans="1:4">
      <c r="A33" s="938" t="s">
        <v>2295</v>
      </c>
      <c r="B33" s="939">
        <v>25</v>
      </c>
      <c r="C33" s="940">
        <v>25</v>
      </c>
      <c r="D33" s="939">
        <v>25</v>
      </c>
    </row>
    <row r="34" spans="1:4">
      <c r="A34" s="926" t="s">
        <v>2296</v>
      </c>
      <c r="B34" s="934">
        <v>35</v>
      </c>
      <c r="C34" s="934" t="s">
        <v>2290</v>
      </c>
      <c r="D34" s="934" t="s">
        <v>2290</v>
      </c>
    </row>
    <row r="35" spans="1:4">
      <c r="A35" s="928" t="s">
        <v>2297</v>
      </c>
      <c r="B35" s="935">
        <v>30</v>
      </c>
      <c r="C35" s="929">
        <v>30</v>
      </c>
      <c r="D35" s="935" t="s">
        <v>2298</v>
      </c>
    </row>
    <row r="36" spans="1:4">
      <c r="A36" s="926" t="s">
        <v>2299</v>
      </c>
      <c r="B36" s="934">
        <v>18</v>
      </c>
      <c r="C36" s="927">
        <v>18</v>
      </c>
      <c r="D36" s="934">
        <v>18</v>
      </c>
    </row>
    <row r="37" spans="1:4">
      <c r="A37" s="928" t="s">
        <v>2300</v>
      </c>
      <c r="B37" s="935">
        <v>22</v>
      </c>
      <c r="C37" s="929">
        <v>22</v>
      </c>
      <c r="D37" s="935">
        <v>22</v>
      </c>
    </row>
    <row r="38" spans="1:4">
      <c r="A38" s="926" t="s">
        <v>2301</v>
      </c>
      <c r="B38" s="934">
        <v>12.5</v>
      </c>
      <c r="C38" s="927">
        <v>12.5</v>
      </c>
      <c r="D38" s="934">
        <v>12.5</v>
      </c>
    </row>
    <row r="39" spans="1:4">
      <c r="A39" s="928" t="s">
        <v>2302</v>
      </c>
      <c r="B39" s="935">
        <v>21</v>
      </c>
      <c r="C39" s="935" t="s">
        <v>2290</v>
      </c>
      <c r="D39" s="935">
        <v>21</v>
      </c>
    </row>
    <row r="40" spans="1:4">
      <c r="A40" s="926" t="s">
        <v>2303</v>
      </c>
      <c r="B40" s="934">
        <v>22</v>
      </c>
      <c r="C40" s="927">
        <v>22</v>
      </c>
      <c r="D40" s="934">
        <v>22</v>
      </c>
    </row>
    <row r="41" spans="1:4">
      <c r="A41" s="928" t="s">
        <v>2304</v>
      </c>
      <c r="B41" s="929">
        <v>25</v>
      </c>
      <c r="C41" s="929">
        <v>25</v>
      </c>
      <c r="D41" s="935" t="s">
        <v>2305</v>
      </c>
    </row>
    <row r="42" spans="1:4">
      <c r="A42" s="926" t="s">
        <v>2306</v>
      </c>
      <c r="B42" s="934">
        <v>27</v>
      </c>
      <c r="C42" s="927">
        <v>27</v>
      </c>
      <c r="D42" s="934" t="s">
        <v>2307</v>
      </c>
    </row>
    <row r="43" spans="1:4">
      <c r="A43" s="928" t="s">
        <v>2308</v>
      </c>
      <c r="B43" s="935">
        <v>25</v>
      </c>
      <c r="C43" s="929">
        <v>25</v>
      </c>
      <c r="D43" s="935">
        <v>25</v>
      </c>
    </row>
    <row r="44" spans="1:4">
      <c r="A44" s="926" t="s">
        <v>2309</v>
      </c>
      <c r="B44" s="934">
        <v>22.5</v>
      </c>
      <c r="C44" s="927">
        <v>22.5</v>
      </c>
      <c r="D44" s="934" t="s">
        <v>2310</v>
      </c>
    </row>
    <row r="45" spans="1:4">
      <c r="A45" s="928" t="s">
        <v>2311</v>
      </c>
      <c r="B45" s="935">
        <v>30</v>
      </c>
      <c r="C45" s="929">
        <v>30</v>
      </c>
      <c r="D45" s="935">
        <v>30</v>
      </c>
    </row>
    <row r="46" spans="1:4">
      <c r="A46" s="926" t="s">
        <v>2312</v>
      </c>
      <c r="B46" s="934">
        <v>20</v>
      </c>
      <c r="C46" s="927">
        <v>20</v>
      </c>
      <c r="D46" s="934">
        <v>20</v>
      </c>
    </row>
    <row r="47" spans="1:4">
      <c r="A47" s="928" t="s">
        <v>2313</v>
      </c>
      <c r="B47" s="929">
        <v>20</v>
      </c>
      <c r="C47" s="929">
        <v>20</v>
      </c>
      <c r="D47" s="935">
        <v>20</v>
      </c>
    </row>
    <row r="48" spans="1:4">
      <c r="A48" s="926" t="s">
        <v>2314</v>
      </c>
      <c r="B48" s="934">
        <v>25</v>
      </c>
      <c r="C48" s="934">
        <v>25.83</v>
      </c>
      <c r="D48" s="934" t="s">
        <v>2315</v>
      </c>
    </row>
    <row r="49" spans="1:4">
      <c r="A49" s="928" t="s">
        <v>2316</v>
      </c>
      <c r="B49" s="935">
        <v>15</v>
      </c>
      <c r="C49" s="929">
        <v>15</v>
      </c>
      <c r="D49" s="935">
        <v>15</v>
      </c>
    </row>
    <row r="50" spans="1:4">
      <c r="A50" s="926" t="s">
        <v>2317</v>
      </c>
      <c r="B50" s="934">
        <v>15</v>
      </c>
      <c r="C50" s="934" t="s">
        <v>2318</v>
      </c>
      <c r="D50" s="934">
        <v>15</v>
      </c>
    </row>
    <row r="51" spans="1:4">
      <c r="A51" s="928" t="s">
        <v>2319</v>
      </c>
      <c r="B51" s="935">
        <v>25</v>
      </c>
      <c r="C51" s="929">
        <v>25</v>
      </c>
      <c r="D51" s="935" t="s">
        <v>2320</v>
      </c>
    </row>
    <row r="52" spans="1:4">
      <c r="A52" s="926" t="s">
        <v>2321</v>
      </c>
      <c r="B52" s="934">
        <v>12.5</v>
      </c>
      <c r="C52" s="927">
        <v>12.5</v>
      </c>
      <c r="D52" s="934">
        <v>12.5</v>
      </c>
    </row>
    <row r="53" spans="1:4">
      <c r="A53" s="928" t="s">
        <v>2322</v>
      </c>
      <c r="B53" s="935">
        <v>22</v>
      </c>
      <c r="C53" s="929">
        <v>22</v>
      </c>
      <c r="D53" s="935">
        <v>22</v>
      </c>
    </row>
    <row r="54" spans="1:4">
      <c r="A54" s="926" t="s">
        <v>2323</v>
      </c>
      <c r="B54" s="927">
        <v>28</v>
      </c>
      <c r="C54" s="927">
        <v>28</v>
      </c>
      <c r="D54" s="934">
        <v>28</v>
      </c>
    </row>
    <row r="55" spans="1:4">
      <c r="A55" s="928" t="s">
        <v>2324</v>
      </c>
      <c r="B55" s="935">
        <v>25</v>
      </c>
      <c r="C55" s="929">
        <v>25</v>
      </c>
      <c r="D55" s="935" t="s">
        <v>2325</v>
      </c>
    </row>
    <row r="56" spans="1:4">
      <c r="A56" s="926" t="s">
        <v>2326</v>
      </c>
      <c r="B56" s="936">
        <v>36819</v>
      </c>
      <c r="C56" s="930">
        <v>36819</v>
      </c>
      <c r="D56" s="936">
        <v>36819</v>
      </c>
    </row>
    <row r="57" spans="1:4">
      <c r="A57" s="928" t="s">
        <v>2327</v>
      </c>
      <c r="B57" s="935">
        <v>25</v>
      </c>
      <c r="C57" s="935" t="s">
        <v>2290</v>
      </c>
      <c r="D57" s="935">
        <v>25</v>
      </c>
    </row>
    <row r="58" spans="1:4">
      <c r="A58" s="938" t="s">
        <v>2328</v>
      </c>
      <c r="B58" s="939">
        <v>16.5</v>
      </c>
      <c r="C58" s="940">
        <v>16.5</v>
      </c>
      <c r="D58" s="939">
        <v>16.5</v>
      </c>
    </row>
    <row r="59" spans="1:4">
      <c r="A59" s="928" t="s">
        <v>2329</v>
      </c>
      <c r="B59" s="935">
        <v>9</v>
      </c>
      <c r="C59" s="935" t="s">
        <v>2290</v>
      </c>
      <c r="D59" s="935">
        <v>9</v>
      </c>
    </row>
    <row r="60" spans="1:4">
      <c r="A60" s="926" t="s">
        <v>2330</v>
      </c>
      <c r="B60" s="934">
        <v>21</v>
      </c>
      <c r="C60" s="927">
        <v>21</v>
      </c>
      <c r="D60" s="934">
        <v>21</v>
      </c>
    </row>
    <row r="61" spans="1:4">
      <c r="A61" s="928" t="s">
        <v>2331</v>
      </c>
      <c r="B61" s="935" t="s">
        <v>2332</v>
      </c>
      <c r="C61" s="935" t="s">
        <v>2290</v>
      </c>
      <c r="D61" s="935" t="s">
        <v>2333</v>
      </c>
    </row>
    <row r="62" spans="1:4">
      <c r="A62" s="926" t="s">
        <v>2334</v>
      </c>
      <c r="B62" s="934">
        <v>22</v>
      </c>
      <c r="C62" s="927">
        <v>22</v>
      </c>
      <c r="D62" s="934" t="s">
        <v>2335</v>
      </c>
    </row>
    <row r="63" spans="1:4">
      <c r="A63" s="928" t="s">
        <v>2336</v>
      </c>
      <c r="B63" s="935">
        <v>15</v>
      </c>
      <c r="C63" s="929">
        <v>15</v>
      </c>
      <c r="D63" s="935">
        <v>15</v>
      </c>
    </row>
    <row r="64" spans="1:4">
      <c r="A64" s="926" t="s">
        <v>2337</v>
      </c>
      <c r="B64" s="934" t="s">
        <v>2338</v>
      </c>
      <c r="C64" s="927" t="s">
        <v>2338</v>
      </c>
      <c r="D64" s="934" t="s">
        <v>2338</v>
      </c>
    </row>
    <row r="65" spans="1:4">
      <c r="A65" s="928" t="s">
        <v>2339</v>
      </c>
      <c r="B65" s="935">
        <v>0</v>
      </c>
      <c r="C65" s="929">
        <v>0</v>
      </c>
      <c r="D65" s="935">
        <v>0</v>
      </c>
    </row>
    <row r="66" spans="1:4">
      <c r="A66" s="926" t="s">
        <v>2340</v>
      </c>
      <c r="B66" s="934">
        <v>23</v>
      </c>
      <c r="C66" s="927">
        <v>23</v>
      </c>
      <c r="D66" s="934">
        <v>23</v>
      </c>
    </row>
    <row r="67" spans="1:4">
      <c r="A67" s="928" t="s">
        <v>2341</v>
      </c>
      <c r="B67" s="935">
        <v>24</v>
      </c>
      <c r="C67" s="935" t="s">
        <v>2290</v>
      </c>
      <c r="D67" s="935">
        <v>24</v>
      </c>
    </row>
    <row r="68" spans="1:4">
      <c r="A68" s="926" t="s">
        <v>2342</v>
      </c>
      <c r="B68" s="934">
        <v>25</v>
      </c>
      <c r="C68" s="927">
        <v>25</v>
      </c>
      <c r="D68" s="934">
        <v>25</v>
      </c>
    </row>
    <row r="69" spans="1:4">
      <c r="A69" s="928" t="s">
        <v>2343</v>
      </c>
      <c r="B69" s="935">
        <v>23.2</v>
      </c>
      <c r="C69" s="935" t="s">
        <v>2290</v>
      </c>
      <c r="D69" s="935">
        <v>23.2</v>
      </c>
    </row>
    <row r="70" spans="1:4">
      <c r="A70" s="926" t="s">
        <v>2344</v>
      </c>
      <c r="B70" s="936">
        <v>36819</v>
      </c>
      <c r="C70" s="930">
        <v>36819</v>
      </c>
      <c r="D70" s="936">
        <v>36819</v>
      </c>
    </row>
    <row r="71" spans="1:4">
      <c r="A71" s="928" t="s">
        <v>2345</v>
      </c>
      <c r="B71" s="935">
        <v>20</v>
      </c>
      <c r="C71" s="935" t="s">
        <v>2290</v>
      </c>
      <c r="D71" s="935">
        <v>20</v>
      </c>
    </row>
    <row r="72" spans="1:4">
      <c r="A72" s="926" t="s">
        <v>2346</v>
      </c>
      <c r="B72" s="927">
        <v>20</v>
      </c>
      <c r="C72" s="927">
        <v>20</v>
      </c>
      <c r="D72" s="934" t="s">
        <v>2347</v>
      </c>
    </row>
    <row r="73" spans="1:4">
      <c r="A73" s="928" t="s">
        <v>2348</v>
      </c>
      <c r="B73" s="935">
        <v>30</v>
      </c>
      <c r="C73" s="929">
        <v>30</v>
      </c>
      <c r="D73" s="935" t="s">
        <v>2298</v>
      </c>
    </row>
    <row r="74" spans="1:4">
      <c r="A74" s="926" t="s">
        <v>2349</v>
      </c>
      <c r="B74" s="934">
        <v>24</v>
      </c>
      <c r="C74" s="934" t="s">
        <v>2290</v>
      </c>
      <c r="D74" s="934" t="s">
        <v>2350</v>
      </c>
    </row>
    <row r="75" spans="1:4">
      <c r="A75" s="928" t="s">
        <v>2351</v>
      </c>
      <c r="B75" s="935">
        <v>10</v>
      </c>
      <c r="C75" s="929">
        <v>10</v>
      </c>
      <c r="D75" s="935">
        <v>10</v>
      </c>
    </row>
    <row r="76" spans="1:4">
      <c r="A76" s="926" t="s">
        <v>2352</v>
      </c>
      <c r="B76" s="934">
        <v>15</v>
      </c>
      <c r="C76" s="927">
        <v>15</v>
      </c>
      <c r="D76" s="934">
        <v>15</v>
      </c>
    </row>
    <row r="77" spans="1:4">
      <c r="A77" s="928" t="s">
        <v>2353</v>
      </c>
      <c r="B77" s="935">
        <v>20</v>
      </c>
      <c r="C77" s="929">
        <v>20</v>
      </c>
      <c r="D77" s="935">
        <v>20</v>
      </c>
    </row>
    <row r="78" spans="1:4">
      <c r="A78" s="926" t="s">
        <v>2354</v>
      </c>
      <c r="B78" s="934">
        <v>20</v>
      </c>
      <c r="C78" s="927">
        <v>20</v>
      </c>
      <c r="D78" s="934">
        <v>20</v>
      </c>
    </row>
    <row r="79" spans="1:4">
      <c r="A79" s="928" t="s">
        <v>2355</v>
      </c>
      <c r="B79" s="935">
        <v>17</v>
      </c>
      <c r="C79" s="929">
        <v>17</v>
      </c>
      <c r="D79" s="935" t="s">
        <v>2356</v>
      </c>
    </row>
    <row r="80" spans="1:4">
      <c r="A80" s="926" t="s">
        <v>2357</v>
      </c>
      <c r="B80" s="934">
        <v>12.5</v>
      </c>
      <c r="C80" s="927">
        <v>12.5</v>
      </c>
      <c r="D80" s="934">
        <v>12.5</v>
      </c>
    </row>
    <row r="81" spans="1:4">
      <c r="A81" s="928" t="s">
        <v>2358</v>
      </c>
      <c r="B81" s="937">
        <v>36661</v>
      </c>
      <c r="C81" s="931">
        <v>36661</v>
      </c>
      <c r="D81" s="937">
        <v>36661</v>
      </c>
    </row>
    <row r="82" spans="1:4">
      <c r="A82" s="926" t="s">
        <v>2359</v>
      </c>
      <c r="B82" s="934">
        <v>17</v>
      </c>
      <c r="C82" s="934" t="s">
        <v>2290</v>
      </c>
      <c r="D82" s="934">
        <v>17</v>
      </c>
    </row>
    <row r="83" spans="1:4">
      <c r="A83" s="928" t="s">
        <v>2360</v>
      </c>
      <c r="B83" s="935">
        <v>12</v>
      </c>
      <c r="C83" s="929">
        <v>12</v>
      </c>
      <c r="D83" s="935">
        <v>12</v>
      </c>
    </row>
    <row r="84" spans="1:4">
      <c r="A84" s="926" t="s">
        <v>2361</v>
      </c>
      <c r="B84" s="934">
        <v>24</v>
      </c>
      <c r="C84" s="927">
        <v>24</v>
      </c>
      <c r="D84" s="934">
        <v>24</v>
      </c>
    </row>
    <row r="85" spans="1:4">
      <c r="A85" s="928" t="s">
        <v>2362</v>
      </c>
      <c r="B85" s="935">
        <v>35</v>
      </c>
      <c r="C85" s="929">
        <v>35</v>
      </c>
      <c r="D85" s="935">
        <v>35</v>
      </c>
    </row>
    <row r="86" spans="1:4">
      <c r="A86" s="926" t="s">
        <v>2363</v>
      </c>
      <c r="B86" s="934">
        <v>15</v>
      </c>
      <c r="C86" s="927">
        <v>15</v>
      </c>
      <c r="D86" s="934">
        <v>15</v>
      </c>
    </row>
    <row r="87" spans="1:4">
      <c r="A87" s="928" t="s">
        <v>2364</v>
      </c>
      <c r="B87" s="929">
        <v>30</v>
      </c>
      <c r="C87" s="929">
        <v>30</v>
      </c>
      <c r="D87" s="935" t="s">
        <v>2365</v>
      </c>
    </row>
    <row r="88" spans="1:4">
      <c r="A88" s="926" t="s">
        <v>2366</v>
      </c>
      <c r="B88" s="934">
        <v>12</v>
      </c>
      <c r="C88" s="927">
        <v>12</v>
      </c>
      <c r="D88" s="934">
        <v>12</v>
      </c>
    </row>
    <row r="89" spans="1:4">
      <c r="A89" s="928" t="s">
        <v>2367</v>
      </c>
      <c r="B89" s="935">
        <v>15</v>
      </c>
      <c r="C89" s="929">
        <v>15</v>
      </c>
      <c r="D89" s="935">
        <v>15</v>
      </c>
    </row>
    <row r="90" spans="1:4">
      <c r="A90" s="926" t="s">
        <v>2368</v>
      </c>
      <c r="B90" s="934">
        <v>33</v>
      </c>
      <c r="C90" s="934" t="s">
        <v>2290</v>
      </c>
      <c r="D90" s="934" t="s">
        <v>2369</v>
      </c>
    </row>
    <row r="91" spans="1:4">
      <c r="A91" s="928" t="s">
        <v>2370</v>
      </c>
      <c r="B91" s="935">
        <v>22</v>
      </c>
      <c r="C91" s="929">
        <v>22</v>
      </c>
      <c r="D91" s="935">
        <v>22</v>
      </c>
    </row>
    <row r="92" spans="1:4">
      <c r="A92" s="926" t="s">
        <v>2371</v>
      </c>
      <c r="B92" s="934">
        <v>25.8</v>
      </c>
      <c r="C92" s="927">
        <v>25.8</v>
      </c>
      <c r="D92" s="934">
        <v>25.8</v>
      </c>
    </row>
    <row r="93" spans="1:4">
      <c r="A93" s="928" t="s">
        <v>2372</v>
      </c>
      <c r="B93" s="929">
        <v>28</v>
      </c>
      <c r="C93" s="929">
        <v>28</v>
      </c>
      <c r="D93" s="935">
        <v>28</v>
      </c>
    </row>
    <row r="94" spans="1:4">
      <c r="A94" s="926" t="s">
        <v>2373</v>
      </c>
      <c r="B94" s="934">
        <v>30</v>
      </c>
      <c r="C94" s="927">
        <v>30</v>
      </c>
      <c r="D94" s="934">
        <v>30</v>
      </c>
    </row>
    <row r="95" spans="1:4">
      <c r="A95" s="928" t="s">
        <v>2374</v>
      </c>
      <c r="B95" s="935">
        <v>30</v>
      </c>
      <c r="C95" s="929">
        <v>30</v>
      </c>
      <c r="D95" s="935">
        <v>30</v>
      </c>
    </row>
    <row r="96" spans="1:4">
      <c r="A96" s="926" t="s">
        <v>2375</v>
      </c>
      <c r="B96" s="927">
        <v>10</v>
      </c>
      <c r="C96" s="927">
        <v>10</v>
      </c>
      <c r="D96" s="934">
        <v>10</v>
      </c>
    </row>
    <row r="97" spans="1:4">
      <c r="A97" s="928" t="s">
        <v>2376</v>
      </c>
      <c r="B97" s="935">
        <v>22</v>
      </c>
      <c r="C97" s="929">
        <v>22</v>
      </c>
      <c r="D97" s="935">
        <v>22</v>
      </c>
    </row>
    <row r="98" spans="1:4">
      <c r="A98" s="926" t="s">
        <v>2377</v>
      </c>
      <c r="B98" s="934">
        <v>15</v>
      </c>
      <c r="C98" s="927">
        <v>15</v>
      </c>
      <c r="D98" s="934">
        <v>15</v>
      </c>
    </row>
    <row r="99" spans="1:4">
      <c r="A99" s="928" t="s">
        <v>2378</v>
      </c>
      <c r="B99" s="935">
        <v>15</v>
      </c>
      <c r="C99" s="929">
        <v>15</v>
      </c>
      <c r="D99" s="935">
        <v>15</v>
      </c>
    </row>
    <row r="100" spans="1:4">
      <c r="A100" s="926" t="s">
        <v>2379</v>
      </c>
      <c r="B100" s="934">
        <v>25</v>
      </c>
      <c r="C100" s="927">
        <v>25</v>
      </c>
      <c r="D100" s="934" t="s">
        <v>2261</v>
      </c>
    </row>
    <row r="101" spans="1:4">
      <c r="A101" s="928" t="s">
        <v>2380</v>
      </c>
      <c r="B101" s="935">
        <v>30</v>
      </c>
      <c r="C101" s="929">
        <v>30</v>
      </c>
      <c r="D101" s="935">
        <v>48</v>
      </c>
    </row>
    <row r="102" spans="1:4">
      <c r="A102" s="926" t="s">
        <v>2381</v>
      </c>
      <c r="B102" s="927">
        <v>10</v>
      </c>
      <c r="C102" s="927">
        <v>10</v>
      </c>
      <c r="D102" s="934" t="s">
        <v>2382</v>
      </c>
    </row>
    <row r="103" spans="1:4">
      <c r="A103" s="928" t="s">
        <v>2383</v>
      </c>
      <c r="B103" s="935">
        <v>29.5</v>
      </c>
      <c r="C103" s="929">
        <v>29.5</v>
      </c>
      <c r="D103" s="935" t="s">
        <v>2384</v>
      </c>
    </row>
    <row r="104" spans="1:4">
      <c r="A104" s="926" t="s">
        <v>2385</v>
      </c>
      <c r="B104" s="934">
        <v>25</v>
      </c>
      <c r="C104" s="927">
        <v>25</v>
      </c>
      <c r="D104" s="934" t="s">
        <v>2305</v>
      </c>
    </row>
    <row r="105" spans="1:4">
      <c r="A105" s="928" t="s">
        <v>2386</v>
      </c>
      <c r="B105" s="935">
        <v>19</v>
      </c>
      <c r="C105" s="929">
        <v>19</v>
      </c>
      <c r="D105" s="935">
        <v>19</v>
      </c>
    </row>
    <row r="106" spans="1:4">
      <c r="A106" s="926" t="s">
        <v>2387</v>
      </c>
      <c r="B106" s="934">
        <v>21</v>
      </c>
      <c r="C106" s="934">
        <v>31.5</v>
      </c>
      <c r="D106" s="934">
        <v>21</v>
      </c>
    </row>
    <row r="107" spans="1:4">
      <c r="A107" s="928" t="s">
        <v>2388</v>
      </c>
      <c r="B107" s="935">
        <v>18.5</v>
      </c>
      <c r="C107" s="935" t="s">
        <v>2290</v>
      </c>
      <c r="D107" s="935" t="s">
        <v>2389</v>
      </c>
    </row>
    <row r="108" spans="1:4">
      <c r="A108" s="926" t="s">
        <v>2390</v>
      </c>
      <c r="B108" s="934">
        <v>10</v>
      </c>
      <c r="C108" s="927">
        <v>10</v>
      </c>
      <c r="D108" s="934">
        <v>10</v>
      </c>
    </row>
    <row r="109" spans="1:4">
      <c r="A109" s="928" t="s">
        <v>2391</v>
      </c>
      <c r="B109" s="935">
        <v>16</v>
      </c>
      <c r="C109" s="929">
        <v>16</v>
      </c>
      <c r="D109" s="935">
        <v>16</v>
      </c>
    </row>
    <row r="110" spans="1:4">
      <c r="A110" s="926" t="s">
        <v>2392</v>
      </c>
      <c r="B110" s="934">
        <v>20</v>
      </c>
      <c r="C110" s="927">
        <v>20</v>
      </c>
      <c r="D110" s="934" t="s">
        <v>2393</v>
      </c>
    </row>
    <row r="111" spans="1:4">
      <c r="A111" s="928" t="s">
        <v>2394</v>
      </c>
      <c r="B111" s="935">
        <v>30</v>
      </c>
      <c r="C111" s="929">
        <v>30</v>
      </c>
      <c r="D111" s="935" t="s">
        <v>2365</v>
      </c>
    </row>
    <row r="112" spans="1:4">
      <c r="A112" s="926" t="s">
        <v>2395</v>
      </c>
      <c r="B112" s="927">
        <v>15</v>
      </c>
      <c r="C112" s="927">
        <v>15</v>
      </c>
      <c r="D112" s="934">
        <v>15</v>
      </c>
    </row>
    <row r="113" spans="1:4">
      <c r="A113" s="938" t="s">
        <v>2396</v>
      </c>
      <c r="B113" s="939">
        <v>17</v>
      </c>
      <c r="C113" s="940">
        <v>17</v>
      </c>
      <c r="D113" s="939">
        <v>17</v>
      </c>
    </row>
    <row r="114" spans="1:4">
      <c r="A114" s="926" t="s">
        <v>2397</v>
      </c>
      <c r="B114" s="934">
        <v>30</v>
      </c>
      <c r="C114" s="934">
        <v>34.5</v>
      </c>
      <c r="D114" s="934">
        <v>30</v>
      </c>
    </row>
    <row r="115" spans="1:4">
      <c r="A115" s="928" t="s">
        <v>2398</v>
      </c>
      <c r="B115" s="935">
        <v>21</v>
      </c>
      <c r="C115" s="929">
        <v>21</v>
      </c>
      <c r="D115" s="935">
        <v>21</v>
      </c>
    </row>
    <row r="116" spans="1:4">
      <c r="A116" s="926" t="s">
        <v>2399</v>
      </c>
      <c r="B116" s="934">
        <v>22</v>
      </c>
      <c r="C116" s="927">
        <v>22</v>
      </c>
      <c r="D116" s="934">
        <v>22</v>
      </c>
    </row>
    <row r="117" spans="1:4">
      <c r="A117" s="928" t="s">
        <v>2400</v>
      </c>
      <c r="B117" s="929">
        <v>27</v>
      </c>
      <c r="C117" s="929">
        <v>27</v>
      </c>
      <c r="D117" s="935">
        <v>27</v>
      </c>
    </row>
    <row r="118" spans="1:4">
      <c r="A118" s="926" t="s">
        <v>2401</v>
      </c>
      <c r="B118" s="934">
        <v>30</v>
      </c>
      <c r="C118" s="927">
        <v>30</v>
      </c>
      <c r="D118" s="934">
        <v>30</v>
      </c>
    </row>
    <row r="119" spans="1:4">
      <c r="A119" s="928" t="s">
        <v>2402</v>
      </c>
      <c r="B119" s="935">
        <v>25</v>
      </c>
      <c r="C119" s="929">
        <v>25</v>
      </c>
      <c r="D119" s="935" t="s">
        <v>2403</v>
      </c>
    </row>
    <row r="120" spans="1:4">
      <c r="A120" s="926" t="s">
        <v>2404</v>
      </c>
      <c r="B120" s="927">
        <v>25</v>
      </c>
      <c r="C120" s="927">
        <v>25</v>
      </c>
      <c r="D120" s="934" t="s">
        <v>2305</v>
      </c>
    </row>
    <row r="121" spans="1:4">
      <c r="A121" s="928" t="s">
        <v>2405</v>
      </c>
      <c r="B121" s="929">
        <v>30</v>
      </c>
      <c r="C121" s="929">
        <v>30</v>
      </c>
      <c r="D121" s="935">
        <v>30</v>
      </c>
    </row>
    <row r="122" spans="1:4">
      <c r="A122" s="926" t="s">
        <v>2406</v>
      </c>
      <c r="B122" s="927">
        <v>28</v>
      </c>
      <c r="C122" s="927">
        <v>28</v>
      </c>
      <c r="D122" s="934">
        <v>28</v>
      </c>
    </row>
    <row r="123" spans="1:4">
      <c r="A123" s="928" t="s">
        <v>2407</v>
      </c>
      <c r="B123" s="929">
        <v>20.6</v>
      </c>
      <c r="C123" s="929">
        <v>20.6</v>
      </c>
      <c r="D123" s="935">
        <v>20.6</v>
      </c>
    </row>
    <row r="124" spans="1:4">
      <c r="A124" s="926" t="s">
        <v>2408</v>
      </c>
      <c r="B124" s="934">
        <v>8.5</v>
      </c>
      <c r="C124" s="934" t="s">
        <v>2290</v>
      </c>
      <c r="D124" s="934">
        <v>8.5</v>
      </c>
    </row>
    <row r="125" spans="1:4">
      <c r="A125" s="928" t="s">
        <v>2409</v>
      </c>
      <c r="B125" s="935">
        <v>20</v>
      </c>
      <c r="C125" s="929">
        <v>20</v>
      </c>
      <c r="D125" s="935">
        <v>20</v>
      </c>
    </row>
    <row r="126" spans="1:4">
      <c r="A126" s="926" t="s">
        <v>2410</v>
      </c>
      <c r="B126" s="934">
        <v>30</v>
      </c>
      <c r="C126" s="927">
        <v>30</v>
      </c>
      <c r="D126" s="934" t="s">
        <v>2365</v>
      </c>
    </row>
    <row r="127" spans="1:4">
      <c r="A127" s="928" t="s">
        <v>2411</v>
      </c>
      <c r="B127" s="935">
        <v>20</v>
      </c>
      <c r="C127" s="929">
        <v>20</v>
      </c>
      <c r="D127" s="935" t="s">
        <v>2270</v>
      </c>
    </row>
    <row r="128" spans="1:4">
      <c r="A128" s="926" t="s">
        <v>2412</v>
      </c>
      <c r="B128" s="934">
        <v>10</v>
      </c>
      <c r="C128" s="927">
        <v>10</v>
      </c>
      <c r="D128" s="934">
        <v>10</v>
      </c>
    </row>
    <row r="129" spans="1:4">
      <c r="A129" s="928" t="s">
        <v>2413</v>
      </c>
      <c r="B129" s="935">
        <v>30</v>
      </c>
      <c r="C129" s="929">
        <v>30</v>
      </c>
      <c r="D129" s="935" t="s">
        <v>2414</v>
      </c>
    </row>
    <row r="130" spans="1:4">
      <c r="A130" s="926" t="s">
        <v>2415</v>
      </c>
      <c r="B130" s="934">
        <v>25</v>
      </c>
      <c r="C130" s="927">
        <v>25</v>
      </c>
      <c r="D130" s="934" t="s">
        <v>2261</v>
      </c>
    </row>
    <row r="131" spans="1:4">
      <c r="A131" s="928" t="s">
        <v>2416</v>
      </c>
      <c r="B131" s="935">
        <v>30</v>
      </c>
      <c r="C131" s="929">
        <v>30</v>
      </c>
      <c r="D131" s="935" t="s">
        <v>2417</v>
      </c>
    </row>
    <row r="132" spans="1:4">
      <c r="A132" s="926" t="s">
        <v>2418</v>
      </c>
      <c r="B132" s="934">
        <v>18</v>
      </c>
      <c r="C132" s="927">
        <v>18</v>
      </c>
      <c r="D132" s="934">
        <v>18</v>
      </c>
    </row>
    <row r="133" spans="1:4">
      <c r="A133" s="928" t="s">
        <v>2419</v>
      </c>
      <c r="B133" s="935">
        <v>9</v>
      </c>
      <c r="C133" s="929">
        <v>9</v>
      </c>
      <c r="D133" s="935">
        <v>9</v>
      </c>
    </row>
    <row r="134" spans="1:4">
      <c r="A134" s="926" t="s">
        <v>2420</v>
      </c>
      <c r="B134" s="934">
        <v>25</v>
      </c>
      <c r="C134" s="927">
        <v>25</v>
      </c>
      <c r="D134" s="934">
        <v>25</v>
      </c>
    </row>
    <row r="135" spans="1:4">
      <c r="A135" s="928" t="s">
        <v>2421</v>
      </c>
      <c r="B135" s="935">
        <v>21</v>
      </c>
      <c r="C135" s="929" t="s">
        <v>2290</v>
      </c>
      <c r="D135" s="935" t="s">
        <v>2422</v>
      </c>
    </row>
    <row r="136" spans="1:4" ht="28.5">
      <c r="A136" s="926" t="s">
        <v>2423</v>
      </c>
      <c r="B136" s="934">
        <v>21</v>
      </c>
      <c r="C136" s="934">
        <v>23.1</v>
      </c>
      <c r="D136" s="934" t="s">
        <v>2424</v>
      </c>
    </row>
    <row r="137" spans="1:4">
      <c r="A137" s="928" t="s">
        <v>2425</v>
      </c>
      <c r="B137" s="929">
        <v>25</v>
      </c>
      <c r="C137" s="929">
        <v>25</v>
      </c>
      <c r="D137" s="935" t="s">
        <v>2426</v>
      </c>
    </row>
    <row r="138" spans="1:4">
      <c r="A138" s="926" t="s">
        <v>2427</v>
      </c>
      <c r="B138" s="934">
        <v>15</v>
      </c>
      <c r="C138" s="927">
        <v>15</v>
      </c>
      <c r="D138" s="934" t="s">
        <v>2428</v>
      </c>
    </row>
    <row r="139" spans="1:4">
      <c r="A139" s="928" t="s">
        <v>2429</v>
      </c>
      <c r="B139" s="935">
        <v>34</v>
      </c>
      <c r="C139" s="929">
        <v>34</v>
      </c>
      <c r="D139" s="935" t="s">
        <v>2430</v>
      </c>
    </row>
    <row r="140" spans="1:4">
      <c r="A140" s="926" t="s">
        <v>2431</v>
      </c>
      <c r="B140" s="934">
        <v>20</v>
      </c>
      <c r="C140" s="927">
        <v>20</v>
      </c>
      <c r="D140" s="934">
        <v>20</v>
      </c>
    </row>
    <row r="141" spans="1:4">
      <c r="A141" s="928" t="s">
        <v>2432</v>
      </c>
      <c r="B141" s="935">
        <v>20</v>
      </c>
      <c r="C141" s="929">
        <v>20</v>
      </c>
      <c r="D141" s="935">
        <v>20</v>
      </c>
    </row>
    <row r="142" spans="1:4">
      <c r="A142" s="926" t="s">
        <v>2433</v>
      </c>
      <c r="B142" s="934">
        <v>30</v>
      </c>
      <c r="C142" s="934" t="s">
        <v>2290</v>
      </c>
      <c r="D142" s="934" t="s">
        <v>2434</v>
      </c>
    </row>
    <row r="143" spans="1:4">
      <c r="A143" s="928" t="s">
        <v>2435</v>
      </c>
      <c r="B143" s="935">
        <v>25</v>
      </c>
      <c r="C143" s="929">
        <v>25</v>
      </c>
      <c r="D143" s="935">
        <v>25</v>
      </c>
    </row>
  </sheetData>
  <phoneticPr fontId="3" type="noConversion"/>
  <hyperlinks>
    <hyperlink ref="B1" r:id="rId1" location="DomesticRatesSubMenu" xr:uid="{00000000-0004-0000-2100-000000000000}"/>
    <hyperlink ref="A3" r:id="rId2" location="corporateTax_DomesticMatrix" display="https://www.dits.deloitte.com/ - corporateTax_DomesticMatrix" xr:uid="{00000000-0004-0000-2100-000001000000}"/>
    <hyperlink ref="B6" r:id="rId3" display="javascript:void(0);" xr:uid="{00000000-0004-0000-2100-000002000000}"/>
    <hyperlink ref="D6" r:id="rId4" display="javascript:void(0)" xr:uid="{00000000-0004-0000-2100-000003000000}"/>
    <hyperlink ref="B7" r:id="rId5" display="javascript:void(0);" xr:uid="{00000000-0004-0000-2100-000004000000}"/>
    <hyperlink ref="D7" r:id="rId6" display="javascript:void(0)" xr:uid="{00000000-0004-0000-2100-000005000000}"/>
    <hyperlink ref="B8" r:id="rId7" display="javascript:void(0);" xr:uid="{00000000-0004-0000-2100-000006000000}"/>
    <hyperlink ref="D8" r:id="rId8" display="javascript:void(0)" xr:uid="{00000000-0004-0000-2100-000007000000}"/>
    <hyperlink ref="B9" r:id="rId9" display="javascript:void(0);" xr:uid="{00000000-0004-0000-2100-000008000000}"/>
    <hyperlink ref="B10" r:id="rId10" display="javascript:void(0);" xr:uid="{00000000-0004-0000-2100-000009000000}"/>
    <hyperlink ref="D10" r:id="rId11" display="javascript:void(0)" xr:uid="{00000000-0004-0000-2100-00000A000000}"/>
    <hyperlink ref="B11" r:id="rId12" display="javascript:void(0);" xr:uid="{00000000-0004-0000-2100-00000B000000}"/>
    <hyperlink ref="D11" r:id="rId13" display="javascript:void(0)" xr:uid="{00000000-0004-0000-2100-00000C000000}"/>
    <hyperlink ref="B12" r:id="rId14" display="javascript:void(0);" xr:uid="{00000000-0004-0000-2100-00000D000000}"/>
    <hyperlink ref="D12" r:id="rId15" display="javascript:void(0)" xr:uid="{00000000-0004-0000-2100-00000E000000}"/>
    <hyperlink ref="B13" r:id="rId16" display="javascript:void(0);" xr:uid="{00000000-0004-0000-2100-00000F000000}"/>
    <hyperlink ref="D13" r:id="rId17" display="javascript:void(0)" xr:uid="{00000000-0004-0000-2100-000010000000}"/>
    <hyperlink ref="B14" r:id="rId18" display="javascript:void(0);" xr:uid="{00000000-0004-0000-2100-000011000000}"/>
    <hyperlink ref="D14" r:id="rId19" display="javascript:void(0)" xr:uid="{00000000-0004-0000-2100-000012000000}"/>
    <hyperlink ref="B15" r:id="rId20" display="javascript:void(0);" xr:uid="{00000000-0004-0000-2100-000013000000}"/>
    <hyperlink ref="D15" r:id="rId21" display="javascript:void(0)" xr:uid="{00000000-0004-0000-2100-000014000000}"/>
    <hyperlink ref="B16" r:id="rId22" display="javascript:void(0);" xr:uid="{00000000-0004-0000-2100-000015000000}"/>
    <hyperlink ref="D16" r:id="rId23" display="javascript:void(0)" xr:uid="{00000000-0004-0000-2100-000016000000}"/>
    <hyperlink ref="B17" r:id="rId24" display="javascript:void(0);" xr:uid="{00000000-0004-0000-2100-000017000000}"/>
    <hyperlink ref="B18" r:id="rId25" display="javascript:void(0);" xr:uid="{00000000-0004-0000-2100-000018000000}"/>
    <hyperlink ref="D18" r:id="rId26" display="javascript:void(0)" xr:uid="{00000000-0004-0000-2100-000019000000}"/>
    <hyperlink ref="B19" r:id="rId27" display="javascript:void(0);" xr:uid="{00000000-0004-0000-2100-00001A000000}"/>
    <hyperlink ref="D19" r:id="rId28" display="javascript:void(0)" xr:uid="{00000000-0004-0000-2100-00001B000000}"/>
    <hyperlink ref="B20" r:id="rId29" display="javascript:void(0);" xr:uid="{00000000-0004-0000-2100-00001C000000}"/>
    <hyperlink ref="D20" r:id="rId30" display="javascript:void(0)" xr:uid="{00000000-0004-0000-2100-00001D000000}"/>
    <hyperlink ref="B21" r:id="rId31" display="javascript:void(0);" xr:uid="{00000000-0004-0000-2100-00001E000000}"/>
    <hyperlink ref="D21" r:id="rId32" display="javascript:void(0)" xr:uid="{00000000-0004-0000-2100-00001F000000}"/>
    <hyperlink ref="B22" r:id="rId33" display="javascript:void(0);" xr:uid="{00000000-0004-0000-2100-000020000000}"/>
    <hyperlink ref="D22" r:id="rId34" display="javascript:void(0)" xr:uid="{00000000-0004-0000-2100-000021000000}"/>
    <hyperlink ref="D23" r:id="rId35" display="javascript:void(0)" xr:uid="{00000000-0004-0000-2100-000022000000}"/>
    <hyperlink ref="B24" r:id="rId36" display="javascript:void(0);" xr:uid="{00000000-0004-0000-2100-000023000000}"/>
    <hyperlink ref="D24" r:id="rId37" display="javascript:void(0)" xr:uid="{00000000-0004-0000-2100-000024000000}"/>
    <hyperlink ref="B25" r:id="rId38" display="javascript:void(0);" xr:uid="{00000000-0004-0000-2100-000025000000}"/>
    <hyperlink ref="C25" r:id="rId39" display="javascript:void(0)" xr:uid="{00000000-0004-0000-2100-000026000000}"/>
    <hyperlink ref="D25" r:id="rId40" display="javascript:void(0)" xr:uid="{00000000-0004-0000-2100-000027000000}"/>
    <hyperlink ref="B26" r:id="rId41" display="javascript:void(0);" xr:uid="{00000000-0004-0000-2100-000028000000}"/>
    <hyperlink ref="D26" r:id="rId42" display="javascript:void(0)" xr:uid="{00000000-0004-0000-2100-000029000000}"/>
    <hyperlink ref="B27" r:id="rId43" display="javascript:void(0);" xr:uid="{00000000-0004-0000-2100-00002A000000}"/>
    <hyperlink ref="D27" r:id="rId44" display="javascript:void(0)" xr:uid="{00000000-0004-0000-2100-00002B000000}"/>
    <hyperlink ref="D28" r:id="rId45" display="javascript:void(0)" xr:uid="{00000000-0004-0000-2100-00002C000000}"/>
    <hyperlink ref="B29" r:id="rId46" display="javascript:void(0);" xr:uid="{00000000-0004-0000-2100-00002D000000}"/>
    <hyperlink ref="D29" r:id="rId47" display="javascript:void(0)" xr:uid="{00000000-0004-0000-2100-00002E000000}"/>
    <hyperlink ref="B30" r:id="rId48" display="javascript:void(0);" xr:uid="{00000000-0004-0000-2100-00002F000000}"/>
    <hyperlink ref="C30" r:id="rId49" display="javascript:void(0)" xr:uid="{00000000-0004-0000-2100-000030000000}"/>
    <hyperlink ref="D30" r:id="rId50" display="javascript:void(0)" xr:uid="{00000000-0004-0000-2100-000031000000}"/>
    <hyperlink ref="B31" r:id="rId51" display="javascript:void(0);" xr:uid="{00000000-0004-0000-2100-000032000000}"/>
    <hyperlink ref="D31" r:id="rId52" display="javascript:void(0)" xr:uid="{00000000-0004-0000-2100-000033000000}"/>
    <hyperlink ref="B32" r:id="rId53" display="javascript:void(0);" xr:uid="{00000000-0004-0000-2100-000034000000}"/>
    <hyperlink ref="D32" r:id="rId54" display="javascript:void(0)" xr:uid="{00000000-0004-0000-2100-000035000000}"/>
    <hyperlink ref="B33" r:id="rId55" display="javascript:void(0);" xr:uid="{00000000-0004-0000-2100-000036000000}"/>
    <hyperlink ref="D33" r:id="rId56" display="javascript:void(0)" xr:uid="{00000000-0004-0000-2100-000037000000}"/>
    <hyperlink ref="B34" r:id="rId57" display="javascript:void(0);" xr:uid="{00000000-0004-0000-2100-000038000000}"/>
    <hyperlink ref="C34" r:id="rId58" display="javascript:void(0)" xr:uid="{00000000-0004-0000-2100-000039000000}"/>
    <hyperlink ref="D34" r:id="rId59" display="javascript:void(0)" xr:uid="{00000000-0004-0000-2100-00003A000000}"/>
    <hyperlink ref="B35" r:id="rId60" display="javascript:void(0);" xr:uid="{00000000-0004-0000-2100-00003B000000}"/>
    <hyperlink ref="D35" r:id="rId61" display="javascript:void(0)" xr:uid="{00000000-0004-0000-2100-00003C000000}"/>
    <hyperlink ref="B36" r:id="rId62" display="javascript:void(0);" xr:uid="{00000000-0004-0000-2100-00003D000000}"/>
    <hyperlink ref="D36" r:id="rId63" display="javascript:void(0)" xr:uid="{00000000-0004-0000-2100-00003E000000}"/>
    <hyperlink ref="B37" r:id="rId64" display="javascript:void(0);" xr:uid="{00000000-0004-0000-2100-00003F000000}"/>
    <hyperlink ref="D37" r:id="rId65" display="javascript:void(0)" xr:uid="{00000000-0004-0000-2100-000040000000}"/>
    <hyperlink ref="B38" r:id="rId66" display="javascript:void(0);" xr:uid="{00000000-0004-0000-2100-000041000000}"/>
    <hyperlink ref="D38" r:id="rId67" display="javascript:void(0)" xr:uid="{00000000-0004-0000-2100-000042000000}"/>
    <hyperlink ref="B39" r:id="rId68" display="javascript:void(0);" xr:uid="{00000000-0004-0000-2100-000043000000}"/>
    <hyperlink ref="C39" r:id="rId69" display="javascript:void(0)" xr:uid="{00000000-0004-0000-2100-000044000000}"/>
    <hyperlink ref="D39" r:id="rId70" display="javascript:void(0)" xr:uid="{00000000-0004-0000-2100-000045000000}"/>
    <hyperlink ref="B40" r:id="rId71" display="javascript:void(0);" xr:uid="{00000000-0004-0000-2100-000046000000}"/>
    <hyperlink ref="D40" r:id="rId72" display="javascript:void(0)" xr:uid="{00000000-0004-0000-2100-000047000000}"/>
    <hyperlink ref="D41" r:id="rId73" display="javascript:void(0)" xr:uid="{00000000-0004-0000-2100-000048000000}"/>
    <hyperlink ref="B42" r:id="rId74" display="javascript:void(0);" xr:uid="{00000000-0004-0000-2100-000049000000}"/>
    <hyperlink ref="D42" r:id="rId75" display="javascript:void(0)" xr:uid="{00000000-0004-0000-2100-00004A000000}"/>
    <hyperlink ref="B43" r:id="rId76" display="javascript:void(0);" xr:uid="{00000000-0004-0000-2100-00004B000000}"/>
    <hyperlink ref="D43" r:id="rId77" display="javascript:void(0)" xr:uid="{00000000-0004-0000-2100-00004C000000}"/>
    <hyperlink ref="B44" r:id="rId78" display="javascript:void(0);" xr:uid="{00000000-0004-0000-2100-00004D000000}"/>
    <hyperlink ref="D44" r:id="rId79" display="javascript:void(0)" xr:uid="{00000000-0004-0000-2100-00004E000000}"/>
    <hyperlink ref="B45" r:id="rId80" display="javascript:void(0);" xr:uid="{00000000-0004-0000-2100-00004F000000}"/>
    <hyperlink ref="D45" r:id="rId81" display="javascript:void(0)" xr:uid="{00000000-0004-0000-2100-000050000000}"/>
    <hyperlink ref="B46" r:id="rId82" display="javascript:void(0);" xr:uid="{00000000-0004-0000-2100-000051000000}"/>
    <hyperlink ref="D46" r:id="rId83" display="javascript:void(0)" xr:uid="{00000000-0004-0000-2100-000052000000}"/>
    <hyperlink ref="D47" r:id="rId84" display="javascript:void(0)" xr:uid="{00000000-0004-0000-2100-000053000000}"/>
    <hyperlink ref="B48" r:id="rId85" display="javascript:void(0);" xr:uid="{00000000-0004-0000-2100-000054000000}"/>
    <hyperlink ref="C48" r:id="rId86" display="javascript:void(0)" xr:uid="{00000000-0004-0000-2100-000055000000}"/>
    <hyperlink ref="D48" r:id="rId87" display="javascript:void(0)" xr:uid="{00000000-0004-0000-2100-000056000000}"/>
    <hyperlink ref="B49" r:id="rId88" display="javascript:void(0);" xr:uid="{00000000-0004-0000-2100-000057000000}"/>
    <hyperlink ref="D49" r:id="rId89" display="javascript:void(0)" xr:uid="{00000000-0004-0000-2100-000058000000}"/>
    <hyperlink ref="B50" r:id="rId90" display="javascript:void(0);" xr:uid="{00000000-0004-0000-2100-000059000000}"/>
    <hyperlink ref="C50" r:id="rId91" display="javascript:void(0)" xr:uid="{00000000-0004-0000-2100-00005A000000}"/>
    <hyperlink ref="D50" r:id="rId92" display="javascript:void(0)" xr:uid="{00000000-0004-0000-2100-00005B000000}"/>
    <hyperlink ref="B51" r:id="rId93" display="javascript:void(0);" xr:uid="{00000000-0004-0000-2100-00005C000000}"/>
    <hyperlink ref="D51" r:id="rId94" display="javascript:void(0)" xr:uid="{00000000-0004-0000-2100-00005D000000}"/>
    <hyperlink ref="B52" r:id="rId95" display="javascript:void(0);" xr:uid="{00000000-0004-0000-2100-00005E000000}"/>
    <hyperlink ref="D52" r:id="rId96" display="javascript:void(0)" xr:uid="{00000000-0004-0000-2100-00005F000000}"/>
    <hyperlink ref="B53" r:id="rId97" display="javascript:void(0);" xr:uid="{00000000-0004-0000-2100-000060000000}"/>
    <hyperlink ref="D53" r:id="rId98" display="javascript:void(0)" xr:uid="{00000000-0004-0000-2100-000061000000}"/>
    <hyperlink ref="D54" r:id="rId99" display="javascript:void(0)" xr:uid="{00000000-0004-0000-2100-000062000000}"/>
    <hyperlink ref="B55" r:id="rId100" display="javascript:void(0);" xr:uid="{00000000-0004-0000-2100-000063000000}"/>
    <hyperlink ref="D55" r:id="rId101" display="javascript:void(0)" xr:uid="{00000000-0004-0000-2100-000064000000}"/>
    <hyperlink ref="B56" r:id="rId102" display="javascript:void(0);" xr:uid="{00000000-0004-0000-2100-000065000000}"/>
    <hyperlink ref="D56" r:id="rId103" display="javascript:void(0)" xr:uid="{00000000-0004-0000-2100-000066000000}"/>
    <hyperlink ref="B57" r:id="rId104" display="javascript:void(0);" xr:uid="{00000000-0004-0000-2100-000067000000}"/>
    <hyperlink ref="C57" r:id="rId105" display="javascript:void(0)" xr:uid="{00000000-0004-0000-2100-000068000000}"/>
    <hyperlink ref="D57" r:id="rId106" display="javascript:void(0)" xr:uid="{00000000-0004-0000-2100-000069000000}"/>
    <hyperlink ref="B58" r:id="rId107" display="javascript:void(0);" xr:uid="{00000000-0004-0000-2100-00006A000000}"/>
    <hyperlink ref="D58" r:id="rId108" display="javascript:void(0)" xr:uid="{00000000-0004-0000-2100-00006B000000}"/>
    <hyperlink ref="B59" r:id="rId109" display="javascript:void(0);" xr:uid="{00000000-0004-0000-2100-00006C000000}"/>
    <hyperlink ref="C59" r:id="rId110" display="javascript:void(0)" xr:uid="{00000000-0004-0000-2100-00006D000000}"/>
    <hyperlink ref="D59" r:id="rId111" display="javascript:void(0)" xr:uid="{00000000-0004-0000-2100-00006E000000}"/>
    <hyperlink ref="B60" r:id="rId112" display="javascript:void(0);" xr:uid="{00000000-0004-0000-2100-00006F000000}"/>
    <hyperlink ref="D60" r:id="rId113" display="javascript:void(0)" xr:uid="{00000000-0004-0000-2100-000070000000}"/>
    <hyperlink ref="B61" r:id="rId114" display="javascript:void(0);" xr:uid="{00000000-0004-0000-2100-000071000000}"/>
    <hyperlink ref="C61" r:id="rId115" display="javascript:void(0)" xr:uid="{00000000-0004-0000-2100-000072000000}"/>
    <hyperlink ref="D61" r:id="rId116" display="javascript:void(0)" xr:uid="{00000000-0004-0000-2100-000073000000}"/>
    <hyperlink ref="B62" r:id="rId117" display="javascript:void(0);" xr:uid="{00000000-0004-0000-2100-000074000000}"/>
    <hyperlink ref="D62" r:id="rId118" display="javascript:void(0)" xr:uid="{00000000-0004-0000-2100-000075000000}"/>
    <hyperlink ref="B63" r:id="rId119" display="javascript:void(0);" xr:uid="{00000000-0004-0000-2100-000076000000}"/>
    <hyperlink ref="D63" r:id="rId120" display="javascript:void(0)" xr:uid="{00000000-0004-0000-2100-000077000000}"/>
    <hyperlink ref="B64" r:id="rId121" display="javascript:void(0);" xr:uid="{00000000-0004-0000-2100-000078000000}"/>
    <hyperlink ref="D64" r:id="rId122" display="javascript:void(0)" xr:uid="{00000000-0004-0000-2100-000079000000}"/>
    <hyperlink ref="B65" r:id="rId123" display="javascript:void(0);" xr:uid="{00000000-0004-0000-2100-00007A000000}"/>
    <hyperlink ref="D65" r:id="rId124" display="javascript:void(0)" xr:uid="{00000000-0004-0000-2100-00007B000000}"/>
    <hyperlink ref="B66" r:id="rId125" display="javascript:void(0);" xr:uid="{00000000-0004-0000-2100-00007C000000}"/>
    <hyperlink ref="D66" r:id="rId126" display="javascript:void(0)" xr:uid="{00000000-0004-0000-2100-00007D000000}"/>
    <hyperlink ref="B67" r:id="rId127" display="javascript:void(0);" xr:uid="{00000000-0004-0000-2100-00007E000000}"/>
    <hyperlink ref="C67" r:id="rId128" display="javascript:void(0)" xr:uid="{00000000-0004-0000-2100-00007F000000}"/>
    <hyperlink ref="D67" r:id="rId129" display="javascript:void(0)" xr:uid="{00000000-0004-0000-2100-000080000000}"/>
    <hyperlink ref="B68" r:id="rId130" display="javascript:void(0);" xr:uid="{00000000-0004-0000-2100-000081000000}"/>
    <hyperlink ref="D68" r:id="rId131" display="javascript:void(0)" xr:uid="{00000000-0004-0000-2100-000082000000}"/>
    <hyperlink ref="B69" r:id="rId132" display="javascript:void(0);" xr:uid="{00000000-0004-0000-2100-000083000000}"/>
    <hyperlink ref="C69" r:id="rId133" display="javascript:void(0)" xr:uid="{00000000-0004-0000-2100-000084000000}"/>
    <hyperlink ref="D69" r:id="rId134" display="javascript:void(0)" xr:uid="{00000000-0004-0000-2100-000085000000}"/>
    <hyperlink ref="B70" r:id="rId135" display="javascript:void(0);" xr:uid="{00000000-0004-0000-2100-000086000000}"/>
    <hyperlink ref="D70" r:id="rId136" display="javascript:void(0)" xr:uid="{00000000-0004-0000-2100-000087000000}"/>
    <hyperlink ref="B71" r:id="rId137" display="javascript:void(0);" xr:uid="{00000000-0004-0000-2100-000088000000}"/>
    <hyperlink ref="C71" r:id="rId138" display="javascript:void(0)" xr:uid="{00000000-0004-0000-2100-000089000000}"/>
    <hyperlink ref="D71" r:id="rId139" display="javascript:void(0)" xr:uid="{00000000-0004-0000-2100-00008A000000}"/>
    <hyperlink ref="D72" r:id="rId140" display="javascript:void(0)" xr:uid="{00000000-0004-0000-2100-00008B000000}"/>
    <hyperlink ref="B73" r:id="rId141" display="javascript:void(0);" xr:uid="{00000000-0004-0000-2100-00008C000000}"/>
    <hyperlink ref="D73" r:id="rId142" display="javascript:void(0)" xr:uid="{00000000-0004-0000-2100-00008D000000}"/>
    <hyperlink ref="B74" r:id="rId143" display="javascript:void(0);" xr:uid="{00000000-0004-0000-2100-00008E000000}"/>
    <hyperlink ref="C74" r:id="rId144" display="javascript:void(0)" xr:uid="{00000000-0004-0000-2100-00008F000000}"/>
    <hyperlink ref="D74" r:id="rId145" display="javascript:void(0)" xr:uid="{00000000-0004-0000-2100-000090000000}"/>
    <hyperlink ref="B75" r:id="rId146" display="javascript:void(0);" xr:uid="{00000000-0004-0000-2100-000091000000}"/>
    <hyperlink ref="D75" r:id="rId147" display="javascript:void(0)" xr:uid="{00000000-0004-0000-2100-000092000000}"/>
    <hyperlink ref="B76" r:id="rId148" display="javascript:void(0);" xr:uid="{00000000-0004-0000-2100-000093000000}"/>
    <hyperlink ref="D76" r:id="rId149" display="javascript:void(0)" xr:uid="{00000000-0004-0000-2100-000094000000}"/>
    <hyperlink ref="B77" r:id="rId150" display="javascript:void(0);" xr:uid="{00000000-0004-0000-2100-000095000000}"/>
    <hyperlink ref="D77" r:id="rId151" display="javascript:void(0)" xr:uid="{00000000-0004-0000-2100-000096000000}"/>
    <hyperlink ref="B78" r:id="rId152" display="javascript:void(0);" xr:uid="{00000000-0004-0000-2100-000097000000}"/>
    <hyperlink ref="D78" r:id="rId153" display="javascript:void(0)" xr:uid="{00000000-0004-0000-2100-000098000000}"/>
    <hyperlink ref="B79" r:id="rId154" display="javascript:void(0);" xr:uid="{00000000-0004-0000-2100-000099000000}"/>
    <hyperlink ref="D79" r:id="rId155" display="javascript:void(0)" xr:uid="{00000000-0004-0000-2100-00009A000000}"/>
    <hyperlink ref="B80" r:id="rId156" display="javascript:void(0);" xr:uid="{00000000-0004-0000-2100-00009B000000}"/>
    <hyperlink ref="D80" r:id="rId157" display="javascript:void(0)" xr:uid="{00000000-0004-0000-2100-00009C000000}"/>
    <hyperlink ref="B81" r:id="rId158" display="javascript:void(0);" xr:uid="{00000000-0004-0000-2100-00009D000000}"/>
    <hyperlink ref="D81" r:id="rId159" display="javascript:void(0)" xr:uid="{00000000-0004-0000-2100-00009E000000}"/>
    <hyperlink ref="B82" r:id="rId160" display="javascript:void(0);" xr:uid="{00000000-0004-0000-2100-00009F000000}"/>
    <hyperlink ref="C82" r:id="rId161" display="javascript:void(0)" xr:uid="{00000000-0004-0000-2100-0000A0000000}"/>
    <hyperlink ref="D82" r:id="rId162" display="javascript:void(0)" xr:uid="{00000000-0004-0000-2100-0000A1000000}"/>
    <hyperlink ref="B83" r:id="rId163" display="javascript:void(0);" xr:uid="{00000000-0004-0000-2100-0000A2000000}"/>
    <hyperlink ref="D83" r:id="rId164" display="javascript:void(0)" xr:uid="{00000000-0004-0000-2100-0000A3000000}"/>
    <hyperlink ref="B84" r:id="rId165" display="javascript:void(0);" xr:uid="{00000000-0004-0000-2100-0000A4000000}"/>
    <hyperlink ref="D84" r:id="rId166" display="javascript:void(0)" xr:uid="{00000000-0004-0000-2100-0000A5000000}"/>
    <hyperlink ref="B85" r:id="rId167" display="javascript:void(0);" xr:uid="{00000000-0004-0000-2100-0000A6000000}"/>
    <hyperlink ref="D85" r:id="rId168" display="javascript:void(0)" xr:uid="{00000000-0004-0000-2100-0000A7000000}"/>
    <hyperlink ref="B86" r:id="rId169" display="javascript:void(0);" xr:uid="{00000000-0004-0000-2100-0000A8000000}"/>
    <hyperlink ref="D86" r:id="rId170" display="javascript:void(0)" xr:uid="{00000000-0004-0000-2100-0000A9000000}"/>
    <hyperlink ref="D87" r:id="rId171" display="javascript:void(0)" xr:uid="{00000000-0004-0000-2100-0000AA000000}"/>
    <hyperlink ref="B88" r:id="rId172" display="javascript:void(0);" xr:uid="{00000000-0004-0000-2100-0000AB000000}"/>
    <hyperlink ref="D88" r:id="rId173" display="javascript:void(0)" xr:uid="{00000000-0004-0000-2100-0000AC000000}"/>
    <hyperlink ref="B89" r:id="rId174" display="javascript:void(0);" xr:uid="{00000000-0004-0000-2100-0000AD000000}"/>
    <hyperlink ref="D89" r:id="rId175" display="javascript:void(0)" xr:uid="{00000000-0004-0000-2100-0000AE000000}"/>
    <hyperlink ref="B90" r:id="rId176" display="javascript:void(0);" xr:uid="{00000000-0004-0000-2100-0000AF000000}"/>
    <hyperlink ref="C90" r:id="rId177" display="javascript:void(0)" xr:uid="{00000000-0004-0000-2100-0000B0000000}"/>
    <hyperlink ref="D90" r:id="rId178" display="javascript:void(0)" xr:uid="{00000000-0004-0000-2100-0000B1000000}"/>
    <hyperlink ref="B91" r:id="rId179" display="javascript:void(0);" xr:uid="{00000000-0004-0000-2100-0000B2000000}"/>
    <hyperlink ref="D91" r:id="rId180" display="javascript:void(0)" xr:uid="{00000000-0004-0000-2100-0000B3000000}"/>
    <hyperlink ref="B92" r:id="rId181" display="javascript:void(0);" xr:uid="{00000000-0004-0000-2100-0000B4000000}"/>
    <hyperlink ref="D92" r:id="rId182" display="javascript:void(0)" xr:uid="{00000000-0004-0000-2100-0000B5000000}"/>
    <hyperlink ref="D93" r:id="rId183" display="javascript:void(0)" xr:uid="{00000000-0004-0000-2100-0000B6000000}"/>
    <hyperlink ref="B94" r:id="rId184" display="javascript:void(0);" xr:uid="{00000000-0004-0000-2100-0000B7000000}"/>
    <hyperlink ref="D94" r:id="rId185" display="javascript:void(0)" xr:uid="{00000000-0004-0000-2100-0000B8000000}"/>
    <hyperlink ref="B95" r:id="rId186" display="javascript:void(0);" xr:uid="{00000000-0004-0000-2100-0000B9000000}"/>
    <hyperlink ref="D95" r:id="rId187" display="javascript:void(0)" xr:uid="{00000000-0004-0000-2100-0000BA000000}"/>
    <hyperlink ref="D96" r:id="rId188" display="javascript:void(0)" xr:uid="{00000000-0004-0000-2100-0000BB000000}"/>
    <hyperlink ref="B97" r:id="rId189" display="javascript:void(0);" xr:uid="{00000000-0004-0000-2100-0000BC000000}"/>
    <hyperlink ref="D97" r:id="rId190" display="javascript:void(0)" xr:uid="{00000000-0004-0000-2100-0000BD000000}"/>
    <hyperlink ref="B98" r:id="rId191" display="javascript:void(0);" xr:uid="{00000000-0004-0000-2100-0000BE000000}"/>
    <hyperlink ref="D98" r:id="rId192" display="javascript:void(0)" xr:uid="{00000000-0004-0000-2100-0000BF000000}"/>
    <hyperlink ref="B99" r:id="rId193" display="javascript:void(0);" xr:uid="{00000000-0004-0000-2100-0000C0000000}"/>
    <hyperlink ref="D99" r:id="rId194" display="javascript:void(0)" xr:uid="{00000000-0004-0000-2100-0000C1000000}"/>
    <hyperlink ref="B100" r:id="rId195" display="javascript:void(0);" xr:uid="{00000000-0004-0000-2100-0000C2000000}"/>
    <hyperlink ref="D100" r:id="rId196" display="javascript:void(0)" xr:uid="{00000000-0004-0000-2100-0000C3000000}"/>
    <hyperlink ref="B101" r:id="rId197" display="javascript:void(0);" xr:uid="{00000000-0004-0000-2100-0000C4000000}"/>
    <hyperlink ref="D101" r:id="rId198" display="javascript:void(0)" xr:uid="{00000000-0004-0000-2100-0000C5000000}"/>
    <hyperlink ref="D102" r:id="rId199" display="javascript:void(0)" xr:uid="{00000000-0004-0000-2100-0000C6000000}"/>
    <hyperlink ref="B103" r:id="rId200" display="javascript:void(0);" xr:uid="{00000000-0004-0000-2100-0000C7000000}"/>
    <hyperlink ref="D103" r:id="rId201" display="javascript:void(0)" xr:uid="{00000000-0004-0000-2100-0000C8000000}"/>
    <hyperlink ref="B104" r:id="rId202" display="javascript:void(0);" xr:uid="{00000000-0004-0000-2100-0000C9000000}"/>
    <hyperlink ref="D104" r:id="rId203" display="javascript:void(0)" xr:uid="{00000000-0004-0000-2100-0000CA000000}"/>
    <hyperlink ref="B105" r:id="rId204" display="javascript:void(0);" xr:uid="{00000000-0004-0000-2100-0000CB000000}"/>
    <hyperlink ref="D105" r:id="rId205" display="javascript:void(0)" xr:uid="{00000000-0004-0000-2100-0000CC000000}"/>
    <hyperlink ref="B106" r:id="rId206" display="javascript:void(0);" xr:uid="{00000000-0004-0000-2100-0000CD000000}"/>
    <hyperlink ref="C106" r:id="rId207" display="javascript:void(0)" xr:uid="{00000000-0004-0000-2100-0000CE000000}"/>
    <hyperlink ref="D106" r:id="rId208" display="javascript:void(0)" xr:uid="{00000000-0004-0000-2100-0000CF000000}"/>
    <hyperlink ref="B107" r:id="rId209" display="javascript:void(0);" xr:uid="{00000000-0004-0000-2100-0000D0000000}"/>
    <hyperlink ref="C107" r:id="rId210" display="javascript:void(0)" xr:uid="{00000000-0004-0000-2100-0000D1000000}"/>
    <hyperlink ref="D107" r:id="rId211" display="javascript:void(0)" xr:uid="{00000000-0004-0000-2100-0000D2000000}"/>
    <hyperlink ref="B108" r:id="rId212" display="javascript:void(0);" xr:uid="{00000000-0004-0000-2100-0000D3000000}"/>
    <hyperlink ref="D108" r:id="rId213" display="javascript:void(0)" xr:uid="{00000000-0004-0000-2100-0000D4000000}"/>
    <hyperlink ref="B109" r:id="rId214" display="javascript:void(0);" xr:uid="{00000000-0004-0000-2100-0000D5000000}"/>
    <hyperlink ref="D109" r:id="rId215" display="javascript:void(0)" xr:uid="{00000000-0004-0000-2100-0000D6000000}"/>
    <hyperlink ref="B110" r:id="rId216" display="javascript:void(0);" xr:uid="{00000000-0004-0000-2100-0000D7000000}"/>
    <hyperlink ref="D110" r:id="rId217" display="javascript:void(0)" xr:uid="{00000000-0004-0000-2100-0000D8000000}"/>
    <hyperlink ref="B111" r:id="rId218" display="javascript:void(0);" xr:uid="{00000000-0004-0000-2100-0000D9000000}"/>
    <hyperlink ref="D111" r:id="rId219" display="javascript:void(0)" xr:uid="{00000000-0004-0000-2100-0000DA000000}"/>
    <hyperlink ref="D112" r:id="rId220" display="javascript:void(0)" xr:uid="{00000000-0004-0000-2100-0000DB000000}"/>
    <hyperlink ref="B113" r:id="rId221" display="javascript:void(0);" xr:uid="{00000000-0004-0000-2100-0000DC000000}"/>
    <hyperlink ref="D113" r:id="rId222" display="javascript:void(0)" xr:uid="{00000000-0004-0000-2100-0000DD000000}"/>
    <hyperlink ref="B114" r:id="rId223" display="javascript:void(0);" xr:uid="{00000000-0004-0000-2100-0000DE000000}"/>
    <hyperlink ref="C114" r:id="rId224" display="javascript:void(0)" xr:uid="{00000000-0004-0000-2100-0000DF000000}"/>
    <hyperlink ref="D114" r:id="rId225" display="javascript:void(0)" xr:uid="{00000000-0004-0000-2100-0000E0000000}"/>
    <hyperlink ref="B115" r:id="rId226" display="javascript:void(0);" xr:uid="{00000000-0004-0000-2100-0000E1000000}"/>
    <hyperlink ref="D115" r:id="rId227" display="javascript:void(0)" xr:uid="{00000000-0004-0000-2100-0000E2000000}"/>
    <hyperlink ref="B116" r:id="rId228" display="javascript:void(0);" xr:uid="{00000000-0004-0000-2100-0000E3000000}"/>
    <hyperlink ref="D116" r:id="rId229" display="javascript:void(0)" xr:uid="{00000000-0004-0000-2100-0000E4000000}"/>
    <hyperlink ref="D117" r:id="rId230" display="javascript:void(0)" xr:uid="{00000000-0004-0000-2100-0000E5000000}"/>
    <hyperlink ref="B118" r:id="rId231" display="javascript:void(0);" xr:uid="{00000000-0004-0000-2100-0000E6000000}"/>
    <hyperlink ref="D118" r:id="rId232" display="javascript:void(0)" xr:uid="{00000000-0004-0000-2100-0000E7000000}"/>
    <hyperlink ref="B119" r:id="rId233" display="javascript:void(0);" xr:uid="{00000000-0004-0000-2100-0000E8000000}"/>
    <hyperlink ref="D119" r:id="rId234" display="javascript:void(0)" xr:uid="{00000000-0004-0000-2100-0000E9000000}"/>
    <hyperlink ref="D120" r:id="rId235" display="javascript:void(0)" xr:uid="{00000000-0004-0000-2100-0000EA000000}"/>
    <hyperlink ref="D121" r:id="rId236" display="javascript:void(0)" xr:uid="{00000000-0004-0000-2100-0000EB000000}"/>
    <hyperlink ref="D122" r:id="rId237" display="javascript:void(0)" xr:uid="{00000000-0004-0000-2100-0000EC000000}"/>
    <hyperlink ref="D123" r:id="rId238" display="javascript:void(0)" xr:uid="{00000000-0004-0000-2100-0000ED000000}"/>
    <hyperlink ref="B124" r:id="rId239" display="javascript:void(0);" xr:uid="{00000000-0004-0000-2100-0000EE000000}"/>
    <hyperlink ref="C124" r:id="rId240" display="javascript:void(0)" xr:uid="{00000000-0004-0000-2100-0000EF000000}"/>
    <hyperlink ref="D124" r:id="rId241" display="javascript:void(0)" xr:uid="{00000000-0004-0000-2100-0000F0000000}"/>
    <hyperlink ref="B125" r:id="rId242" display="javascript:void(0);" xr:uid="{00000000-0004-0000-2100-0000F1000000}"/>
    <hyperlink ref="D125" r:id="rId243" display="javascript:void(0)" xr:uid="{00000000-0004-0000-2100-0000F2000000}"/>
    <hyperlink ref="B126" r:id="rId244" display="javascript:void(0);" xr:uid="{00000000-0004-0000-2100-0000F3000000}"/>
    <hyperlink ref="D126" r:id="rId245" display="javascript:void(0)" xr:uid="{00000000-0004-0000-2100-0000F4000000}"/>
    <hyperlink ref="B127" r:id="rId246" display="javascript:void(0);" xr:uid="{00000000-0004-0000-2100-0000F5000000}"/>
    <hyperlink ref="D127" r:id="rId247" display="javascript:void(0)" xr:uid="{00000000-0004-0000-2100-0000F6000000}"/>
    <hyperlink ref="B128" r:id="rId248" display="javascript:void(0);" xr:uid="{00000000-0004-0000-2100-0000F7000000}"/>
    <hyperlink ref="D128" r:id="rId249" display="javascript:void(0)" xr:uid="{00000000-0004-0000-2100-0000F8000000}"/>
    <hyperlink ref="B129" r:id="rId250" display="javascript:void(0);" xr:uid="{00000000-0004-0000-2100-0000F9000000}"/>
    <hyperlink ref="D129" r:id="rId251" display="javascript:void(0)" xr:uid="{00000000-0004-0000-2100-0000FA000000}"/>
    <hyperlink ref="B130" r:id="rId252" display="javascript:void(0);" xr:uid="{00000000-0004-0000-2100-0000FB000000}"/>
    <hyperlink ref="D130" r:id="rId253" display="javascript:void(0)" xr:uid="{00000000-0004-0000-2100-0000FC000000}"/>
    <hyperlink ref="B131" r:id="rId254" display="javascript:void(0);" xr:uid="{00000000-0004-0000-2100-0000FD000000}"/>
    <hyperlink ref="D131" r:id="rId255" display="javascript:void(0)" xr:uid="{00000000-0004-0000-2100-0000FE000000}"/>
    <hyperlink ref="B132" r:id="rId256" display="javascript:void(0);" xr:uid="{00000000-0004-0000-2100-0000FF000000}"/>
    <hyperlink ref="D132" r:id="rId257" display="javascript:void(0)" xr:uid="{00000000-0004-0000-2100-000000010000}"/>
    <hyperlink ref="B133" r:id="rId258" display="javascript:void(0);" xr:uid="{00000000-0004-0000-2100-000001010000}"/>
    <hyperlink ref="D133" r:id="rId259" display="javascript:void(0)" xr:uid="{00000000-0004-0000-2100-000002010000}"/>
    <hyperlink ref="B134" r:id="rId260" display="javascript:void(0);" xr:uid="{00000000-0004-0000-2100-000003010000}"/>
    <hyperlink ref="D134" r:id="rId261" display="javascript:void(0)" xr:uid="{00000000-0004-0000-2100-000004010000}"/>
    <hyperlink ref="B135" r:id="rId262" display="javascript:void(0);" xr:uid="{00000000-0004-0000-2100-000005010000}"/>
    <hyperlink ref="D135" r:id="rId263" display="javascript:void(0)" xr:uid="{00000000-0004-0000-2100-000006010000}"/>
    <hyperlink ref="B136" r:id="rId264" display="javascript:void(0);" xr:uid="{00000000-0004-0000-2100-000007010000}"/>
    <hyperlink ref="C136" r:id="rId265" display="javascript:void(0)" xr:uid="{00000000-0004-0000-2100-000008010000}"/>
    <hyperlink ref="D136" r:id="rId266" display="javascript:void(0)" xr:uid="{00000000-0004-0000-2100-000009010000}"/>
    <hyperlink ref="D137" r:id="rId267" display="javascript:void(0)" xr:uid="{00000000-0004-0000-2100-00000A010000}"/>
    <hyperlink ref="B138" r:id="rId268" display="javascript:void(0);" xr:uid="{00000000-0004-0000-2100-00000B010000}"/>
    <hyperlink ref="D138" r:id="rId269" display="javascript:void(0)" xr:uid="{00000000-0004-0000-2100-00000C010000}"/>
    <hyperlink ref="B139" r:id="rId270" display="javascript:void(0);" xr:uid="{00000000-0004-0000-2100-00000D010000}"/>
    <hyperlink ref="D139" r:id="rId271" display="javascript:void(0)" xr:uid="{00000000-0004-0000-2100-00000E010000}"/>
    <hyperlink ref="B140" r:id="rId272" display="javascript:void(0);" xr:uid="{00000000-0004-0000-2100-00000F010000}"/>
    <hyperlink ref="D140" r:id="rId273" display="javascript:void(0)" xr:uid="{00000000-0004-0000-2100-000010010000}"/>
    <hyperlink ref="B141" r:id="rId274" display="javascript:void(0);" xr:uid="{00000000-0004-0000-2100-000011010000}"/>
    <hyperlink ref="D141" r:id="rId275" display="javascript:void(0)" xr:uid="{00000000-0004-0000-2100-000012010000}"/>
    <hyperlink ref="B142" r:id="rId276" display="javascript:void(0);" xr:uid="{00000000-0004-0000-2100-000013010000}"/>
    <hyperlink ref="C142" r:id="rId277" display="javascript:void(0)" xr:uid="{00000000-0004-0000-2100-000014010000}"/>
    <hyperlink ref="D142" r:id="rId278" display="javascript:void(0)" xr:uid="{00000000-0004-0000-2100-000015010000}"/>
    <hyperlink ref="B143" r:id="rId279" display="javascript:void(0);" xr:uid="{00000000-0004-0000-2100-000016010000}"/>
    <hyperlink ref="D143" r:id="rId280" display="javascript:void(0)" xr:uid="{00000000-0004-0000-2100-000017010000}"/>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1707A7-4D22-4270-9968-89B1413F2884}">
  <sheetPr>
    <tabColor theme="9" tint="0.79998168889431442"/>
  </sheetPr>
  <dimension ref="B2:Q181"/>
  <sheetViews>
    <sheetView showGridLines="0" topLeftCell="A29" zoomScale="85" zoomScaleNormal="85" workbookViewId="0">
      <selection activeCell="J8" sqref="J8"/>
    </sheetView>
  </sheetViews>
  <sheetFormatPr defaultRowHeight="16.5" outlineLevelRow="1"/>
  <cols>
    <col min="1" max="1" width="2" style="1656" customWidth="1"/>
    <col min="2" max="2" width="31.375" style="1656" customWidth="1"/>
    <col min="3" max="16" width="15" style="1656" customWidth="1"/>
    <col min="17" max="16384" width="9" style="1656"/>
  </cols>
  <sheetData>
    <row r="2" spans="2:17">
      <c r="B2" s="1656" t="s">
        <v>3423</v>
      </c>
    </row>
    <row r="4" spans="2:17">
      <c r="B4" s="1994" t="s">
        <v>146</v>
      </c>
      <c r="C4" s="1994" t="s">
        <v>3414</v>
      </c>
      <c r="D4" s="1994" t="s">
        <v>407</v>
      </c>
      <c r="E4" s="1994"/>
      <c r="F4" s="1994" t="s">
        <v>3415</v>
      </c>
      <c r="G4" s="1994"/>
      <c r="H4" s="1994"/>
      <c r="I4" s="1994"/>
      <c r="J4" s="1994"/>
      <c r="K4" s="1994"/>
      <c r="L4" s="1994" t="s">
        <v>3416</v>
      </c>
      <c r="M4" s="1994"/>
      <c r="N4" s="1994" t="s">
        <v>3417</v>
      </c>
      <c r="O4" s="1994"/>
      <c r="P4" s="1994"/>
    </row>
    <row r="5" spans="2:17">
      <c r="B5" s="1994"/>
      <c r="C5" s="1994"/>
      <c r="D5" s="1667" t="s">
        <v>3418</v>
      </c>
      <c r="E5" s="1667" t="s">
        <v>3419</v>
      </c>
      <c r="F5" s="1667" t="s">
        <v>141</v>
      </c>
      <c r="G5" s="1667" t="s">
        <v>417</v>
      </c>
      <c r="H5" s="1667" t="s">
        <v>3420</v>
      </c>
      <c r="I5" s="1667" t="s">
        <v>354</v>
      </c>
      <c r="J5" s="1667" t="s">
        <v>421</v>
      </c>
      <c r="K5" s="1668" t="s">
        <v>3024</v>
      </c>
      <c r="L5" s="1667" t="s">
        <v>3418</v>
      </c>
      <c r="M5" s="1667" t="s">
        <v>3419</v>
      </c>
      <c r="N5" s="1667" t="s">
        <v>3424</v>
      </c>
      <c r="O5" s="1667" t="s">
        <v>3025</v>
      </c>
      <c r="P5" s="1667" t="s">
        <v>3421</v>
      </c>
    </row>
    <row r="6" spans="2:17">
      <c r="B6" s="1669" t="s">
        <v>3425</v>
      </c>
      <c r="C6" s="1669"/>
      <c r="D6" s="1670">
        <f>C22</f>
        <v>0.34129999999999999</v>
      </c>
      <c r="E6" s="1670">
        <f>1-D6</f>
        <v>0.65870000000000006</v>
      </c>
      <c r="F6" s="1674">
        <v>16655228500</v>
      </c>
      <c r="G6" s="1674">
        <v>73656603596</v>
      </c>
      <c r="H6" s="1674">
        <v>3758717291</v>
      </c>
      <c r="I6" s="1674">
        <v>0</v>
      </c>
      <c r="J6" s="1674">
        <f>-88369095784</f>
        <v>-88369095784</v>
      </c>
      <c r="K6" s="1675">
        <f>SUM(F6:J6)</f>
        <v>5701453603</v>
      </c>
      <c r="L6" s="1674">
        <f>ROUND(D6*K6,0)</f>
        <v>1945906115</v>
      </c>
      <c r="M6" s="1674">
        <f>K6-L6</f>
        <v>3755547488</v>
      </c>
      <c r="N6" s="1674">
        <f>C44</f>
        <v>16999999500</v>
      </c>
      <c r="O6" s="1674">
        <f>L6-N6-P6</f>
        <v>-8966594347</v>
      </c>
      <c r="P6" s="1674">
        <f>-C86+C87</f>
        <v>-6087499038</v>
      </c>
      <c r="Q6" s="1656" t="s">
        <v>3465</v>
      </c>
    </row>
    <row r="7" spans="2:17">
      <c r="B7" s="1667" t="s">
        <v>142</v>
      </c>
      <c r="C7" s="1671">
        <v>46022</v>
      </c>
      <c r="D7" s="1672">
        <f>D6</f>
        <v>0.34129999999999999</v>
      </c>
      <c r="E7" s="1672">
        <f>1-D7</f>
        <v>0.65870000000000006</v>
      </c>
      <c r="F7" s="1676">
        <f t="shared" ref="F7:P7" si="0">SUM(F6:F6)</f>
        <v>16655228500</v>
      </c>
      <c r="G7" s="1676">
        <f t="shared" si="0"/>
        <v>73656603596</v>
      </c>
      <c r="H7" s="1676">
        <f t="shared" si="0"/>
        <v>3758717291</v>
      </c>
      <c r="I7" s="1676">
        <f t="shared" si="0"/>
        <v>0</v>
      </c>
      <c r="J7" s="1676">
        <f t="shared" si="0"/>
        <v>-88369095784</v>
      </c>
      <c r="K7" s="1677">
        <f t="shared" si="0"/>
        <v>5701453603</v>
      </c>
      <c r="L7" s="1676">
        <f t="shared" si="0"/>
        <v>1945906115</v>
      </c>
      <c r="M7" s="1676">
        <f t="shared" si="0"/>
        <v>3755547488</v>
      </c>
      <c r="N7" s="1676">
        <f t="shared" si="0"/>
        <v>16999999500</v>
      </c>
      <c r="O7" s="1676">
        <f t="shared" si="0"/>
        <v>-8966594347</v>
      </c>
      <c r="P7" s="1676">
        <f t="shared" si="0"/>
        <v>-6087499038</v>
      </c>
    </row>
    <row r="8" spans="2:17">
      <c r="B8" s="1669" t="s">
        <v>93</v>
      </c>
      <c r="C8" s="1669"/>
      <c r="D8" s="1670">
        <f>D7</f>
        <v>0.34129999999999999</v>
      </c>
      <c r="E8" s="1670">
        <f>1-D8</f>
        <v>0.65870000000000006</v>
      </c>
      <c r="F8" s="1674">
        <v>0</v>
      </c>
      <c r="G8" s="1674">
        <v>0</v>
      </c>
      <c r="H8" s="1674">
        <v>0</v>
      </c>
      <c r="I8" s="1674">
        <v>0</v>
      </c>
      <c r="J8" s="1674">
        <f>C62</f>
        <v>-5456860857</v>
      </c>
      <c r="K8" s="1675">
        <f>SUM(F8:J8)</f>
        <v>-5456860857</v>
      </c>
      <c r="L8" s="1674">
        <f>ROUND(D8*K8,0)</f>
        <v>-1862426610</v>
      </c>
      <c r="M8" s="1674">
        <f>K8-L8</f>
        <v>-3594434247</v>
      </c>
      <c r="N8" s="1674">
        <f>L8-P8</f>
        <v>-2065343244</v>
      </c>
      <c r="O8" s="1674">
        <v>0</v>
      </c>
      <c r="P8" s="1674">
        <f>SUM(H105:H106)</f>
        <v>202916634</v>
      </c>
    </row>
    <row r="9" spans="2:17">
      <c r="B9" s="1669" t="s">
        <v>3422</v>
      </c>
      <c r="C9" s="1669"/>
      <c r="D9" s="1670">
        <f>D8</f>
        <v>0.34129999999999999</v>
      </c>
      <c r="E9" s="1670">
        <f>1-D9</f>
        <v>0.65870000000000006</v>
      </c>
      <c r="F9" s="1674">
        <v>0</v>
      </c>
      <c r="G9" s="1674">
        <v>0</v>
      </c>
      <c r="H9" s="1674">
        <v>0</v>
      </c>
      <c r="I9" s="1674">
        <v>0</v>
      </c>
      <c r="J9" s="1674">
        <v>-7625352</v>
      </c>
      <c r="K9" s="1675">
        <f>SUM(F9:J9)</f>
        <v>-7625352</v>
      </c>
      <c r="L9" s="1674">
        <f>ROUND(D9*K9,0)</f>
        <v>-2602533</v>
      </c>
      <c r="M9" s="1674">
        <f>K9-L9</f>
        <v>-5022819</v>
      </c>
      <c r="N9" s="1674">
        <f>L9-P9</f>
        <v>-2602533</v>
      </c>
      <c r="O9" s="1674">
        <v>0</v>
      </c>
      <c r="P9" s="1674">
        <v>0</v>
      </c>
    </row>
    <row r="10" spans="2:17">
      <c r="B10" s="1669" t="s">
        <v>3827</v>
      </c>
      <c r="C10" s="1669"/>
      <c r="D10" s="1670">
        <f>D9</f>
        <v>0.34129999999999999</v>
      </c>
      <c r="E10" s="1670">
        <f>1-D10</f>
        <v>0.65870000000000006</v>
      </c>
      <c r="F10" s="1674">
        <v>0</v>
      </c>
      <c r="G10" s="1674">
        <v>0</v>
      </c>
      <c r="H10" s="1674">
        <v>0</v>
      </c>
      <c r="I10" s="1674">
        <v>0</v>
      </c>
      <c r="J10" s="1674">
        <v>0</v>
      </c>
      <c r="K10" s="1675">
        <f>SUM(F10:J10)</f>
        <v>0</v>
      </c>
      <c r="L10" s="1674">
        <f>ROUND(D10*K10,0)</f>
        <v>0</v>
      </c>
      <c r="M10" s="1674">
        <f>K10-L10</f>
        <v>0</v>
      </c>
      <c r="N10" s="1674">
        <f>C45</f>
        <v>8000000000</v>
      </c>
      <c r="O10" s="1674">
        <v>0</v>
      </c>
      <c r="P10" s="1674">
        <v>0</v>
      </c>
    </row>
    <row r="11" spans="2:17">
      <c r="B11" s="1669" t="s">
        <v>3802</v>
      </c>
      <c r="C11" s="1669"/>
      <c r="D11" s="1670">
        <f>D9</f>
        <v>0.34129999999999999</v>
      </c>
      <c r="E11" s="1670">
        <f t="shared" ref="E11:E12" si="1">1-D11</f>
        <v>0.65870000000000006</v>
      </c>
      <c r="F11" s="1674">
        <v>0</v>
      </c>
      <c r="G11" s="1674">
        <v>3758717291</v>
      </c>
      <c r="H11" s="1674">
        <v>-3758717291</v>
      </c>
      <c r="I11" s="1674">
        <v>0</v>
      </c>
      <c r="J11" s="1674">
        <v>0</v>
      </c>
      <c r="K11" s="1675">
        <f>SUM(F11:J11)</f>
        <v>0</v>
      </c>
      <c r="L11" s="1674">
        <f>ROUND(D11*K11,0)</f>
        <v>0</v>
      </c>
      <c r="M11" s="1674">
        <f>K11-L11</f>
        <v>0</v>
      </c>
      <c r="N11" s="1674">
        <f>L11-P11</f>
        <v>0</v>
      </c>
      <c r="O11" s="1674">
        <v>0</v>
      </c>
      <c r="P11" s="1674">
        <v>0</v>
      </c>
    </row>
    <row r="12" spans="2:17">
      <c r="B12" s="1669" t="s">
        <v>3803</v>
      </c>
      <c r="C12" s="1669"/>
      <c r="D12" s="1670">
        <f t="shared" ref="D12" si="2">D11</f>
        <v>0.34129999999999999</v>
      </c>
      <c r="E12" s="1670">
        <f t="shared" si="1"/>
        <v>0.65870000000000006</v>
      </c>
      <c r="F12" s="1674">
        <v>-16655228500</v>
      </c>
      <c r="G12" s="1674">
        <v>-77415320887</v>
      </c>
      <c r="H12" s="1674">
        <v>0</v>
      </c>
      <c r="I12" s="1674">
        <v>0</v>
      </c>
      <c r="J12" s="1674">
        <v>93833581993</v>
      </c>
      <c r="K12" s="1675">
        <f>SUM(F12:J12)</f>
        <v>-236967394</v>
      </c>
      <c r="L12" s="1674">
        <f>-SUM(L7:L11)</f>
        <v>-80876972</v>
      </c>
      <c r="M12" s="1674">
        <f t="shared" ref="M12:P12" si="3">-SUM(M7:M11)</f>
        <v>-156090422</v>
      </c>
      <c r="N12" s="1674">
        <f t="shared" si="3"/>
        <v>-22932053723</v>
      </c>
      <c r="O12" s="1674">
        <f t="shared" si="3"/>
        <v>8966594347</v>
      </c>
      <c r="P12" s="1674">
        <f t="shared" si="3"/>
        <v>5884582404</v>
      </c>
    </row>
    <row r="13" spans="2:17">
      <c r="B13" s="1667" t="s">
        <v>142</v>
      </c>
      <c r="C13" s="1671">
        <v>46203</v>
      </c>
      <c r="D13" s="1672">
        <f>D12</f>
        <v>0.34129999999999999</v>
      </c>
      <c r="E13" s="1672">
        <f>E12</f>
        <v>0.65870000000000006</v>
      </c>
      <c r="F13" s="1676">
        <f>SUM(F7:F12)</f>
        <v>0</v>
      </c>
      <c r="G13" s="1676">
        <f t="shared" ref="G13:P13" si="4">SUM(G7:G12)</f>
        <v>0</v>
      </c>
      <c r="H13" s="1676">
        <f t="shared" si="4"/>
        <v>0</v>
      </c>
      <c r="I13" s="1676">
        <f t="shared" si="4"/>
        <v>0</v>
      </c>
      <c r="J13" s="1676">
        <f t="shared" si="4"/>
        <v>0</v>
      </c>
      <c r="K13" s="1676">
        <f t="shared" si="4"/>
        <v>0</v>
      </c>
      <c r="L13" s="1676">
        <f t="shared" si="4"/>
        <v>0</v>
      </c>
      <c r="M13" s="1676">
        <f t="shared" si="4"/>
        <v>0</v>
      </c>
      <c r="N13" s="1676">
        <f t="shared" si="4"/>
        <v>0</v>
      </c>
      <c r="O13" s="1676">
        <f t="shared" si="4"/>
        <v>0</v>
      </c>
      <c r="P13" s="1676">
        <f t="shared" si="4"/>
        <v>0</v>
      </c>
    </row>
    <row r="15" spans="2:17">
      <c r="E15" s="1673" t="s">
        <v>3432</v>
      </c>
      <c r="F15" s="1685">
        <v>16655228500</v>
      </c>
      <c r="G15" s="1685">
        <v>77407695535</v>
      </c>
      <c r="H15" s="1685">
        <v>0</v>
      </c>
      <c r="I15" s="1685">
        <v>0</v>
      </c>
      <c r="J15" s="1685">
        <v>-93825956641</v>
      </c>
    </row>
    <row r="16" spans="2:17">
      <c r="E16" s="1673" t="s">
        <v>2618</v>
      </c>
      <c r="F16" s="1685">
        <f>F15-SUM(F7:F11)</f>
        <v>0</v>
      </c>
      <c r="G16" s="1685">
        <f t="shared" ref="G16:J16" si="5">G15-SUM(G7:G11)</f>
        <v>-7625352</v>
      </c>
      <c r="H16" s="1685">
        <f t="shared" si="5"/>
        <v>0</v>
      </c>
      <c r="I16" s="1685">
        <f t="shared" si="5"/>
        <v>0</v>
      </c>
      <c r="J16" s="1685">
        <f t="shared" si="5"/>
        <v>7625352</v>
      </c>
      <c r="K16" s="1684">
        <f>SUM(F16:J16)</f>
        <v>0</v>
      </c>
    </row>
    <row r="17" spans="2:11">
      <c r="E17" s="1704"/>
      <c r="F17" s="1684"/>
      <c r="G17" s="1684" t="s">
        <v>3466</v>
      </c>
      <c r="H17" s="1684"/>
      <c r="I17" s="1684"/>
      <c r="J17" s="1684"/>
    </row>
    <row r="19" spans="2:11">
      <c r="B19" s="199" t="s">
        <v>3433</v>
      </c>
    </row>
    <row r="20" spans="2:11">
      <c r="B20" s="1669" t="s">
        <v>3428</v>
      </c>
      <c r="C20" s="1706">
        <v>33205457</v>
      </c>
    </row>
    <row r="21" spans="2:11">
      <c r="B21" s="1669" t="s">
        <v>3429</v>
      </c>
      <c r="C21" s="1706">
        <v>11333333</v>
      </c>
      <c r="K21" s="1678"/>
    </row>
    <row r="22" spans="2:11">
      <c r="B22" s="1669" t="s">
        <v>407</v>
      </c>
      <c r="C22" s="1707">
        <f>ROUND(C21/C20,4)</f>
        <v>0.34129999999999999</v>
      </c>
      <c r="D22" s="1656" t="s">
        <v>3579</v>
      </c>
      <c r="J22" s="1683"/>
      <c r="K22" s="1683"/>
    </row>
    <row r="24" spans="2:11">
      <c r="B24" s="1656" t="s">
        <v>3484</v>
      </c>
    </row>
    <row r="44" spans="2:3">
      <c r="B44" s="1669" t="s">
        <v>3430</v>
      </c>
      <c r="C44" s="1681">
        <v>16999999500</v>
      </c>
    </row>
    <row r="45" spans="2:3">
      <c r="B45" s="1669" t="s">
        <v>3826</v>
      </c>
      <c r="C45" s="1681">
        <v>8000000000</v>
      </c>
    </row>
    <row r="47" spans="2:3" ht="17.25" thickBot="1">
      <c r="B47" s="199" t="s">
        <v>3434</v>
      </c>
    </row>
    <row r="48" spans="2:3" ht="17.25" thickBot="1">
      <c r="B48" s="1679" t="s">
        <v>2537</v>
      </c>
      <c r="C48" s="1680">
        <f>C13</f>
        <v>46203</v>
      </c>
    </row>
    <row r="49" spans="2:3">
      <c r="B49" s="1663" t="s">
        <v>360</v>
      </c>
      <c r="C49" s="1664" t="s">
        <v>335</v>
      </c>
    </row>
    <row r="50" spans="2:3">
      <c r="B50" s="774" t="s">
        <v>4</v>
      </c>
      <c r="C50" s="852">
        <v>2658778533</v>
      </c>
    </row>
    <row r="51" spans="2:3">
      <c r="B51" s="774" t="s">
        <v>25</v>
      </c>
      <c r="C51" s="852">
        <v>8080134954</v>
      </c>
    </row>
    <row r="52" spans="2:3">
      <c r="B52" s="774" t="s">
        <v>267</v>
      </c>
      <c r="C52" s="852">
        <f>C50+C51</f>
        <v>10738913487</v>
      </c>
    </row>
    <row r="53" spans="2:3">
      <c r="B53" s="774" t="s">
        <v>47</v>
      </c>
      <c r="C53" s="852">
        <v>9388591014</v>
      </c>
    </row>
    <row r="54" spans="2:3">
      <c r="B54" s="774" t="s">
        <v>56</v>
      </c>
      <c r="C54" s="852">
        <v>1113355079</v>
      </c>
    </row>
    <row r="55" spans="2:3">
      <c r="B55" s="774" t="s">
        <v>268</v>
      </c>
      <c r="C55" s="852">
        <f>C53+C54</f>
        <v>10501946093</v>
      </c>
    </row>
    <row r="56" spans="2:3">
      <c r="B56" s="774" t="s">
        <v>61</v>
      </c>
      <c r="C56" s="852">
        <f>C52-C55</f>
        <v>236967394</v>
      </c>
    </row>
    <row r="57" spans="2:3">
      <c r="B57" s="778" t="s">
        <v>1131</v>
      </c>
      <c r="C57" s="853">
        <f>C56+C55</f>
        <v>10738913487</v>
      </c>
    </row>
    <row r="59" spans="2:3">
      <c r="B59" s="783" t="s">
        <v>360</v>
      </c>
      <c r="C59" s="870" t="s">
        <v>339</v>
      </c>
    </row>
    <row r="60" spans="2:3">
      <c r="B60" s="774" t="s">
        <v>81</v>
      </c>
      <c r="C60" s="852">
        <v>0</v>
      </c>
    </row>
    <row r="61" spans="2:3">
      <c r="B61" s="774" t="s">
        <v>86</v>
      </c>
      <c r="C61" s="852">
        <v>-3883766794</v>
      </c>
    </row>
    <row r="62" spans="2:3">
      <c r="B62" s="774" t="s">
        <v>148</v>
      </c>
      <c r="C62" s="852">
        <v>-5456860857</v>
      </c>
    </row>
    <row r="63" spans="2:3">
      <c r="B63" s="778" t="s">
        <v>1906</v>
      </c>
      <c r="C63" s="853">
        <v>-5456860857</v>
      </c>
    </row>
    <row r="65" spans="2:6">
      <c r="B65" s="199" t="s">
        <v>3435</v>
      </c>
    </row>
    <row r="66" spans="2:6">
      <c r="B66" s="1656" t="s">
        <v>3431</v>
      </c>
    </row>
    <row r="67" spans="2:6">
      <c r="B67" s="783" t="s">
        <v>360</v>
      </c>
      <c r="C67" s="870" t="s">
        <v>335</v>
      </c>
      <c r="D67" s="418"/>
      <c r="E67" s="418"/>
      <c r="F67" s="418"/>
    </row>
    <row r="68" spans="2:6">
      <c r="B68" s="774" t="s">
        <v>4</v>
      </c>
      <c r="C68" s="852">
        <v>16611573134</v>
      </c>
      <c r="D68" s="418"/>
      <c r="E68" s="418"/>
      <c r="F68" s="418"/>
    </row>
    <row r="69" spans="2:6">
      <c r="B69" s="774" t="s">
        <v>25</v>
      </c>
      <c r="C69" s="852">
        <v>9285791822</v>
      </c>
      <c r="D69" s="418"/>
      <c r="E69" s="418"/>
      <c r="F69" s="418"/>
    </row>
    <row r="70" spans="2:6">
      <c r="B70" s="774" t="s">
        <v>267</v>
      </c>
      <c r="C70" s="852">
        <f>C68+C69</f>
        <v>25897364956</v>
      </c>
      <c r="D70" s="418"/>
      <c r="E70" s="418"/>
      <c r="F70" s="418"/>
    </row>
    <row r="71" spans="2:6">
      <c r="B71" s="774" t="s">
        <v>47</v>
      </c>
      <c r="C71" s="852">
        <v>18807114644</v>
      </c>
      <c r="D71" s="418"/>
      <c r="E71" s="418"/>
      <c r="F71" s="418"/>
    </row>
    <row r="72" spans="2:6">
      <c r="B72" s="774" t="s">
        <v>56</v>
      </c>
      <c r="C72" s="852">
        <v>1388796709</v>
      </c>
      <c r="D72" s="418"/>
      <c r="E72" s="418"/>
      <c r="F72" s="418"/>
    </row>
    <row r="73" spans="2:6">
      <c r="B73" s="774" t="s">
        <v>268</v>
      </c>
      <c r="C73" s="852">
        <f>C71+C72</f>
        <v>20195911353</v>
      </c>
      <c r="D73" s="418"/>
      <c r="E73" s="418"/>
      <c r="F73" s="418"/>
    </row>
    <row r="74" spans="2:6">
      <c r="B74" s="774" t="s">
        <v>61</v>
      </c>
      <c r="C74" s="852">
        <f>C70-C73</f>
        <v>5701453603</v>
      </c>
      <c r="D74" s="886"/>
      <c r="E74" s="418"/>
      <c r="F74" s="1607"/>
    </row>
    <row r="75" spans="2:6">
      <c r="B75" s="778" t="s">
        <v>1131</v>
      </c>
      <c r="C75" s="853">
        <f>C74+C73</f>
        <v>25897364956</v>
      </c>
      <c r="D75" s="886"/>
      <c r="E75" s="418"/>
      <c r="F75" s="418"/>
    </row>
    <row r="76" spans="2:6">
      <c r="B76" s="418"/>
      <c r="C76" s="418"/>
      <c r="D76" s="418"/>
      <c r="E76" s="418"/>
      <c r="F76" s="418"/>
    </row>
    <row r="77" spans="2:6">
      <c r="B77" s="1652" t="s">
        <v>407</v>
      </c>
      <c r="C77" s="1682">
        <f>C22</f>
        <v>0.34129999999999999</v>
      </c>
      <c r="D77" s="418"/>
      <c r="E77" s="418"/>
      <c r="F77" s="418"/>
    </row>
    <row r="78" spans="2:6">
      <c r="B78" s="418"/>
      <c r="C78" s="418"/>
      <c r="D78" s="418"/>
      <c r="E78" s="418"/>
      <c r="F78" s="418"/>
    </row>
    <row r="79" spans="2:6">
      <c r="B79" s="1652" t="s">
        <v>3016</v>
      </c>
      <c r="C79" s="1653">
        <f>ROUND(C77*C74,)</f>
        <v>1945906115</v>
      </c>
      <c r="D79" s="418"/>
      <c r="E79" s="418"/>
      <c r="F79" s="418"/>
    </row>
    <row r="80" spans="2:6">
      <c r="B80" s="1652" t="s">
        <v>3017</v>
      </c>
      <c r="C80" s="1653">
        <f>C44-C79</f>
        <v>15054093385</v>
      </c>
      <c r="D80" s="418"/>
      <c r="E80" s="1609"/>
      <c r="F80" s="418"/>
    </row>
    <row r="81" spans="2:9">
      <c r="B81" s="898"/>
      <c r="C81" s="1609"/>
      <c r="D81" s="418"/>
      <c r="E81" s="1609"/>
      <c r="F81" s="418"/>
    </row>
    <row r="82" spans="2:9">
      <c r="B82" s="898" t="s">
        <v>3018</v>
      </c>
      <c r="C82" s="1610" t="s">
        <v>3486</v>
      </c>
      <c r="D82" s="859" t="s">
        <v>3485</v>
      </c>
      <c r="E82" s="418"/>
      <c r="F82" s="418"/>
    </row>
    <row r="83" spans="2:9">
      <c r="B83" s="1652" t="s">
        <v>3019</v>
      </c>
      <c r="C83" s="1653">
        <v>4273607294</v>
      </c>
      <c r="D83" s="418" t="s">
        <v>3022</v>
      </c>
      <c r="E83" s="881"/>
      <c r="F83" s="418"/>
    </row>
    <row r="84" spans="2:9">
      <c r="B84" s="1652" t="s">
        <v>3020</v>
      </c>
      <c r="C84" s="1653">
        <v>269323614</v>
      </c>
      <c r="D84" s="418" t="s">
        <v>3021</v>
      </c>
      <c r="E84" s="881"/>
      <c r="F84" s="418"/>
    </row>
    <row r="85" spans="2:9">
      <c r="B85" s="1652" t="s">
        <v>3023</v>
      </c>
      <c r="C85" s="1653">
        <v>3261555075</v>
      </c>
      <c r="D85" s="418" t="s">
        <v>3021</v>
      </c>
      <c r="E85" s="881"/>
      <c r="F85" s="418"/>
    </row>
    <row r="86" spans="2:9">
      <c r="B86" s="1652" t="s">
        <v>3024</v>
      </c>
      <c r="C86" s="1653">
        <f>SUM(C83:C85)</f>
        <v>7804485983</v>
      </c>
      <c r="D86" s="1609"/>
      <c r="E86" s="418"/>
      <c r="F86" s="418"/>
    </row>
    <row r="87" spans="2:9">
      <c r="B87" s="1652" t="s">
        <v>3441</v>
      </c>
      <c r="C87" s="1653">
        <f>G104</f>
        <v>1716986945</v>
      </c>
      <c r="D87" s="1609"/>
      <c r="E87" s="418"/>
      <c r="F87" s="418"/>
    </row>
    <row r="88" spans="2:9">
      <c r="B88" s="1652" t="s">
        <v>3025</v>
      </c>
      <c r="C88" s="1653">
        <f>C80-C86+C87</f>
        <v>8966594347</v>
      </c>
      <c r="D88" s="1609">
        <f>C88+O6</f>
        <v>0</v>
      </c>
      <c r="E88" s="418"/>
      <c r="F88" s="418"/>
    </row>
    <row r="89" spans="2:9">
      <c r="B89" s="898"/>
      <c r="C89" s="1609"/>
      <c r="D89" s="1609"/>
      <c r="E89" s="418"/>
      <c r="F89" s="418"/>
    </row>
    <row r="90" spans="2:9">
      <c r="B90" s="898" t="s">
        <v>3436</v>
      </c>
      <c r="C90" s="1609"/>
      <c r="D90" s="1609"/>
      <c r="E90" s="418"/>
      <c r="F90" s="418"/>
    </row>
    <row r="91" spans="2:9">
      <c r="B91" s="1686" t="s">
        <v>3437</v>
      </c>
      <c r="C91" s="1687"/>
      <c r="D91" s="1717"/>
      <c r="E91"/>
      <c r="F91"/>
      <c r="G91"/>
      <c r="H91"/>
      <c r="I91"/>
    </row>
    <row r="92" spans="2:9">
      <c r="B92" t="s">
        <v>3438</v>
      </c>
      <c r="C92" s="1687">
        <f>C80</f>
        <v>15054093385</v>
      </c>
      <c r="D92"/>
      <c r="E92"/>
      <c r="F92"/>
      <c r="G92"/>
      <c r="H92"/>
      <c r="I92"/>
    </row>
    <row r="93" spans="2:9">
      <c r="B93" s="97" t="s">
        <v>3439</v>
      </c>
      <c r="C93" s="1688">
        <f>C86</f>
        <v>7804485983</v>
      </c>
      <c r="D93" s="1688" t="s">
        <v>3440</v>
      </c>
      <c r="E93"/>
      <c r="F93"/>
      <c r="G93"/>
      <c r="H93"/>
      <c r="I93" s="1689"/>
    </row>
    <row r="94" spans="2:9">
      <c r="B94" s="97" t="s">
        <v>3441</v>
      </c>
      <c r="C94" s="1688">
        <f>SUM(F104:F164)</f>
        <v>1716986945</v>
      </c>
      <c r="D94" s="1688"/>
      <c r="E94"/>
      <c r="F94"/>
      <c r="G94"/>
      <c r="H94"/>
      <c r="I94" s="1689"/>
    </row>
    <row r="95" spans="2:9">
      <c r="B95" s="97" t="s">
        <v>3025</v>
      </c>
      <c r="C95" s="1688">
        <f>C92-C93+C94</f>
        <v>8966594347</v>
      </c>
      <c r="D95" s="1688" t="b">
        <f>C95=C88</f>
        <v>1</v>
      </c>
      <c r="E95"/>
      <c r="F95"/>
      <c r="G95"/>
      <c r="H95"/>
      <c r="I95" s="1689"/>
    </row>
    <row r="96" spans="2:9">
      <c r="B96" s="97"/>
      <c r="C96" s="1688"/>
      <c r="D96" s="1688"/>
      <c r="E96"/>
      <c r="F96"/>
      <c r="G96"/>
      <c r="H96"/>
      <c r="I96" s="1689"/>
    </row>
    <row r="97" spans="2:9">
      <c r="B97" s="97" t="s">
        <v>3442</v>
      </c>
      <c r="C97" s="974">
        <f>EOMONTH(C98,15*12)</f>
        <v>51501</v>
      </c>
      <c r="D97" s="974"/>
      <c r="E97"/>
      <c r="F97"/>
      <c r="G97"/>
      <c r="H97"/>
      <c r="I97" s="1689"/>
    </row>
    <row r="98" spans="2:9">
      <c r="B98" s="97" t="s">
        <v>3443</v>
      </c>
      <c r="C98" s="974">
        <v>46022</v>
      </c>
      <c r="D98" s="1688"/>
      <c r="E98"/>
      <c r="F98"/>
      <c r="G98"/>
      <c r="H98"/>
      <c r="I98" s="1689"/>
    </row>
    <row r="99" spans="2:9">
      <c r="B99" s="97" t="s">
        <v>3444</v>
      </c>
      <c r="C99" s="1690">
        <v>15</v>
      </c>
      <c r="D99" s="1688"/>
      <c r="E99"/>
      <c r="F99"/>
      <c r="G99"/>
      <c r="H99"/>
      <c r="I99" s="1689"/>
    </row>
    <row r="100" spans="2:9">
      <c r="B100" s="97" t="s">
        <v>3445</v>
      </c>
      <c r="C100" s="1688">
        <f>ROUND(C93/C99/4,)</f>
        <v>130074766</v>
      </c>
      <c r="D100" s="1688"/>
      <c r="E100"/>
      <c r="F100"/>
      <c r="G100"/>
      <c r="H100"/>
      <c r="I100" s="1689"/>
    </row>
    <row r="101" spans="2:9">
      <c r="B101" s="97"/>
      <c r="C101" s="1688"/>
      <c r="D101" s="1688"/>
      <c r="E101"/>
      <c r="F101"/>
      <c r="G101"/>
      <c r="H101"/>
      <c r="I101" s="1689"/>
    </row>
    <row r="102" spans="2:9">
      <c r="B102" s="97" t="s">
        <v>3446</v>
      </c>
      <c r="C102" s="1688"/>
      <c r="D102" s="1688"/>
      <c r="E102"/>
      <c r="F102"/>
      <c r="G102"/>
      <c r="H102"/>
      <c r="I102" s="1689"/>
    </row>
    <row r="103" spans="2:9">
      <c r="B103" s="1666" t="s">
        <v>3447</v>
      </c>
      <c r="C103" s="1691" t="s">
        <v>3448</v>
      </c>
      <c r="D103" s="1692" t="s">
        <v>3449</v>
      </c>
      <c r="E103" s="1692" t="s">
        <v>2949</v>
      </c>
      <c r="F103" s="1692" t="s">
        <v>3450</v>
      </c>
      <c r="G103" s="1692" t="s">
        <v>2439</v>
      </c>
      <c r="H103" s="1692" t="s">
        <v>276</v>
      </c>
      <c r="I103" s="1692" t="s">
        <v>3451</v>
      </c>
    </row>
    <row r="104" spans="2:9">
      <c r="B104" s="1693">
        <v>46022</v>
      </c>
      <c r="C104" s="1694">
        <v>0</v>
      </c>
      <c r="D104" s="1694">
        <v>0</v>
      </c>
      <c r="E104" s="1694">
        <f>C93</f>
        <v>7804485983</v>
      </c>
      <c r="F104" s="1694">
        <f>ROUND(C104*20.9%,)</f>
        <v>0</v>
      </c>
      <c r="G104" s="1694">
        <f>SUM(F104:F164)</f>
        <v>1716986945</v>
      </c>
      <c r="H104" s="1694">
        <f t="shared" ref="H104:H164" si="6">C104-F104</f>
        <v>0</v>
      </c>
      <c r="I104" s="1694">
        <f>E104-G104</f>
        <v>6087499038</v>
      </c>
    </row>
    <row r="105" spans="2:9">
      <c r="B105" s="1693">
        <f>EOMONTH(B104,3)</f>
        <v>46112</v>
      </c>
      <c r="C105" s="1694">
        <f>C100</f>
        <v>130074766</v>
      </c>
      <c r="D105" s="1694">
        <f>C105+D104</f>
        <v>130074766</v>
      </c>
      <c r="E105" s="1694">
        <f t="shared" ref="E105:E136" si="7">$E$104-D105</f>
        <v>7674411217</v>
      </c>
      <c r="F105" s="1694">
        <f>ROUND(C105*22%,)</f>
        <v>28616449</v>
      </c>
      <c r="G105" s="1694">
        <f>G104-F105</f>
        <v>1688370496</v>
      </c>
      <c r="H105" s="1694">
        <f t="shared" si="6"/>
        <v>101458317</v>
      </c>
      <c r="I105" s="1694">
        <f t="shared" ref="I105:I164" si="8">E105-G105</f>
        <v>5986040721</v>
      </c>
    </row>
    <row r="106" spans="2:9">
      <c r="B106" s="1693">
        <f>EOMONTH(B105,3)</f>
        <v>46203</v>
      </c>
      <c r="C106" s="1694">
        <f t="shared" ref="C106:C137" si="9">$C$105</f>
        <v>130074766</v>
      </c>
      <c r="D106" s="1694">
        <f>C106+D105</f>
        <v>260149532</v>
      </c>
      <c r="E106" s="1694">
        <f t="shared" si="7"/>
        <v>7544336451</v>
      </c>
      <c r="F106" s="1694">
        <f t="shared" ref="F106:F164" si="10">ROUND(C106*22%,)</f>
        <v>28616449</v>
      </c>
      <c r="G106" s="1694">
        <f>G105-F106</f>
        <v>1659754047</v>
      </c>
      <c r="H106" s="1694">
        <f t="shared" si="6"/>
        <v>101458317</v>
      </c>
      <c r="I106" s="1694">
        <f t="shared" si="8"/>
        <v>5884582404</v>
      </c>
    </row>
    <row r="107" spans="2:9">
      <c r="B107" s="1693">
        <f t="shared" ref="B107:B164" si="11">EOMONTH(B106,3)</f>
        <v>46295</v>
      </c>
      <c r="C107" s="1694">
        <f t="shared" si="9"/>
        <v>130074766</v>
      </c>
      <c r="D107" s="1694">
        <f t="shared" ref="D107:D164" si="12">C107+D106</f>
        <v>390224298</v>
      </c>
      <c r="E107" s="1694">
        <f t="shared" si="7"/>
        <v>7414261685</v>
      </c>
      <c r="F107" s="1694">
        <f t="shared" si="10"/>
        <v>28616449</v>
      </c>
      <c r="G107" s="1694">
        <f t="shared" ref="G107:G164" si="13">G106-F107</f>
        <v>1631137598</v>
      </c>
      <c r="H107" s="1694">
        <f t="shared" si="6"/>
        <v>101458317</v>
      </c>
      <c r="I107" s="1694">
        <f t="shared" si="8"/>
        <v>5783124087</v>
      </c>
    </row>
    <row r="108" spans="2:9">
      <c r="B108" s="1693">
        <f t="shared" si="11"/>
        <v>46387</v>
      </c>
      <c r="C108" s="1694">
        <f t="shared" si="9"/>
        <v>130074766</v>
      </c>
      <c r="D108" s="1694">
        <f t="shared" si="12"/>
        <v>520299064</v>
      </c>
      <c r="E108" s="1694">
        <f t="shared" si="7"/>
        <v>7284186919</v>
      </c>
      <c r="F108" s="1694">
        <f t="shared" si="10"/>
        <v>28616449</v>
      </c>
      <c r="G108" s="1694">
        <f t="shared" si="13"/>
        <v>1602521149</v>
      </c>
      <c r="H108" s="1694">
        <f t="shared" si="6"/>
        <v>101458317</v>
      </c>
      <c r="I108" s="1694">
        <f t="shared" si="8"/>
        <v>5681665770</v>
      </c>
    </row>
    <row r="109" spans="2:9">
      <c r="B109" s="1693">
        <f t="shared" si="11"/>
        <v>46477</v>
      </c>
      <c r="C109" s="1694">
        <f t="shared" si="9"/>
        <v>130074766</v>
      </c>
      <c r="D109" s="1694">
        <f t="shared" si="12"/>
        <v>650373830</v>
      </c>
      <c r="E109" s="1694">
        <f t="shared" si="7"/>
        <v>7154112153</v>
      </c>
      <c r="F109" s="1694">
        <f t="shared" si="10"/>
        <v>28616449</v>
      </c>
      <c r="G109" s="1694">
        <f t="shared" si="13"/>
        <v>1573904700</v>
      </c>
      <c r="H109" s="1694">
        <f t="shared" si="6"/>
        <v>101458317</v>
      </c>
      <c r="I109" s="1694">
        <f t="shared" si="8"/>
        <v>5580207453</v>
      </c>
    </row>
    <row r="110" spans="2:9">
      <c r="B110" s="1693">
        <f t="shared" si="11"/>
        <v>46568</v>
      </c>
      <c r="C110" s="1694">
        <f t="shared" si="9"/>
        <v>130074766</v>
      </c>
      <c r="D110" s="1694">
        <f t="shared" si="12"/>
        <v>780448596</v>
      </c>
      <c r="E110" s="1694">
        <f t="shared" si="7"/>
        <v>7024037387</v>
      </c>
      <c r="F110" s="1694">
        <f t="shared" si="10"/>
        <v>28616449</v>
      </c>
      <c r="G110" s="1694">
        <f t="shared" si="13"/>
        <v>1545288251</v>
      </c>
      <c r="H110" s="1694">
        <f t="shared" si="6"/>
        <v>101458317</v>
      </c>
      <c r="I110" s="1694">
        <f t="shared" si="8"/>
        <v>5478749136</v>
      </c>
    </row>
    <row r="111" spans="2:9" hidden="1" outlineLevel="1">
      <c r="B111" s="1693">
        <f t="shared" si="11"/>
        <v>46660</v>
      </c>
      <c r="C111" s="1694">
        <f t="shared" si="9"/>
        <v>130074766</v>
      </c>
      <c r="D111" s="1694">
        <f t="shared" si="12"/>
        <v>910523362</v>
      </c>
      <c r="E111" s="1694">
        <f t="shared" si="7"/>
        <v>6893962621</v>
      </c>
      <c r="F111" s="1694">
        <f t="shared" si="10"/>
        <v>28616449</v>
      </c>
      <c r="G111" s="1694">
        <f t="shared" si="13"/>
        <v>1516671802</v>
      </c>
      <c r="H111" s="1694">
        <f t="shared" si="6"/>
        <v>101458317</v>
      </c>
      <c r="I111" s="1694">
        <f t="shared" si="8"/>
        <v>5377290819</v>
      </c>
    </row>
    <row r="112" spans="2:9" hidden="1" outlineLevel="1">
      <c r="B112" s="1693">
        <f t="shared" si="11"/>
        <v>46752</v>
      </c>
      <c r="C112" s="1694">
        <f t="shared" si="9"/>
        <v>130074766</v>
      </c>
      <c r="D112" s="1694">
        <f t="shared" si="12"/>
        <v>1040598128</v>
      </c>
      <c r="E112" s="1694">
        <f t="shared" si="7"/>
        <v>6763887855</v>
      </c>
      <c r="F112" s="1694">
        <f t="shared" si="10"/>
        <v>28616449</v>
      </c>
      <c r="G112" s="1694">
        <f t="shared" si="13"/>
        <v>1488055353</v>
      </c>
      <c r="H112" s="1694">
        <f t="shared" si="6"/>
        <v>101458317</v>
      </c>
      <c r="I112" s="1694">
        <f t="shared" si="8"/>
        <v>5275832502</v>
      </c>
    </row>
    <row r="113" spans="2:9" hidden="1" outlineLevel="1">
      <c r="B113" s="1693">
        <f t="shared" si="11"/>
        <v>46843</v>
      </c>
      <c r="C113" s="1694">
        <f t="shared" si="9"/>
        <v>130074766</v>
      </c>
      <c r="D113" s="1694">
        <f t="shared" si="12"/>
        <v>1170672894</v>
      </c>
      <c r="E113" s="1694">
        <f t="shared" si="7"/>
        <v>6633813089</v>
      </c>
      <c r="F113" s="1694">
        <f t="shared" si="10"/>
        <v>28616449</v>
      </c>
      <c r="G113" s="1694">
        <f t="shared" si="13"/>
        <v>1459438904</v>
      </c>
      <c r="H113" s="1694">
        <f t="shared" si="6"/>
        <v>101458317</v>
      </c>
      <c r="I113" s="1694">
        <f t="shared" si="8"/>
        <v>5174374185</v>
      </c>
    </row>
    <row r="114" spans="2:9" hidden="1" outlineLevel="1">
      <c r="B114" s="1693">
        <f t="shared" si="11"/>
        <v>46934</v>
      </c>
      <c r="C114" s="1694">
        <f t="shared" si="9"/>
        <v>130074766</v>
      </c>
      <c r="D114" s="1694">
        <f t="shared" si="12"/>
        <v>1300747660</v>
      </c>
      <c r="E114" s="1694">
        <f t="shared" si="7"/>
        <v>6503738323</v>
      </c>
      <c r="F114" s="1694">
        <f t="shared" si="10"/>
        <v>28616449</v>
      </c>
      <c r="G114" s="1694">
        <f t="shared" si="13"/>
        <v>1430822455</v>
      </c>
      <c r="H114" s="1694">
        <f t="shared" si="6"/>
        <v>101458317</v>
      </c>
      <c r="I114" s="1694">
        <f t="shared" si="8"/>
        <v>5072915868</v>
      </c>
    </row>
    <row r="115" spans="2:9" hidden="1" outlineLevel="1">
      <c r="B115" s="1693">
        <f t="shared" si="11"/>
        <v>47026</v>
      </c>
      <c r="C115" s="1694">
        <f t="shared" si="9"/>
        <v>130074766</v>
      </c>
      <c r="D115" s="1694">
        <f t="shared" si="12"/>
        <v>1430822426</v>
      </c>
      <c r="E115" s="1694">
        <f t="shared" si="7"/>
        <v>6373663557</v>
      </c>
      <c r="F115" s="1694">
        <f t="shared" si="10"/>
        <v>28616449</v>
      </c>
      <c r="G115" s="1694">
        <f t="shared" si="13"/>
        <v>1402206006</v>
      </c>
      <c r="H115" s="1694">
        <f t="shared" si="6"/>
        <v>101458317</v>
      </c>
      <c r="I115" s="1694">
        <f t="shared" si="8"/>
        <v>4971457551</v>
      </c>
    </row>
    <row r="116" spans="2:9" hidden="1" outlineLevel="1">
      <c r="B116" s="1693">
        <f t="shared" si="11"/>
        <v>47118</v>
      </c>
      <c r="C116" s="1694">
        <f t="shared" si="9"/>
        <v>130074766</v>
      </c>
      <c r="D116" s="1694">
        <f t="shared" si="12"/>
        <v>1560897192</v>
      </c>
      <c r="E116" s="1694">
        <f t="shared" si="7"/>
        <v>6243588791</v>
      </c>
      <c r="F116" s="1694">
        <f t="shared" si="10"/>
        <v>28616449</v>
      </c>
      <c r="G116" s="1694">
        <f t="shared" si="13"/>
        <v>1373589557</v>
      </c>
      <c r="H116" s="1694">
        <f t="shared" si="6"/>
        <v>101458317</v>
      </c>
      <c r="I116" s="1694">
        <f t="shared" si="8"/>
        <v>4869999234</v>
      </c>
    </row>
    <row r="117" spans="2:9" hidden="1" outlineLevel="1">
      <c r="B117" s="1693">
        <f t="shared" si="11"/>
        <v>47208</v>
      </c>
      <c r="C117" s="1694">
        <f t="shared" si="9"/>
        <v>130074766</v>
      </c>
      <c r="D117" s="1694">
        <f t="shared" si="12"/>
        <v>1690971958</v>
      </c>
      <c r="E117" s="1694">
        <f t="shared" si="7"/>
        <v>6113514025</v>
      </c>
      <c r="F117" s="1694">
        <f t="shared" si="10"/>
        <v>28616449</v>
      </c>
      <c r="G117" s="1694">
        <f t="shared" si="13"/>
        <v>1344973108</v>
      </c>
      <c r="H117" s="1694">
        <f t="shared" si="6"/>
        <v>101458317</v>
      </c>
      <c r="I117" s="1694">
        <f t="shared" si="8"/>
        <v>4768540917</v>
      </c>
    </row>
    <row r="118" spans="2:9" hidden="1" outlineLevel="1">
      <c r="B118" s="1693">
        <f t="shared" si="11"/>
        <v>47299</v>
      </c>
      <c r="C118" s="1694">
        <f t="shared" si="9"/>
        <v>130074766</v>
      </c>
      <c r="D118" s="1694">
        <f t="shared" si="12"/>
        <v>1821046724</v>
      </c>
      <c r="E118" s="1694">
        <f t="shared" si="7"/>
        <v>5983439259</v>
      </c>
      <c r="F118" s="1694">
        <f t="shared" si="10"/>
        <v>28616449</v>
      </c>
      <c r="G118" s="1694">
        <f t="shared" si="13"/>
        <v>1316356659</v>
      </c>
      <c r="H118" s="1694">
        <f t="shared" si="6"/>
        <v>101458317</v>
      </c>
      <c r="I118" s="1694">
        <f t="shared" si="8"/>
        <v>4667082600</v>
      </c>
    </row>
    <row r="119" spans="2:9" hidden="1" outlineLevel="1">
      <c r="B119" s="1693">
        <f t="shared" si="11"/>
        <v>47391</v>
      </c>
      <c r="C119" s="1694">
        <f t="shared" si="9"/>
        <v>130074766</v>
      </c>
      <c r="D119" s="1694">
        <f t="shared" si="12"/>
        <v>1951121490</v>
      </c>
      <c r="E119" s="1694">
        <f t="shared" si="7"/>
        <v>5853364493</v>
      </c>
      <c r="F119" s="1694">
        <f t="shared" si="10"/>
        <v>28616449</v>
      </c>
      <c r="G119" s="1694">
        <f t="shared" si="13"/>
        <v>1287740210</v>
      </c>
      <c r="H119" s="1694">
        <f t="shared" si="6"/>
        <v>101458317</v>
      </c>
      <c r="I119" s="1694">
        <f t="shared" si="8"/>
        <v>4565624283</v>
      </c>
    </row>
    <row r="120" spans="2:9" hidden="1" outlineLevel="1">
      <c r="B120" s="1693">
        <f t="shared" si="11"/>
        <v>47483</v>
      </c>
      <c r="C120" s="1694">
        <f t="shared" si="9"/>
        <v>130074766</v>
      </c>
      <c r="D120" s="1694">
        <f t="shared" si="12"/>
        <v>2081196256</v>
      </c>
      <c r="E120" s="1694">
        <f t="shared" si="7"/>
        <v>5723289727</v>
      </c>
      <c r="F120" s="1694">
        <f t="shared" si="10"/>
        <v>28616449</v>
      </c>
      <c r="G120" s="1694">
        <f t="shared" si="13"/>
        <v>1259123761</v>
      </c>
      <c r="H120" s="1694">
        <f t="shared" si="6"/>
        <v>101458317</v>
      </c>
      <c r="I120" s="1694">
        <f t="shared" si="8"/>
        <v>4464165966</v>
      </c>
    </row>
    <row r="121" spans="2:9" hidden="1" outlineLevel="1">
      <c r="B121" s="1693">
        <f t="shared" si="11"/>
        <v>47573</v>
      </c>
      <c r="C121" s="1694">
        <f t="shared" si="9"/>
        <v>130074766</v>
      </c>
      <c r="D121" s="1694">
        <f t="shared" si="12"/>
        <v>2211271022</v>
      </c>
      <c r="E121" s="1694">
        <f t="shared" si="7"/>
        <v>5593214961</v>
      </c>
      <c r="F121" s="1694">
        <f t="shared" si="10"/>
        <v>28616449</v>
      </c>
      <c r="G121" s="1694">
        <f t="shared" si="13"/>
        <v>1230507312</v>
      </c>
      <c r="H121" s="1694">
        <f t="shared" si="6"/>
        <v>101458317</v>
      </c>
      <c r="I121" s="1694">
        <f t="shared" si="8"/>
        <v>4362707649</v>
      </c>
    </row>
    <row r="122" spans="2:9" hidden="1" outlineLevel="1">
      <c r="B122" s="1693">
        <f t="shared" si="11"/>
        <v>47664</v>
      </c>
      <c r="C122" s="1694">
        <f t="shared" si="9"/>
        <v>130074766</v>
      </c>
      <c r="D122" s="1694">
        <f t="shared" si="12"/>
        <v>2341345788</v>
      </c>
      <c r="E122" s="1694">
        <f t="shared" si="7"/>
        <v>5463140195</v>
      </c>
      <c r="F122" s="1694">
        <f t="shared" si="10"/>
        <v>28616449</v>
      </c>
      <c r="G122" s="1694">
        <f t="shared" si="13"/>
        <v>1201890863</v>
      </c>
      <c r="H122" s="1694">
        <f t="shared" si="6"/>
        <v>101458317</v>
      </c>
      <c r="I122" s="1694">
        <f t="shared" si="8"/>
        <v>4261249332</v>
      </c>
    </row>
    <row r="123" spans="2:9" hidden="1" outlineLevel="1">
      <c r="B123" s="1693">
        <f t="shared" si="11"/>
        <v>47756</v>
      </c>
      <c r="C123" s="1694">
        <f t="shared" si="9"/>
        <v>130074766</v>
      </c>
      <c r="D123" s="1694">
        <f t="shared" si="12"/>
        <v>2471420554</v>
      </c>
      <c r="E123" s="1694">
        <f t="shared" si="7"/>
        <v>5333065429</v>
      </c>
      <c r="F123" s="1694">
        <f t="shared" si="10"/>
        <v>28616449</v>
      </c>
      <c r="G123" s="1694">
        <f t="shared" si="13"/>
        <v>1173274414</v>
      </c>
      <c r="H123" s="1694">
        <f t="shared" si="6"/>
        <v>101458317</v>
      </c>
      <c r="I123" s="1694">
        <f t="shared" si="8"/>
        <v>4159791015</v>
      </c>
    </row>
    <row r="124" spans="2:9" hidden="1" outlineLevel="1">
      <c r="B124" s="1693">
        <f t="shared" si="11"/>
        <v>47848</v>
      </c>
      <c r="C124" s="1694">
        <f t="shared" si="9"/>
        <v>130074766</v>
      </c>
      <c r="D124" s="1694">
        <f t="shared" si="12"/>
        <v>2601495320</v>
      </c>
      <c r="E124" s="1694">
        <f t="shared" si="7"/>
        <v>5202990663</v>
      </c>
      <c r="F124" s="1694">
        <f t="shared" si="10"/>
        <v>28616449</v>
      </c>
      <c r="G124" s="1694">
        <f t="shared" si="13"/>
        <v>1144657965</v>
      </c>
      <c r="H124" s="1694">
        <f t="shared" si="6"/>
        <v>101458317</v>
      </c>
      <c r="I124" s="1694">
        <f t="shared" si="8"/>
        <v>4058332698</v>
      </c>
    </row>
    <row r="125" spans="2:9" hidden="1" outlineLevel="1">
      <c r="B125" s="1693">
        <f t="shared" si="11"/>
        <v>47938</v>
      </c>
      <c r="C125" s="1694">
        <f t="shared" si="9"/>
        <v>130074766</v>
      </c>
      <c r="D125" s="1694">
        <f t="shared" si="12"/>
        <v>2731570086</v>
      </c>
      <c r="E125" s="1694">
        <f t="shared" si="7"/>
        <v>5072915897</v>
      </c>
      <c r="F125" s="1694">
        <f t="shared" si="10"/>
        <v>28616449</v>
      </c>
      <c r="G125" s="1694">
        <f t="shared" si="13"/>
        <v>1116041516</v>
      </c>
      <c r="H125" s="1694">
        <f t="shared" si="6"/>
        <v>101458317</v>
      </c>
      <c r="I125" s="1694">
        <f t="shared" si="8"/>
        <v>3956874381</v>
      </c>
    </row>
    <row r="126" spans="2:9" hidden="1" outlineLevel="1">
      <c r="B126" s="1693">
        <f t="shared" si="11"/>
        <v>48029</v>
      </c>
      <c r="C126" s="1694">
        <f t="shared" si="9"/>
        <v>130074766</v>
      </c>
      <c r="D126" s="1694">
        <f t="shared" si="12"/>
        <v>2861644852</v>
      </c>
      <c r="E126" s="1694">
        <f t="shared" si="7"/>
        <v>4942841131</v>
      </c>
      <c r="F126" s="1694">
        <f t="shared" si="10"/>
        <v>28616449</v>
      </c>
      <c r="G126" s="1694">
        <f t="shared" si="13"/>
        <v>1087425067</v>
      </c>
      <c r="H126" s="1694">
        <f t="shared" si="6"/>
        <v>101458317</v>
      </c>
      <c r="I126" s="1694">
        <f t="shared" si="8"/>
        <v>3855416064</v>
      </c>
    </row>
    <row r="127" spans="2:9" hidden="1" outlineLevel="1">
      <c r="B127" s="1693">
        <f t="shared" si="11"/>
        <v>48121</v>
      </c>
      <c r="C127" s="1694">
        <f t="shared" si="9"/>
        <v>130074766</v>
      </c>
      <c r="D127" s="1694">
        <f t="shared" si="12"/>
        <v>2991719618</v>
      </c>
      <c r="E127" s="1694">
        <f t="shared" si="7"/>
        <v>4812766365</v>
      </c>
      <c r="F127" s="1694">
        <f t="shared" si="10"/>
        <v>28616449</v>
      </c>
      <c r="G127" s="1694">
        <f t="shared" si="13"/>
        <v>1058808618</v>
      </c>
      <c r="H127" s="1694">
        <f t="shared" si="6"/>
        <v>101458317</v>
      </c>
      <c r="I127" s="1694">
        <f t="shared" si="8"/>
        <v>3753957747</v>
      </c>
    </row>
    <row r="128" spans="2:9" hidden="1" outlineLevel="1">
      <c r="B128" s="1693">
        <f t="shared" si="11"/>
        <v>48213</v>
      </c>
      <c r="C128" s="1694">
        <f t="shared" si="9"/>
        <v>130074766</v>
      </c>
      <c r="D128" s="1694">
        <f t="shared" si="12"/>
        <v>3121794384</v>
      </c>
      <c r="E128" s="1694">
        <f t="shared" si="7"/>
        <v>4682691599</v>
      </c>
      <c r="F128" s="1694">
        <f t="shared" si="10"/>
        <v>28616449</v>
      </c>
      <c r="G128" s="1694">
        <f t="shared" si="13"/>
        <v>1030192169</v>
      </c>
      <c r="H128" s="1694">
        <f t="shared" si="6"/>
        <v>101458317</v>
      </c>
      <c r="I128" s="1694">
        <f t="shared" si="8"/>
        <v>3652499430</v>
      </c>
    </row>
    <row r="129" spans="2:9" hidden="1" outlineLevel="1">
      <c r="B129" s="1693">
        <f t="shared" si="11"/>
        <v>48304</v>
      </c>
      <c r="C129" s="1694">
        <f t="shared" si="9"/>
        <v>130074766</v>
      </c>
      <c r="D129" s="1694">
        <f t="shared" si="12"/>
        <v>3251869150</v>
      </c>
      <c r="E129" s="1694">
        <f t="shared" si="7"/>
        <v>4552616833</v>
      </c>
      <c r="F129" s="1694">
        <f t="shared" si="10"/>
        <v>28616449</v>
      </c>
      <c r="G129" s="1694">
        <f t="shared" si="13"/>
        <v>1001575720</v>
      </c>
      <c r="H129" s="1694">
        <f t="shared" si="6"/>
        <v>101458317</v>
      </c>
      <c r="I129" s="1694">
        <f t="shared" si="8"/>
        <v>3551041113</v>
      </c>
    </row>
    <row r="130" spans="2:9" hidden="1" outlineLevel="1">
      <c r="B130" s="1693">
        <f t="shared" si="11"/>
        <v>48395</v>
      </c>
      <c r="C130" s="1694">
        <f t="shared" si="9"/>
        <v>130074766</v>
      </c>
      <c r="D130" s="1694">
        <f t="shared" si="12"/>
        <v>3381943916</v>
      </c>
      <c r="E130" s="1694">
        <f t="shared" si="7"/>
        <v>4422542067</v>
      </c>
      <c r="F130" s="1694">
        <f t="shared" si="10"/>
        <v>28616449</v>
      </c>
      <c r="G130" s="1694">
        <f t="shared" si="13"/>
        <v>972959271</v>
      </c>
      <c r="H130" s="1694">
        <f t="shared" si="6"/>
        <v>101458317</v>
      </c>
      <c r="I130" s="1694">
        <f t="shared" si="8"/>
        <v>3449582796</v>
      </c>
    </row>
    <row r="131" spans="2:9" hidden="1" outlineLevel="1">
      <c r="B131" s="1693">
        <f t="shared" si="11"/>
        <v>48487</v>
      </c>
      <c r="C131" s="1694">
        <f t="shared" si="9"/>
        <v>130074766</v>
      </c>
      <c r="D131" s="1694">
        <f t="shared" si="12"/>
        <v>3512018682</v>
      </c>
      <c r="E131" s="1694">
        <f t="shared" si="7"/>
        <v>4292467301</v>
      </c>
      <c r="F131" s="1694">
        <f t="shared" si="10"/>
        <v>28616449</v>
      </c>
      <c r="G131" s="1694">
        <f t="shared" si="13"/>
        <v>944342822</v>
      </c>
      <c r="H131" s="1694">
        <f t="shared" si="6"/>
        <v>101458317</v>
      </c>
      <c r="I131" s="1694">
        <f t="shared" si="8"/>
        <v>3348124479</v>
      </c>
    </row>
    <row r="132" spans="2:9" hidden="1" outlineLevel="1">
      <c r="B132" s="1693">
        <f t="shared" si="11"/>
        <v>48579</v>
      </c>
      <c r="C132" s="1694">
        <f t="shared" si="9"/>
        <v>130074766</v>
      </c>
      <c r="D132" s="1694">
        <f t="shared" si="12"/>
        <v>3642093448</v>
      </c>
      <c r="E132" s="1694">
        <f t="shared" si="7"/>
        <v>4162392535</v>
      </c>
      <c r="F132" s="1694">
        <f t="shared" si="10"/>
        <v>28616449</v>
      </c>
      <c r="G132" s="1694">
        <f t="shared" si="13"/>
        <v>915726373</v>
      </c>
      <c r="H132" s="1694">
        <f t="shared" si="6"/>
        <v>101458317</v>
      </c>
      <c r="I132" s="1694">
        <f t="shared" si="8"/>
        <v>3246666162</v>
      </c>
    </row>
    <row r="133" spans="2:9" hidden="1" outlineLevel="1">
      <c r="B133" s="1693">
        <f t="shared" si="11"/>
        <v>48669</v>
      </c>
      <c r="C133" s="1694">
        <f t="shared" si="9"/>
        <v>130074766</v>
      </c>
      <c r="D133" s="1694">
        <f t="shared" si="12"/>
        <v>3772168214</v>
      </c>
      <c r="E133" s="1694">
        <f t="shared" si="7"/>
        <v>4032317769</v>
      </c>
      <c r="F133" s="1694">
        <f t="shared" si="10"/>
        <v>28616449</v>
      </c>
      <c r="G133" s="1694">
        <f t="shared" si="13"/>
        <v>887109924</v>
      </c>
      <c r="H133" s="1694">
        <f t="shared" si="6"/>
        <v>101458317</v>
      </c>
      <c r="I133" s="1694">
        <f t="shared" si="8"/>
        <v>3145207845</v>
      </c>
    </row>
    <row r="134" spans="2:9" hidden="1" outlineLevel="1">
      <c r="B134" s="1693">
        <f t="shared" si="11"/>
        <v>48760</v>
      </c>
      <c r="C134" s="1694">
        <f t="shared" si="9"/>
        <v>130074766</v>
      </c>
      <c r="D134" s="1694">
        <f t="shared" si="12"/>
        <v>3902242980</v>
      </c>
      <c r="E134" s="1694">
        <f t="shared" si="7"/>
        <v>3902243003</v>
      </c>
      <c r="F134" s="1694">
        <f t="shared" si="10"/>
        <v>28616449</v>
      </c>
      <c r="G134" s="1694">
        <f t="shared" si="13"/>
        <v>858493475</v>
      </c>
      <c r="H134" s="1694">
        <f t="shared" si="6"/>
        <v>101458317</v>
      </c>
      <c r="I134" s="1694">
        <f t="shared" si="8"/>
        <v>3043749528</v>
      </c>
    </row>
    <row r="135" spans="2:9" hidden="1" outlineLevel="1">
      <c r="B135" s="1693">
        <f t="shared" si="11"/>
        <v>48852</v>
      </c>
      <c r="C135" s="1694">
        <f t="shared" si="9"/>
        <v>130074766</v>
      </c>
      <c r="D135" s="1694">
        <f t="shared" si="12"/>
        <v>4032317746</v>
      </c>
      <c r="E135" s="1694">
        <f t="shared" si="7"/>
        <v>3772168237</v>
      </c>
      <c r="F135" s="1694">
        <f t="shared" si="10"/>
        <v>28616449</v>
      </c>
      <c r="G135" s="1694">
        <f t="shared" si="13"/>
        <v>829877026</v>
      </c>
      <c r="H135" s="1694">
        <f t="shared" si="6"/>
        <v>101458317</v>
      </c>
      <c r="I135" s="1694">
        <f t="shared" si="8"/>
        <v>2942291211</v>
      </c>
    </row>
    <row r="136" spans="2:9" hidden="1" outlineLevel="1">
      <c r="B136" s="1693">
        <f t="shared" si="11"/>
        <v>48944</v>
      </c>
      <c r="C136" s="1694">
        <f t="shared" si="9"/>
        <v>130074766</v>
      </c>
      <c r="D136" s="1694">
        <f t="shared" si="12"/>
        <v>4162392512</v>
      </c>
      <c r="E136" s="1694">
        <f t="shared" si="7"/>
        <v>3642093471</v>
      </c>
      <c r="F136" s="1694">
        <f t="shared" si="10"/>
        <v>28616449</v>
      </c>
      <c r="G136" s="1694">
        <f t="shared" si="13"/>
        <v>801260577</v>
      </c>
      <c r="H136" s="1694">
        <f t="shared" si="6"/>
        <v>101458317</v>
      </c>
      <c r="I136" s="1694">
        <f t="shared" si="8"/>
        <v>2840832894</v>
      </c>
    </row>
    <row r="137" spans="2:9" hidden="1" outlineLevel="1">
      <c r="B137" s="1693">
        <f t="shared" si="11"/>
        <v>49034</v>
      </c>
      <c r="C137" s="1694">
        <f t="shared" si="9"/>
        <v>130074766</v>
      </c>
      <c r="D137" s="1694">
        <f t="shared" si="12"/>
        <v>4292467278</v>
      </c>
      <c r="E137" s="1694">
        <f t="shared" ref="E137:E164" si="14">$E$104-D137</f>
        <v>3512018705</v>
      </c>
      <c r="F137" s="1694">
        <f t="shared" si="10"/>
        <v>28616449</v>
      </c>
      <c r="G137" s="1694">
        <f t="shared" si="13"/>
        <v>772644128</v>
      </c>
      <c r="H137" s="1694">
        <f t="shared" si="6"/>
        <v>101458317</v>
      </c>
      <c r="I137" s="1694">
        <f t="shared" si="8"/>
        <v>2739374577</v>
      </c>
    </row>
    <row r="138" spans="2:9" hidden="1" outlineLevel="1">
      <c r="B138" s="1693">
        <f t="shared" si="11"/>
        <v>49125</v>
      </c>
      <c r="C138" s="1694">
        <f t="shared" ref="C138:C163" si="15">$C$105</f>
        <v>130074766</v>
      </c>
      <c r="D138" s="1694">
        <f t="shared" si="12"/>
        <v>4422542044</v>
      </c>
      <c r="E138" s="1694">
        <f t="shared" si="14"/>
        <v>3381943939</v>
      </c>
      <c r="F138" s="1694">
        <f t="shared" si="10"/>
        <v>28616449</v>
      </c>
      <c r="G138" s="1694">
        <f t="shared" si="13"/>
        <v>744027679</v>
      </c>
      <c r="H138" s="1694">
        <f t="shared" si="6"/>
        <v>101458317</v>
      </c>
      <c r="I138" s="1694">
        <f t="shared" si="8"/>
        <v>2637916260</v>
      </c>
    </row>
    <row r="139" spans="2:9" hidden="1" outlineLevel="1">
      <c r="B139" s="1693">
        <f t="shared" si="11"/>
        <v>49217</v>
      </c>
      <c r="C139" s="1694">
        <f t="shared" si="15"/>
        <v>130074766</v>
      </c>
      <c r="D139" s="1694">
        <f t="shared" si="12"/>
        <v>4552616810</v>
      </c>
      <c r="E139" s="1694">
        <f t="shared" si="14"/>
        <v>3251869173</v>
      </c>
      <c r="F139" s="1694">
        <f t="shared" si="10"/>
        <v>28616449</v>
      </c>
      <c r="G139" s="1694">
        <f t="shared" si="13"/>
        <v>715411230</v>
      </c>
      <c r="H139" s="1694">
        <f t="shared" si="6"/>
        <v>101458317</v>
      </c>
      <c r="I139" s="1694">
        <f t="shared" si="8"/>
        <v>2536457943</v>
      </c>
    </row>
    <row r="140" spans="2:9" hidden="1" outlineLevel="1">
      <c r="B140" s="1693">
        <f t="shared" si="11"/>
        <v>49309</v>
      </c>
      <c r="C140" s="1694">
        <f t="shared" si="15"/>
        <v>130074766</v>
      </c>
      <c r="D140" s="1694">
        <f t="shared" si="12"/>
        <v>4682691576</v>
      </c>
      <c r="E140" s="1694">
        <f t="shared" si="14"/>
        <v>3121794407</v>
      </c>
      <c r="F140" s="1694">
        <f t="shared" si="10"/>
        <v>28616449</v>
      </c>
      <c r="G140" s="1694">
        <f t="shared" si="13"/>
        <v>686794781</v>
      </c>
      <c r="H140" s="1694">
        <f t="shared" si="6"/>
        <v>101458317</v>
      </c>
      <c r="I140" s="1694">
        <f t="shared" si="8"/>
        <v>2434999626</v>
      </c>
    </row>
    <row r="141" spans="2:9" hidden="1" outlineLevel="1">
      <c r="B141" s="1693">
        <f t="shared" si="11"/>
        <v>49399</v>
      </c>
      <c r="C141" s="1694">
        <f t="shared" si="15"/>
        <v>130074766</v>
      </c>
      <c r="D141" s="1694">
        <f t="shared" si="12"/>
        <v>4812766342</v>
      </c>
      <c r="E141" s="1694">
        <f t="shared" si="14"/>
        <v>2991719641</v>
      </c>
      <c r="F141" s="1694">
        <f t="shared" si="10"/>
        <v>28616449</v>
      </c>
      <c r="G141" s="1694">
        <f t="shared" si="13"/>
        <v>658178332</v>
      </c>
      <c r="H141" s="1694">
        <f t="shared" si="6"/>
        <v>101458317</v>
      </c>
      <c r="I141" s="1694">
        <f t="shared" si="8"/>
        <v>2333541309</v>
      </c>
    </row>
    <row r="142" spans="2:9" hidden="1" outlineLevel="1">
      <c r="B142" s="1693">
        <f t="shared" si="11"/>
        <v>49490</v>
      </c>
      <c r="C142" s="1694">
        <f t="shared" si="15"/>
        <v>130074766</v>
      </c>
      <c r="D142" s="1694">
        <f t="shared" si="12"/>
        <v>4942841108</v>
      </c>
      <c r="E142" s="1694">
        <f t="shared" si="14"/>
        <v>2861644875</v>
      </c>
      <c r="F142" s="1694">
        <f t="shared" si="10"/>
        <v>28616449</v>
      </c>
      <c r="G142" s="1694">
        <f t="shared" si="13"/>
        <v>629561883</v>
      </c>
      <c r="H142" s="1694">
        <f t="shared" si="6"/>
        <v>101458317</v>
      </c>
      <c r="I142" s="1694">
        <f t="shared" si="8"/>
        <v>2232082992</v>
      </c>
    </row>
    <row r="143" spans="2:9" hidden="1" outlineLevel="1">
      <c r="B143" s="1693">
        <f t="shared" si="11"/>
        <v>49582</v>
      </c>
      <c r="C143" s="1694">
        <f t="shared" si="15"/>
        <v>130074766</v>
      </c>
      <c r="D143" s="1694">
        <f t="shared" si="12"/>
        <v>5072915874</v>
      </c>
      <c r="E143" s="1694">
        <f t="shared" si="14"/>
        <v>2731570109</v>
      </c>
      <c r="F143" s="1694">
        <f t="shared" si="10"/>
        <v>28616449</v>
      </c>
      <c r="G143" s="1694">
        <f t="shared" si="13"/>
        <v>600945434</v>
      </c>
      <c r="H143" s="1694">
        <f t="shared" si="6"/>
        <v>101458317</v>
      </c>
      <c r="I143" s="1694">
        <f t="shared" si="8"/>
        <v>2130624675</v>
      </c>
    </row>
    <row r="144" spans="2:9" hidden="1" outlineLevel="1">
      <c r="B144" s="1693">
        <f t="shared" si="11"/>
        <v>49674</v>
      </c>
      <c r="C144" s="1694">
        <f t="shared" si="15"/>
        <v>130074766</v>
      </c>
      <c r="D144" s="1694">
        <f t="shared" si="12"/>
        <v>5202990640</v>
      </c>
      <c r="E144" s="1694">
        <f t="shared" si="14"/>
        <v>2601495343</v>
      </c>
      <c r="F144" s="1694">
        <f t="shared" si="10"/>
        <v>28616449</v>
      </c>
      <c r="G144" s="1694">
        <f t="shared" si="13"/>
        <v>572328985</v>
      </c>
      <c r="H144" s="1694">
        <f t="shared" si="6"/>
        <v>101458317</v>
      </c>
      <c r="I144" s="1694">
        <f t="shared" si="8"/>
        <v>2029166358</v>
      </c>
    </row>
    <row r="145" spans="2:9" hidden="1" outlineLevel="1">
      <c r="B145" s="1693">
        <f t="shared" si="11"/>
        <v>49765</v>
      </c>
      <c r="C145" s="1694">
        <f t="shared" si="15"/>
        <v>130074766</v>
      </c>
      <c r="D145" s="1694">
        <f t="shared" si="12"/>
        <v>5333065406</v>
      </c>
      <c r="E145" s="1694">
        <f t="shared" si="14"/>
        <v>2471420577</v>
      </c>
      <c r="F145" s="1694">
        <f t="shared" si="10"/>
        <v>28616449</v>
      </c>
      <c r="G145" s="1694">
        <f t="shared" si="13"/>
        <v>543712536</v>
      </c>
      <c r="H145" s="1694">
        <f t="shared" si="6"/>
        <v>101458317</v>
      </c>
      <c r="I145" s="1694">
        <f t="shared" si="8"/>
        <v>1927708041</v>
      </c>
    </row>
    <row r="146" spans="2:9" hidden="1" outlineLevel="1">
      <c r="B146" s="1693">
        <f t="shared" si="11"/>
        <v>49856</v>
      </c>
      <c r="C146" s="1694">
        <f t="shared" si="15"/>
        <v>130074766</v>
      </c>
      <c r="D146" s="1694">
        <f t="shared" si="12"/>
        <v>5463140172</v>
      </c>
      <c r="E146" s="1694">
        <f t="shared" si="14"/>
        <v>2341345811</v>
      </c>
      <c r="F146" s="1694">
        <f t="shared" si="10"/>
        <v>28616449</v>
      </c>
      <c r="G146" s="1694">
        <f t="shared" si="13"/>
        <v>515096087</v>
      </c>
      <c r="H146" s="1694">
        <f t="shared" si="6"/>
        <v>101458317</v>
      </c>
      <c r="I146" s="1694">
        <f t="shared" si="8"/>
        <v>1826249724</v>
      </c>
    </row>
    <row r="147" spans="2:9" hidden="1" outlineLevel="1">
      <c r="B147" s="1693">
        <f t="shared" si="11"/>
        <v>49948</v>
      </c>
      <c r="C147" s="1694">
        <f t="shared" si="15"/>
        <v>130074766</v>
      </c>
      <c r="D147" s="1694">
        <f t="shared" si="12"/>
        <v>5593214938</v>
      </c>
      <c r="E147" s="1694">
        <f t="shared" si="14"/>
        <v>2211271045</v>
      </c>
      <c r="F147" s="1694">
        <f t="shared" si="10"/>
        <v>28616449</v>
      </c>
      <c r="G147" s="1694">
        <f t="shared" si="13"/>
        <v>486479638</v>
      </c>
      <c r="H147" s="1694">
        <f t="shared" si="6"/>
        <v>101458317</v>
      </c>
      <c r="I147" s="1694">
        <f t="shared" si="8"/>
        <v>1724791407</v>
      </c>
    </row>
    <row r="148" spans="2:9" hidden="1" outlineLevel="1">
      <c r="B148" s="1693">
        <f t="shared" si="11"/>
        <v>50040</v>
      </c>
      <c r="C148" s="1694">
        <f t="shared" si="15"/>
        <v>130074766</v>
      </c>
      <c r="D148" s="1694">
        <f t="shared" si="12"/>
        <v>5723289704</v>
      </c>
      <c r="E148" s="1694">
        <f t="shared" si="14"/>
        <v>2081196279</v>
      </c>
      <c r="F148" s="1694">
        <f t="shared" si="10"/>
        <v>28616449</v>
      </c>
      <c r="G148" s="1694">
        <f t="shared" si="13"/>
        <v>457863189</v>
      </c>
      <c r="H148" s="1694">
        <f t="shared" si="6"/>
        <v>101458317</v>
      </c>
      <c r="I148" s="1694">
        <f t="shared" si="8"/>
        <v>1623333090</v>
      </c>
    </row>
    <row r="149" spans="2:9" hidden="1" outlineLevel="1">
      <c r="B149" s="1693">
        <f t="shared" si="11"/>
        <v>50130</v>
      </c>
      <c r="C149" s="1694">
        <f t="shared" si="15"/>
        <v>130074766</v>
      </c>
      <c r="D149" s="1694">
        <f t="shared" si="12"/>
        <v>5853364470</v>
      </c>
      <c r="E149" s="1694">
        <f t="shared" si="14"/>
        <v>1951121513</v>
      </c>
      <c r="F149" s="1694">
        <f t="shared" si="10"/>
        <v>28616449</v>
      </c>
      <c r="G149" s="1694">
        <f t="shared" si="13"/>
        <v>429246740</v>
      </c>
      <c r="H149" s="1694">
        <f t="shared" si="6"/>
        <v>101458317</v>
      </c>
      <c r="I149" s="1694">
        <f t="shared" si="8"/>
        <v>1521874773</v>
      </c>
    </row>
    <row r="150" spans="2:9" hidden="1" outlineLevel="1">
      <c r="B150" s="1693">
        <f t="shared" si="11"/>
        <v>50221</v>
      </c>
      <c r="C150" s="1694">
        <f t="shared" si="15"/>
        <v>130074766</v>
      </c>
      <c r="D150" s="1694">
        <f t="shared" si="12"/>
        <v>5983439236</v>
      </c>
      <c r="E150" s="1694">
        <f t="shared" si="14"/>
        <v>1821046747</v>
      </c>
      <c r="F150" s="1694">
        <f t="shared" si="10"/>
        <v>28616449</v>
      </c>
      <c r="G150" s="1694">
        <f t="shared" si="13"/>
        <v>400630291</v>
      </c>
      <c r="H150" s="1694">
        <f t="shared" si="6"/>
        <v>101458317</v>
      </c>
      <c r="I150" s="1694">
        <f t="shared" si="8"/>
        <v>1420416456</v>
      </c>
    </row>
    <row r="151" spans="2:9" hidden="1" outlineLevel="1">
      <c r="B151" s="1693">
        <f t="shared" si="11"/>
        <v>50313</v>
      </c>
      <c r="C151" s="1694">
        <f t="shared" si="15"/>
        <v>130074766</v>
      </c>
      <c r="D151" s="1694">
        <f t="shared" si="12"/>
        <v>6113514002</v>
      </c>
      <c r="E151" s="1694">
        <f t="shared" si="14"/>
        <v>1690971981</v>
      </c>
      <c r="F151" s="1694">
        <f t="shared" si="10"/>
        <v>28616449</v>
      </c>
      <c r="G151" s="1694">
        <f t="shared" si="13"/>
        <v>372013842</v>
      </c>
      <c r="H151" s="1694">
        <f t="shared" si="6"/>
        <v>101458317</v>
      </c>
      <c r="I151" s="1694">
        <f t="shared" si="8"/>
        <v>1318958139</v>
      </c>
    </row>
    <row r="152" spans="2:9" hidden="1" outlineLevel="1">
      <c r="B152" s="1693">
        <f t="shared" si="11"/>
        <v>50405</v>
      </c>
      <c r="C152" s="1694">
        <f t="shared" si="15"/>
        <v>130074766</v>
      </c>
      <c r="D152" s="1694">
        <f t="shared" si="12"/>
        <v>6243588768</v>
      </c>
      <c r="E152" s="1694">
        <f t="shared" si="14"/>
        <v>1560897215</v>
      </c>
      <c r="F152" s="1694">
        <f t="shared" si="10"/>
        <v>28616449</v>
      </c>
      <c r="G152" s="1694">
        <f t="shared" si="13"/>
        <v>343397393</v>
      </c>
      <c r="H152" s="1694">
        <f t="shared" si="6"/>
        <v>101458317</v>
      </c>
      <c r="I152" s="1694">
        <f t="shared" si="8"/>
        <v>1217499822</v>
      </c>
    </row>
    <row r="153" spans="2:9" hidden="1" outlineLevel="1">
      <c r="B153" s="1693">
        <f t="shared" si="11"/>
        <v>50495</v>
      </c>
      <c r="C153" s="1694">
        <f t="shared" si="15"/>
        <v>130074766</v>
      </c>
      <c r="D153" s="1694">
        <f t="shared" si="12"/>
        <v>6373663534</v>
      </c>
      <c r="E153" s="1694">
        <f t="shared" si="14"/>
        <v>1430822449</v>
      </c>
      <c r="F153" s="1694">
        <f t="shared" si="10"/>
        <v>28616449</v>
      </c>
      <c r="G153" s="1694">
        <f t="shared" si="13"/>
        <v>314780944</v>
      </c>
      <c r="H153" s="1694">
        <f t="shared" si="6"/>
        <v>101458317</v>
      </c>
      <c r="I153" s="1694">
        <f t="shared" si="8"/>
        <v>1116041505</v>
      </c>
    </row>
    <row r="154" spans="2:9" hidden="1" outlineLevel="1">
      <c r="B154" s="1693">
        <f t="shared" si="11"/>
        <v>50586</v>
      </c>
      <c r="C154" s="1694">
        <f t="shared" si="15"/>
        <v>130074766</v>
      </c>
      <c r="D154" s="1694">
        <f t="shared" si="12"/>
        <v>6503738300</v>
      </c>
      <c r="E154" s="1694">
        <f t="shared" si="14"/>
        <v>1300747683</v>
      </c>
      <c r="F154" s="1694">
        <f t="shared" si="10"/>
        <v>28616449</v>
      </c>
      <c r="G154" s="1694">
        <f t="shared" si="13"/>
        <v>286164495</v>
      </c>
      <c r="H154" s="1694">
        <f t="shared" si="6"/>
        <v>101458317</v>
      </c>
      <c r="I154" s="1694">
        <f t="shared" si="8"/>
        <v>1014583188</v>
      </c>
    </row>
    <row r="155" spans="2:9" hidden="1" outlineLevel="1">
      <c r="B155" s="1693">
        <f t="shared" si="11"/>
        <v>50678</v>
      </c>
      <c r="C155" s="1694">
        <f t="shared" si="15"/>
        <v>130074766</v>
      </c>
      <c r="D155" s="1694">
        <f t="shared" si="12"/>
        <v>6633813066</v>
      </c>
      <c r="E155" s="1694">
        <f t="shared" si="14"/>
        <v>1170672917</v>
      </c>
      <c r="F155" s="1694">
        <f t="shared" si="10"/>
        <v>28616449</v>
      </c>
      <c r="G155" s="1694">
        <f t="shared" si="13"/>
        <v>257548046</v>
      </c>
      <c r="H155" s="1694">
        <f t="shared" si="6"/>
        <v>101458317</v>
      </c>
      <c r="I155" s="1694">
        <f t="shared" si="8"/>
        <v>913124871</v>
      </c>
    </row>
    <row r="156" spans="2:9" hidden="1" outlineLevel="1">
      <c r="B156" s="1693">
        <f t="shared" si="11"/>
        <v>50770</v>
      </c>
      <c r="C156" s="1694">
        <f t="shared" si="15"/>
        <v>130074766</v>
      </c>
      <c r="D156" s="1694">
        <f t="shared" si="12"/>
        <v>6763887832</v>
      </c>
      <c r="E156" s="1694">
        <f t="shared" si="14"/>
        <v>1040598151</v>
      </c>
      <c r="F156" s="1694">
        <f t="shared" si="10"/>
        <v>28616449</v>
      </c>
      <c r="G156" s="1694">
        <f t="shared" si="13"/>
        <v>228931597</v>
      </c>
      <c r="H156" s="1694">
        <f t="shared" si="6"/>
        <v>101458317</v>
      </c>
      <c r="I156" s="1694">
        <f t="shared" si="8"/>
        <v>811666554</v>
      </c>
    </row>
    <row r="157" spans="2:9" hidden="1" outlineLevel="1">
      <c r="B157" s="1693">
        <f t="shared" si="11"/>
        <v>50860</v>
      </c>
      <c r="C157" s="1694">
        <f t="shared" si="15"/>
        <v>130074766</v>
      </c>
      <c r="D157" s="1694">
        <f t="shared" si="12"/>
        <v>6893962598</v>
      </c>
      <c r="E157" s="1694">
        <f t="shared" si="14"/>
        <v>910523385</v>
      </c>
      <c r="F157" s="1694">
        <f t="shared" si="10"/>
        <v>28616449</v>
      </c>
      <c r="G157" s="1694">
        <f t="shared" si="13"/>
        <v>200315148</v>
      </c>
      <c r="H157" s="1694">
        <f t="shared" si="6"/>
        <v>101458317</v>
      </c>
      <c r="I157" s="1694">
        <f t="shared" si="8"/>
        <v>710208237</v>
      </c>
    </row>
    <row r="158" spans="2:9" hidden="1" outlineLevel="1">
      <c r="B158" s="1693">
        <f t="shared" si="11"/>
        <v>50951</v>
      </c>
      <c r="C158" s="1694">
        <f t="shared" si="15"/>
        <v>130074766</v>
      </c>
      <c r="D158" s="1694">
        <f t="shared" si="12"/>
        <v>7024037364</v>
      </c>
      <c r="E158" s="1694">
        <f t="shared" si="14"/>
        <v>780448619</v>
      </c>
      <c r="F158" s="1694">
        <f t="shared" si="10"/>
        <v>28616449</v>
      </c>
      <c r="G158" s="1694">
        <f t="shared" si="13"/>
        <v>171698699</v>
      </c>
      <c r="H158" s="1694">
        <f t="shared" si="6"/>
        <v>101458317</v>
      </c>
      <c r="I158" s="1694">
        <f t="shared" si="8"/>
        <v>608749920</v>
      </c>
    </row>
    <row r="159" spans="2:9" hidden="1" outlineLevel="1">
      <c r="B159" s="1693">
        <f t="shared" si="11"/>
        <v>51043</v>
      </c>
      <c r="C159" s="1694">
        <f t="shared" si="15"/>
        <v>130074766</v>
      </c>
      <c r="D159" s="1694">
        <f t="shared" si="12"/>
        <v>7154112130</v>
      </c>
      <c r="E159" s="1694">
        <f t="shared" si="14"/>
        <v>650373853</v>
      </c>
      <c r="F159" s="1694">
        <f t="shared" si="10"/>
        <v>28616449</v>
      </c>
      <c r="G159" s="1694">
        <f t="shared" si="13"/>
        <v>143082250</v>
      </c>
      <c r="H159" s="1694">
        <f t="shared" si="6"/>
        <v>101458317</v>
      </c>
      <c r="I159" s="1694">
        <f t="shared" si="8"/>
        <v>507291603</v>
      </c>
    </row>
    <row r="160" spans="2:9" hidden="1" outlineLevel="1">
      <c r="B160" s="1693">
        <f t="shared" si="11"/>
        <v>51135</v>
      </c>
      <c r="C160" s="1694">
        <f t="shared" si="15"/>
        <v>130074766</v>
      </c>
      <c r="D160" s="1694">
        <f t="shared" si="12"/>
        <v>7284186896</v>
      </c>
      <c r="E160" s="1694">
        <f t="shared" si="14"/>
        <v>520299087</v>
      </c>
      <c r="F160" s="1694">
        <f t="shared" si="10"/>
        <v>28616449</v>
      </c>
      <c r="G160" s="1694">
        <f t="shared" si="13"/>
        <v>114465801</v>
      </c>
      <c r="H160" s="1694">
        <f t="shared" si="6"/>
        <v>101458317</v>
      </c>
      <c r="I160" s="1694">
        <f t="shared" si="8"/>
        <v>405833286</v>
      </c>
    </row>
    <row r="161" spans="2:9" hidden="1" outlineLevel="1">
      <c r="B161" s="1693">
        <f t="shared" si="11"/>
        <v>51226</v>
      </c>
      <c r="C161" s="1694">
        <f t="shared" si="15"/>
        <v>130074766</v>
      </c>
      <c r="D161" s="1694">
        <f t="shared" si="12"/>
        <v>7414261662</v>
      </c>
      <c r="E161" s="1694">
        <f t="shared" si="14"/>
        <v>390224321</v>
      </c>
      <c r="F161" s="1694">
        <f t="shared" si="10"/>
        <v>28616449</v>
      </c>
      <c r="G161" s="1694">
        <f t="shared" si="13"/>
        <v>85849352</v>
      </c>
      <c r="H161" s="1694">
        <f t="shared" si="6"/>
        <v>101458317</v>
      </c>
      <c r="I161" s="1694">
        <f t="shared" si="8"/>
        <v>304374969</v>
      </c>
    </row>
    <row r="162" spans="2:9" hidden="1" outlineLevel="1">
      <c r="B162" s="1693">
        <f t="shared" si="11"/>
        <v>51317</v>
      </c>
      <c r="C162" s="1694">
        <f t="shared" si="15"/>
        <v>130074766</v>
      </c>
      <c r="D162" s="1694">
        <f t="shared" si="12"/>
        <v>7544336428</v>
      </c>
      <c r="E162" s="1694">
        <f t="shared" si="14"/>
        <v>260149555</v>
      </c>
      <c r="F162" s="1694">
        <f t="shared" si="10"/>
        <v>28616449</v>
      </c>
      <c r="G162" s="1694">
        <f t="shared" si="13"/>
        <v>57232903</v>
      </c>
      <c r="H162" s="1694">
        <f t="shared" si="6"/>
        <v>101458317</v>
      </c>
      <c r="I162" s="1694">
        <f t="shared" si="8"/>
        <v>202916652</v>
      </c>
    </row>
    <row r="163" spans="2:9" hidden="1" outlineLevel="1">
      <c r="B163" s="1693">
        <f t="shared" si="11"/>
        <v>51409</v>
      </c>
      <c r="C163" s="1694">
        <f t="shared" si="15"/>
        <v>130074766</v>
      </c>
      <c r="D163" s="1694">
        <f t="shared" si="12"/>
        <v>7674411194</v>
      </c>
      <c r="E163" s="1694">
        <f t="shared" si="14"/>
        <v>130074789</v>
      </c>
      <c r="F163" s="1694">
        <f t="shared" si="10"/>
        <v>28616449</v>
      </c>
      <c r="G163" s="1694">
        <f t="shared" si="13"/>
        <v>28616454</v>
      </c>
      <c r="H163" s="1694">
        <f t="shared" si="6"/>
        <v>101458317</v>
      </c>
      <c r="I163" s="1694">
        <f t="shared" si="8"/>
        <v>101458335</v>
      </c>
    </row>
    <row r="164" spans="2:9" hidden="1" outlineLevel="1">
      <c r="B164" s="1693">
        <f t="shared" si="11"/>
        <v>51501</v>
      </c>
      <c r="C164" s="1695">
        <f>$C$105+23</f>
        <v>130074789</v>
      </c>
      <c r="D164" s="1694">
        <f t="shared" si="12"/>
        <v>7804485983</v>
      </c>
      <c r="E164" s="1694">
        <f t="shared" si="14"/>
        <v>0</v>
      </c>
      <c r="F164" s="1694">
        <f t="shared" si="10"/>
        <v>28616454</v>
      </c>
      <c r="G164" s="1694">
        <f t="shared" si="13"/>
        <v>0</v>
      </c>
      <c r="H164" s="1694">
        <f t="shared" si="6"/>
        <v>101458335</v>
      </c>
      <c r="I164" s="1694">
        <f t="shared" si="8"/>
        <v>0</v>
      </c>
    </row>
    <row r="165" spans="2:9" collapsed="1"/>
    <row r="168" spans="2:9">
      <c r="B168" s="199" t="s">
        <v>3454</v>
      </c>
    </row>
    <row r="169" spans="2:9">
      <c r="B169" s="1656" t="s">
        <v>3455</v>
      </c>
      <c r="C169" s="1684">
        <f>C44+C45</f>
        <v>24999999500</v>
      </c>
      <c r="D169" s="1656" t="s">
        <v>3828</v>
      </c>
    </row>
    <row r="170" spans="2:9">
      <c r="B170" s="1656" t="s">
        <v>137</v>
      </c>
      <c r="C170" s="1683">
        <f>L8+L9</f>
        <v>-1865029143</v>
      </c>
      <c r="D170" s="1656" t="s">
        <v>3829</v>
      </c>
    </row>
    <row r="171" spans="2:9">
      <c r="B171" s="1656" t="s">
        <v>3456</v>
      </c>
      <c r="C171" s="1683">
        <f>-P8</f>
        <v>-202916634</v>
      </c>
    </row>
    <row r="172" spans="2:9">
      <c r="B172" s="1656" t="s">
        <v>3457</v>
      </c>
      <c r="C172" s="1683">
        <v>0</v>
      </c>
    </row>
    <row r="173" spans="2:9">
      <c r="B173" s="1656" t="s">
        <v>160</v>
      </c>
      <c r="C173" s="1683">
        <v>0</v>
      </c>
    </row>
    <row r="174" spans="2:9">
      <c r="B174" s="1701">
        <v>45747</v>
      </c>
      <c r="C174" s="1702">
        <f>SUM(C169:C173)</f>
        <v>22932053723</v>
      </c>
      <c r="D174" s="1656" t="b">
        <f>C174=SUM(N7:N11)</f>
        <v>1</v>
      </c>
    </row>
    <row r="179" spans="2:6">
      <c r="B179" s="199" t="s">
        <v>3467</v>
      </c>
    </row>
    <row r="180" spans="2:6" ht="17.25" thickBot="1"/>
    <row r="181" spans="2:6" ht="17.25" thickBot="1">
      <c r="B181" s="1696">
        <v>45838</v>
      </c>
      <c r="C181" s="1697" t="s">
        <v>3452</v>
      </c>
      <c r="D181" s="1698">
        <f>-C170-C171</f>
        <v>2067945777</v>
      </c>
      <c r="E181" s="1699" t="s">
        <v>3453</v>
      </c>
      <c r="F181" s="1700">
        <f>D181</f>
        <v>2067945777</v>
      </c>
    </row>
  </sheetData>
  <mergeCells count="6">
    <mergeCell ref="N4:P4"/>
    <mergeCell ref="B4:B5"/>
    <mergeCell ref="C4:C5"/>
    <mergeCell ref="D4:E4"/>
    <mergeCell ref="F4:K4"/>
    <mergeCell ref="L4:M4"/>
  </mergeCells>
  <phoneticPr fontId="3" type="noConversion"/>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0">
    <tabColor theme="9" tint="0.79998168889431442"/>
  </sheetPr>
  <dimension ref="A2:N68"/>
  <sheetViews>
    <sheetView topLeftCell="A37" workbookViewId="0">
      <selection activeCell="A50" sqref="A50"/>
    </sheetView>
  </sheetViews>
  <sheetFormatPr defaultColWidth="9" defaultRowHeight="16.5"/>
  <cols>
    <col min="1" max="1" width="9" style="555"/>
    <col min="2" max="3" width="26.125" style="555" bestFit="1" customWidth="1"/>
    <col min="4" max="5" width="14.125" style="555" customWidth="1"/>
    <col min="6" max="6" width="17.625" style="555" customWidth="1"/>
    <col min="7" max="7" width="4.125" style="555" customWidth="1"/>
    <col min="8" max="8" width="3.875" style="555" customWidth="1"/>
    <col min="9" max="9" width="14.125" style="555" bestFit="1" customWidth="1"/>
    <col min="10" max="10" width="16.125" style="555" bestFit="1" customWidth="1"/>
    <col min="11" max="11" width="14.125" style="555" bestFit="1" customWidth="1"/>
    <col min="12" max="12" width="20.625" style="555" customWidth="1"/>
    <col min="13" max="13" width="21.125" style="555" bestFit="1" customWidth="1"/>
    <col min="14" max="14" width="12.625" style="555" bestFit="1" customWidth="1"/>
    <col min="15" max="16384" width="9" style="555"/>
  </cols>
  <sheetData>
    <row r="2" spans="1:14">
      <c r="B2" s="555" t="s">
        <v>1558</v>
      </c>
      <c r="C2" s="1099">
        <v>199998000</v>
      </c>
      <c r="E2" s="757"/>
    </row>
    <row r="3" spans="1:14">
      <c r="B3" s="555" t="s">
        <v>1559</v>
      </c>
      <c r="C3" s="758">
        <v>44721</v>
      </c>
      <c r="I3" s="555" t="s">
        <v>1560</v>
      </c>
      <c r="J3" s="555">
        <f>33333/0.15</f>
        <v>222220</v>
      </c>
    </row>
    <row r="4" spans="1:14">
      <c r="B4" s="555" t="s">
        <v>1561</v>
      </c>
      <c r="C4" s="758">
        <v>44562</v>
      </c>
    </row>
    <row r="5" spans="1:14">
      <c r="B5" s="555" t="s">
        <v>1365</v>
      </c>
      <c r="C5" s="555">
        <v>0.15</v>
      </c>
      <c r="J5" s="555" t="s">
        <v>1562</v>
      </c>
      <c r="K5" s="555" t="s">
        <v>1563</v>
      </c>
      <c r="L5" s="555" t="s">
        <v>1564</v>
      </c>
    </row>
    <row r="6" spans="1:14">
      <c r="A6" s="555" t="s">
        <v>1565</v>
      </c>
      <c r="B6" s="555" t="s">
        <v>1566</v>
      </c>
      <c r="C6" s="1100">
        <v>1865943062</v>
      </c>
      <c r="D6" s="555" t="s">
        <v>1567</v>
      </c>
      <c r="I6" s="555" t="s">
        <v>887</v>
      </c>
      <c r="J6" s="757">
        <v>1116665000</v>
      </c>
      <c r="K6" s="757">
        <v>950000000</v>
      </c>
      <c r="L6" s="757">
        <f>J6-K6</f>
        <v>166665000</v>
      </c>
      <c r="M6" s="757" t="b">
        <f>L6=J12</f>
        <v>1</v>
      </c>
      <c r="N6" s="759"/>
    </row>
    <row r="7" spans="1:14">
      <c r="B7" s="555" t="s">
        <v>140</v>
      </c>
      <c r="C7" s="1100">
        <v>94494346</v>
      </c>
      <c r="D7" s="555" t="s">
        <v>1567</v>
      </c>
      <c r="I7" s="555" t="s">
        <v>1568</v>
      </c>
      <c r="J7" s="757">
        <v>31815500</v>
      </c>
      <c r="K7" s="757">
        <v>0</v>
      </c>
      <c r="L7" s="757">
        <f>J7-K7</f>
        <v>31815500</v>
      </c>
      <c r="M7" s="757"/>
      <c r="N7" s="759"/>
    </row>
    <row r="8" spans="1:14">
      <c r="B8" s="555" t="s">
        <v>1569</v>
      </c>
      <c r="C8" s="1100">
        <f>ROUND(C6*C5,0)</f>
        <v>279891459</v>
      </c>
      <c r="J8" s="555">
        <f>SUM(J6:J7)</f>
        <v>1148480500</v>
      </c>
      <c r="K8" s="555">
        <f>SUM(K6:K7)</f>
        <v>950000000</v>
      </c>
      <c r="L8" s="555">
        <f>SUM(L6:L7)</f>
        <v>198480500</v>
      </c>
      <c r="M8" s="757"/>
      <c r="N8" s="759"/>
    </row>
    <row r="9" spans="1:14">
      <c r="C9" s="1100"/>
      <c r="M9" s="757"/>
      <c r="N9" s="759"/>
    </row>
    <row r="10" spans="1:14">
      <c r="B10" s="555" t="s">
        <v>1570</v>
      </c>
      <c r="C10" s="1100">
        <f>1572968216</f>
        <v>1572968216</v>
      </c>
      <c r="D10" s="555" t="s">
        <v>1571</v>
      </c>
      <c r="G10" s="759"/>
      <c r="H10" s="759"/>
      <c r="I10" s="1101" t="s">
        <v>1572</v>
      </c>
      <c r="J10" s="1102">
        <v>5000</v>
      </c>
    </row>
    <row r="11" spans="1:14">
      <c r="B11" s="555" t="s">
        <v>1573</v>
      </c>
      <c r="C11" s="1100">
        <f>L8</f>
        <v>198480500</v>
      </c>
      <c r="I11" s="1103" t="s">
        <v>1574</v>
      </c>
      <c r="J11" s="760">
        <v>33333</v>
      </c>
    </row>
    <row r="12" spans="1:14">
      <c r="B12" s="555" t="s">
        <v>1575</v>
      </c>
      <c r="C12" s="1100">
        <f>ROUND((C10+C11)*C5,0)</f>
        <v>265717307</v>
      </c>
      <c r="I12" s="1104" t="s">
        <v>1576</v>
      </c>
      <c r="J12" s="1105">
        <f>J10*J11</f>
        <v>166665000</v>
      </c>
    </row>
    <row r="13" spans="1:14">
      <c r="B13" s="555" t="s">
        <v>1577</v>
      </c>
      <c r="C13" s="1100">
        <f>C12-C2</f>
        <v>65719307</v>
      </c>
    </row>
    <row r="14" spans="1:14">
      <c r="C14" s="1100"/>
    </row>
    <row r="15" spans="1:14">
      <c r="B15" s="555" t="s">
        <v>1578</v>
      </c>
      <c r="C15" s="1100"/>
    </row>
    <row r="16" spans="1:14">
      <c r="B16" s="555" t="s">
        <v>1579</v>
      </c>
      <c r="C16" s="1106">
        <f>E16</f>
        <v>65719307</v>
      </c>
      <c r="D16" s="555" t="s">
        <v>1580</v>
      </c>
      <c r="E16" s="555">
        <f>C13</f>
        <v>65719307</v>
      </c>
      <c r="F16" s="555" t="s">
        <v>1581</v>
      </c>
    </row>
    <row r="17" spans="1:14">
      <c r="B17" s="555" t="s">
        <v>1582</v>
      </c>
      <c r="C17" s="1106">
        <f>E17</f>
        <v>14174152</v>
      </c>
      <c r="D17" s="555" t="s">
        <v>1580</v>
      </c>
      <c r="E17" s="555">
        <f>ROUND(C5*C7,0)</f>
        <v>14174152</v>
      </c>
      <c r="F17" s="555" t="s">
        <v>1583</v>
      </c>
    </row>
    <row r="18" spans="1:14">
      <c r="C18" s="1100"/>
    </row>
    <row r="19" spans="1:14">
      <c r="B19" s="555" t="s">
        <v>1584</v>
      </c>
      <c r="C19" s="1100">
        <f>SUM(E16:E17)+C2</f>
        <v>279891459</v>
      </c>
      <c r="D19" s="555" t="b">
        <f>C19=C8</f>
        <v>1</v>
      </c>
    </row>
    <row r="20" spans="1:14">
      <c r="C20" s="1100"/>
    </row>
    <row r="21" spans="1:14">
      <c r="A21" s="555" t="s">
        <v>1585</v>
      </c>
      <c r="B21" s="555" t="s">
        <v>1566</v>
      </c>
      <c r="C21" s="1100">
        <v>1903897639</v>
      </c>
      <c r="D21" s="555" t="s">
        <v>1586</v>
      </c>
    </row>
    <row r="22" spans="1:14">
      <c r="B22" s="555" t="s">
        <v>140</v>
      </c>
      <c r="C22" s="1100">
        <v>30625174</v>
      </c>
      <c r="D22" s="555" t="s">
        <v>1586</v>
      </c>
      <c r="G22" s="759"/>
    </row>
    <row r="23" spans="1:14">
      <c r="B23" s="555" t="s">
        <v>1569</v>
      </c>
      <c r="C23" s="1100">
        <f>ROUND(C21*C5,0)</f>
        <v>285584646</v>
      </c>
    </row>
    <row r="24" spans="1:14">
      <c r="B24" s="555" t="s">
        <v>1587</v>
      </c>
      <c r="C24" s="1100">
        <v>1873272465</v>
      </c>
    </row>
    <row r="25" spans="1:14">
      <c r="B25" s="555" t="s">
        <v>1588</v>
      </c>
      <c r="C25" s="1100">
        <f>C24-C6</f>
        <v>7329403</v>
      </c>
    </row>
    <row r="26" spans="1:14">
      <c r="C26" s="1100"/>
      <c r="J26" s="757"/>
    </row>
    <row r="27" spans="1:14">
      <c r="B27" s="555" t="s">
        <v>1570</v>
      </c>
      <c r="C27" s="1100">
        <v>1873272465</v>
      </c>
      <c r="D27" s="555" t="s">
        <v>1567</v>
      </c>
      <c r="I27" s="1986" t="s">
        <v>1589</v>
      </c>
      <c r="J27" s="1986"/>
      <c r="K27" s="1986"/>
      <c r="L27" s="1986"/>
      <c r="M27" s="1986"/>
    </row>
    <row r="28" spans="1:14">
      <c r="B28" s="555" t="s">
        <v>1573</v>
      </c>
      <c r="C28" s="1100">
        <f>L8</f>
        <v>198480500</v>
      </c>
      <c r="I28" s="555" t="s">
        <v>1590</v>
      </c>
      <c r="J28" s="555" t="s">
        <v>1591</v>
      </c>
      <c r="K28" s="555" t="s">
        <v>1592</v>
      </c>
      <c r="L28" s="555" t="s">
        <v>1593</v>
      </c>
      <c r="M28" s="555" t="s">
        <v>1594</v>
      </c>
    </row>
    <row r="29" spans="1:14">
      <c r="B29" s="555" t="s">
        <v>1575</v>
      </c>
      <c r="C29" s="1100">
        <f>ROUND((C27+C28)*C5,0)</f>
        <v>310762945</v>
      </c>
      <c r="I29" s="555" t="s">
        <v>1595</v>
      </c>
      <c r="J29" s="555" t="s">
        <v>1596</v>
      </c>
      <c r="K29" s="1986" t="s">
        <v>1597</v>
      </c>
      <c r="L29" s="555">
        <v>300</v>
      </c>
      <c r="M29" s="555">
        <v>0</v>
      </c>
      <c r="N29" s="757">
        <f>L29*M29</f>
        <v>0</v>
      </c>
    </row>
    <row r="30" spans="1:14">
      <c r="B30" s="555" t="s">
        <v>1577</v>
      </c>
      <c r="C30" s="1100">
        <f>C29-C2</f>
        <v>110764945</v>
      </c>
      <c r="I30" s="555" t="s">
        <v>1598</v>
      </c>
      <c r="J30" s="555" t="s">
        <v>1599</v>
      </c>
      <c r="K30" s="1986"/>
      <c r="L30" s="555">
        <v>300</v>
      </c>
      <c r="M30" s="555">
        <v>0</v>
      </c>
      <c r="N30" s="757">
        <f>L30*M30</f>
        <v>0</v>
      </c>
    </row>
    <row r="31" spans="1:14">
      <c r="C31" s="1100"/>
      <c r="I31" s="555" t="s">
        <v>1600</v>
      </c>
      <c r="J31" s="555" t="s">
        <v>1601</v>
      </c>
      <c r="K31" s="1986"/>
      <c r="L31" s="555">
        <v>300</v>
      </c>
      <c r="M31" s="555">
        <v>1275</v>
      </c>
      <c r="N31" s="757">
        <f>L31*M31</f>
        <v>382500</v>
      </c>
    </row>
    <row r="32" spans="1:14">
      <c r="C32" s="1100"/>
      <c r="I32" s="555" t="s">
        <v>1602</v>
      </c>
      <c r="J32" s="555" t="s">
        <v>1603</v>
      </c>
      <c r="K32" s="1986"/>
      <c r="L32" s="555">
        <v>300</v>
      </c>
      <c r="M32" s="555">
        <v>0</v>
      </c>
      <c r="N32" s="757">
        <f t="shared" ref="N32:N63" si="0">L32*M32</f>
        <v>0</v>
      </c>
    </row>
    <row r="33" spans="2:14">
      <c r="B33" s="555" t="s">
        <v>1578</v>
      </c>
      <c r="C33" s="1100"/>
      <c r="I33" s="555" t="s">
        <v>1604</v>
      </c>
      <c r="J33" s="555" t="s">
        <v>1605</v>
      </c>
      <c r="K33" s="1986"/>
      <c r="L33" s="555">
        <v>300</v>
      </c>
      <c r="M33" s="555">
        <v>0</v>
      </c>
      <c r="N33" s="757">
        <f t="shared" si="0"/>
        <v>0</v>
      </c>
    </row>
    <row r="34" spans="2:14">
      <c r="B34" s="555" t="s">
        <v>1579</v>
      </c>
      <c r="C34" s="1100">
        <f>E34</f>
        <v>110764945</v>
      </c>
      <c r="D34" s="555" t="s">
        <v>1580</v>
      </c>
      <c r="E34" s="555">
        <f>C30</f>
        <v>110764945</v>
      </c>
      <c r="F34" s="555" t="s">
        <v>1581</v>
      </c>
      <c r="I34" s="555" t="s">
        <v>1606</v>
      </c>
      <c r="J34" s="555" t="s">
        <v>1607</v>
      </c>
      <c r="K34" s="1986"/>
      <c r="L34" s="555">
        <v>400</v>
      </c>
      <c r="M34" s="555">
        <v>700</v>
      </c>
      <c r="N34" s="757">
        <f t="shared" si="0"/>
        <v>280000</v>
      </c>
    </row>
    <row r="35" spans="2:14">
      <c r="B35" s="555" t="s">
        <v>1582</v>
      </c>
      <c r="C35" s="1106">
        <f>E35</f>
        <v>4593776</v>
      </c>
      <c r="D35" s="555" t="s">
        <v>1580</v>
      </c>
      <c r="E35" s="555">
        <f>ROUND(C22*C5,0)</f>
        <v>4593776</v>
      </c>
      <c r="F35" s="555" t="s">
        <v>1583</v>
      </c>
      <c r="I35" s="555" t="s">
        <v>1608</v>
      </c>
      <c r="J35" s="555" t="s">
        <v>1609</v>
      </c>
      <c r="K35" s="1986"/>
      <c r="L35" s="555">
        <v>450</v>
      </c>
      <c r="M35" s="555">
        <v>12525</v>
      </c>
      <c r="N35" s="757">
        <f t="shared" si="0"/>
        <v>5636250</v>
      </c>
    </row>
    <row r="36" spans="2:14">
      <c r="B36" s="555" t="s">
        <v>1582</v>
      </c>
      <c r="C36" s="1106">
        <f>E36</f>
        <v>1099411</v>
      </c>
      <c r="D36" s="555" t="s">
        <v>1580</v>
      </c>
      <c r="E36" s="555">
        <f>ROUND(C25*C5,0)+1</f>
        <v>1099411</v>
      </c>
      <c r="F36" s="555" t="s">
        <v>1610</v>
      </c>
      <c r="I36" s="555" t="s">
        <v>1611</v>
      </c>
      <c r="J36" s="555" t="s">
        <v>1612</v>
      </c>
      <c r="K36" s="1986"/>
      <c r="L36" s="555">
        <v>450</v>
      </c>
      <c r="M36" s="555">
        <v>5650</v>
      </c>
      <c r="N36" s="757">
        <f t="shared" si="0"/>
        <v>2542500</v>
      </c>
    </row>
    <row r="37" spans="2:14">
      <c r="C37" s="1100"/>
      <c r="E37" s="555" t="b">
        <f>E35=ROUND(C22*C5,0)</f>
        <v>1</v>
      </c>
      <c r="I37" s="555" t="s">
        <v>1613</v>
      </c>
      <c r="J37" s="555" t="s">
        <v>1614</v>
      </c>
      <c r="K37" s="1986"/>
      <c r="L37" s="555">
        <v>1550</v>
      </c>
      <c r="M37" s="555">
        <v>280</v>
      </c>
      <c r="N37" s="757">
        <f t="shared" si="0"/>
        <v>434000</v>
      </c>
    </row>
    <row r="38" spans="2:14">
      <c r="C38" s="1100"/>
      <c r="I38" s="555" t="s">
        <v>1615</v>
      </c>
      <c r="J38" s="555" t="s">
        <v>1616</v>
      </c>
      <c r="K38" s="1986"/>
      <c r="L38" s="555">
        <v>1550</v>
      </c>
      <c r="M38" s="555">
        <v>140</v>
      </c>
      <c r="N38" s="757">
        <f t="shared" si="0"/>
        <v>217000</v>
      </c>
    </row>
    <row r="39" spans="2:14">
      <c r="B39" s="555" t="s">
        <v>1584</v>
      </c>
      <c r="C39" s="1100">
        <f>SUM(C35:C36,C16:C17)+C2</f>
        <v>285584646</v>
      </c>
      <c r="D39" s="555" t="b">
        <f>C39=C23</f>
        <v>1</v>
      </c>
      <c r="I39" s="555" t="s">
        <v>1617</v>
      </c>
      <c r="J39" s="555" t="s">
        <v>1618</v>
      </c>
      <c r="K39" s="1986"/>
      <c r="L39" s="555">
        <v>1550</v>
      </c>
      <c r="M39" s="555">
        <v>280</v>
      </c>
      <c r="N39" s="757">
        <f t="shared" si="0"/>
        <v>434000</v>
      </c>
    </row>
    <row r="40" spans="2:14">
      <c r="C40" s="1100"/>
      <c r="D40" s="759"/>
      <c r="I40" s="555" t="s">
        <v>1619</v>
      </c>
      <c r="J40" s="555" t="s">
        <v>1620</v>
      </c>
      <c r="K40" s="1986"/>
      <c r="L40" s="555">
        <v>1550</v>
      </c>
      <c r="M40" s="555">
        <v>260</v>
      </c>
      <c r="N40" s="757">
        <f t="shared" si="0"/>
        <v>403000</v>
      </c>
    </row>
    <row r="41" spans="2:14">
      <c r="C41" s="1100"/>
      <c r="I41" s="555" t="s">
        <v>1621</v>
      </c>
      <c r="J41" s="555" t="s">
        <v>1622</v>
      </c>
      <c r="K41" s="1986"/>
      <c r="L41" s="555">
        <v>0</v>
      </c>
      <c r="M41" s="555">
        <v>0</v>
      </c>
      <c r="N41" s="757">
        <f t="shared" si="0"/>
        <v>0</v>
      </c>
    </row>
    <row r="42" spans="2:14">
      <c r="B42" s="555" t="s">
        <v>1623</v>
      </c>
      <c r="C42" s="1100"/>
      <c r="I42" s="555" t="s">
        <v>1624</v>
      </c>
      <c r="J42" s="555" t="s">
        <v>1625</v>
      </c>
      <c r="K42" s="1986"/>
      <c r="L42" s="555">
        <v>3200</v>
      </c>
      <c r="M42" s="555">
        <v>0</v>
      </c>
      <c r="N42" s="757">
        <f t="shared" si="0"/>
        <v>0</v>
      </c>
    </row>
    <row r="43" spans="2:14">
      <c r="B43" s="555" t="s">
        <v>1626</v>
      </c>
      <c r="C43" s="757">
        <v>154220000</v>
      </c>
      <c r="I43" s="555" t="s">
        <v>1627</v>
      </c>
      <c r="J43" s="555" t="s">
        <v>1628</v>
      </c>
      <c r="K43" s="1986"/>
      <c r="L43" s="555">
        <v>3200</v>
      </c>
      <c r="M43" s="555">
        <v>0</v>
      </c>
      <c r="N43" s="757">
        <f t="shared" si="0"/>
        <v>0</v>
      </c>
    </row>
    <row r="44" spans="2:14">
      <c r="B44" s="555" t="s">
        <v>1629</v>
      </c>
      <c r="C44" s="1100">
        <f>N64</f>
        <v>30851750</v>
      </c>
      <c r="I44" s="555" t="s">
        <v>1630</v>
      </c>
      <c r="J44" s="555" t="s">
        <v>1631</v>
      </c>
      <c r="K44" s="1986"/>
      <c r="L44" s="555">
        <v>3200</v>
      </c>
      <c r="M44" s="555">
        <v>1040</v>
      </c>
      <c r="N44" s="757">
        <f t="shared" si="0"/>
        <v>3328000</v>
      </c>
    </row>
    <row r="45" spans="2:14">
      <c r="B45" s="555" t="s">
        <v>1632</v>
      </c>
      <c r="C45" s="1100">
        <f>C44/C43</f>
        <v>0.20005025288548825</v>
      </c>
      <c r="I45" s="555" t="s">
        <v>1633</v>
      </c>
      <c r="J45" s="555" t="s">
        <v>1634</v>
      </c>
      <c r="K45" s="1986"/>
      <c r="L45" s="555">
        <v>3200</v>
      </c>
      <c r="M45" s="555">
        <v>810</v>
      </c>
      <c r="N45" s="757">
        <f t="shared" si="0"/>
        <v>2592000</v>
      </c>
    </row>
    <row r="46" spans="2:14">
      <c r="B46" s="555" t="s">
        <v>1635</v>
      </c>
      <c r="C46" s="1100">
        <f>372676155/1353573226</f>
        <v>0.27532766446726392</v>
      </c>
      <c r="I46" s="555" t="s">
        <v>1636</v>
      </c>
      <c r="J46" s="555" t="s">
        <v>1637</v>
      </c>
      <c r="K46" s="1986"/>
      <c r="L46" s="555">
        <v>3000</v>
      </c>
      <c r="M46" s="555">
        <v>420</v>
      </c>
      <c r="N46" s="757">
        <f t="shared" si="0"/>
        <v>1260000</v>
      </c>
    </row>
    <row r="47" spans="2:14">
      <c r="C47" s="1100"/>
      <c r="I47" s="555" t="s">
        <v>1638</v>
      </c>
      <c r="J47" s="555" t="s">
        <v>1639</v>
      </c>
      <c r="K47" s="1986"/>
      <c r="L47" s="555">
        <v>8500</v>
      </c>
      <c r="M47" s="555">
        <v>0</v>
      </c>
      <c r="N47" s="757">
        <f t="shared" si="0"/>
        <v>0</v>
      </c>
    </row>
    <row r="48" spans="2:14">
      <c r="B48" s="555" t="s">
        <v>1640</v>
      </c>
      <c r="C48" s="757">
        <f>ROUND(C43*C46*C45,0)</f>
        <v>8494340</v>
      </c>
      <c r="D48" s="555" t="s">
        <v>1641</v>
      </c>
      <c r="I48" s="555" t="s">
        <v>1642</v>
      </c>
      <c r="J48" s="555" t="s">
        <v>1643</v>
      </c>
      <c r="K48" s="1986"/>
      <c r="L48" s="555">
        <v>6000</v>
      </c>
      <c r="M48" s="555">
        <v>1040</v>
      </c>
      <c r="N48" s="757">
        <f t="shared" si="0"/>
        <v>6240000</v>
      </c>
    </row>
    <row r="49" spans="1:14">
      <c r="C49" s="1100"/>
      <c r="I49" s="555" t="s">
        <v>1600</v>
      </c>
      <c r="J49" s="555" t="s">
        <v>1601</v>
      </c>
      <c r="K49" s="1986" t="s">
        <v>1644</v>
      </c>
      <c r="L49" s="555">
        <v>300</v>
      </c>
      <c r="M49" s="555">
        <v>0</v>
      </c>
      <c r="N49" s="757">
        <f t="shared" si="0"/>
        <v>0</v>
      </c>
    </row>
    <row r="50" spans="1:14">
      <c r="A50" s="555" t="s">
        <v>2562</v>
      </c>
      <c r="B50" s="555" t="s">
        <v>1566</v>
      </c>
      <c r="C50" s="1100">
        <v>1855245628</v>
      </c>
      <c r="D50" s="555" t="s">
        <v>2677</v>
      </c>
      <c r="I50" s="555" t="s">
        <v>1606</v>
      </c>
      <c r="J50" s="555" t="s">
        <v>1607</v>
      </c>
      <c r="K50" s="1986"/>
      <c r="L50" s="555">
        <v>400</v>
      </c>
      <c r="M50" s="555">
        <v>0</v>
      </c>
      <c r="N50" s="757">
        <f t="shared" si="0"/>
        <v>0</v>
      </c>
    </row>
    <row r="51" spans="1:14">
      <c r="B51" s="555" t="s">
        <v>140</v>
      </c>
      <c r="C51" s="1100">
        <v>-48652011</v>
      </c>
      <c r="D51" s="555" t="s">
        <v>2677</v>
      </c>
      <c r="I51" s="555" t="s">
        <v>1608</v>
      </c>
      <c r="J51" s="555" t="s">
        <v>1609</v>
      </c>
      <c r="K51" s="1986"/>
      <c r="L51" s="555">
        <v>450</v>
      </c>
      <c r="M51" s="555">
        <v>200</v>
      </c>
      <c r="N51" s="757">
        <f t="shared" si="0"/>
        <v>90000</v>
      </c>
    </row>
    <row r="52" spans="1:14">
      <c r="B52" s="555" t="s">
        <v>1569</v>
      </c>
      <c r="C52" s="1100">
        <f>ROUND(C50*C5,0)</f>
        <v>278286844</v>
      </c>
      <c r="I52" s="555" t="s">
        <v>1611</v>
      </c>
      <c r="J52" s="555" t="s">
        <v>1612</v>
      </c>
      <c r="K52" s="1986"/>
      <c r="L52" s="555">
        <v>450</v>
      </c>
      <c r="M52" s="555">
        <v>1050</v>
      </c>
      <c r="N52" s="757">
        <f t="shared" si="0"/>
        <v>472500</v>
      </c>
    </row>
    <row r="53" spans="1:14">
      <c r="B53" s="555" t="s">
        <v>1587</v>
      </c>
      <c r="C53" s="1100">
        <v>1903897639</v>
      </c>
      <c r="D53" s="555" t="s">
        <v>2563</v>
      </c>
      <c r="I53" s="555" t="s">
        <v>1617</v>
      </c>
      <c r="J53" s="555" t="s">
        <v>1618</v>
      </c>
      <c r="K53" s="1986"/>
      <c r="L53" s="555">
        <v>1550</v>
      </c>
      <c r="M53" s="555">
        <v>0</v>
      </c>
      <c r="N53" s="757">
        <f t="shared" si="0"/>
        <v>0</v>
      </c>
    </row>
    <row r="54" spans="1:14">
      <c r="B54" s="555" t="s">
        <v>1588</v>
      </c>
      <c r="C54" s="1100">
        <f>C53-C21</f>
        <v>0</v>
      </c>
      <c r="I54" s="555" t="s">
        <v>1630</v>
      </c>
      <c r="J54" s="555" t="s">
        <v>1631</v>
      </c>
      <c r="K54" s="1986"/>
      <c r="L54" s="555">
        <v>3200</v>
      </c>
      <c r="M54" s="555">
        <v>700</v>
      </c>
      <c r="N54" s="757">
        <f t="shared" si="0"/>
        <v>2240000</v>
      </c>
    </row>
    <row r="55" spans="1:14">
      <c r="C55" s="1100"/>
      <c r="I55" s="555" t="s">
        <v>1633</v>
      </c>
      <c r="J55" s="555" t="s">
        <v>1634</v>
      </c>
      <c r="K55" s="1986"/>
      <c r="L55" s="555">
        <v>3200</v>
      </c>
      <c r="M55" s="555">
        <v>500</v>
      </c>
      <c r="N55" s="757">
        <f t="shared" si="0"/>
        <v>1600000</v>
      </c>
    </row>
    <row r="56" spans="1:14">
      <c r="B56" s="555" t="s">
        <v>1570</v>
      </c>
      <c r="C56" s="1100">
        <f>C53</f>
        <v>1903897639</v>
      </c>
      <c r="I56" s="555" t="s">
        <v>1636</v>
      </c>
      <c r="J56" s="555" t="s">
        <v>1637</v>
      </c>
      <c r="K56" s="1986"/>
      <c r="L56" s="555">
        <v>3000</v>
      </c>
      <c r="M56" s="555">
        <v>300</v>
      </c>
      <c r="N56" s="757">
        <f t="shared" si="0"/>
        <v>900000</v>
      </c>
    </row>
    <row r="57" spans="1:14">
      <c r="B57" s="555" t="s">
        <v>1573</v>
      </c>
      <c r="C57" s="1100">
        <f>L8</f>
        <v>198480500</v>
      </c>
      <c r="I57" s="555" t="s">
        <v>1642</v>
      </c>
      <c r="J57" s="555" t="s">
        <v>1643</v>
      </c>
      <c r="K57" s="1986"/>
      <c r="L57" s="555">
        <v>6000</v>
      </c>
      <c r="M57" s="555">
        <v>300</v>
      </c>
      <c r="N57" s="757">
        <f t="shared" si="0"/>
        <v>1800000</v>
      </c>
    </row>
    <row r="58" spans="1:14">
      <c r="B58" s="555" t="s">
        <v>1575</v>
      </c>
      <c r="C58" s="1100">
        <f>ROUND((C56+C57)*C5,0)</f>
        <v>315356721</v>
      </c>
      <c r="I58" s="555" t="s">
        <v>1608</v>
      </c>
      <c r="J58" s="555" t="s">
        <v>1609</v>
      </c>
      <c r="K58" s="1986" t="s">
        <v>1645</v>
      </c>
      <c r="L58" s="555">
        <v>450</v>
      </c>
      <c r="M58" s="555">
        <v>0</v>
      </c>
      <c r="N58" s="757">
        <f t="shared" si="0"/>
        <v>0</v>
      </c>
    </row>
    <row r="59" spans="1:14">
      <c r="B59" s="555" t="s">
        <v>1577</v>
      </c>
      <c r="C59" s="1100">
        <f>C58-C2</f>
        <v>115358721</v>
      </c>
      <c r="I59" s="555" t="s">
        <v>1611</v>
      </c>
      <c r="J59" s="555" t="s">
        <v>1612</v>
      </c>
      <c r="K59" s="1986"/>
      <c r="L59" s="555">
        <v>450</v>
      </c>
      <c r="M59" s="555">
        <v>0</v>
      </c>
      <c r="N59" s="757">
        <f t="shared" si="0"/>
        <v>0</v>
      </c>
    </row>
    <row r="60" spans="1:14">
      <c r="C60" s="1100"/>
      <c r="I60" s="555" t="s">
        <v>1630</v>
      </c>
      <c r="J60" s="555" t="s">
        <v>1631</v>
      </c>
      <c r="K60" s="1986"/>
      <c r="L60" s="555">
        <v>3200</v>
      </c>
      <c r="M60" s="555">
        <v>0</v>
      </c>
      <c r="N60" s="757">
        <f t="shared" si="0"/>
        <v>0</v>
      </c>
    </row>
    <row r="61" spans="1:14">
      <c r="C61" s="1100"/>
      <c r="I61" s="555" t="s">
        <v>1633</v>
      </c>
      <c r="J61" s="555" t="s">
        <v>1634</v>
      </c>
      <c r="K61" s="1986"/>
      <c r="L61" s="555">
        <v>3200</v>
      </c>
      <c r="M61" s="555">
        <v>0</v>
      </c>
      <c r="N61" s="757">
        <f t="shared" si="0"/>
        <v>0</v>
      </c>
    </row>
    <row r="62" spans="1:14">
      <c r="B62" s="555" t="s">
        <v>1578</v>
      </c>
      <c r="C62" s="1100"/>
      <c r="I62" s="555" t="s">
        <v>1636</v>
      </c>
      <c r="J62" s="555" t="s">
        <v>1637</v>
      </c>
      <c r="K62" s="1986"/>
      <c r="L62" s="555">
        <v>3000</v>
      </c>
      <c r="M62" s="555">
        <v>0</v>
      </c>
      <c r="N62" s="757">
        <f t="shared" si="0"/>
        <v>0</v>
      </c>
    </row>
    <row r="63" spans="1:14">
      <c r="B63" s="555" t="s">
        <v>1579</v>
      </c>
      <c r="C63" s="1100">
        <f>E63</f>
        <v>115358721</v>
      </c>
      <c r="D63" s="555" t="s">
        <v>1580</v>
      </c>
      <c r="E63" s="759">
        <f>C59</f>
        <v>115358721</v>
      </c>
      <c r="F63" s="555" t="s">
        <v>1581</v>
      </c>
      <c r="I63" s="555" t="s">
        <v>1642</v>
      </c>
      <c r="J63" s="555" t="s">
        <v>1643</v>
      </c>
      <c r="K63" s="1986"/>
      <c r="L63" s="555">
        <v>6000</v>
      </c>
      <c r="M63" s="555">
        <v>0</v>
      </c>
      <c r="N63" s="757">
        <f t="shared" si="0"/>
        <v>0</v>
      </c>
    </row>
    <row r="64" spans="1:14">
      <c r="B64" s="555" t="s">
        <v>1582</v>
      </c>
      <c r="C64" s="1106">
        <f t="shared" ref="C64:C65" si="1">E64</f>
        <v>-7297802</v>
      </c>
      <c r="D64" s="555" t="s">
        <v>1580</v>
      </c>
      <c r="E64" s="1100">
        <f>ROUND(C51*C5,0)</f>
        <v>-7297802</v>
      </c>
      <c r="F64" s="555" t="s">
        <v>1583</v>
      </c>
      <c r="K64" s="555" t="s">
        <v>1646</v>
      </c>
      <c r="M64" s="555">
        <f>SUM(M29:M63)</f>
        <v>27470</v>
      </c>
      <c r="N64" s="759">
        <f>SUM(N29:N63)</f>
        <v>30851750</v>
      </c>
    </row>
    <row r="65" spans="2:6">
      <c r="B65" s="555" t="s">
        <v>1582</v>
      </c>
      <c r="C65" s="1106">
        <f t="shared" si="1"/>
        <v>1</v>
      </c>
      <c r="D65" s="555" t="s">
        <v>1580</v>
      </c>
      <c r="E65" s="759">
        <f>ROUND(C54*C5,0)+1</f>
        <v>1</v>
      </c>
      <c r="F65" s="555" t="s">
        <v>1610</v>
      </c>
    </row>
    <row r="68" spans="2:6">
      <c r="B68" s="555" t="s">
        <v>1584</v>
      </c>
    </row>
  </sheetData>
  <mergeCells count="4">
    <mergeCell ref="I27:M27"/>
    <mergeCell ref="K29:K48"/>
    <mergeCell ref="K49:K57"/>
    <mergeCell ref="K58:K63"/>
  </mergeCells>
  <phoneticPr fontId="3" type="noConversion"/>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38">
    <tabColor theme="0" tint="-0.34998626667073579"/>
  </sheetPr>
  <dimension ref="B1:E25"/>
  <sheetViews>
    <sheetView zoomScaleNormal="100" workbookViewId="0">
      <selection activeCell="N32" sqref="N32"/>
    </sheetView>
  </sheetViews>
  <sheetFormatPr defaultRowHeight="17.100000000000001" customHeight="1"/>
  <cols>
    <col min="1" max="1" width="2.125" style="589" customWidth="1"/>
    <col min="2" max="2" width="32.625" style="589" customWidth="1"/>
    <col min="3" max="3" width="15.375" style="589" customWidth="1"/>
    <col min="4" max="4" width="16" style="589" customWidth="1"/>
    <col min="5" max="5" width="15.375" style="589" customWidth="1"/>
    <col min="6" max="6" width="15.125" style="589" customWidth="1"/>
    <col min="7" max="7" width="12.125" style="589" customWidth="1"/>
    <col min="8" max="256" width="9" style="589"/>
    <col min="257" max="257" width="2.125" style="589" customWidth="1"/>
    <col min="258" max="258" width="32.625" style="589" customWidth="1"/>
    <col min="259" max="259" width="15.375" style="589" customWidth="1"/>
    <col min="260" max="260" width="16" style="589" customWidth="1"/>
    <col min="261" max="261" width="15.375" style="589" customWidth="1"/>
    <col min="262" max="262" width="15.125" style="589" customWidth="1"/>
    <col min="263" max="263" width="12.125" style="589" customWidth="1"/>
    <col min="264" max="512" width="9" style="589"/>
    <col min="513" max="513" width="2.125" style="589" customWidth="1"/>
    <col min="514" max="514" width="32.625" style="589" customWidth="1"/>
    <col min="515" max="515" width="15.375" style="589" customWidth="1"/>
    <col min="516" max="516" width="16" style="589" customWidth="1"/>
    <col min="517" max="517" width="15.375" style="589" customWidth="1"/>
    <col min="518" max="518" width="15.125" style="589" customWidth="1"/>
    <col min="519" max="519" width="12.125" style="589" customWidth="1"/>
    <col min="520" max="768" width="9" style="589"/>
    <col min="769" max="769" width="2.125" style="589" customWidth="1"/>
    <col min="770" max="770" width="32.625" style="589" customWidth="1"/>
    <col min="771" max="771" width="15.375" style="589" customWidth="1"/>
    <col min="772" max="772" width="16" style="589" customWidth="1"/>
    <col min="773" max="773" width="15.375" style="589" customWidth="1"/>
    <col min="774" max="774" width="15.125" style="589" customWidth="1"/>
    <col min="775" max="775" width="12.125" style="589" customWidth="1"/>
    <col min="776" max="1024" width="9" style="589"/>
    <col min="1025" max="1025" width="2.125" style="589" customWidth="1"/>
    <col min="1026" max="1026" width="32.625" style="589" customWidth="1"/>
    <col min="1027" max="1027" width="15.375" style="589" customWidth="1"/>
    <col min="1028" max="1028" width="16" style="589" customWidth="1"/>
    <col min="1029" max="1029" width="15.375" style="589" customWidth="1"/>
    <col min="1030" max="1030" width="15.125" style="589" customWidth="1"/>
    <col min="1031" max="1031" width="12.125" style="589" customWidth="1"/>
    <col min="1032" max="1280" width="9" style="589"/>
    <col min="1281" max="1281" width="2.125" style="589" customWidth="1"/>
    <col min="1282" max="1282" width="32.625" style="589" customWidth="1"/>
    <col min="1283" max="1283" width="15.375" style="589" customWidth="1"/>
    <col min="1284" max="1284" width="16" style="589" customWidth="1"/>
    <col min="1285" max="1285" width="15.375" style="589" customWidth="1"/>
    <col min="1286" max="1286" width="15.125" style="589" customWidth="1"/>
    <col min="1287" max="1287" width="12.125" style="589" customWidth="1"/>
    <col min="1288" max="1536" width="9" style="589"/>
    <col min="1537" max="1537" width="2.125" style="589" customWidth="1"/>
    <col min="1538" max="1538" width="32.625" style="589" customWidth="1"/>
    <col min="1539" max="1539" width="15.375" style="589" customWidth="1"/>
    <col min="1540" max="1540" width="16" style="589" customWidth="1"/>
    <col min="1541" max="1541" width="15.375" style="589" customWidth="1"/>
    <col min="1542" max="1542" width="15.125" style="589" customWidth="1"/>
    <col min="1543" max="1543" width="12.125" style="589" customWidth="1"/>
    <col min="1544" max="1792" width="9" style="589"/>
    <col min="1793" max="1793" width="2.125" style="589" customWidth="1"/>
    <col min="1794" max="1794" width="32.625" style="589" customWidth="1"/>
    <col min="1795" max="1795" width="15.375" style="589" customWidth="1"/>
    <col min="1796" max="1796" width="16" style="589" customWidth="1"/>
    <col min="1797" max="1797" width="15.375" style="589" customWidth="1"/>
    <col min="1798" max="1798" width="15.125" style="589" customWidth="1"/>
    <col min="1799" max="1799" width="12.125" style="589" customWidth="1"/>
    <col min="1800" max="2048" width="9" style="589"/>
    <col min="2049" max="2049" width="2.125" style="589" customWidth="1"/>
    <col min="2050" max="2050" width="32.625" style="589" customWidth="1"/>
    <col min="2051" max="2051" width="15.375" style="589" customWidth="1"/>
    <col min="2052" max="2052" width="16" style="589" customWidth="1"/>
    <col min="2053" max="2053" width="15.375" style="589" customWidth="1"/>
    <col min="2054" max="2054" width="15.125" style="589" customWidth="1"/>
    <col min="2055" max="2055" width="12.125" style="589" customWidth="1"/>
    <col min="2056" max="2304" width="9" style="589"/>
    <col min="2305" max="2305" width="2.125" style="589" customWidth="1"/>
    <col min="2306" max="2306" width="32.625" style="589" customWidth="1"/>
    <col min="2307" max="2307" width="15.375" style="589" customWidth="1"/>
    <col min="2308" max="2308" width="16" style="589" customWidth="1"/>
    <col min="2309" max="2309" width="15.375" style="589" customWidth="1"/>
    <col min="2310" max="2310" width="15.125" style="589" customWidth="1"/>
    <col min="2311" max="2311" width="12.125" style="589" customWidth="1"/>
    <col min="2312" max="2560" width="9" style="589"/>
    <col min="2561" max="2561" width="2.125" style="589" customWidth="1"/>
    <col min="2562" max="2562" width="32.625" style="589" customWidth="1"/>
    <col min="2563" max="2563" width="15.375" style="589" customWidth="1"/>
    <col min="2564" max="2564" width="16" style="589" customWidth="1"/>
    <col min="2565" max="2565" width="15.375" style="589" customWidth="1"/>
    <col min="2566" max="2566" width="15.125" style="589" customWidth="1"/>
    <col min="2567" max="2567" width="12.125" style="589" customWidth="1"/>
    <col min="2568" max="2816" width="9" style="589"/>
    <col min="2817" max="2817" width="2.125" style="589" customWidth="1"/>
    <col min="2818" max="2818" width="32.625" style="589" customWidth="1"/>
    <col min="2819" max="2819" width="15.375" style="589" customWidth="1"/>
    <col min="2820" max="2820" width="16" style="589" customWidth="1"/>
    <col min="2821" max="2821" width="15.375" style="589" customWidth="1"/>
    <col min="2822" max="2822" width="15.125" style="589" customWidth="1"/>
    <col min="2823" max="2823" width="12.125" style="589" customWidth="1"/>
    <col min="2824" max="3072" width="9" style="589"/>
    <col min="3073" max="3073" width="2.125" style="589" customWidth="1"/>
    <col min="3074" max="3074" width="32.625" style="589" customWidth="1"/>
    <col min="3075" max="3075" width="15.375" style="589" customWidth="1"/>
    <col min="3076" max="3076" width="16" style="589" customWidth="1"/>
    <col min="3077" max="3077" width="15.375" style="589" customWidth="1"/>
    <col min="3078" max="3078" width="15.125" style="589" customWidth="1"/>
    <col min="3079" max="3079" width="12.125" style="589" customWidth="1"/>
    <col min="3080" max="3328" width="9" style="589"/>
    <col min="3329" max="3329" width="2.125" style="589" customWidth="1"/>
    <col min="3330" max="3330" width="32.625" style="589" customWidth="1"/>
    <col min="3331" max="3331" width="15.375" style="589" customWidth="1"/>
    <col min="3332" max="3332" width="16" style="589" customWidth="1"/>
    <col min="3333" max="3333" width="15.375" style="589" customWidth="1"/>
    <col min="3334" max="3334" width="15.125" style="589" customWidth="1"/>
    <col min="3335" max="3335" width="12.125" style="589" customWidth="1"/>
    <col min="3336" max="3584" width="9" style="589"/>
    <col min="3585" max="3585" width="2.125" style="589" customWidth="1"/>
    <col min="3586" max="3586" width="32.625" style="589" customWidth="1"/>
    <col min="3587" max="3587" width="15.375" style="589" customWidth="1"/>
    <col min="3588" max="3588" width="16" style="589" customWidth="1"/>
    <col min="3589" max="3589" width="15.375" style="589" customWidth="1"/>
    <col min="3590" max="3590" width="15.125" style="589" customWidth="1"/>
    <col min="3591" max="3591" width="12.125" style="589" customWidth="1"/>
    <col min="3592" max="3840" width="9" style="589"/>
    <col min="3841" max="3841" width="2.125" style="589" customWidth="1"/>
    <col min="3842" max="3842" width="32.625" style="589" customWidth="1"/>
    <col min="3843" max="3843" width="15.375" style="589" customWidth="1"/>
    <col min="3844" max="3844" width="16" style="589" customWidth="1"/>
    <col min="3845" max="3845" width="15.375" style="589" customWidth="1"/>
    <col min="3846" max="3846" width="15.125" style="589" customWidth="1"/>
    <col min="3847" max="3847" width="12.125" style="589" customWidth="1"/>
    <col min="3848" max="4096" width="9" style="589"/>
    <col min="4097" max="4097" width="2.125" style="589" customWidth="1"/>
    <col min="4098" max="4098" width="32.625" style="589" customWidth="1"/>
    <col min="4099" max="4099" width="15.375" style="589" customWidth="1"/>
    <col min="4100" max="4100" width="16" style="589" customWidth="1"/>
    <col min="4101" max="4101" width="15.375" style="589" customWidth="1"/>
    <col min="4102" max="4102" width="15.125" style="589" customWidth="1"/>
    <col min="4103" max="4103" width="12.125" style="589" customWidth="1"/>
    <col min="4104" max="4352" width="9" style="589"/>
    <col min="4353" max="4353" width="2.125" style="589" customWidth="1"/>
    <col min="4354" max="4354" width="32.625" style="589" customWidth="1"/>
    <col min="4355" max="4355" width="15.375" style="589" customWidth="1"/>
    <col min="4356" max="4356" width="16" style="589" customWidth="1"/>
    <col min="4357" max="4357" width="15.375" style="589" customWidth="1"/>
    <col min="4358" max="4358" width="15.125" style="589" customWidth="1"/>
    <col min="4359" max="4359" width="12.125" style="589" customWidth="1"/>
    <col min="4360" max="4608" width="9" style="589"/>
    <col min="4609" max="4609" width="2.125" style="589" customWidth="1"/>
    <col min="4610" max="4610" width="32.625" style="589" customWidth="1"/>
    <col min="4611" max="4611" width="15.375" style="589" customWidth="1"/>
    <col min="4612" max="4612" width="16" style="589" customWidth="1"/>
    <col min="4613" max="4613" width="15.375" style="589" customWidth="1"/>
    <col min="4614" max="4614" width="15.125" style="589" customWidth="1"/>
    <col min="4615" max="4615" width="12.125" style="589" customWidth="1"/>
    <col min="4616" max="4864" width="9" style="589"/>
    <col min="4865" max="4865" width="2.125" style="589" customWidth="1"/>
    <col min="4866" max="4866" width="32.625" style="589" customWidth="1"/>
    <col min="4867" max="4867" width="15.375" style="589" customWidth="1"/>
    <col min="4868" max="4868" width="16" style="589" customWidth="1"/>
    <col min="4869" max="4869" width="15.375" style="589" customWidth="1"/>
    <col min="4870" max="4870" width="15.125" style="589" customWidth="1"/>
    <col min="4871" max="4871" width="12.125" style="589" customWidth="1"/>
    <col min="4872" max="5120" width="9" style="589"/>
    <col min="5121" max="5121" width="2.125" style="589" customWidth="1"/>
    <col min="5122" max="5122" width="32.625" style="589" customWidth="1"/>
    <col min="5123" max="5123" width="15.375" style="589" customWidth="1"/>
    <col min="5124" max="5124" width="16" style="589" customWidth="1"/>
    <col min="5125" max="5125" width="15.375" style="589" customWidth="1"/>
    <col min="5126" max="5126" width="15.125" style="589" customWidth="1"/>
    <col min="5127" max="5127" width="12.125" style="589" customWidth="1"/>
    <col min="5128" max="5376" width="9" style="589"/>
    <col min="5377" max="5377" width="2.125" style="589" customWidth="1"/>
    <col min="5378" max="5378" width="32.625" style="589" customWidth="1"/>
    <col min="5379" max="5379" width="15.375" style="589" customWidth="1"/>
    <col min="5380" max="5380" width="16" style="589" customWidth="1"/>
    <col min="5381" max="5381" width="15.375" style="589" customWidth="1"/>
    <col min="5382" max="5382" width="15.125" style="589" customWidth="1"/>
    <col min="5383" max="5383" width="12.125" style="589" customWidth="1"/>
    <col min="5384" max="5632" width="9" style="589"/>
    <col min="5633" max="5633" width="2.125" style="589" customWidth="1"/>
    <col min="5634" max="5634" width="32.625" style="589" customWidth="1"/>
    <col min="5635" max="5635" width="15.375" style="589" customWidth="1"/>
    <col min="5636" max="5636" width="16" style="589" customWidth="1"/>
    <col min="5637" max="5637" width="15.375" style="589" customWidth="1"/>
    <col min="5638" max="5638" width="15.125" style="589" customWidth="1"/>
    <col min="5639" max="5639" width="12.125" style="589" customWidth="1"/>
    <col min="5640" max="5888" width="9" style="589"/>
    <col min="5889" max="5889" width="2.125" style="589" customWidth="1"/>
    <col min="5890" max="5890" width="32.625" style="589" customWidth="1"/>
    <col min="5891" max="5891" width="15.375" style="589" customWidth="1"/>
    <col min="5892" max="5892" width="16" style="589" customWidth="1"/>
    <col min="5893" max="5893" width="15.375" style="589" customWidth="1"/>
    <col min="5894" max="5894" width="15.125" style="589" customWidth="1"/>
    <col min="5895" max="5895" width="12.125" style="589" customWidth="1"/>
    <col min="5896" max="6144" width="9" style="589"/>
    <col min="6145" max="6145" width="2.125" style="589" customWidth="1"/>
    <col min="6146" max="6146" width="32.625" style="589" customWidth="1"/>
    <col min="6147" max="6147" width="15.375" style="589" customWidth="1"/>
    <col min="6148" max="6148" width="16" style="589" customWidth="1"/>
    <col min="6149" max="6149" width="15.375" style="589" customWidth="1"/>
    <col min="6150" max="6150" width="15.125" style="589" customWidth="1"/>
    <col min="6151" max="6151" width="12.125" style="589" customWidth="1"/>
    <col min="6152" max="6400" width="9" style="589"/>
    <col min="6401" max="6401" width="2.125" style="589" customWidth="1"/>
    <col min="6402" max="6402" width="32.625" style="589" customWidth="1"/>
    <col min="6403" max="6403" width="15.375" style="589" customWidth="1"/>
    <col min="6404" max="6404" width="16" style="589" customWidth="1"/>
    <col min="6405" max="6405" width="15.375" style="589" customWidth="1"/>
    <col min="6406" max="6406" width="15.125" style="589" customWidth="1"/>
    <col min="6407" max="6407" width="12.125" style="589" customWidth="1"/>
    <col min="6408" max="6656" width="9" style="589"/>
    <col min="6657" max="6657" width="2.125" style="589" customWidth="1"/>
    <col min="6658" max="6658" width="32.625" style="589" customWidth="1"/>
    <col min="6659" max="6659" width="15.375" style="589" customWidth="1"/>
    <col min="6660" max="6660" width="16" style="589" customWidth="1"/>
    <col min="6661" max="6661" width="15.375" style="589" customWidth="1"/>
    <col min="6662" max="6662" width="15.125" style="589" customWidth="1"/>
    <col min="6663" max="6663" width="12.125" style="589" customWidth="1"/>
    <col min="6664" max="6912" width="9" style="589"/>
    <col min="6913" max="6913" width="2.125" style="589" customWidth="1"/>
    <col min="6914" max="6914" width="32.625" style="589" customWidth="1"/>
    <col min="6915" max="6915" width="15.375" style="589" customWidth="1"/>
    <col min="6916" max="6916" width="16" style="589" customWidth="1"/>
    <col min="6917" max="6917" width="15.375" style="589" customWidth="1"/>
    <col min="6918" max="6918" width="15.125" style="589" customWidth="1"/>
    <col min="6919" max="6919" width="12.125" style="589" customWidth="1"/>
    <col min="6920" max="7168" width="9" style="589"/>
    <col min="7169" max="7169" width="2.125" style="589" customWidth="1"/>
    <col min="7170" max="7170" width="32.625" style="589" customWidth="1"/>
    <col min="7171" max="7171" width="15.375" style="589" customWidth="1"/>
    <col min="7172" max="7172" width="16" style="589" customWidth="1"/>
    <col min="7173" max="7173" width="15.375" style="589" customWidth="1"/>
    <col min="7174" max="7174" width="15.125" style="589" customWidth="1"/>
    <col min="7175" max="7175" width="12.125" style="589" customWidth="1"/>
    <col min="7176" max="7424" width="9" style="589"/>
    <col min="7425" max="7425" width="2.125" style="589" customWidth="1"/>
    <col min="7426" max="7426" width="32.625" style="589" customWidth="1"/>
    <col min="7427" max="7427" width="15.375" style="589" customWidth="1"/>
    <col min="7428" max="7428" width="16" style="589" customWidth="1"/>
    <col min="7429" max="7429" width="15.375" style="589" customWidth="1"/>
    <col min="7430" max="7430" width="15.125" style="589" customWidth="1"/>
    <col min="7431" max="7431" width="12.125" style="589" customWidth="1"/>
    <col min="7432" max="7680" width="9" style="589"/>
    <col min="7681" max="7681" width="2.125" style="589" customWidth="1"/>
    <col min="7682" max="7682" width="32.625" style="589" customWidth="1"/>
    <col min="7683" max="7683" width="15.375" style="589" customWidth="1"/>
    <col min="7684" max="7684" width="16" style="589" customWidth="1"/>
    <col min="7685" max="7685" width="15.375" style="589" customWidth="1"/>
    <col min="7686" max="7686" width="15.125" style="589" customWidth="1"/>
    <col min="7687" max="7687" width="12.125" style="589" customWidth="1"/>
    <col min="7688" max="7936" width="9" style="589"/>
    <col min="7937" max="7937" width="2.125" style="589" customWidth="1"/>
    <col min="7938" max="7938" width="32.625" style="589" customWidth="1"/>
    <col min="7939" max="7939" width="15.375" style="589" customWidth="1"/>
    <col min="7940" max="7940" width="16" style="589" customWidth="1"/>
    <col min="7941" max="7941" width="15.375" style="589" customWidth="1"/>
    <col min="7942" max="7942" width="15.125" style="589" customWidth="1"/>
    <col min="7943" max="7943" width="12.125" style="589" customWidth="1"/>
    <col min="7944" max="8192" width="9" style="589"/>
    <col min="8193" max="8193" width="2.125" style="589" customWidth="1"/>
    <col min="8194" max="8194" width="32.625" style="589" customWidth="1"/>
    <col min="8195" max="8195" width="15.375" style="589" customWidth="1"/>
    <col min="8196" max="8196" width="16" style="589" customWidth="1"/>
    <col min="8197" max="8197" width="15.375" style="589" customWidth="1"/>
    <col min="8198" max="8198" width="15.125" style="589" customWidth="1"/>
    <col min="8199" max="8199" width="12.125" style="589" customWidth="1"/>
    <col min="8200" max="8448" width="9" style="589"/>
    <col min="8449" max="8449" width="2.125" style="589" customWidth="1"/>
    <col min="8450" max="8450" width="32.625" style="589" customWidth="1"/>
    <col min="8451" max="8451" width="15.375" style="589" customWidth="1"/>
    <col min="8452" max="8452" width="16" style="589" customWidth="1"/>
    <col min="8453" max="8453" width="15.375" style="589" customWidth="1"/>
    <col min="8454" max="8454" width="15.125" style="589" customWidth="1"/>
    <col min="8455" max="8455" width="12.125" style="589" customWidth="1"/>
    <col min="8456" max="8704" width="9" style="589"/>
    <col min="8705" max="8705" width="2.125" style="589" customWidth="1"/>
    <col min="8706" max="8706" width="32.625" style="589" customWidth="1"/>
    <col min="8707" max="8707" width="15.375" style="589" customWidth="1"/>
    <col min="8708" max="8708" width="16" style="589" customWidth="1"/>
    <col min="8709" max="8709" width="15.375" style="589" customWidth="1"/>
    <col min="8710" max="8710" width="15.125" style="589" customWidth="1"/>
    <col min="8711" max="8711" width="12.125" style="589" customWidth="1"/>
    <col min="8712" max="8960" width="9" style="589"/>
    <col min="8961" max="8961" width="2.125" style="589" customWidth="1"/>
    <col min="8962" max="8962" width="32.625" style="589" customWidth="1"/>
    <col min="8963" max="8963" width="15.375" style="589" customWidth="1"/>
    <col min="8964" max="8964" width="16" style="589" customWidth="1"/>
    <col min="8965" max="8965" width="15.375" style="589" customWidth="1"/>
    <col min="8966" max="8966" width="15.125" style="589" customWidth="1"/>
    <col min="8967" max="8967" width="12.125" style="589" customWidth="1"/>
    <col min="8968" max="9216" width="9" style="589"/>
    <col min="9217" max="9217" width="2.125" style="589" customWidth="1"/>
    <col min="9218" max="9218" width="32.625" style="589" customWidth="1"/>
    <col min="9219" max="9219" width="15.375" style="589" customWidth="1"/>
    <col min="9220" max="9220" width="16" style="589" customWidth="1"/>
    <col min="9221" max="9221" width="15.375" style="589" customWidth="1"/>
    <col min="9222" max="9222" width="15.125" style="589" customWidth="1"/>
    <col min="9223" max="9223" width="12.125" style="589" customWidth="1"/>
    <col min="9224" max="9472" width="9" style="589"/>
    <col min="9473" max="9473" width="2.125" style="589" customWidth="1"/>
    <col min="9474" max="9474" width="32.625" style="589" customWidth="1"/>
    <col min="9475" max="9475" width="15.375" style="589" customWidth="1"/>
    <col min="9476" max="9476" width="16" style="589" customWidth="1"/>
    <col min="9477" max="9477" width="15.375" style="589" customWidth="1"/>
    <col min="9478" max="9478" width="15.125" style="589" customWidth="1"/>
    <col min="9479" max="9479" width="12.125" style="589" customWidth="1"/>
    <col min="9480" max="9728" width="9" style="589"/>
    <col min="9729" max="9729" width="2.125" style="589" customWidth="1"/>
    <col min="9730" max="9730" width="32.625" style="589" customWidth="1"/>
    <col min="9731" max="9731" width="15.375" style="589" customWidth="1"/>
    <col min="9732" max="9732" width="16" style="589" customWidth="1"/>
    <col min="9733" max="9733" width="15.375" style="589" customWidth="1"/>
    <col min="9734" max="9734" width="15.125" style="589" customWidth="1"/>
    <col min="9735" max="9735" width="12.125" style="589" customWidth="1"/>
    <col min="9736" max="9984" width="9" style="589"/>
    <col min="9985" max="9985" width="2.125" style="589" customWidth="1"/>
    <col min="9986" max="9986" width="32.625" style="589" customWidth="1"/>
    <col min="9987" max="9987" width="15.375" style="589" customWidth="1"/>
    <col min="9988" max="9988" width="16" style="589" customWidth="1"/>
    <col min="9989" max="9989" width="15.375" style="589" customWidth="1"/>
    <col min="9990" max="9990" width="15.125" style="589" customWidth="1"/>
    <col min="9991" max="9991" width="12.125" style="589" customWidth="1"/>
    <col min="9992" max="10240" width="9" style="589"/>
    <col min="10241" max="10241" width="2.125" style="589" customWidth="1"/>
    <col min="10242" max="10242" width="32.625" style="589" customWidth="1"/>
    <col min="10243" max="10243" width="15.375" style="589" customWidth="1"/>
    <col min="10244" max="10244" width="16" style="589" customWidth="1"/>
    <col min="10245" max="10245" width="15.375" style="589" customWidth="1"/>
    <col min="10246" max="10246" width="15.125" style="589" customWidth="1"/>
    <col min="10247" max="10247" width="12.125" style="589" customWidth="1"/>
    <col min="10248" max="10496" width="9" style="589"/>
    <col min="10497" max="10497" width="2.125" style="589" customWidth="1"/>
    <col min="10498" max="10498" width="32.625" style="589" customWidth="1"/>
    <col min="10499" max="10499" width="15.375" style="589" customWidth="1"/>
    <col min="10500" max="10500" width="16" style="589" customWidth="1"/>
    <col min="10501" max="10501" width="15.375" style="589" customWidth="1"/>
    <col min="10502" max="10502" width="15.125" style="589" customWidth="1"/>
    <col min="10503" max="10503" width="12.125" style="589" customWidth="1"/>
    <col min="10504" max="10752" width="9" style="589"/>
    <col min="10753" max="10753" width="2.125" style="589" customWidth="1"/>
    <col min="10754" max="10754" width="32.625" style="589" customWidth="1"/>
    <col min="10755" max="10755" width="15.375" style="589" customWidth="1"/>
    <col min="10756" max="10756" width="16" style="589" customWidth="1"/>
    <col min="10757" max="10757" width="15.375" style="589" customWidth="1"/>
    <col min="10758" max="10758" width="15.125" style="589" customWidth="1"/>
    <col min="10759" max="10759" width="12.125" style="589" customWidth="1"/>
    <col min="10760" max="11008" width="9" style="589"/>
    <col min="11009" max="11009" width="2.125" style="589" customWidth="1"/>
    <col min="11010" max="11010" width="32.625" style="589" customWidth="1"/>
    <col min="11011" max="11011" width="15.375" style="589" customWidth="1"/>
    <col min="11012" max="11012" width="16" style="589" customWidth="1"/>
    <col min="11013" max="11013" width="15.375" style="589" customWidth="1"/>
    <col min="11014" max="11014" width="15.125" style="589" customWidth="1"/>
    <col min="11015" max="11015" width="12.125" style="589" customWidth="1"/>
    <col min="11016" max="11264" width="9" style="589"/>
    <col min="11265" max="11265" width="2.125" style="589" customWidth="1"/>
    <col min="11266" max="11266" width="32.625" style="589" customWidth="1"/>
    <col min="11267" max="11267" width="15.375" style="589" customWidth="1"/>
    <col min="11268" max="11268" width="16" style="589" customWidth="1"/>
    <col min="11269" max="11269" width="15.375" style="589" customWidth="1"/>
    <col min="11270" max="11270" width="15.125" style="589" customWidth="1"/>
    <col min="11271" max="11271" width="12.125" style="589" customWidth="1"/>
    <col min="11272" max="11520" width="9" style="589"/>
    <col min="11521" max="11521" width="2.125" style="589" customWidth="1"/>
    <col min="11522" max="11522" width="32.625" style="589" customWidth="1"/>
    <col min="11523" max="11523" width="15.375" style="589" customWidth="1"/>
    <col min="11524" max="11524" width="16" style="589" customWidth="1"/>
    <col min="11525" max="11525" width="15.375" style="589" customWidth="1"/>
    <col min="11526" max="11526" width="15.125" style="589" customWidth="1"/>
    <col min="11527" max="11527" width="12.125" style="589" customWidth="1"/>
    <col min="11528" max="11776" width="9" style="589"/>
    <col min="11777" max="11777" width="2.125" style="589" customWidth="1"/>
    <col min="11778" max="11778" width="32.625" style="589" customWidth="1"/>
    <col min="11779" max="11779" width="15.375" style="589" customWidth="1"/>
    <col min="11780" max="11780" width="16" style="589" customWidth="1"/>
    <col min="11781" max="11781" width="15.375" style="589" customWidth="1"/>
    <col min="11782" max="11782" width="15.125" style="589" customWidth="1"/>
    <col min="11783" max="11783" width="12.125" style="589" customWidth="1"/>
    <col min="11784" max="12032" width="9" style="589"/>
    <col min="12033" max="12033" width="2.125" style="589" customWidth="1"/>
    <col min="12034" max="12034" width="32.625" style="589" customWidth="1"/>
    <col min="12035" max="12035" width="15.375" style="589" customWidth="1"/>
    <col min="12036" max="12036" width="16" style="589" customWidth="1"/>
    <col min="12037" max="12037" width="15.375" style="589" customWidth="1"/>
    <col min="12038" max="12038" width="15.125" style="589" customWidth="1"/>
    <col min="12039" max="12039" width="12.125" style="589" customWidth="1"/>
    <col min="12040" max="12288" width="9" style="589"/>
    <col min="12289" max="12289" width="2.125" style="589" customWidth="1"/>
    <col min="12290" max="12290" width="32.625" style="589" customWidth="1"/>
    <col min="12291" max="12291" width="15.375" style="589" customWidth="1"/>
    <col min="12292" max="12292" width="16" style="589" customWidth="1"/>
    <col min="12293" max="12293" width="15.375" style="589" customWidth="1"/>
    <col min="12294" max="12294" width="15.125" style="589" customWidth="1"/>
    <col min="12295" max="12295" width="12.125" style="589" customWidth="1"/>
    <col min="12296" max="12544" width="9" style="589"/>
    <col min="12545" max="12545" width="2.125" style="589" customWidth="1"/>
    <col min="12546" max="12546" width="32.625" style="589" customWidth="1"/>
    <col min="12547" max="12547" width="15.375" style="589" customWidth="1"/>
    <col min="12548" max="12548" width="16" style="589" customWidth="1"/>
    <col min="12549" max="12549" width="15.375" style="589" customWidth="1"/>
    <col min="12550" max="12550" width="15.125" style="589" customWidth="1"/>
    <col min="12551" max="12551" width="12.125" style="589" customWidth="1"/>
    <col min="12552" max="12800" width="9" style="589"/>
    <col min="12801" max="12801" width="2.125" style="589" customWidth="1"/>
    <col min="12802" max="12802" width="32.625" style="589" customWidth="1"/>
    <col min="12803" max="12803" width="15.375" style="589" customWidth="1"/>
    <col min="12804" max="12804" width="16" style="589" customWidth="1"/>
    <col min="12805" max="12805" width="15.375" style="589" customWidth="1"/>
    <col min="12806" max="12806" width="15.125" style="589" customWidth="1"/>
    <col min="12807" max="12807" width="12.125" style="589" customWidth="1"/>
    <col min="12808" max="13056" width="9" style="589"/>
    <col min="13057" max="13057" width="2.125" style="589" customWidth="1"/>
    <col min="13058" max="13058" width="32.625" style="589" customWidth="1"/>
    <col min="13059" max="13059" width="15.375" style="589" customWidth="1"/>
    <col min="13060" max="13060" width="16" style="589" customWidth="1"/>
    <col min="13061" max="13061" width="15.375" style="589" customWidth="1"/>
    <col min="13062" max="13062" width="15.125" style="589" customWidth="1"/>
    <col min="13063" max="13063" width="12.125" style="589" customWidth="1"/>
    <col min="13064" max="13312" width="9" style="589"/>
    <col min="13313" max="13313" width="2.125" style="589" customWidth="1"/>
    <col min="13314" max="13314" width="32.625" style="589" customWidth="1"/>
    <col min="13315" max="13315" width="15.375" style="589" customWidth="1"/>
    <col min="13316" max="13316" width="16" style="589" customWidth="1"/>
    <col min="13317" max="13317" width="15.375" style="589" customWidth="1"/>
    <col min="13318" max="13318" width="15.125" style="589" customWidth="1"/>
    <col min="13319" max="13319" width="12.125" style="589" customWidth="1"/>
    <col min="13320" max="13568" width="9" style="589"/>
    <col min="13569" max="13569" width="2.125" style="589" customWidth="1"/>
    <col min="13570" max="13570" width="32.625" style="589" customWidth="1"/>
    <col min="13571" max="13571" width="15.375" style="589" customWidth="1"/>
    <col min="13572" max="13572" width="16" style="589" customWidth="1"/>
    <col min="13573" max="13573" width="15.375" style="589" customWidth="1"/>
    <col min="13574" max="13574" width="15.125" style="589" customWidth="1"/>
    <col min="13575" max="13575" width="12.125" style="589" customWidth="1"/>
    <col min="13576" max="13824" width="9" style="589"/>
    <col min="13825" max="13825" width="2.125" style="589" customWidth="1"/>
    <col min="13826" max="13826" width="32.625" style="589" customWidth="1"/>
    <col min="13827" max="13827" width="15.375" style="589" customWidth="1"/>
    <col min="13828" max="13828" width="16" style="589" customWidth="1"/>
    <col min="13829" max="13829" width="15.375" style="589" customWidth="1"/>
    <col min="13830" max="13830" width="15.125" style="589" customWidth="1"/>
    <col min="13831" max="13831" width="12.125" style="589" customWidth="1"/>
    <col min="13832" max="14080" width="9" style="589"/>
    <col min="14081" max="14081" width="2.125" style="589" customWidth="1"/>
    <col min="14082" max="14082" width="32.625" style="589" customWidth="1"/>
    <col min="14083" max="14083" width="15.375" style="589" customWidth="1"/>
    <col min="14084" max="14084" width="16" style="589" customWidth="1"/>
    <col min="14085" max="14085" width="15.375" style="589" customWidth="1"/>
    <col min="14086" max="14086" width="15.125" style="589" customWidth="1"/>
    <col min="14087" max="14087" width="12.125" style="589" customWidth="1"/>
    <col min="14088" max="14336" width="9" style="589"/>
    <col min="14337" max="14337" width="2.125" style="589" customWidth="1"/>
    <col min="14338" max="14338" width="32.625" style="589" customWidth="1"/>
    <col min="14339" max="14339" width="15.375" style="589" customWidth="1"/>
    <col min="14340" max="14340" width="16" style="589" customWidth="1"/>
    <col min="14341" max="14341" width="15.375" style="589" customWidth="1"/>
    <col min="14342" max="14342" width="15.125" style="589" customWidth="1"/>
    <col min="14343" max="14343" width="12.125" style="589" customWidth="1"/>
    <col min="14344" max="14592" width="9" style="589"/>
    <col min="14593" max="14593" width="2.125" style="589" customWidth="1"/>
    <col min="14594" max="14594" width="32.625" style="589" customWidth="1"/>
    <col min="14595" max="14595" width="15.375" style="589" customWidth="1"/>
    <col min="14596" max="14596" width="16" style="589" customWidth="1"/>
    <col min="14597" max="14597" width="15.375" style="589" customWidth="1"/>
    <col min="14598" max="14598" width="15.125" style="589" customWidth="1"/>
    <col min="14599" max="14599" width="12.125" style="589" customWidth="1"/>
    <col min="14600" max="14848" width="9" style="589"/>
    <col min="14849" max="14849" width="2.125" style="589" customWidth="1"/>
    <col min="14850" max="14850" width="32.625" style="589" customWidth="1"/>
    <col min="14851" max="14851" width="15.375" style="589" customWidth="1"/>
    <col min="14852" max="14852" width="16" style="589" customWidth="1"/>
    <col min="14853" max="14853" width="15.375" style="589" customWidth="1"/>
    <col min="14854" max="14854" width="15.125" style="589" customWidth="1"/>
    <col min="14855" max="14855" width="12.125" style="589" customWidth="1"/>
    <col min="14856" max="15104" width="9" style="589"/>
    <col min="15105" max="15105" width="2.125" style="589" customWidth="1"/>
    <col min="15106" max="15106" width="32.625" style="589" customWidth="1"/>
    <col min="15107" max="15107" width="15.375" style="589" customWidth="1"/>
    <col min="15108" max="15108" width="16" style="589" customWidth="1"/>
    <col min="15109" max="15109" width="15.375" style="589" customWidth="1"/>
    <col min="15110" max="15110" width="15.125" style="589" customWidth="1"/>
    <col min="15111" max="15111" width="12.125" style="589" customWidth="1"/>
    <col min="15112" max="15360" width="9" style="589"/>
    <col min="15361" max="15361" width="2.125" style="589" customWidth="1"/>
    <col min="15362" max="15362" width="32.625" style="589" customWidth="1"/>
    <col min="15363" max="15363" width="15.375" style="589" customWidth="1"/>
    <col min="15364" max="15364" width="16" style="589" customWidth="1"/>
    <col min="15365" max="15365" width="15.375" style="589" customWidth="1"/>
    <col min="15366" max="15366" width="15.125" style="589" customWidth="1"/>
    <col min="15367" max="15367" width="12.125" style="589" customWidth="1"/>
    <col min="15368" max="15616" width="9" style="589"/>
    <col min="15617" max="15617" width="2.125" style="589" customWidth="1"/>
    <col min="15618" max="15618" width="32.625" style="589" customWidth="1"/>
    <col min="15619" max="15619" width="15.375" style="589" customWidth="1"/>
    <col min="15620" max="15620" width="16" style="589" customWidth="1"/>
    <col min="15621" max="15621" width="15.375" style="589" customWidth="1"/>
    <col min="15622" max="15622" width="15.125" style="589" customWidth="1"/>
    <col min="15623" max="15623" width="12.125" style="589" customWidth="1"/>
    <col min="15624" max="15872" width="9" style="589"/>
    <col min="15873" max="15873" width="2.125" style="589" customWidth="1"/>
    <col min="15874" max="15874" width="32.625" style="589" customWidth="1"/>
    <col min="15875" max="15875" width="15.375" style="589" customWidth="1"/>
    <col min="15876" max="15876" width="16" style="589" customWidth="1"/>
    <col min="15877" max="15877" width="15.375" style="589" customWidth="1"/>
    <col min="15878" max="15878" width="15.125" style="589" customWidth="1"/>
    <col min="15879" max="15879" width="12.125" style="589" customWidth="1"/>
    <col min="15880" max="16128" width="9" style="589"/>
    <col min="16129" max="16129" width="2.125" style="589" customWidth="1"/>
    <col min="16130" max="16130" width="32.625" style="589" customWidth="1"/>
    <col min="16131" max="16131" width="15.375" style="589" customWidth="1"/>
    <col min="16132" max="16132" width="16" style="589" customWidth="1"/>
    <col min="16133" max="16133" width="15.375" style="589" customWidth="1"/>
    <col min="16134" max="16134" width="15.125" style="589" customWidth="1"/>
    <col min="16135" max="16135" width="12.125" style="589" customWidth="1"/>
    <col min="16136" max="16384" width="9" style="589"/>
  </cols>
  <sheetData>
    <row r="1" spans="2:5" ht="10.5" customHeight="1" thickBot="1"/>
    <row r="2" spans="2:5" ht="17.100000000000001" customHeight="1">
      <c r="B2" s="2023" t="s">
        <v>1476</v>
      </c>
      <c r="C2" s="708" t="s">
        <v>1477</v>
      </c>
      <c r="D2" s="2024" t="s">
        <v>1478</v>
      </c>
      <c r="E2" s="2025"/>
    </row>
    <row r="3" spans="2:5" ht="17.100000000000001" customHeight="1">
      <c r="B3" s="2023"/>
      <c r="C3" s="709"/>
      <c r="D3" s="710" t="s">
        <v>1479</v>
      </c>
      <c r="E3" s="711" t="s">
        <v>1480</v>
      </c>
    </row>
    <row r="4" spans="2:5" ht="17.100000000000001" customHeight="1">
      <c r="B4" s="712" t="s">
        <v>118</v>
      </c>
      <c r="C4" s="713">
        <f>연결PL!E2</f>
        <v>9441165967</v>
      </c>
      <c r="D4" s="714">
        <f>E4-C4</f>
        <v>-628921498</v>
      </c>
      <c r="E4" s="715">
        <f>연결PL!D2</f>
        <v>8812244469</v>
      </c>
    </row>
    <row r="5" spans="2:5" ht="17.100000000000001" customHeight="1">
      <c r="B5" s="712" t="s">
        <v>82</v>
      </c>
      <c r="C5" s="713">
        <f>연결PL!E7</f>
        <v>3581100990</v>
      </c>
      <c r="D5" s="714">
        <f t="shared" ref="D5:D24" si="0">E5-C5</f>
        <v>53116631</v>
      </c>
      <c r="E5" s="715">
        <f>연결PL!D7</f>
        <v>3634217621</v>
      </c>
    </row>
    <row r="6" spans="2:5" ht="17.100000000000001" customHeight="1">
      <c r="B6" s="712" t="s">
        <v>270</v>
      </c>
      <c r="C6" s="713">
        <f>연결PL!E34</f>
        <v>5860064977</v>
      </c>
      <c r="D6" s="714">
        <f t="shared" si="0"/>
        <v>-682038129</v>
      </c>
      <c r="E6" s="715">
        <f>연결PL!D34</f>
        <v>5178026848</v>
      </c>
    </row>
    <row r="7" spans="2:5" ht="17.100000000000001" customHeight="1">
      <c r="B7" s="712" t="s">
        <v>1481</v>
      </c>
      <c r="C7" s="713">
        <f>연결PL!E35</f>
        <v>4763859751</v>
      </c>
      <c r="D7" s="714">
        <f>E7-C7</f>
        <v>1205208575</v>
      </c>
      <c r="E7" s="715">
        <f>연결PL!D35</f>
        <v>5969068326</v>
      </c>
    </row>
    <row r="8" spans="2:5" ht="17.100000000000001" customHeight="1">
      <c r="B8" s="712" t="s">
        <v>1482</v>
      </c>
      <c r="C8" s="713">
        <f>연결PL!E68</f>
        <v>1096205226</v>
      </c>
      <c r="D8" s="714">
        <f t="shared" si="0"/>
        <v>-1887246704</v>
      </c>
      <c r="E8" s="715">
        <f>연결PL!D68</f>
        <v>-791041478</v>
      </c>
    </row>
    <row r="9" spans="2:5" ht="17.100000000000001" customHeight="1">
      <c r="B9" s="712" t="s">
        <v>1483</v>
      </c>
      <c r="C9" s="713">
        <f>연결PL!E69</f>
        <v>8256143</v>
      </c>
      <c r="D9" s="714">
        <f t="shared" si="0"/>
        <v>2101346041</v>
      </c>
      <c r="E9" s="715">
        <f>연결PL!D69</f>
        <v>2109602184</v>
      </c>
    </row>
    <row r="10" spans="2:5" ht="17.100000000000001" customHeight="1">
      <c r="B10" s="712" t="s">
        <v>1484</v>
      </c>
      <c r="C10" s="713">
        <f>연결PL!E77</f>
        <v>7087062</v>
      </c>
      <c r="D10" s="714">
        <f t="shared" si="0"/>
        <v>2401710</v>
      </c>
      <c r="E10" s="715">
        <f>연결PL!D77</f>
        <v>9488772</v>
      </c>
    </row>
    <row r="11" spans="2:5" ht="17.100000000000001" customHeight="1">
      <c r="B11" s="712" t="s">
        <v>1485</v>
      </c>
      <c r="C11" s="713">
        <f>연결PL!E85</f>
        <v>48738081</v>
      </c>
      <c r="D11" s="714">
        <f t="shared" si="0"/>
        <v>120808645</v>
      </c>
      <c r="E11" s="715">
        <f>연결PL!D85</f>
        <v>169546726</v>
      </c>
    </row>
    <row r="12" spans="2:5" ht="17.100000000000001" customHeight="1">
      <c r="B12" s="712" t="s">
        <v>1486</v>
      </c>
      <c r="C12" s="713">
        <f>연결PL!E90</f>
        <v>145282026</v>
      </c>
      <c r="D12" s="714">
        <f t="shared" si="0"/>
        <v>127961469</v>
      </c>
      <c r="E12" s="715">
        <f>연결PL!D90</f>
        <v>273243495</v>
      </c>
    </row>
    <row r="13" spans="2:5" ht="17.100000000000001" customHeight="1">
      <c r="B13" s="716" t="s">
        <v>1487</v>
      </c>
      <c r="C13" s="713">
        <f>연결PL!E99</f>
        <v>1000830362</v>
      </c>
      <c r="D13" s="714">
        <f t="shared" si="0"/>
        <v>-1863400974</v>
      </c>
      <c r="E13" s="715">
        <f>연결PL!D99</f>
        <v>-862570612</v>
      </c>
    </row>
    <row r="14" spans="2:5" ht="17.100000000000001" customHeight="1">
      <c r="B14" s="712" t="s">
        <v>1488</v>
      </c>
      <c r="C14" s="713">
        <f>연결PL!E100</f>
        <v>4894989</v>
      </c>
      <c r="D14" s="714">
        <f t="shared" si="0"/>
        <v>88900</v>
      </c>
      <c r="E14" s="715">
        <f>연결PL!D100</f>
        <v>4983889</v>
      </c>
    </row>
    <row r="15" spans="2:5" ht="17.100000000000001" customHeight="1">
      <c r="B15" s="712" t="s">
        <v>902</v>
      </c>
      <c r="C15" s="717">
        <f>연결PL!E101</f>
        <v>995935373</v>
      </c>
      <c r="D15" s="714">
        <f t="shared" si="0"/>
        <v>-1863489874</v>
      </c>
      <c r="E15" s="715">
        <f>연결PL!D101</f>
        <v>-867554501</v>
      </c>
    </row>
    <row r="16" spans="2:5" ht="17.100000000000001" customHeight="1">
      <c r="B16" s="712" t="s">
        <v>250</v>
      </c>
      <c r="C16" s="713">
        <f>연결PL!E104</f>
        <v>-26600734</v>
      </c>
      <c r="D16" s="714">
        <f t="shared" si="0"/>
        <v>37899128</v>
      </c>
      <c r="E16" s="715">
        <f>연결PL!D104</f>
        <v>11298394</v>
      </c>
    </row>
    <row r="17" spans="2:5" ht="17.100000000000001" customHeight="1">
      <c r="B17" s="716" t="s">
        <v>1489</v>
      </c>
      <c r="C17" s="713">
        <f>연결PL!E105</f>
        <v>0</v>
      </c>
      <c r="D17" s="714">
        <f t="shared" si="0"/>
        <v>0</v>
      </c>
      <c r="E17" s="715">
        <f>연결PL!D105</f>
        <v>0</v>
      </c>
    </row>
    <row r="18" spans="2:5" ht="17.100000000000001" customHeight="1">
      <c r="B18" s="716" t="s">
        <v>333</v>
      </c>
      <c r="C18" s="713">
        <f>연결PL!D106</f>
        <v>0</v>
      </c>
      <c r="D18" s="714">
        <f t="shared" si="0"/>
        <v>0</v>
      </c>
      <c r="E18" s="715">
        <f>연결PL!D106</f>
        <v>0</v>
      </c>
    </row>
    <row r="19" spans="2:5" ht="17.100000000000001" customHeight="1">
      <c r="B19" s="718" t="s">
        <v>1471</v>
      </c>
      <c r="C19" s="713">
        <f>연결PL!E107</f>
        <v>-26600734</v>
      </c>
      <c r="D19" s="714">
        <f t="shared" si="0"/>
        <v>37899128</v>
      </c>
      <c r="E19" s="715">
        <f>연결PL!D107</f>
        <v>11298394</v>
      </c>
    </row>
    <row r="20" spans="2:5" ht="17.100000000000001" customHeight="1">
      <c r="B20" s="718" t="s">
        <v>1472</v>
      </c>
      <c r="C20" s="713">
        <f>연결PL!E108</f>
        <v>-26600734</v>
      </c>
      <c r="D20" s="714">
        <f t="shared" si="0"/>
        <v>37899128</v>
      </c>
      <c r="E20" s="715">
        <f>연결PL!D108</f>
        <v>11298394</v>
      </c>
    </row>
    <row r="21" spans="2:5" ht="17.100000000000001" customHeight="1">
      <c r="B21" s="712" t="s">
        <v>272</v>
      </c>
      <c r="C21" s="713">
        <f>연결PL!E109</f>
        <v>969334639</v>
      </c>
      <c r="D21" s="714">
        <f t="shared" si="0"/>
        <v>-1825590746</v>
      </c>
      <c r="E21" s="715">
        <f>연결PL!D109</f>
        <v>-856256107</v>
      </c>
    </row>
    <row r="22" spans="2:5" ht="17.100000000000001" customHeight="1">
      <c r="B22" s="712" t="s">
        <v>1490</v>
      </c>
      <c r="C22" s="713"/>
      <c r="D22" s="714">
        <f t="shared" si="0"/>
        <v>0</v>
      </c>
      <c r="E22" s="715"/>
    </row>
    <row r="23" spans="2:5" ht="17.100000000000001" customHeight="1">
      <c r="B23" s="712" t="s">
        <v>1491</v>
      </c>
      <c r="C23" s="713">
        <f>연결PL!E113</f>
        <v>159</v>
      </c>
      <c r="D23" s="714">
        <f>E23-C23</f>
        <v>-235</v>
      </c>
      <c r="E23" s="715">
        <f>연결PL!D113</f>
        <v>-76</v>
      </c>
    </row>
    <row r="24" spans="2:5" ht="17.100000000000001" customHeight="1" thickBot="1">
      <c r="B24" s="712" t="s">
        <v>1492</v>
      </c>
      <c r="C24" s="719">
        <f>연결PL!E114</f>
        <v>157</v>
      </c>
      <c r="D24" s="720">
        <f t="shared" si="0"/>
        <v>-233</v>
      </c>
      <c r="E24" s="721">
        <f>연결PL!D114</f>
        <v>-76</v>
      </c>
    </row>
    <row r="25" spans="2:5" ht="17.100000000000001" customHeight="1">
      <c r="C25" s="615"/>
      <c r="D25" s="615"/>
      <c r="E25" s="615"/>
    </row>
  </sheetData>
  <mergeCells count="2">
    <mergeCell ref="B2:B3"/>
    <mergeCell ref="D2:E2"/>
  </mergeCells>
  <phoneticPr fontId="3" type="noConversion"/>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42">
    <tabColor theme="5" tint="0.39997558519241921"/>
  </sheetPr>
  <dimension ref="A1"/>
  <sheetViews>
    <sheetView showGridLines="0" zoomScale="55" zoomScaleNormal="55" workbookViewId="0">
      <selection activeCell="L46" sqref="L46"/>
    </sheetView>
  </sheetViews>
  <sheetFormatPr defaultRowHeight="16.5"/>
  <sheetData/>
  <phoneticPr fontId="3" type="noConversion"/>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39"/>
  <dimension ref="B3:L102"/>
  <sheetViews>
    <sheetView showGridLines="0" topLeftCell="A13" zoomScale="85" zoomScaleNormal="85" workbookViewId="0"/>
  </sheetViews>
  <sheetFormatPr defaultColWidth="9" defaultRowHeight="16.5"/>
  <cols>
    <col min="1" max="1" width="9" style="555"/>
    <col min="2" max="4" width="21.125" style="555" customWidth="1"/>
    <col min="5" max="6" width="13.875" style="555" bestFit="1" customWidth="1"/>
    <col min="7" max="7" width="13.625" style="555" bestFit="1" customWidth="1"/>
    <col min="8" max="12" width="21.125" style="555" customWidth="1"/>
    <col min="13" max="16384" width="9" style="555"/>
  </cols>
  <sheetData>
    <row r="3" spans="2:8">
      <c r="B3" s="555" t="s">
        <v>2770</v>
      </c>
      <c r="C3" s="1197" t="s">
        <v>2831</v>
      </c>
    </row>
    <row r="4" spans="2:8">
      <c r="F4" s="1198" t="s">
        <v>2771</v>
      </c>
      <c r="G4" s="1198" t="s">
        <v>2772</v>
      </c>
      <c r="H4" s="1198" t="s">
        <v>2773</v>
      </c>
    </row>
    <row r="5" spans="2:8">
      <c r="B5" s="2027" t="s">
        <v>146</v>
      </c>
      <c r="C5" s="2027"/>
      <c r="D5" s="1199" t="s">
        <v>339</v>
      </c>
      <c r="E5" s="1199" t="s">
        <v>612</v>
      </c>
      <c r="F5" s="1200" t="s">
        <v>339</v>
      </c>
      <c r="G5" s="1200" t="s">
        <v>339</v>
      </c>
      <c r="H5" s="1200" t="s">
        <v>339</v>
      </c>
    </row>
    <row r="6" spans="2:8">
      <c r="B6" s="2026" t="s">
        <v>2774</v>
      </c>
      <c r="C6" s="2026"/>
      <c r="D6" s="1202">
        <f t="shared" ref="D6:D13" si="0">F6+G6+H6</f>
        <v>154257704</v>
      </c>
      <c r="E6" s="1202">
        <f>16254119+163800000+81900000</f>
        <v>261954119</v>
      </c>
      <c r="F6" s="1203">
        <f>72357704+81900000</f>
        <v>154257704</v>
      </c>
      <c r="G6" s="1203">
        <v>0</v>
      </c>
      <c r="H6" s="1203">
        <v>0</v>
      </c>
    </row>
    <row r="7" spans="2:8">
      <c r="B7" s="2026" t="s">
        <v>2775</v>
      </c>
      <c r="C7" s="2026"/>
      <c r="D7" s="1202">
        <f t="shared" si="0"/>
        <v>1857000000</v>
      </c>
      <c r="E7" s="1202">
        <v>0</v>
      </c>
      <c r="F7" s="1203">
        <v>0</v>
      </c>
      <c r="G7" s="1203">
        <v>1377000000</v>
      </c>
      <c r="H7" s="1203">
        <v>480000000</v>
      </c>
    </row>
    <row r="8" spans="2:8">
      <c r="B8" s="2026" t="s">
        <v>2776</v>
      </c>
      <c r="C8" s="1201" t="s">
        <v>2777</v>
      </c>
      <c r="D8" s="1202">
        <f t="shared" si="0"/>
        <v>301445097</v>
      </c>
      <c r="E8" s="1202">
        <v>107696415</v>
      </c>
      <c r="F8" s="1203">
        <f>150560253</f>
        <v>150560253</v>
      </c>
      <c r="G8" s="1203">
        <v>112372533</v>
      </c>
      <c r="H8" s="1203">
        <v>38512311</v>
      </c>
    </row>
    <row r="9" spans="2:8">
      <c r="B9" s="2026"/>
      <c r="C9" s="1201" t="s">
        <v>2778</v>
      </c>
      <c r="D9" s="1202">
        <f t="shared" si="0"/>
        <v>0</v>
      </c>
      <c r="E9" s="1202">
        <v>0</v>
      </c>
      <c r="F9" s="1203">
        <v>0</v>
      </c>
      <c r="G9" s="1203">
        <v>0</v>
      </c>
      <c r="H9" s="1203">
        <v>0</v>
      </c>
    </row>
    <row r="10" spans="2:8">
      <c r="B10" s="2026"/>
      <c r="C10" s="1201" t="s">
        <v>2779</v>
      </c>
      <c r="D10" s="1202">
        <f t="shared" si="0"/>
        <v>0</v>
      </c>
      <c r="E10" s="1202">
        <v>0</v>
      </c>
      <c r="F10" s="1203">
        <v>0</v>
      </c>
      <c r="G10" s="1203">
        <v>0</v>
      </c>
      <c r="H10" s="1203">
        <v>0</v>
      </c>
    </row>
    <row r="11" spans="2:8">
      <c r="B11" s="2026"/>
      <c r="C11" s="1204" t="s">
        <v>2756</v>
      </c>
      <c r="D11" s="1202">
        <f t="shared" si="0"/>
        <v>301445097</v>
      </c>
      <c r="E11" s="1202">
        <f t="shared" ref="E11:G11" si="1">SUM(E8:E10)</f>
        <v>107696415</v>
      </c>
      <c r="F11" s="1203">
        <f t="shared" si="1"/>
        <v>150560253</v>
      </c>
      <c r="G11" s="1203">
        <f t="shared" si="1"/>
        <v>112372533</v>
      </c>
      <c r="H11" s="1203">
        <f>SUM(H8:H10)</f>
        <v>38512311</v>
      </c>
    </row>
    <row r="12" spans="2:8">
      <c r="B12" s="2026" t="s">
        <v>2780</v>
      </c>
      <c r="C12" s="2026"/>
      <c r="D12" s="1202">
        <f t="shared" si="0"/>
        <v>3697451</v>
      </c>
      <c r="E12" s="1202">
        <v>0</v>
      </c>
      <c r="F12" s="1203">
        <f>F6-F11</f>
        <v>3697451</v>
      </c>
      <c r="G12" s="1203">
        <v>0</v>
      </c>
      <c r="H12" s="1203">
        <v>0</v>
      </c>
    </row>
    <row r="13" spans="2:8">
      <c r="B13" s="2026" t="s">
        <v>2781</v>
      </c>
      <c r="C13" s="2026"/>
      <c r="D13" s="1202">
        <f t="shared" si="0"/>
        <v>1706115156</v>
      </c>
      <c r="E13" s="1202">
        <f>E6+E7-E11-E12</f>
        <v>154257704</v>
      </c>
      <c r="F13" s="1203">
        <f>F6+F7-F11-F12</f>
        <v>0</v>
      </c>
      <c r="G13" s="1203">
        <f>G6+G7-G11-G12</f>
        <v>1264627467</v>
      </c>
      <c r="H13" s="1203">
        <f>H6+H7-H11-H12</f>
        <v>441487689</v>
      </c>
    </row>
    <row r="15" spans="2:8">
      <c r="B15" s="555" t="s">
        <v>2782</v>
      </c>
      <c r="H15" s="1197" t="s">
        <v>2832</v>
      </c>
    </row>
    <row r="17" spans="2:9">
      <c r="B17" s="555" t="s">
        <v>2783</v>
      </c>
      <c r="E17" s="1197" t="s">
        <v>2834</v>
      </c>
    </row>
    <row r="20" spans="2:9">
      <c r="B20" s="2028" t="s">
        <v>328</v>
      </c>
      <c r="C20" s="2029"/>
      <c r="D20" s="1205" t="s">
        <v>364</v>
      </c>
      <c r="E20" s="1206"/>
      <c r="F20" s="1206"/>
    </row>
    <row r="21" spans="2:9" ht="33">
      <c r="B21" s="2030"/>
      <c r="C21" s="2031"/>
      <c r="D21" s="1207" t="s">
        <v>1511</v>
      </c>
      <c r="E21" s="1206"/>
      <c r="F21" s="1206"/>
    </row>
    <row r="22" spans="2:9">
      <c r="B22" s="2032" t="s">
        <v>326</v>
      </c>
      <c r="C22" s="2033"/>
      <c r="D22" s="1209">
        <v>0</v>
      </c>
      <c r="E22" s="1206"/>
      <c r="F22" s="1206"/>
    </row>
    <row r="23" spans="2:9">
      <c r="B23" s="1208" t="s">
        <v>2784</v>
      </c>
      <c r="C23" s="1210"/>
      <c r="D23" s="1211"/>
      <c r="E23" s="1206"/>
      <c r="F23" s="1206"/>
    </row>
    <row r="24" spans="2:9">
      <c r="B24" s="1212" t="s">
        <v>2785</v>
      </c>
      <c r="C24" s="1213"/>
      <c r="D24" s="1214">
        <v>0</v>
      </c>
      <c r="E24" s="1206"/>
      <c r="F24" s="1206"/>
    </row>
    <row r="25" spans="2:9" ht="33">
      <c r="B25" s="1212" t="s">
        <v>2786</v>
      </c>
      <c r="C25" s="1213" t="s">
        <v>2787</v>
      </c>
      <c r="D25" s="1214">
        <v>189231441</v>
      </c>
      <c r="E25" s="1206"/>
      <c r="F25" s="1206"/>
    </row>
    <row r="26" spans="2:9">
      <c r="B26" s="2032" t="s">
        <v>327</v>
      </c>
      <c r="C26" s="2033"/>
      <c r="D26" s="1209">
        <f>SUM(D22:D25)</f>
        <v>189231441</v>
      </c>
      <c r="E26" s="1206"/>
      <c r="F26" s="1206"/>
    </row>
    <row r="27" spans="2:9">
      <c r="B27" s="1215" t="s">
        <v>2788</v>
      </c>
      <c r="C27" s="1216" t="s">
        <v>2789</v>
      </c>
      <c r="D27" s="1217">
        <v>0</v>
      </c>
      <c r="E27" s="1206"/>
      <c r="F27" s="1206"/>
    </row>
    <row r="28" spans="2:9">
      <c r="B28" s="1206"/>
      <c r="C28" s="1206"/>
      <c r="D28" s="1206"/>
      <c r="E28" s="1206"/>
      <c r="F28" s="1206"/>
    </row>
    <row r="29" spans="2:9">
      <c r="B29" s="1206"/>
      <c r="C29" s="1206"/>
      <c r="D29" s="1206"/>
      <c r="E29" s="1206"/>
      <c r="F29" s="1206"/>
    </row>
    <row r="30" spans="2:9">
      <c r="B30" s="1206"/>
      <c r="C30" s="1206"/>
      <c r="D30" s="1206"/>
      <c r="E30" s="1206"/>
      <c r="F30" s="1206"/>
      <c r="G30" s="1206"/>
      <c r="H30" s="1206"/>
      <c r="I30" s="1206"/>
    </row>
    <row r="31" spans="2:9" ht="33">
      <c r="B31" s="2034" t="s">
        <v>335</v>
      </c>
      <c r="C31" s="2036" t="s">
        <v>361</v>
      </c>
      <c r="D31" s="2036" t="s">
        <v>1039</v>
      </c>
      <c r="E31" s="2036" t="s">
        <v>2790</v>
      </c>
      <c r="F31" s="2036" t="s">
        <v>2791</v>
      </c>
      <c r="G31" s="1218" t="s">
        <v>2792</v>
      </c>
      <c r="H31" s="1206"/>
      <c r="I31" s="1206"/>
    </row>
    <row r="32" spans="2:9">
      <c r="B32" s="2035"/>
      <c r="C32" s="2037"/>
      <c r="D32" s="2037"/>
      <c r="E32" s="2037"/>
      <c r="F32" s="2037"/>
      <c r="G32" s="1219" t="s">
        <v>2793</v>
      </c>
      <c r="H32" s="1206"/>
      <c r="I32" s="1206"/>
    </row>
    <row r="33" spans="2:9">
      <c r="B33" s="2032" t="s">
        <v>2794</v>
      </c>
      <c r="C33" s="2038"/>
      <c r="D33" s="2038"/>
      <c r="E33" s="2038"/>
      <c r="F33" s="2038"/>
      <c r="G33" s="2039"/>
      <c r="H33" s="1206"/>
      <c r="I33" s="1206"/>
    </row>
    <row r="34" spans="2:9" ht="33">
      <c r="B34" s="2040" t="s">
        <v>2795</v>
      </c>
      <c r="C34" s="2042">
        <f>D26</f>
        <v>189231441</v>
      </c>
      <c r="D34" s="2044">
        <v>3</v>
      </c>
      <c r="E34" s="2046" t="s">
        <v>2796</v>
      </c>
      <c r="F34" s="1220" t="s">
        <v>2797</v>
      </c>
      <c r="G34" s="1221" t="s">
        <v>2798</v>
      </c>
      <c r="H34" s="1206"/>
      <c r="I34" s="1206"/>
    </row>
    <row r="35" spans="2:9">
      <c r="B35" s="2041"/>
      <c r="C35" s="2043"/>
      <c r="D35" s="2045"/>
      <c r="E35" s="2047"/>
      <c r="F35" s="1220" t="s">
        <v>2799</v>
      </c>
      <c r="G35" s="1222" t="s">
        <v>2800</v>
      </c>
      <c r="H35" s="1206"/>
      <c r="I35" s="1206"/>
    </row>
    <row r="36" spans="2:9">
      <c r="B36" s="1223"/>
      <c r="C36" s="1223"/>
      <c r="D36" s="1223"/>
      <c r="E36" s="1223"/>
      <c r="F36" s="1223"/>
      <c r="G36" s="1223"/>
      <c r="H36" s="1206"/>
      <c r="I36" s="1206"/>
    </row>
    <row r="37" spans="2:9">
      <c r="B37" s="1223"/>
      <c r="C37" s="1223"/>
      <c r="D37" s="1223"/>
      <c r="E37" s="1223"/>
      <c r="F37" s="1223"/>
      <c r="G37" s="1223"/>
      <c r="H37" s="1206"/>
      <c r="I37" s="1206"/>
    </row>
    <row r="38" spans="2:9">
      <c r="B38" s="2034" t="s">
        <v>257</v>
      </c>
      <c r="C38" s="2048" t="s">
        <v>328</v>
      </c>
      <c r="D38" s="2049"/>
      <c r="E38" s="2048" t="s">
        <v>329</v>
      </c>
      <c r="F38" s="2050"/>
      <c r="G38" s="1223"/>
      <c r="H38" s="1206"/>
      <c r="I38" s="1206"/>
    </row>
    <row r="39" spans="2:9">
      <c r="B39" s="2035"/>
      <c r="C39" s="1224" t="s">
        <v>2801</v>
      </c>
      <c r="D39" s="1224" t="s">
        <v>2802</v>
      </c>
      <c r="E39" s="1224" t="s">
        <v>2801</v>
      </c>
      <c r="F39" s="1225" t="s">
        <v>2802</v>
      </c>
      <c r="G39" s="1223"/>
      <c r="H39" s="1206"/>
      <c r="I39" s="1206"/>
    </row>
    <row r="40" spans="2:9">
      <c r="B40" s="2032" t="s">
        <v>364</v>
      </c>
      <c r="C40" s="2038"/>
      <c r="D40" s="2038"/>
      <c r="E40" s="2038"/>
      <c r="F40" s="2039"/>
      <c r="G40" s="1223"/>
      <c r="H40" s="1206"/>
      <c r="I40" s="1206"/>
    </row>
    <row r="41" spans="2:9">
      <c r="B41" s="1212" t="s">
        <v>2803</v>
      </c>
      <c r="C41" s="1226">
        <f>F47*C51-C52</f>
        <v>99399006</v>
      </c>
      <c r="D41" s="1226">
        <f>D49*C51-C52</f>
        <v>-73199268</v>
      </c>
      <c r="E41" s="1226">
        <v>0</v>
      </c>
      <c r="F41" s="1227">
        <v>0</v>
      </c>
      <c r="G41" s="1223"/>
      <c r="H41" s="1206"/>
      <c r="I41" s="1206"/>
    </row>
    <row r="42" spans="2:9">
      <c r="B42" s="1206"/>
      <c r="C42" s="1206"/>
      <c r="D42" s="1206"/>
      <c r="E42" s="1206"/>
      <c r="F42" s="1206"/>
      <c r="G42" s="1206"/>
      <c r="H42" s="1206"/>
      <c r="I42" s="1206"/>
    </row>
    <row r="43" spans="2:9">
      <c r="B43" s="1206"/>
      <c r="C43" s="1206"/>
      <c r="D43" s="1206"/>
      <c r="E43" s="1206"/>
      <c r="F43" s="1206"/>
      <c r="G43" s="1206"/>
      <c r="H43" s="1206"/>
      <c r="I43" s="1206"/>
    </row>
    <row r="44" spans="2:9" ht="17.25" thickBot="1">
      <c r="B44" s="1206"/>
      <c r="C44" s="1206"/>
      <c r="D44" s="1206"/>
      <c r="E44" s="1206"/>
      <c r="F44" s="1206"/>
      <c r="G44" s="1206"/>
      <c r="H44" s="1206"/>
      <c r="I44" s="1206"/>
    </row>
    <row r="45" spans="2:9">
      <c r="B45" s="1228" t="s">
        <v>2804</v>
      </c>
      <c r="C45" s="1229"/>
      <c r="D45" s="1230" t="s">
        <v>2805</v>
      </c>
      <c r="E45" s="1231"/>
      <c r="F45" s="1232"/>
      <c r="G45" s="1206"/>
      <c r="H45" s="1206"/>
      <c r="I45" s="1206"/>
    </row>
    <row r="46" spans="2:9">
      <c r="B46" s="1233"/>
      <c r="C46" s="1234">
        <v>5677</v>
      </c>
      <c r="D46" s="1235">
        <v>-0.01</v>
      </c>
      <c r="E46" s="1235">
        <v>0</v>
      </c>
      <c r="F46" s="1236">
        <v>0.01</v>
      </c>
      <c r="G46" s="1206"/>
      <c r="H46" s="1206"/>
      <c r="I46" s="1206"/>
    </row>
    <row r="47" spans="2:9">
      <c r="B47" s="2051" t="s">
        <v>2806</v>
      </c>
      <c r="C47" s="1237">
        <v>0.124915444023184</v>
      </c>
      <c r="D47" s="1238">
        <v>6862</v>
      </c>
      <c r="E47" s="1238">
        <v>7689</v>
      </c>
      <c r="F47" s="1239">
        <v>8659</v>
      </c>
      <c r="G47" s="1206"/>
      <c r="H47" s="1206"/>
      <c r="I47" s="1206"/>
    </row>
    <row r="48" spans="2:9">
      <c r="B48" s="2052"/>
      <c r="C48" s="1240">
        <v>0.13491544402318428</v>
      </c>
      <c r="D48" s="1238">
        <v>5032</v>
      </c>
      <c r="E48" s="1238">
        <v>5677</v>
      </c>
      <c r="F48" s="1241">
        <v>6425</v>
      </c>
      <c r="G48" s="1206"/>
      <c r="H48" s="1206"/>
      <c r="I48" s="1206"/>
    </row>
    <row r="49" spans="2:9" ht="17.25" thickBot="1">
      <c r="B49" s="2053"/>
      <c r="C49" s="1242">
        <v>0.14491544402318399</v>
      </c>
      <c r="D49" s="1243">
        <v>3481</v>
      </c>
      <c r="E49" s="1244">
        <v>3987</v>
      </c>
      <c r="F49" s="1245">
        <v>4569</v>
      </c>
      <c r="G49" s="1206"/>
      <c r="H49" s="1206"/>
      <c r="I49" s="1206"/>
    </row>
    <row r="50" spans="2:9">
      <c r="B50" s="1206"/>
      <c r="C50" s="1206"/>
      <c r="D50" s="1206"/>
      <c r="E50" s="1206"/>
      <c r="F50" s="1206"/>
      <c r="G50" s="1206"/>
      <c r="H50" s="1206"/>
      <c r="I50" s="1206"/>
    </row>
    <row r="51" spans="2:9">
      <c r="B51" s="1206" t="s">
        <v>2807</v>
      </c>
      <c r="C51" s="1246">
        <v>33333</v>
      </c>
      <c r="D51" s="1206" t="s">
        <v>2808</v>
      </c>
      <c r="E51" s="1206"/>
      <c r="F51" s="1206"/>
      <c r="G51" s="1206"/>
      <c r="H51" s="1206"/>
      <c r="I51" s="1206"/>
    </row>
    <row r="52" spans="2:9">
      <c r="B52" s="1206" t="s">
        <v>2809</v>
      </c>
      <c r="C52" s="1247">
        <f>C51*E48</f>
        <v>189231441</v>
      </c>
      <c r="D52" s="1206" t="s">
        <v>2810</v>
      </c>
      <c r="E52" s="1206"/>
      <c r="F52" s="1206"/>
      <c r="G52" s="1206"/>
      <c r="H52" s="1206"/>
      <c r="I52" s="1206"/>
    </row>
    <row r="53" spans="2:9">
      <c r="B53" s="1206"/>
      <c r="C53" s="1206" t="b">
        <f>C52=C34</f>
        <v>1</v>
      </c>
      <c r="D53" s="1206"/>
      <c r="E53" s="1206"/>
      <c r="F53" s="1206"/>
      <c r="G53" s="1206"/>
      <c r="H53" s="1206"/>
      <c r="I53" s="1206"/>
    </row>
    <row r="54" spans="2:9">
      <c r="B54" s="1206"/>
      <c r="C54" s="1206"/>
      <c r="D54" s="1206"/>
      <c r="E54" s="1206"/>
      <c r="F54" s="1206"/>
      <c r="G54" s="1206"/>
      <c r="H54" s="1206"/>
      <c r="I54" s="1206"/>
    </row>
    <row r="55" spans="2:9">
      <c r="B55" s="1206"/>
      <c r="C55" s="1206"/>
      <c r="D55" s="1206"/>
      <c r="E55" s="1206"/>
      <c r="F55" s="1206"/>
      <c r="G55" s="1206"/>
      <c r="H55" s="1206"/>
      <c r="I55" s="1206"/>
    </row>
    <row r="56" spans="2:9">
      <c r="B56" s="1206"/>
      <c r="C56" s="1206"/>
      <c r="D56" s="1206"/>
      <c r="E56" s="1206"/>
      <c r="F56" s="1206"/>
      <c r="G56" s="1206"/>
      <c r="H56" s="1206"/>
      <c r="I56" s="1206"/>
    </row>
    <row r="57" spans="2:9">
      <c r="B57" s="555" t="s">
        <v>2811</v>
      </c>
      <c r="G57" s="1197" t="s">
        <v>2833</v>
      </c>
    </row>
    <row r="59" spans="2:9">
      <c r="B59" s="1248" t="s">
        <v>2812</v>
      </c>
    </row>
    <row r="61" spans="2:9">
      <c r="B61" s="555" t="s">
        <v>2813</v>
      </c>
      <c r="G61" s="1197" t="s">
        <v>2833</v>
      </c>
    </row>
    <row r="63" spans="2:9">
      <c r="B63" s="1248" t="s">
        <v>2814</v>
      </c>
    </row>
    <row r="65" spans="2:7">
      <c r="B65" s="555" t="s">
        <v>2815</v>
      </c>
      <c r="G65" s="1197" t="s">
        <v>2833</v>
      </c>
    </row>
    <row r="67" spans="2:7">
      <c r="B67" s="555" t="s">
        <v>2816</v>
      </c>
    </row>
    <row r="70" spans="2:7">
      <c r="B70" s="555" t="s">
        <v>2817</v>
      </c>
      <c r="G70" s="1197" t="s">
        <v>2833</v>
      </c>
    </row>
    <row r="72" spans="2:7">
      <c r="B72" s="1249" t="s">
        <v>2818</v>
      </c>
      <c r="C72" s="1206"/>
      <c r="D72" s="1206"/>
    </row>
    <row r="73" spans="2:7">
      <c r="B73" s="1206"/>
      <c r="C73" s="1206"/>
      <c r="D73" s="1250" t="s">
        <v>2819</v>
      </c>
    </row>
    <row r="74" spans="2:7">
      <c r="B74" s="1251" t="s">
        <v>257</v>
      </c>
      <c r="C74" s="1252" t="s">
        <v>328</v>
      </c>
      <c r="D74" s="1253" t="s">
        <v>329</v>
      </c>
    </row>
    <row r="75" spans="2:7">
      <c r="B75" s="1254" t="s">
        <v>2820</v>
      </c>
      <c r="C75" s="1255"/>
      <c r="D75" s="1256"/>
    </row>
    <row r="76" spans="2:7">
      <c r="B76" s="1257" t="s">
        <v>2821</v>
      </c>
      <c r="C76" s="1258">
        <v>22608855</v>
      </c>
      <c r="D76" s="1259">
        <v>20775273</v>
      </c>
    </row>
    <row r="79" spans="2:7">
      <c r="B79" s="555" t="s">
        <v>2822</v>
      </c>
      <c r="G79" s="1197" t="s">
        <v>2833</v>
      </c>
    </row>
    <row r="81" spans="2:12">
      <c r="B81" s="555" t="s">
        <v>2823</v>
      </c>
      <c r="H81" s="555" t="s">
        <v>2824</v>
      </c>
    </row>
    <row r="82" spans="2:12">
      <c r="B82" s="2054" t="s">
        <v>1998</v>
      </c>
      <c r="C82" s="2056" t="s">
        <v>1999</v>
      </c>
      <c r="D82" s="2056" t="s">
        <v>2000</v>
      </c>
      <c r="E82" s="2058" t="s">
        <v>2001</v>
      </c>
      <c r="F82" s="2059"/>
      <c r="H82" s="2054" t="s">
        <v>1998</v>
      </c>
      <c r="I82" s="2056" t="s">
        <v>1999</v>
      </c>
      <c r="J82" s="2056" t="s">
        <v>2000</v>
      </c>
      <c r="K82" s="2058" t="s">
        <v>2001</v>
      </c>
      <c r="L82" s="2059"/>
    </row>
    <row r="83" spans="2:12">
      <c r="B83" s="2055"/>
      <c r="C83" s="2057"/>
      <c r="D83" s="2057"/>
      <c r="E83" s="1260" t="s">
        <v>335</v>
      </c>
      <c r="F83" s="1261" t="s">
        <v>340</v>
      </c>
      <c r="H83" s="2055"/>
      <c r="I83" s="2057"/>
      <c r="J83" s="2057"/>
      <c r="K83" s="1260" t="s">
        <v>335</v>
      </c>
      <c r="L83" s="1261" t="s">
        <v>340</v>
      </c>
    </row>
    <row r="84" spans="2:12">
      <c r="B84" s="1262" t="s">
        <v>2002</v>
      </c>
      <c r="C84" s="1263"/>
      <c r="D84" s="1263"/>
      <c r="E84" s="1264"/>
      <c r="F84" s="1265"/>
      <c r="H84" s="1262" t="s">
        <v>2002</v>
      </c>
      <c r="I84" s="1263"/>
      <c r="J84" s="1263"/>
      <c r="K84" s="1264"/>
      <c r="L84" s="1265"/>
    </row>
    <row r="85" spans="2:12">
      <c r="B85" s="1266" t="s">
        <v>2134</v>
      </c>
      <c r="C85" s="1263" t="s">
        <v>2003</v>
      </c>
      <c r="D85" s="1263" t="s">
        <v>2004</v>
      </c>
      <c r="E85" s="1267">
        <v>1326000000</v>
      </c>
      <c r="F85" s="1268">
        <v>1326000000</v>
      </c>
      <c r="H85" s="1266" t="s">
        <v>2134</v>
      </c>
      <c r="I85" s="1263" t="s">
        <v>2003</v>
      </c>
      <c r="J85" s="1263" t="s">
        <v>2004</v>
      </c>
      <c r="K85" s="1269">
        <v>840000000</v>
      </c>
      <c r="L85" s="1268">
        <v>1326000000</v>
      </c>
    </row>
    <row r="86" spans="2:12">
      <c r="B86" s="1262" t="s">
        <v>2005</v>
      </c>
      <c r="C86" s="1263"/>
      <c r="D86" s="1263"/>
      <c r="E86" s="1264"/>
      <c r="F86" s="1265"/>
      <c r="H86" s="1262" t="s">
        <v>2005</v>
      </c>
      <c r="I86" s="1263"/>
      <c r="J86" s="1263"/>
      <c r="K86" s="1264"/>
      <c r="L86" s="1265"/>
    </row>
    <row r="87" spans="2:12">
      <c r="B87" s="1266" t="s">
        <v>2006</v>
      </c>
      <c r="C87" s="1263" t="s">
        <v>2003</v>
      </c>
      <c r="D87" s="1263" t="s">
        <v>2004</v>
      </c>
      <c r="E87" s="1267">
        <v>648000000</v>
      </c>
      <c r="F87" s="1268">
        <v>648000000</v>
      </c>
      <c r="H87" s="1266" t="s">
        <v>2006</v>
      </c>
      <c r="I87" s="1263" t="s">
        <v>2003</v>
      </c>
      <c r="J87" s="1263" t="s">
        <v>2004</v>
      </c>
      <c r="K87" s="1267">
        <v>648000000</v>
      </c>
      <c r="L87" s="1268">
        <v>648000000</v>
      </c>
    </row>
    <row r="88" spans="2:12">
      <c r="B88" s="1266" t="s">
        <v>2007</v>
      </c>
      <c r="C88" s="1263" t="s">
        <v>2008</v>
      </c>
      <c r="D88" s="1263" t="s">
        <v>2009</v>
      </c>
      <c r="E88" s="1267">
        <v>151500000</v>
      </c>
      <c r="F88" s="1268">
        <v>583000000</v>
      </c>
      <c r="H88" s="1266" t="s">
        <v>2007</v>
      </c>
      <c r="I88" s="1263" t="s">
        <v>2008</v>
      </c>
      <c r="J88" s="1263" t="s">
        <v>2009</v>
      </c>
      <c r="K88" s="1267">
        <v>151500000</v>
      </c>
      <c r="L88" s="1268">
        <v>583000000</v>
      </c>
    </row>
    <row r="89" spans="2:12">
      <c r="B89" s="2060" t="s">
        <v>144</v>
      </c>
      <c r="C89" s="2061"/>
      <c r="D89" s="2062"/>
      <c r="E89" s="1270">
        <v>2125500000</v>
      </c>
      <c r="F89" s="1271">
        <v>2557000000</v>
      </c>
      <c r="H89" s="2060" t="s">
        <v>144</v>
      </c>
      <c r="I89" s="2061"/>
      <c r="J89" s="2062"/>
      <c r="K89" s="1272">
        <f>SUM(K85:K88)</f>
        <v>1639500000</v>
      </c>
      <c r="L89" s="1271">
        <v>2557000000</v>
      </c>
    </row>
    <row r="92" spans="2:12">
      <c r="B92" s="555" t="s">
        <v>2825</v>
      </c>
      <c r="D92" s="1197" t="s">
        <v>2833</v>
      </c>
    </row>
    <row r="94" spans="2:12">
      <c r="B94" s="555" t="s">
        <v>2823</v>
      </c>
    </row>
    <row r="95" spans="2:12">
      <c r="B95" s="555" t="s">
        <v>2826</v>
      </c>
    </row>
    <row r="97" spans="2:4">
      <c r="B97" s="555" t="s">
        <v>2824</v>
      </c>
    </row>
    <row r="98" spans="2:4">
      <c r="B98" s="555" t="s">
        <v>2827</v>
      </c>
    </row>
    <row r="100" spans="2:4">
      <c r="B100" s="555" t="s">
        <v>2828</v>
      </c>
      <c r="D100" s="1197" t="s">
        <v>2835</v>
      </c>
    </row>
    <row r="102" spans="2:4">
      <c r="B102" s="555" t="s">
        <v>2829</v>
      </c>
      <c r="D102" s="1197" t="s">
        <v>2830</v>
      </c>
    </row>
  </sheetData>
  <mergeCells count="34">
    <mergeCell ref="H82:H83"/>
    <mergeCell ref="I82:I83"/>
    <mergeCell ref="J82:J83"/>
    <mergeCell ref="K82:L82"/>
    <mergeCell ref="B89:D89"/>
    <mergeCell ref="H89:J89"/>
    <mergeCell ref="B82:B83"/>
    <mergeCell ref="C82:C83"/>
    <mergeCell ref="D82:D83"/>
    <mergeCell ref="E82:F82"/>
    <mergeCell ref="B38:B39"/>
    <mergeCell ref="C38:D38"/>
    <mergeCell ref="E38:F38"/>
    <mergeCell ref="B40:F40"/>
    <mergeCell ref="B47:B49"/>
    <mergeCell ref="E31:E32"/>
    <mergeCell ref="F31:F32"/>
    <mergeCell ref="B33:G33"/>
    <mergeCell ref="B34:B35"/>
    <mergeCell ref="C34:C35"/>
    <mergeCell ref="D34:D35"/>
    <mergeCell ref="E34:E35"/>
    <mergeCell ref="D31:D32"/>
    <mergeCell ref="B20:C21"/>
    <mergeCell ref="B22:C22"/>
    <mergeCell ref="B26:C26"/>
    <mergeCell ref="B31:B32"/>
    <mergeCell ref="C31:C32"/>
    <mergeCell ref="B13:C13"/>
    <mergeCell ref="B5:C5"/>
    <mergeCell ref="B6:C6"/>
    <mergeCell ref="B7:C7"/>
    <mergeCell ref="B8:B11"/>
    <mergeCell ref="B12:C12"/>
  </mergeCells>
  <phoneticPr fontId="3" type="noConversion"/>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43"/>
  <dimension ref="B1:G33"/>
  <sheetViews>
    <sheetView showGridLines="0" topLeftCell="A7" zoomScale="85" zoomScaleNormal="85" workbookViewId="0">
      <selection activeCell="H28" sqref="H28"/>
    </sheetView>
  </sheetViews>
  <sheetFormatPr defaultColWidth="8.625" defaultRowHeight="16.5"/>
  <cols>
    <col min="1" max="1" width="8.625" style="418"/>
    <col min="2" max="2" width="32.875" style="418" customWidth="1"/>
    <col min="3" max="9" width="28" style="418" customWidth="1"/>
    <col min="10" max="16384" width="8.625" style="418"/>
  </cols>
  <sheetData>
    <row r="1" spans="2:7">
      <c r="C1" s="1566" t="s">
        <v>3004</v>
      </c>
      <c r="D1" s="1566" t="s">
        <v>339</v>
      </c>
    </row>
    <row r="3" spans="2:7">
      <c r="B3" s="478" t="s">
        <v>615</v>
      </c>
    </row>
    <row r="4" spans="2:7">
      <c r="B4" s="418" t="s">
        <v>1782</v>
      </c>
    </row>
    <row r="5" spans="2:7">
      <c r="B5" s="2066" t="s">
        <v>398</v>
      </c>
      <c r="C5" s="2064" t="s">
        <v>352</v>
      </c>
      <c r="D5" s="772" t="str">
        <f>$C$1</f>
        <v>당기말</v>
      </c>
      <c r="E5" s="2064" t="s">
        <v>1772</v>
      </c>
      <c r="F5" s="2068" t="s">
        <v>1773</v>
      </c>
    </row>
    <row r="6" spans="2:7">
      <c r="B6" s="2067"/>
      <c r="C6" s="2065"/>
      <c r="D6" s="773" t="s">
        <v>490</v>
      </c>
      <c r="E6" s="2065"/>
      <c r="F6" s="2069"/>
    </row>
    <row r="7" spans="2:7">
      <c r="B7" s="774" t="s">
        <v>1776</v>
      </c>
      <c r="C7" s="775" t="s">
        <v>1777</v>
      </c>
      <c r="D7" s="776">
        <v>1</v>
      </c>
      <c r="E7" s="775" t="s">
        <v>1775</v>
      </c>
      <c r="F7" s="777" t="s">
        <v>1778</v>
      </c>
    </row>
    <row r="8" spans="2:7">
      <c r="B8" s="774" t="s">
        <v>1779</v>
      </c>
      <c r="C8" s="775" t="s">
        <v>1777</v>
      </c>
      <c r="D8" s="776">
        <v>1</v>
      </c>
      <c r="E8" s="775" t="s">
        <v>1775</v>
      </c>
      <c r="F8" s="777" t="s">
        <v>1780</v>
      </c>
    </row>
    <row r="9" spans="2:7">
      <c r="B9" s="774" t="s">
        <v>1428</v>
      </c>
      <c r="C9" s="775" t="s">
        <v>1781</v>
      </c>
      <c r="D9" s="776">
        <v>1</v>
      </c>
      <c r="E9" s="775" t="s">
        <v>1775</v>
      </c>
      <c r="F9" s="777" t="s">
        <v>1778</v>
      </c>
    </row>
    <row r="10" spans="2:7">
      <c r="B10" s="778" t="s">
        <v>622</v>
      </c>
      <c r="C10" s="779" t="s">
        <v>353</v>
      </c>
      <c r="D10" s="780">
        <v>100</v>
      </c>
      <c r="E10" s="779" t="s">
        <v>1775</v>
      </c>
      <c r="F10" s="781" t="s">
        <v>1778</v>
      </c>
    </row>
    <row r="11" spans="2:7">
      <c r="B11" s="778" t="s">
        <v>3843</v>
      </c>
      <c r="C11" s="779" t="s">
        <v>1400</v>
      </c>
      <c r="D11" s="1810">
        <v>0.502</v>
      </c>
      <c r="E11" s="779" t="s">
        <v>1775</v>
      </c>
      <c r="F11" s="781" t="s">
        <v>3009</v>
      </c>
    </row>
    <row r="14" spans="2:7">
      <c r="B14" s="782" t="s">
        <v>1783</v>
      </c>
    </row>
    <row r="15" spans="2:7">
      <c r="B15" s="855" t="s">
        <v>360</v>
      </c>
      <c r="C15" s="2063" t="str">
        <f>D5</f>
        <v>당기말</v>
      </c>
      <c r="D15" s="2063"/>
      <c r="E15" s="2063"/>
      <c r="F15" s="2063"/>
    </row>
    <row r="16" spans="2:7" ht="33">
      <c r="B16" s="855" t="s">
        <v>1784</v>
      </c>
      <c r="C16" s="855" t="s">
        <v>829</v>
      </c>
      <c r="D16" s="855" t="s">
        <v>1779</v>
      </c>
      <c r="E16" s="855" t="s">
        <v>1428</v>
      </c>
      <c r="F16" s="855" t="s">
        <v>622</v>
      </c>
      <c r="G16" s="855" t="s">
        <v>3843</v>
      </c>
    </row>
    <row r="17" spans="2:7">
      <c r="B17" s="856" t="s">
        <v>4</v>
      </c>
      <c r="C17" s="857">
        <f>BS!J5</f>
        <v>2042118015</v>
      </c>
      <c r="D17" s="857">
        <f>BS!K5</f>
        <v>66475063</v>
      </c>
      <c r="E17" s="857">
        <f>BS!L5</f>
        <v>2287111</v>
      </c>
      <c r="F17" s="857">
        <f>BS!M5</f>
        <v>22492142</v>
      </c>
      <c r="G17" s="857">
        <f>BS!N5</f>
        <v>2658778533</v>
      </c>
    </row>
    <row r="18" spans="2:7">
      <c r="B18" s="856" t="s">
        <v>25</v>
      </c>
      <c r="C18" s="857">
        <f>BS!J39</f>
        <v>225947074</v>
      </c>
      <c r="D18" s="857">
        <f>BS!K39</f>
        <v>291758933</v>
      </c>
      <c r="E18" s="857">
        <f>BS!L39</f>
        <v>0</v>
      </c>
      <c r="F18" s="857">
        <f>BS!M39</f>
        <v>0</v>
      </c>
      <c r="G18" s="857">
        <f>BS!N39</f>
        <v>8080134954</v>
      </c>
    </row>
    <row r="19" spans="2:7">
      <c r="B19" s="856" t="s">
        <v>267</v>
      </c>
      <c r="C19" s="857">
        <f>SUM(C17:C18)</f>
        <v>2268065089</v>
      </c>
      <c r="D19" s="857">
        <f t="shared" ref="D19:F19" si="0">SUM(D17:D18)</f>
        <v>358233996</v>
      </c>
      <c r="E19" s="857">
        <f t="shared" si="0"/>
        <v>2287111</v>
      </c>
      <c r="F19" s="857">
        <f t="shared" si="0"/>
        <v>22492142</v>
      </c>
      <c r="G19" s="857">
        <f t="shared" ref="G19" si="1">SUM(G17:G18)</f>
        <v>10738913487</v>
      </c>
    </row>
    <row r="20" spans="2:7">
      <c r="B20" s="856" t="s">
        <v>47</v>
      </c>
      <c r="C20" s="857">
        <f>BS!J89</f>
        <v>516057216</v>
      </c>
      <c r="D20" s="857">
        <f>BS!K89</f>
        <v>1649671107</v>
      </c>
      <c r="E20" s="857">
        <f>BS!L89</f>
        <v>0</v>
      </c>
      <c r="F20" s="857">
        <f>BS!M89</f>
        <v>0</v>
      </c>
      <c r="G20" s="857">
        <f>BS!N89</f>
        <v>9388591014</v>
      </c>
    </row>
    <row r="21" spans="2:7">
      <c r="B21" s="856" t="s">
        <v>56</v>
      </c>
      <c r="C21" s="857">
        <f>BS!J107</f>
        <v>0</v>
      </c>
      <c r="D21" s="857">
        <f>BS!K107</f>
        <v>0</v>
      </c>
      <c r="E21" s="857">
        <f>BS!L107</f>
        <v>0</v>
      </c>
      <c r="F21" s="857">
        <f>BS!M107</f>
        <v>0</v>
      </c>
      <c r="G21" s="857">
        <f>BS!N107</f>
        <v>1113355079</v>
      </c>
    </row>
    <row r="22" spans="2:7">
      <c r="B22" s="856" t="s">
        <v>268</v>
      </c>
      <c r="C22" s="857">
        <f>SUM(C20:C21)</f>
        <v>516057216</v>
      </c>
      <c r="D22" s="857">
        <f t="shared" ref="D22:F22" si="2">SUM(D20:D21)</f>
        <v>1649671107</v>
      </c>
      <c r="E22" s="857">
        <f t="shared" si="2"/>
        <v>0</v>
      </c>
      <c r="F22" s="857">
        <f t="shared" si="2"/>
        <v>0</v>
      </c>
      <c r="G22" s="857">
        <f t="shared" ref="G22" si="3">SUM(G20:G21)</f>
        <v>10501946093</v>
      </c>
    </row>
    <row r="23" spans="2:7">
      <c r="B23" s="856" t="s">
        <v>61</v>
      </c>
      <c r="C23" s="857">
        <f>BS!J120</f>
        <v>1752007873</v>
      </c>
      <c r="D23" s="857">
        <f>BS!K120</f>
        <v>-1291437111</v>
      </c>
      <c r="E23" s="857">
        <f>BS!L120</f>
        <v>2287111</v>
      </c>
      <c r="F23" s="857">
        <f>BS!M120</f>
        <v>22492142</v>
      </c>
      <c r="G23" s="857">
        <f>BS!N120</f>
        <v>236967394</v>
      </c>
    </row>
    <row r="24" spans="2:7">
      <c r="B24" s="856" t="s">
        <v>1131</v>
      </c>
      <c r="C24" s="857">
        <f>C23+C22</f>
        <v>2268065089</v>
      </c>
      <c r="D24" s="857">
        <f t="shared" ref="D24:F24" si="4">D23+D22</f>
        <v>358233996</v>
      </c>
      <c r="E24" s="857">
        <f t="shared" si="4"/>
        <v>2287111</v>
      </c>
      <c r="F24" s="857">
        <f t="shared" si="4"/>
        <v>22492142</v>
      </c>
      <c r="G24" s="857">
        <f t="shared" ref="G24" si="5">G23+G22</f>
        <v>10738913487</v>
      </c>
    </row>
    <row r="25" spans="2:7">
      <c r="C25" s="418" t="b">
        <f>C24=C19</f>
        <v>1</v>
      </c>
      <c r="D25" s="418" t="b">
        <f t="shared" ref="D25:F25" si="6">D24=D19</f>
        <v>1</v>
      </c>
      <c r="E25" s="418" t="b">
        <f t="shared" si="6"/>
        <v>1</v>
      </c>
      <c r="F25" s="418" t="b">
        <f t="shared" si="6"/>
        <v>1</v>
      </c>
      <c r="G25" s="418" t="b">
        <f t="shared" ref="G25" si="7">G24=G19</f>
        <v>1</v>
      </c>
    </row>
    <row r="27" spans="2:7">
      <c r="B27" s="855" t="s">
        <v>360</v>
      </c>
      <c r="C27" s="2063" t="str">
        <f>$D$1</f>
        <v>당기</v>
      </c>
      <c r="D27" s="2063"/>
      <c r="E27" s="2063"/>
      <c r="F27" s="2063"/>
    </row>
    <row r="28" spans="2:7" ht="37.5" customHeight="1">
      <c r="B28" s="2063" t="s">
        <v>1784</v>
      </c>
      <c r="C28" s="2063" t="s">
        <v>829</v>
      </c>
      <c r="D28" s="2063" t="s">
        <v>1779</v>
      </c>
      <c r="E28" s="2063" t="s">
        <v>1428</v>
      </c>
      <c r="F28" s="2063" t="s">
        <v>622</v>
      </c>
      <c r="G28" s="2063" t="s">
        <v>3843</v>
      </c>
    </row>
    <row r="29" spans="2:7">
      <c r="B29" s="2063"/>
      <c r="C29" s="2063"/>
      <c r="D29" s="2063"/>
      <c r="E29" s="2063"/>
      <c r="F29" s="2063"/>
      <c r="G29" s="2063"/>
    </row>
    <row r="30" spans="2:7">
      <c r="B30" s="856" t="s">
        <v>81</v>
      </c>
      <c r="C30" s="857">
        <f>PL!K6</f>
        <v>807627666</v>
      </c>
      <c r="D30" s="857">
        <f>PL!L6</f>
        <v>110521930</v>
      </c>
      <c r="E30" s="857">
        <f>PL!M6</f>
        <v>0</v>
      </c>
      <c r="F30" s="857">
        <f>PL!N6</f>
        <v>0</v>
      </c>
      <c r="G30" s="857">
        <f>PL!O6</f>
        <v>0</v>
      </c>
    </row>
    <row r="31" spans="2:7">
      <c r="B31" s="856" t="s">
        <v>86</v>
      </c>
      <c r="C31" s="857">
        <f>PL!K78</f>
        <v>46570058</v>
      </c>
      <c r="D31" s="857">
        <f>PL!L78</f>
        <v>-96914714</v>
      </c>
      <c r="E31" s="857">
        <f>PL!M78</f>
        <v>-15619049</v>
      </c>
      <c r="F31" s="857">
        <f>PL!N78</f>
        <v>-8656005</v>
      </c>
      <c r="G31" s="857">
        <f>PL!O78</f>
        <v>0</v>
      </c>
    </row>
    <row r="32" spans="2:7">
      <c r="B32" s="856" t="s">
        <v>2646</v>
      </c>
      <c r="C32" s="857">
        <f>PL!K113</f>
        <v>44207891</v>
      </c>
      <c r="D32" s="857">
        <f>PL!L113</f>
        <v>-96926329</v>
      </c>
      <c r="E32" s="857">
        <f>PL!M113</f>
        <v>17291318</v>
      </c>
      <c r="F32" s="857">
        <f>PL!N113</f>
        <v>-8686031</v>
      </c>
      <c r="G32" s="857">
        <f>PL!O113</f>
        <v>0</v>
      </c>
    </row>
    <row r="33" spans="2:7">
      <c r="B33" s="856" t="s">
        <v>272</v>
      </c>
      <c r="C33" s="857">
        <f>PL!K120</f>
        <v>144176416</v>
      </c>
      <c r="D33" s="857">
        <f>PL!L120</f>
        <v>-174380350</v>
      </c>
      <c r="E33" s="857">
        <f>PL!M120</f>
        <v>16597898</v>
      </c>
      <c r="F33" s="857">
        <f>PL!N120</f>
        <v>-6944721</v>
      </c>
      <c r="G33" s="857">
        <f>PL!O120</f>
        <v>0</v>
      </c>
    </row>
  </sheetData>
  <mergeCells count="12">
    <mergeCell ref="B5:B6"/>
    <mergeCell ref="C5:C6"/>
    <mergeCell ref="F5:F6"/>
    <mergeCell ref="B28:B29"/>
    <mergeCell ref="C28:C29"/>
    <mergeCell ref="D28:D29"/>
    <mergeCell ref="E28:E29"/>
    <mergeCell ref="G28:G29"/>
    <mergeCell ref="F28:F29"/>
    <mergeCell ref="C27:F27"/>
    <mergeCell ref="C15:F15"/>
    <mergeCell ref="E5:E6"/>
  </mergeCells>
  <phoneticPr fontId="3"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 operator="containsText" id="{3C2ADE2F-C79F-48D1-8FAC-FB4124252C51}">
            <xm:f>NOT(ISERROR(SEARCH("true",A1)))</xm:f>
            <xm:f>"true"</xm:f>
            <x14:dxf>
              <fill>
                <patternFill>
                  <bgColor theme="9" tint="0.79998168889431442"/>
                </patternFill>
              </fill>
            </x14:dxf>
          </x14:cfRule>
          <x14:cfRule type="containsText" priority="2" operator="containsText" id="{0E421613-1EA0-4E91-AA9F-09A378D4248B}">
            <xm:f>NOT(ISERROR(SEARCH("False",A1)))</xm:f>
            <xm:f>"False"</xm:f>
            <x14:dxf>
              <fill>
                <patternFill>
                  <bgColor rgb="FFC00000"/>
                </patternFill>
              </fill>
            </x14:dxf>
          </x14:cfRule>
          <xm:sqref>A1:XFD1048576</xm:sqref>
        </x14:conditionalFormatting>
      </x14:conditionalFormattings>
    </ext>
  </extLs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44"/>
  <dimension ref="B3:B5"/>
  <sheetViews>
    <sheetView showGridLines="0" zoomScaleNormal="100" workbookViewId="0">
      <selection activeCell="D63" sqref="D63"/>
    </sheetView>
  </sheetViews>
  <sheetFormatPr defaultColWidth="8.625" defaultRowHeight="16.5"/>
  <sheetData>
    <row r="3" spans="2:2">
      <c r="B3" s="199" t="s">
        <v>614</v>
      </c>
    </row>
    <row r="5" spans="2:2">
      <c r="B5" s="542" t="s">
        <v>613</v>
      </c>
    </row>
  </sheetData>
  <phoneticPr fontId="3" type="noConversion"/>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45"/>
  <dimension ref="B3:B5"/>
  <sheetViews>
    <sheetView showGridLines="0" zoomScaleNormal="100" workbookViewId="0">
      <selection activeCell="D63" sqref="D63"/>
    </sheetView>
  </sheetViews>
  <sheetFormatPr defaultRowHeight="16.5"/>
  <sheetData>
    <row r="3" spans="2:2">
      <c r="B3" s="199" t="s">
        <v>1869</v>
      </c>
    </row>
    <row r="5" spans="2:2">
      <c r="B5" s="542" t="s">
        <v>613</v>
      </c>
    </row>
  </sheetData>
  <phoneticPr fontId="3" type="noConversion"/>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48"/>
  <dimension ref="B2:M118"/>
  <sheetViews>
    <sheetView showGridLines="0" topLeftCell="A55" zoomScale="85" zoomScaleNormal="85" workbookViewId="0">
      <selection activeCell="J79" sqref="J79"/>
    </sheetView>
  </sheetViews>
  <sheetFormatPr defaultColWidth="24.625" defaultRowHeight="16.5" outlineLevelRow="1"/>
  <cols>
    <col min="1" max="1" width="6.125" style="418" customWidth="1"/>
    <col min="2" max="12" width="17.125" style="418" customWidth="1"/>
    <col min="13" max="16384" width="24.625" style="418"/>
  </cols>
  <sheetData>
    <row r="2" spans="2:10" s="859" customFormat="1">
      <c r="B2" s="849" t="s">
        <v>2151</v>
      </c>
      <c r="C2" s="418"/>
      <c r="D2" s="418"/>
      <c r="E2" s="418"/>
      <c r="F2" s="418"/>
      <c r="G2" s="418"/>
      <c r="H2" s="858"/>
      <c r="I2" s="858"/>
      <c r="J2" s="858"/>
    </row>
    <row r="3" spans="2:10" s="1405" customFormat="1" ht="13.5">
      <c r="B3" s="102"/>
      <c r="C3" s="101"/>
      <c r="D3" s="101"/>
      <c r="E3" s="101"/>
      <c r="F3" s="101"/>
      <c r="G3" s="101"/>
      <c r="H3" s="1404"/>
      <c r="I3" s="1404"/>
      <c r="J3" s="1404"/>
    </row>
    <row r="4" spans="2:10" s="1405" customFormat="1" ht="13.5">
      <c r="B4" s="103" t="s">
        <v>2152</v>
      </c>
      <c r="C4" s="101"/>
      <c r="D4" s="101"/>
      <c r="E4" s="101"/>
      <c r="F4" s="101"/>
      <c r="G4" s="101"/>
      <c r="H4" s="1404"/>
      <c r="I4" s="1404"/>
      <c r="J4" s="1404"/>
    </row>
    <row r="5" spans="2:10" s="101" customFormat="1" ht="13.5">
      <c r="B5" s="101" t="s">
        <v>2153</v>
      </c>
    </row>
    <row r="6" spans="2:10" s="101" customFormat="1" ht="13.5">
      <c r="B6" s="101" t="s">
        <v>2154</v>
      </c>
    </row>
    <row r="7" spans="2:10" s="101" customFormat="1" ht="13.5"/>
    <row r="8" spans="2:10" s="101" customFormat="1" ht="13.5">
      <c r="B8" s="101" t="s">
        <v>2155</v>
      </c>
    </row>
    <row r="9" spans="2:10" s="101" customFormat="1" ht="13.5"/>
    <row r="10" spans="2:10" s="101" customFormat="1" ht="13.5">
      <c r="B10" s="101" t="s">
        <v>2156</v>
      </c>
    </row>
    <row r="11" spans="2:10" s="101" customFormat="1" ht="13.5">
      <c r="B11" s="101" t="s">
        <v>2157</v>
      </c>
    </row>
    <row r="12" spans="2:10" s="101" customFormat="1" ht="13.5">
      <c r="B12" s="101" t="s">
        <v>2158</v>
      </c>
    </row>
    <row r="13" spans="2:10" s="101" customFormat="1" ht="13.5">
      <c r="B13" s="101" t="s">
        <v>2159</v>
      </c>
    </row>
    <row r="14" spans="2:10" s="101" customFormat="1" ht="13.5" outlineLevel="1"/>
    <row r="15" spans="2:10" s="101" customFormat="1" ht="13.5" outlineLevel="1">
      <c r="B15" s="1327" t="s">
        <v>2240</v>
      </c>
      <c r="C15" s="1327" t="s">
        <v>413</v>
      </c>
    </row>
    <row r="16" spans="2:10" s="101" customFormat="1" ht="13.5" outlineLevel="1">
      <c r="B16" s="1406" t="s">
        <v>358</v>
      </c>
      <c r="C16" s="1407">
        <v>1685.72</v>
      </c>
    </row>
    <row r="17" spans="2:13" s="101" customFormat="1" ht="13.5" outlineLevel="1">
      <c r="B17" s="1406" t="s">
        <v>357</v>
      </c>
      <c r="C17" s="1407">
        <v>1434.9</v>
      </c>
    </row>
    <row r="18" spans="2:13" s="101" customFormat="1" ht="13.5" outlineLevel="1">
      <c r="B18" s="1406" t="s">
        <v>2162</v>
      </c>
      <c r="C18" s="1407">
        <v>1932.31</v>
      </c>
      <c r="I18" s="1119"/>
    </row>
    <row r="19" spans="2:13" s="101" customFormat="1" ht="13.5" outlineLevel="1">
      <c r="B19" s="1406" t="s">
        <v>2163</v>
      </c>
      <c r="C19" s="1407">
        <v>204.75980000000001</v>
      </c>
    </row>
    <row r="20" spans="2:13" s="101" customFormat="1" ht="13.5" outlineLevel="1">
      <c r="B20" s="1604" t="s">
        <v>1845</v>
      </c>
      <c r="C20" s="1605">
        <v>184.41</v>
      </c>
    </row>
    <row r="21" spans="2:13" s="101" customFormat="1" ht="13.5" outlineLevel="1">
      <c r="B21" s="1811" t="s">
        <v>2728</v>
      </c>
      <c r="C21" s="1812">
        <f>9.1763*100</f>
        <v>917.63</v>
      </c>
    </row>
    <row r="22" spans="2:13" s="101" customFormat="1" ht="13.5" outlineLevel="1">
      <c r="B22" s="1811" t="s">
        <v>1850</v>
      </c>
      <c r="C22" s="1812">
        <v>1117.52</v>
      </c>
    </row>
    <row r="23" spans="2:13" s="101" customFormat="1" ht="13.5" outlineLevel="1">
      <c r="E23" s="1408" t="s">
        <v>1874</v>
      </c>
    </row>
    <row r="24" spans="2:13" s="101" customFormat="1" ht="13.5" outlineLevel="1">
      <c r="B24" s="2072" t="s">
        <v>257</v>
      </c>
      <c r="C24" s="2074" t="s">
        <v>572</v>
      </c>
      <c r="D24" s="2076" t="s">
        <v>335</v>
      </c>
      <c r="E24" s="2077"/>
    </row>
    <row r="25" spans="2:13" s="101" customFormat="1" ht="13.5" outlineLevel="1">
      <c r="B25" s="2073"/>
      <c r="C25" s="2075"/>
      <c r="D25" s="1409" t="s">
        <v>2160</v>
      </c>
      <c r="E25" s="1409" t="s">
        <v>2161</v>
      </c>
      <c r="G25" s="1327" t="s">
        <v>403</v>
      </c>
      <c r="H25" s="1327" t="s">
        <v>3412</v>
      </c>
      <c r="I25" s="1327" t="s">
        <v>1402</v>
      </c>
      <c r="J25" s="1327" t="s">
        <v>1403</v>
      </c>
      <c r="K25" s="1327" t="s">
        <v>1404</v>
      </c>
      <c r="L25" s="1327" t="s">
        <v>1398</v>
      </c>
    </row>
    <row r="26" spans="2:13" s="101" customFormat="1" ht="13.5" outlineLevel="1">
      <c r="B26" s="2078" t="s">
        <v>359</v>
      </c>
      <c r="C26" s="1377" t="s">
        <v>358</v>
      </c>
      <c r="D26" s="1410">
        <f t="shared" ref="D26:D29" si="0">SUM(G26:L26)</f>
        <v>0</v>
      </c>
      <c r="E26" s="1410">
        <f>D26*VLOOKUP(C26,$B$16:$C$22,2,0)</f>
        <v>0</v>
      </c>
      <c r="G26" s="1411">
        <v>0</v>
      </c>
      <c r="H26" s="1813">
        <v>0</v>
      </c>
      <c r="I26" s="1411">
        <v>0</v>
      </c>
      <c r="J26" s="1411">
        <v>0</v>
      </c>
      <c r="K26" s="1411">
        <v>0</v>
      </c>
      <c r="L26" s="1411">
        <v>0</v>
      </c>
      <c r="M26" s="101" t="s">
        <v>2241</v>
      </c>
    </row>
    <row r="27" spans="2:13" s="101" customFormat="1" ht="13.5" outlineLevel="1">
      <c r="B27" s="2079"/>
      <c r="C27" s="1377" t="s">
        <v>357</v>
      </c>
      <c r="D27" s="1410">
        <f t="shared" si="0"/>
        <v>138105.95997355002</v>
      </c>
      <c r="E27" s="1410">
        <f>D27*VLOOKUP(C27,$B$16:$C$22,2,0)</f>
        <v>198168241.96604693</v>
      </c>
      <c r="F27" s="1118"/>
      <c r="G27" s="1411">
        <v>132799.92000000001</v>
      </c>
      <c r="H27" s="1813">
        <v>0</v>
      </c>
      <c r="I27" s="1411">
        <v>26.449973550000003</v>
      </c>
      <c r="J27" s="1411">
        <v>0</v>
      </c>
      <c r="K27" s="1411">
        <v>0</v>
      </c>
      <c r="L27" s="1411">
        <v>5279.59</v>
      </c>
      <c r="M27" s="1118"/>
    </row>
    <row r="28" spans="2:13" s="101" customFormat="1" ht="13.5" outlineLevel="1">
      <c r="B28" s="2079"/>
      <c r="C28" s="1377" t="s">
        <v>2162</v>
      </c>
      <c r="D28" s="1411">
        <f t="shared" si="0"/>
        <v>8.04232E-2</v>
      </c>
      <c r="E28" s="1410">
        <f>D28*VLOOKUP(C28,$B$16:$C$22,2,0)</f>
        <v>155.402553592</v>
      </c>
      <c r="G28" s="1411">
        <v>0</v>
      </c>
      <c r="H28" s="1813">
        <v>0</v>
      </c>
      <c r="I28" s="1411">
        <v>8.04232E-2</v>
      </c>
      <c r="J28" s="1411">
        <v>0</v>
      </c>
      <c r="K28" s="1411">
        <v>0</v>
      </c>
      <c r="L28" s="1411">
        <v>0</v>
      </c>
    </row>
    <row r="29" spans="2:13" s="101" customFormat="1" ht="13.5" outlineLevel="1">
      <c r="B29" s="2079"/>
      <c r="C29" s="1377" t="s">
        <v>2729</v>
      </c>
      <c r="D29" s="1410">
        <f t="shared" si="0"/>
        <v>0</v>
      </c>
      <c r="E29" s="1410">
        <f>D29*VLOOKUP(C29,$B$16:$C$22,2,0)</f>
        <v>0</v>
      </c>
      <c r="G29" s="1411">
        <v>0</v>
      </c>
      <c r="H29" s="1813">
        <v>0</v>
      </c>
      <c r="I29" s="1411">
        <v>0</v>
      </c>
      <c r="J29" s="1411">
        <v>0</v>
      </c>
      <c r="K29" s="1411">
        <v>0</v>
      </c>
      <c r="L29" s="1411">
        <v>0</v>
      </c>
    </row>
    <row r="30" spans="2:13" s="101" customFormat="1" ht="13.5" outlineLevel="1">
      <c r="B30" s="2080"/>
      <c r="C30" s="1377" t="s">
        <v>2163</v>
      </c>
      <c r="D30" s="1410">
        <f>SUM(G30:L30)</f>
        <v>3454.6089120800002</v>
      </c>
      <c r="E30" s="1410">
        <f>D30*VLOOKUP(C30,$B$16:$C$22,2,0)</f>
        <v>707365.02991571848</v>
      </c>
      <c r="G30" s="1411">
        <v>3026.03</v>
      </c>
      <c r="H30" s="1813">
        <v>0</v>
      </c>
      <c r="I30" s="1411">
        <v>428.57891207999995</v>
      </c>
      <c r="J30" s="1411">
        <v>0</v>
      </c>
      <c r="K30" s="1411">
        <v>0</v>
      </c>
      <c r="L30" s="1411">
        <v>0</v>
      </c>
    </row>
    <row r="31" spans="2:13" s="101" customFormat="1" ht="13.5" outlineLevel="1">
      <c r="B31" s="1375" t="s">
        <v>8</v>
      </c>
      <c r="C31" s="1377" t="s">
        <v>357</v>
      </c>
      <c r="D31" s="1410">
        <f t="shared" ref="D31" si="1">SUM(G31:L31)</f>
        <v>0</v>
      </c>
      <c r="E31" s="1410">
        <f t="shared" ref="E31" si="2">D31*VLOOKUP(C31,$B$16:$C$19,2,0)</f>
        <v>0</v>
      </c>
      <c r="G31" s="1411">
        <v>0</v>
      </c>
      <c r="H31" s="1813">
        <v>0</v>
      </c>
      <c r="I31" s="1411">
        <v>0</v>
      </c>
      <c r="J31" s="1411">
        <v>0</v>
      </c>
      <c r="K31" s="1411">
        <v>0</v>
      </c>
      <c r="L31" s="1411">
        <v>0</v>
      </c>
    </row>
    <row r="32" spans="2:13" s="101" customFormat="1" ht="13.5" outlineLevel="1">
      <c r="B32" s="1614" t="s">
        <v>10</v>
      </c>
      <c r="C32" s="1377" t="s">
        <v>357</v>
      </c>
      <c r="D32" s="1410">
        <f>SUM(G32:L32)-G36</f>
        <v>797897.00742281717</v>
      </c>
      <c r="E32" s="1410">
        <f t="shared" ref="E32" si="3">D32*VLOOKUP(C32,$B$16:$C$19,2,0)</f>
        <v>1144902415.9510005</v>
      </c>
      <c r="G32" s="1411">
        <v>1075326.9900000002</v>
      </c>
      <c r="H32" s="1813">
        <v>0</v>
      </c>
      <c r="I32" s="1411">
        <v>0</v>
      </c>
      <c r="J32" s="1411">
        <v>0</v>
      </c>
      <c r="K32" s="1411">
        <v>0</v>
      </c>
      <c r="L32" s="1411">
        <v>0</v>
      </c>
    </row>
    <row r="33" spans="2:8" s="101" customFormat="1" ht="13.5" outlineLevel="1">
      <c r="B33" s="2078" t="s">
        <v>144</v>
      </c>
      <c r="C33" s="1377" t="s">
        <v>358</v>
      </c>
      <c r="D33" s="1410">
        <f>SUMIF($C$26:$C$32,C33,$D$26:$D$32)</f>
        <v>0</v>
      </c>
      <c r="E33" s="1410">
        <f>SUMIF($C$26:$C$32,C33,$E$26:$E$32)</f>
        <v>0</v>
      </c>
    </row>
    <row r="34" spans="2:8" s="101" customFormat="1" ht="13.5" outlineLevel="1">
      <c r="B34" s="2079"/>
      <c r="C34" s="1377" t="s">
        <v>357</v>
      </c>
      <c r="D34" s="1410">
        <f>SUMIF($C$26:$C$32,C34,$D$26:$D$32)</f>
        <v>936002.96739636722</v>
      </c>
      <c r="E34" s="1410">
        <f>SUMIF($C$26:$C$32,C34,$E$26:$E$32)</f>
        <v>1343070657.9170475</v>
      </c>
      <c r="G34" s="1611" t="s">
        <v>3032</v>
      </c>
    </row>
    <row r="35" spans="2:8" s="101" customFormat="1" ht="13.5" outlineLevel="1">
      <c r="B35" s="2079"/>
      <c r="C35" s="1377" t="s">
        <v>2162</v>
      </c>
      <c r="D35" s="1411">
        <f>SUMIF($C$26:$C$32,C35,$D$26:$D$32)</f>
        <v>8.04232E-2</v>
      </c>
      <c r="E35" s="1410">
        <f>SUMIF($C$26:$C$32,C35,$E$26:$E$32)</f>
        <v>155.402553592</v>
      </c>
      <c r="G35" s="1612">
        <f>RIT!E58</f>
        <v>398084282</v>
      </c>
      <c r="H35" s="101" t="s">
        <v>3033</v>
      </c>
    </row>
    <row r="36" spans="2:8" s="101" customFormat="1" ht="13.5" outlineLevel="1">
      <c r="B36" s="2079"/>
      <c r="C36" s="1412" t="s">
        <v>2729</v>
      </c>
      <c r="D36" s="1410">
        <f>SUMIF($C$26:$C$32,C36,$D$26:$D$32)</f>
        <v>0</v>
      </c>
      <c r="E36" s="1410">
        <f>SUMIF($C$26:$C$32,C36,$E$26:$E$32)</f>
        <v>0</v>
      </c>
      <c r="G36" s="1613">
        <f>G35/C17</f>
        <v>277429.98257718305</v>
      </c>
      <c r="H36" s="101" t="s">
        <v>3034</v>
      </c>
    </row>
    <row r="37" spans="2:8" s="101" customFormat="1" ht="13.5" outlineLevel="1">
      <c r="B37" s="2081"/>
      <c r="C37" s="1379" t="s">
        <v>2163</v>
      </c>
      <c r="D37" s="1410">
        <f>SUMIF($C$26:$C$32,C37,$D$26:$D$32)</f>
        <v>3454.6089120800002</v>
      </c>
      <c r="E37" s="1410">
        <f>SUMIF($C$26:$C$32,C37,$E$26:$E$32)</f>
        <v>707365.02991571848</v>
      </c>
    </row>
    <row r="38" spans="2:8" s="101" customFormat="1" ht="13.5" outlineLevel="1"/>
    <row r="39" spans="2:8" s="101" customFormat="1" ht="13.5" outlineLevel="1">
      <c r="B39" s="101" t="s">
        <v>2164</v>
      </c>
    </row>
    <row r="40" spans="2:8" s="101" customFormat="1" ht="13.5" outlineLevel="1">
      <c r="D40" s="1408" t="s">
        <v>1874</v>
      </c>
    </row>
    <row r="41" spans="2:8" s="101" customFormat="1" ht="13.5" outlineLevel="1">
      <c r="B41" s="2070" t="s">
        <v>257</v>
      </c>
      <c r="C41" s="2070" t="s">
        <v>572</v>
      </c>
      <c r="D41" s="1413" t="s">
        <v>2165</v>
      </c>
    </row>
    <row r="42" spans="2:8" s="101" customFormat="1" ht="13.5" outlineLevel="1">
      <c r="B42" s="2070"/>
      <c r="C42" s="2070"/>
      <c r="D42" s="1413" t="s">
        <v>328</v>
      </c>
    </row>
    <row r="43" spans="2:8" s="101" customFormat="1" ht="13.5" outlineLevel="1">
      <c r="B43" s="2071" t="s">
        <v>357</v>
      </c>
      <c r="C43" s="1414" t="s">
        <v>2166</v>
      </c>
      <c r="D43" s="1415">
        <f>ROUND(E34*10%,)</f>
        <v>134307066</v>
      </c>
    </row>
    <row r="44" spans="2:8" s="101" customFormat="1" ht="13.5" outlineLevel="1">
      <c r="B44" s="2071"/>
      <c r="C44" s="1414" t="s">
        <v>2167</v>
      </c>
      <c r="D44" s="1415">
        <f>-D43</f>
        <v>-134307066</v>
      </c>
    </row>
    <row r="45" spans="2:8" s="101" customFormat="1" ht="13.5" outlineLevel="1">
      <c r="B45" s="2071" t="s">
        <v>358</v>
      </c>
      <c r="C45" s="1414" t="s">
        <v>2166</v>
      </c>
      <c r="D45" s="1415">
        <f>ROUND(E33*10%,)</f>
        <v>0</v>
      </c>
    </row>
    <row r="46" spans="2:8" s="101" customFormat="1" ht="13.5" outlineLevel="1">
      <c r="B46" s="2071"/>
      <c r="C46" s="1414" t="s">
        <v>2167</v>
      </c>
      <c r="D46" s="1415">
        <f>-D45</f>
        <v>0</v>
      </c>
    </row>
    <row r="47" spans="2:8" s="101" customFormat="1" ht="13.5" outlineLevel="1">
      <c r="B47" s="2071" t="s">
        <v>2162</v>
      </c>
      <c r="C47" s="1414" t="s">
        <v>2166</v>
      </c>
      <c r="D47" s="1415">
        <f>ROUND(E35*10%,)</f>
        <v>16</v>
      </c>
    </row>
    <row r="48" spans="2:8" s="101" customFormat="1" ht="13.5" outlineLevel="1">
      <c r="B48" s="2071"/>
      <c r="C48" s="1414" t="s">
        <v>2167</v>
      </c>
      <c r="D48" s="1415">
        <f>-D47</f>
        <v>-16</v>
      </c>
    </row>
    <row r="49" spans="2:4" s="101" customFormat="1" ht="13.5" outlineLevel="1">
      <c r="B49" s="2071" t="s">
        <v>2729</v>
      </c>
      <c r="C49" s="1414" t="s">
        <v>2166</v>
      </c>
      <c r="D49" s="1415">
        <f>ROUND(E36*10%,)</f>
        <v>0</v>
      </c>
    </row>
    <row r="50" spans="2:4" s="101" customFormat="1" ht="13.5" outlineLevel="1">
      <c r="B50" s="2071"/>
      <c r="C50" s="1414" t="s">
        <v>2167</v>
      </c>
      <c r="D50" s="1415">
        <f>-D49</f>
        <v>0</v>
      </c>
    </row>
    <row r="51" spans="2:4" s="101" customFormat="1" ht="13.5" outlineLevel="1">
      <c r="B51" s="2071" t="s">
        <v>2163</v>
      </c>
      <c r="C51" s="1414" t="s">
        <v>2166</v>
      </c>
      <c r="D51" s="1415">
        <f>ROUND(E37*10%,)</f>
        <v>70737</v>
      </c>
    </row>
    <row r="52" spans="2:4" s="101" customFormat="1" ht="13.5" outlineLevel="1">
      <c r="B52" s="2071"/>
      <c r="C52" s="1414" t="s">
        <v>2167</v>
      </c>
      <c r="D52" s="1415">
        <f>-D51</f>
        <v>-70737</v>
      </c>
    </row>
    <row r="53" spans="2:4" s="101" customFormat="1" ht="13.5" outlineLevel="1">
      <c r="B53" s="102"/>
    </row>
    <row r="54" spans="2:4" s="101" customFormat="1" ht="13.5">
      <c r="B54" s="101" t="s">
        <v>2168</v>
      </c>
    </row>
    <row r="55" spans="2:4" s="101" customFormat="1" ht="13.5">
      <c r="B55" s="101" t="s">
        <v>2169</v>
      </c>
    </row>
    <row r="56" spans="2:4" s="101" customFormat="1" ht="13.5"/>
    <row r="57" spans="2:4" s="101" customFormat="1" ht="13.5">
      <c r="B57" s="101" t="s">
        <v>2170</v>
      </c>
    </row>
    <row r="58" spans="2:4" s="101" customFormat="1" ht="13.5">
      <c r="B58" s="101" t="s">
        <v>2171</v>
      </c>
    </row>
    <row r="59" spans="2:4" s="101" customFormat="1" ht="13.5">
      <c r="B59" s="101" t="s">
        <v>2172</v>
      </c>
    </row>
    <row r="60" spans="2:4" s="101" customFormat="1" ht="13.5"/>
    <row r="61" spans="2:4" s="101" customFormat="1" ht="13.5">
      <c r="B61" s="101" t="s">
        <v>2173</v>
      </c>
    </row>
    <row r="62" spans="2:4" s="101" customFormat="1" ht="13.5">
      <c r="B62" s="101" t="s">
        <v>2174</v>
      </c>
    </row>
    <row r="63" spans="2:4" s="101" customFormat="1" ht="13.5">
      <c r="B63" s="101" t="s">
        <v>2175</v>
      </c>
    </row>
    <row r="64" spans="2:4" s="101" customFormat="1" ht="13.5">
      <c r="B64" s="101" t="s">
        <v>2176</v>
      </c>
    </row>
    <row r="65" spans="2:12" s="101" customFormat="1" ht="13.5"/>
    <row r="66" spans="2:12" s="101" customFormat="1" ht="13.5">
      <c r="B66" s="101" t="s">
        <v>2915</v>
      </c>
    </row>
    <row r="67" spans="2:12" s="101" customFormat="1" ht="13.5">
      <c r="B67" s="101" t="s">
        <v>2177</v>
      </c>
    </row>
    <row r="68" spans="2:12" s="101" customFormat="1" ht="13.5">
      <c r="B68" s="101" t="s">
        <v>2178</v>
      </c>
    </row>
    <row r="69" spans="2:12" s="101" customFormat="1" ht="13.5">
      <c r="G69" s="1416" t="s">
        <v>1874</v>
      </c>
    </row>
    <row r="70" spans="2:12" s="101" customFormat="1" ht="13.5">
      <c r="B70" s="1417" t="str">
        <f>'1'!D5</f>
        <v>당기말</v>
      </c>
      <c r="C70" s="1418" t="s">
        <v>2949</v>
      </c>
      <c r="D70" s="1418" t="s">
        <v>1919</v>
      </c>
      <c r="E70" s="1418" t="s">
        <v>2179</v>
      </c>
      <c r="F70" s="1418" t="s">
        <v>2180</v>
      </c>
      <c r="G70" s="1418" t="s">
        <v>2181</v>
      </c>
      <c r="H70" s="1419" t="s">
        <v>144</v>
      </c>
    </row>
    <row r="71" spans="2:12" s="101" customFormat="1" ht="13.5">
      <c r="B71" s="1140" t="s">
        <v>2182</v>
      </c>
      <c r="C71" s="1420">
        <f>연결BS!D77+연결BS!D91</f>
        <v>7787280880</v>
      </c>
      <c r="D71" s="1420">
        <f>연결BS!D77</f>
        <v>7487585981</v>
      </c>
      <c r="E71" s="1420">
        <f>D84</f>
        <v>339690000</v>
      </c>
      <c r="F71" s="1420">
        <v>0</v>
      </c>
      <c r="G71" s="1420">
        <v>0</v>
      </c>
      <c r="H71" s="1421">
        <f>SUM(D71:G71)</f>
        <v>7827275981</v>
      </c>
      <c r="K71" s="1386" t="b">
        <f>H71&gt;=C71</f>
        <v>1</v>
      </c>
    </row>
    <row r="72" spans="2:12" s="101" customFormat="1" ht="13.5">
      <c r="B72" s="1140" t="s">
        <v>50</v>
      </c>
      <c r="C72" s="1420">
        <f>연결BS!D83</f>
        <v>1120000000</v>
      </c>
      <c r="D72" s="1420">
        <v>1141172612</v>
      </c>
      <c r="E72" s="1420">
        <v>0</v>
      </c>
      <c r="F72" s="1420">
        <v>0</v>
      </c>
      <c r="G72" s="1420">
        <v>0</v>
      </c>
      <c r="H72" s="1421">
        <f t="shared" ref="H72:H75" si="4">SUM(D72:G72)</f>
        <v>1141172612</v>
      </c>
      <c r="I72" s="1127">
        <f>H72-연결BS!D83</f>
        <v>21172612</v>
      </c>
      <c r="K72" s="1386" t="b">
        <f t="shared" ref="K72:K75" si="5">H72&gt;=C72</f>
        <v>1</v>
      </c>
      <c r="L72" s="101" t="s">
        <v>3382</v>
      </c>
    </row>
    <row r="73" spans="2:12" s="101" customFormat="1" ht="13.5">
      <c r="B73" s="1140" t="s">
        <v>55</v>
      </c>
      <c r="C73" s="1420">
        <f>연결BS!D84</f>
        <v>0</v>
      </c>
      <c r="D73" s="1420">
        <v>0</v>
      </c>
      <c r="E73" s="1420">
        <v>0</v>
      </c>
      <c r="F73" s="1420">
        <v>0</v>
      </c>
      <c r="G73" s="1420">
        <v>0</v>
      </c>
      <c r="H73" s="1421">
        <f t="shared" si="4"/>
        <v>0</v>
      </c>
      <c r="I73" s="1127">
        <f>H73-연결BS!D84</f>
        <v>0</v>
      </c>
      <c r="K73" s="1386" t="b">
        <f t="shared" si="5"/>
        <v>1</v>
      </c>
      <c r="L73" s="101" t="s">
        <v>3381</v>
      </c>
    </row>
    <row r="74" spans="2:12" s="101" customFormat="1" ht="13.5">
      <c r="B74" s="1140" t="s">
        <v>57</v>
      </c>
      <c r="C74" s="1420">
        <f>연결BS!D90</f>
        <v>4100000000</v>
      </c>
      <c r="D74" s="1420">
        <v>146515315</v>
      </c>
      <c r="E74" s="1420">
        <v>3637400383</v>
      </c>
      <c r="F74" s="1420">
        <v>501992658</v>
      </c>
      <c r="G74" s="1420">
        <v>0</v>
      </c>
      <c r="H74" s="1421">
        <f t="shared" si="4"/>
        <v>4285908356</v>
      </c>
      <c r="I74" s="1127">
        <f>H74-연결BS!D90</f>
        <v>185908356</v>
      </c>
      <c r="J74" s="101" t="s">
        <v>2239</v>
      </c>
      <c r="K74" s="1386" t="b">
        <f t="shared" si="5"/>
        <v>1</v>
      </c>
      <c r="L74" s="101" t="s">
        <v>3381</v>
      </c>
    </row>
    <row r="75" spans="2:12" s="101" customFormat="1" ht="13.5">
      <c r="B75" s="1140" t="s">
        <v>590</v>
      </c>
      <c r="C75" s="1420">
        <f>연결BS!D92+연결BS!D85</f>
        <v>2434405568</v>
      </c>
      <c r="D75" s="1420">
        <f>SUM(D78:D82)</f>
        <v>982934580</v>
      </c>
      <c r="E75" s="1420">
        <f>SUM(E78:E82)</f>
        <v>1113629112</v>
      </c>
      <c r="F75" s="1420">
        <f>SUM(F78:F82)</f>
        <v>181869459</v>
      </c>
      <c r="G75" s="1420">
        <f>SUM(G78:G82)</f>
        <v>379982000</v>
      </c>
      <c r="H75" s="1421">
        <f t="shared" si="4"/>
        <v>2658415151</v>
      </c>
      <c r="I75" s="1118">
        <f>연결BS!D85+연결BS!D92</f>
        <v>2434405568</v>
      </c>
      <c r="J75" s="1119">
        <f>H75-I75</f>
        <v>224009583</v>
      </c>
      <c r="K75" s="1386" t="b">
        <f t="shared" si="5"/>
        <v>1</v>
      </c>
      <c r="L75" s="101" t="s">
        <v>2981</v>
      </c>
    </row>
    <row r="76" spans="2:12" s="101" customFormat="1" ht="13.5">
      <c r="B76" s="1422" t="s">
        <v>144</v>
      </c>
      <c r="C76" s="1423">
        <f>SUM(C71:C75)</f>
        <v>15441686448</v>
      </c>
      <c r="D76" s="1423">
        <f>SUM(D71:D75)</f>
        <v>9758208488</v>
      </c>
      <c r="E76" s="1423">
        <f t="shared" ref="E76:H76" si="6">SUM(E71:E75)</f>
        <v>5090719495</v>
      </c>
      <c r="F76" s="1423">
        <f t="shared" si="6"/>
        <v>683862117</v>
      </c>
      <c r="G76" s="1423">
        <f t="shared" si="6"/>
        <v>379982000</v>
      </c>
      <c r="H76" s="1423">
        <f t="shared" si="6"/>
        <v>15912772100</v>
      </c>
    </row>
    <row r="77" spans="2:12" s="101" customFormat="1" ht="13.5">
      <c r="B77" s="102"/>
      <c r="C77" s="102"/>
    </row>
    <row r="78" spans="2:12" s="101" customFormat="1" ht="13.5">
      <c r="B78" s="1424" t="s">
        <v>403</v>
      </c>
      <c r="C78" s="102"/>
      <c r="D78" s="1420">
        <v>547702980</v>
      </c>
      <c r="E78" s="1420">
        <v>321640312</v>
      </c>
      <c r="F78" s="1420">
        <v>181869459</v>
      </c>
      <c r="G78" s="1420">
        <v>379982000</v>
      </c>
    </row>
    <row r="79" spans="2:12" s="101" customFormat="1" ht="13.5">
      <c r="B79" s="1424" t="s">
        <v>3412</v>
      </c>
      <c r="C79" s="102"/>
      <c r="D79" s="1420">
        <v>435231600</v>
      </c>
      <c r="E79" s="1420">
        <v>791988800</v>
      </c>
      <c r="F79" s="1420">
        <v>0</v>
      </c>
      <c r="G79" s="1420">
        <v>0</v>
      </c>
    </row>
    <row r="80" spans="2:12" s="101" customFormat="1" ht="13.5">
      <c r="B80" s="1424" t="s">
        <v>2740</v>
      </c>
      <c r="C80" s="102"/>
      <c r="D80" s="1420">
        <v>0</v>
      </c>
      <c r="E80" s="1420">
        <v>0</v>
      </c>
      <c r="F80" s="1420">
        <v>0</v>
      </c>
      <c r="G80" s="1420">
        <v>0</v>
      </c>
    </row>
    <row r="81" spans="2:11" s="101" customFormat="1" ht="13.5">
      <c r="B81" s="1424" t="s">
        <v>1404</v>
      </c>
      <c r="C81" s="102"/>
      <c r="D81" s="1420">
        <v>0</v>
      </c>
      <c r="E81" s="1420">
        <v>0</v>
      </c>
      <c r="F81" s="1420">
        <v>0</v>
      </c>
      <c r="G81" s="1420">
        <v>0</v>
      </c>
      <c r="J81" s="1127"/>
      <c r="K81" s="1118"/>
    </row>
    <row r="82" spans="2:11" s="101" customFormat="1" ht="13.5">
      <c r="B82" s="1424" t="s">
        <v>1398</v>
      </c>
      <c r="C82" s="102"/>
      <c r="D82" s="1420">
        <v>0</v>
      </c>
      <c r="E82" s="1420">
        <v>0</v>
      </c>
      <c r="F82" s="1420">
        <v>0</v>
      </c>
      <c r="G82" s="1420">
        <v>0</v>
      </c>
    </row>
    <row r="83" spans="2:11" s="101" customFormat="1" ht="13.5">
      <c r="B83" s="102"/>
      <c r="C83" s="102"/>
      <c r="D83" s="1866"/>
      <c r="E83" s="1866"/>
      <c r="F83" s="1866"/>
      <c r="G83" s="1866"/>
    </row>
    <row r="84" spans="2:11" s="101" customFormat="1" ht="13.5">
      <c r="B84" s="101" t="s">
        <v>4023</v>
      </c>
      <c r="C84" s="102"/>
      <c r="D84" s="1866">
        <f>BS!N116</f>
        <v>339690000</v>
      </c>
      <c r="E84" s="1866"/>
      <c r="F84" s="1866"/>
      <c r="G84" s="1866"/>
    </row>
    <row r="85" spans="2:11" s="101" customFormat="1" ht="13.5">
      <c r="B85" s="102"/>
    </row>
    <row r="86" spans="2:11" s="101" customFormat="1" ht="13.5" hidden="1" outlineLevel="1">
      <c r="B86" s="1417" t="s">
        <v>402</v>
      </c>
      <c r="C86" s="1418" t="s">
        <v>2949</v>
      </c>
      <c r="D86" s="1418" t="s">
        <v>1919</v>
      </c>
      <c r="E86" s="1418" t="s">
        <v>2179</v>
      </c>
      <c r="F86" s="1418" t="s">
        <v>2180</v>
      </c>
      <c r="G86" s="1418" t="s">
        <v>2181</v>
      </c>
      <c r="H86" s="1419" t="s">
        <v>144</v>
      </c>
    </row>
    <row r="87" spans="2:11" s="101" customFormat="1" ht="13.5" hidden="1" outlineLevel="1">
      <c r="B87" s="1140" t="s">
        <v>2182</v>
      </c>
      <c r="C87" s="1420">
        <v>1700812758</v>
      </c>
      <c r="D87" s="1420">
        <v>1700812758</v>
      </c>
      <c r="E87" s="1420">
        <v>0</v>
      </c>
      <c r="F87" s="1420">
        <v>0</v>
      </c>
      <c r="G87" s="1420">
        <v>0</v>
      </c>
      <c r="H87" s="1421">
        <f>SUM(D87:G87)</f>
        <v>1700812758</v>
      </c>
    </row>
    <row r="88" spans="2:11" s="101" customFormat="1" ht="13.5" hidden="1" outlineLevel="1">
      <c r="B88" s="1140" t="s">
        <v>50</v>
      </c>
      <c r="C88" s="1420">
        <v>1120000000</v>
      </c>
      <c r="D88" s="1420">
        <v>1134566105</v>
      </c>
      <c r="E88" s="1420">
        <v>0</v>
      </c>
      <c r="F88" s="1420">
        <v>0</v>
      </c>
      <c r="G88" s="1420">
        <v>0</v>
      </c>
      <c r="H88" s="1421">
        <f t="shared" ref="H88:H91" si="7">SUM(D88:G88)</f>
        <v>1134566105</v>
      </c>
    </row>
    <row r="89" spans="2:11" s="101" customFormat="1" ht="13.5" hidden="1" outlineLevel="1">
      <c r="B89" s="1140" t="s">
        <v>55</v>
      </c>
      <c r="C89" s="1420">
        <v>83300000</v>
      </c>
      <c r="D89" s="1420">
        <v>84665224</v>
      </c>
      <c r="E89" s="1420">
        <v>0</v>
      </c>
      <c r="F89" s="1420">
        <v>0</v>
      </c>
      <c r="G89" s="1420">
        <v>0</v>
      </c>
      <c r="H89" s="1421">
        <f t="shared" si="7"/>
        <v>84665224</v>
      </c>
    </row>
    <row r="90" spans="2:11" s="101" customFormat="1" ht="13.5" hidden="1" outlineLevel="1">
      <c r="B90" s="1140" t="s">
        <v>57</v>
      </c>
      <c r="C90" s="1420">
        <v>4100000000</v>
      </c>
      <c r="D90" s="1420">
        <v>144823010</v>
      </c>
      <c r="E90" s="1420">
        <v>3700178511</v>
      </c>
      <c r="F90" s="1420">
        <v>510116721</v>
      </c>
      <c r="G90" s="1420">
        <v>0</v>
      </c>
      <c r="H90" s="1421">
        <f t="shared" si="7"/>
        <v>4355118242</v>
      </c>
    </row>
    <row r="91" spans="2:11" s="101" customFormat="1" ht="13.5" hidden="1" outlineLevel="1">
      <c r="B91" s="1140" t="s">
        <v>590</v>
      </c>
      <c r="C91" s="1420">
        <v>1595258905</v>
      </c>
      <c r="D91" s="1420">
        <f>SUM(D95:D99)</f>
        <v>556978980</v>
      </c>
      <c r="E91" s="1420">
        <f>SUM(E95:E99)</f>
        <v>501977980</v>
      </c>
      <c r="F91" s="1420">
        <f t="shared" ref="F91:G91" si="8">SUM(F95:F99)</f>
        <v>194143644</v>
      </c>
      <c r="G91" s="1420">
        <f t="shared" si="8"/>
        <v>464779637</v>
      </c>
      <c r="H91" s="1421">
        <f t="shared" si="7"/>
        <v>1717880241</v>
      </c>
    </row>
    <row r="92" spans="2:11" s="101" customFormat="1" ht="13.5" hidden="1" outlineLevel="1">
      <c r="B92" s="1422" t="s">
        <v>144</v>
      </c>
      <c r="C92" s="1423">
        <f>SUM(C87:C91)</f>
        <v>8599371663</v>
      </c>
      <c r="D92" s="1423">
        <f>SUM(D87:D91)</f>
        <v>3621846077</v>
      </c>
      <c r="E92" s="1423">
        <f t="shared" ref="E92:H92" si="9">SUM(E87:E91)</f>
        <v>4202156491</v>
      </c>
      <c r="F92" s="1423">
        <f t="shared" si="9"/>
        <v>704260365</v>
      </c>
      <c r="G92" s="1423">
        <f t="shared" si="9"/>
        <v>464779637</v>
      </c>
      <c r="H92" s="1423">
        <f t="shared" si="9"/>
        <v>8993042570</v>
      </c>
    </row>
    <row r="93" spans="2:11" s="101" customFormat="1" ht="13.5" hidden="1" outlineLevel="1">
      <c r="B93" s="102"/>
    </row>
    <row r="94" spans="2:11" s="101" customFormat="1" ht="13.5" hidden="1" outlineLevel="1">
      <c r="B94" s="102"/>
    </row>
    <row r="95" spans="2:11" s="101" customFormat="1" ht="13.5" hidden="1" outlineLevel="1">
      <c r="B95" s="1424" t="s">
        <v>403</v>
      </c>
      <c r="D95" s="1420">
        <v>556978980</v>
      </c>
      <c r="E95" s="1420">
        <v>501977980</v>
      </c>
      <c r="F95" s="1420">
        <v>194143644</v>
      </c>
      <c r="G95" s="1420">
        <v>464779637</v>
      </c>
    </row>
    <row r="96" spans="2:11" s="101" customFormat="1" ht="13.5" hidden="1" outlineLevel="1">
      <c r="B96" s="1424" t="s">
        <v>1397</v>
      </c>
      <c r="D96" s="1420">
        <v>0</v>
      </c>
      <c r="E96" s="1420">
        <v>0</v>
      </c>
      <c r="F96" s="1420">
        <v>0</v>
      </c>
      <c r="G96" s="1420">
        <v>0</v>
      </c>
    </row>
    <row r="97" spans="2:7" s="101" customFormat="1" ht="13.5" hidden="1" outlineLevel="1">
      <c r="B97" s="1424" t="s">
        <v>2740</v>
      </c>
      <c r="D97" s="1420">
        <v>0</v>
      </c>
      <c r="E97" s="1420">
        <v>0</v>
      </c>
      <c r="F97" s="1420">
        <v>0</v>
      </c>
      <c r="G97" s="1420">
        <v>0</v>
      </c>
    </row>
    <row r="98" spans="2:7" s="101" customFormat="1" ht="13.5" hidden="1" outlineLevel="1">
      <c r="B98" s="1424" t="s">
        <v>1404</v>
      </c>
      <c r="D98" s="1420">
        <v>0</v>
      </c>
      <c r="E98" s="1420">
        <v>0</v>
      </c>
      <c r="F98" s="1420">
        <v>0</v>
      </c>
      <c r="G98" s="1420">
        <v>0</v>
      </c>
    </row>
    <row r="99" spans="2:7" s="101" customFormat="1" ht="13.5" hidden="1" outlineLevel="1">
      <c r="B99" s="1424" t="s">
        <v>1398</v>
      </c>
      <c r="D99" s="1420">
        <v>0</v>
      </c>
      <c r="E99" s="1420">
        <v>0</v>
      </c>
      <c r="F99" s="1420">
        <v>0</v>
      </c>
      <c r="G99" s="1420">
        <v>0</v>
      </c>
    </row>
    <row r="100" spans="2:7" s="101" customFormat="1" ht="13.5" hidden="1" outlineLevel="1">
      <c r="B100" s="102"/>
    </row>
    <row r="101" spans="2:7" s="101" customFormat="1" ht="13.5" collapsed="1">
      <c r="B101" s="102"/>
    </row>
    <row r="102" spans="2:7" s="101" customFormat="1" ht="13.5">
      <c r="B102" s="101" t="s">
        <v>2183</v>
      </c>
    </row>
    <row r="103" spans="2:7" s="101" customFormat="1" ht="13.5">
      <c r="B103" s="101" t="s">
        <v>2184</v>
      </c>
    </row>
    <row r="104" spans="2:7" s="101" customFormat="1" ht="13.5">
      <c r="B104" s="101" t="s">
        <v>2185</v>
      </c>
    </row>
    <row r="105" spans="2:7" s="101" customFormat="1" ht="13.5">
      <c r="C105" s="1408" t="s">
        <v>1874</v>
      </c>
    </row>
    <row r="106" spans="2:7" s="101" customFormat="1" ht="13.5">
      <c r="B106" s="1417" t="s">
        <v>257</v>
      </c>
      <c r="C106" s="1418" t="str">
        <f>B70</f>
        <v>당기말</v>
      </c>
      <c r="D106" s="1418" t="str">
        <f>B86</f>
        <v>전기말</v>
      </c>
    </row>
    <row r="107" spans="2:7" s="101" customFormat="1" ht="13.5">
      <c r="B107" s="1140" t="s">
        <v>2186</v>
      </c>
      <c r="C107" s="1420">
        <f>연결BS!D101</f>
        <v>25936495008</v>
      </c>
      <c r="D107" s="1420">
        <f>연결BS!E101</f>
        <v>12936132435</v>
      </c>
    </row>
    <row r="108" spans="2:7" s="101" customFormat="1" ht="13.5">
      <c r="B108" s="1140" t="s">
        <v>2187</v>
      </c>
      <c r="C108" s="1420">
        <f>연결BS!D115</f>
        <v>41620994839</v>
      </c>
      <c r="D108" s="1420">
        <f>연결BS!E115</f>
        <v>42359264881</v>
      </c>
    </row>
    <row r="109" spans="2:7" s="101" customFormat="1" ht="13.5">
      <c r="B109" s="1145" t="s">
        <v>2188</v>
      </c>
      <c r="C109" s="1425">
        <f>C107/C108</f>
        <v>0.62315893957673496</v>
      </c>
      <c r="D109" s="1425">
        <f>D107/D108</f>
        <v>0.30539086245574643</v>
      </c>
    </row>
    <row r="110" spans="2:7" s="101" customFormat="1" ht="13.5"/>
    <row r="111" spans="2:7" s="101" customFormat="1" ht="13.5"/>
    <row r="112" spans="2:7" s="101" customFormat="1" ht="13.5"/>
    <row r="113" spans="2:2" s="101" customFormat="1" ht="13.5"/>
    <row r="114" spans="2:2" s="101" customFormat="1" ht="13.5"/>
    <row r="115" spans="2:2" s="101" customFormat="1" ht="13.5"/>
    <row r="116" spans="2:2" s="101" customFormat="1" ht="13.5">
      <c r="B116" s="1118"/>
    </row>
    <row r="117" spans="2:2" s="101" customFormat="1" ht="13.5"/>
    <row r="118" spans="2:2" s="101" customFormat="1" ht="13.5"/>
  </sheetData>
  <mergeCells count="12">
    <mergeCell ref="B45:B46"/>
    <mergeCell ref="B47:B48"/>
    <mergeCell ref="B51:B52"/>
    <mergeCell ref="B33:B37"/>
    <mergeCell ref="B41:B42"/>
    <mergeCell ref="B49:B50"/>
    <mergeCell ref="C41:C42"/>
    <mergeCell ref="B43:B44"/>
    <mergeCell ref="B24:B25"/>
    <mergeCell ref="C24:C25"/>
    <mergeCell ref="D24:E24"/>
    <mergeCell ref="B26:B30"/>
  </mergeCells>
  <phoneticPr fontId="3" type="noConversion"/>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containsText" priority="19" operator="containsText" id="{558C7B2C-D34A-4B33-89FA-60074B1CDF7D}">
            <xm:f>NOT(ISERROR(SEARCH("FALSE",A1)))</xm:f>
            <xm:f>"FALSE"</xm:f>
            <x14:dxf>
              <fill>
                <patternFill>
                  <bgColor rgb="FFFF0000"/>
                </patternFill>
              </fill>
            </x14:dxf>
          </x14:cfRule>
          <xm:sqref>A1:XFD20 A21:A22 D21:XFD22 A23:XFD33 I34:XFD35 A34:G36 H36:XFD36 A37:XFD70 D71:J75 L71:XFD75 A71:C76 D76:XFD76 A77:XFD85 A86:B99 D86:XFD99 A100:XFD1048576</xm:sqref>
        </x14:conditionalFormatting>
        <x14:conditionalFormatting xmlns:xm="http://schemas.microsoft.com/office/excel/2006/main">
          <x14:cfRule type="containsText" priority="11" operator="containsText" id="{9226B8F1-4FFA-4A7A-9558-1B04784FCB9A}">
            <xm:f>NOT(ISERROR(SEARCH("true",A1)))</xm:f>
            <xm:f>"true"</xm:f>
            <x14:dxf>
              <fill>
                <patternFill>
                  <bgColor theme="9" tint="0.79998168889431442"/>
                </patternFill>
              </fill>
            </x14:dxf>
          </x14:cfRule>
          <xm:sqref>A37:XFD85 A1:XFD20 A21:A22 D21:XFD22 A23:XFD33 I34:XFD35 A34:G36 H36:XFD36 A86:B99 D86:XFD99 A100:XFD1048576</xm:sqref>
        </x14:conditionalFormatting>
        <x14:conditionalFormatting xmlns:xm="http://schemas.microsoft.com/office/excel/2006/main">
          <x14:cfRule type="containsText" priority="1" operator="containsText" id="{F470799A-EA37-450D-B93A-5ABD58A59AD2}">
            <xm:f>NOT(ISERROR(SEARCH("FALSE",B21)))</xm:f>
            <xm:f>"FALSE"</xm:f>
            <x14:dxf>
              <fill>
                <patternFill>
                  <bgColor rgb="FFFF0000"/>
                </patternFill>
              </fill>
            </x14:dxf>
          </x14:cfRule>
          <xm:sqref>B21:C22</xm:sqref>
        </x14:conditionalFormatting>
        <x14:conditionalFormatting xmlns:xm="http://schemas.microsoft.com/office/excel/2006/main">
          <x14:cfRule type="containsText" priority="2" operator="containsText" id="{43765961-3849-42A2-8989-BA47E1C08FA9}">
            <xm:f>NOT(ISERROR(SEARCH("true",C86)))</xm:f>
            <xm:f>"true"</xm:f>
            <x14:dxf>
              <fill>
                <patternFill>
                  <bgColor theme="9" tint="0.79998168889431442"/>
                </patternFill>
              </fill>
            </x14:dxf>
          </x14:cfRule>
          <x14:cfRule type="containsText" priority="3" operator="containsText" id="{54620867-C5A5-4658-ABDA-5EBF3FDC6C14}">
            <xm:f>NOT(ISERROR(SEARCH("FALSE",C86)))</xm:f>
            <xm:f>"FALSE"</xm:f>
            <x14:dxf>
              <fill>
                <patternFill>
                  <bgColor rgb="FFFF0000"/>
                </patternFill>
              </fill>
            </x14:dxf>
          </x14:cfRule>
          <xm:sqref>C86:C92</xm:sqref>
        </x14:conditionalFormatting>
        <x14:conditionalFormatting xmlns:xm="http://schemas.microsoft.com/office/excel/2006/main">
          <x14:cfRule type="containsText" priority="5" operator="containsText" id="{BF1DAA10-8571-43B9-AC0D-376608224266}">
            <xm:f>NOT(ISERROR(SEARCH("False",K71)))</xm:f>
            <xm:f>"False"</xm:f>
            <x14:dxf>
              <fill>
                <patternFill>
                  <bgColor theme="5"/>
                </patternFill>
              </fill>
            </x14:dxf>
          </x14:cfRule>
          <xm:sqref>K71:K75</xm:sqref>
        </x14:conditionalFormatting>
      </x14:conditionalFormattings>
    </ext>
  </extLs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49"/>
  <dimension ref="B2:F55"/>
  <sheetViews>
    <sheetView showGridLines="0" zoomScale="85" zoomScaleNormal="85" workbookViewId="0">
      <selection activeCell="C19" sqref="C19"/>
    </sheetView>
  </sheetViews>
  <sheetFormatPr defaultColWidth="9" defaultRowHeight="16.5"/>
  <cols>
    <col min="1" max="1" width="3.125" style="418" customWidth="1"/>
    <col min="2" max="2" width="31.5" style="418" customWidth="1"/>
    <col min="3" max="6" width="15.125" style="418" customWidth="1"/>
    <col min="7" max="7" width="14.125" style="418" customWidth="1"/>
    <col min="8" max="8" width="16.875" style="418" customWidth="1"/>
    <col min="9" max="13" width="15" style="418" customWidth="1"/>
    <col min="14" max="16384" width="9" style="418"/>
  </cols>
  <sheetData>
    <row r="2" spans="2:6">
      <c r="B2" s="860" t="s">
        <v>2189</v>
      </c>
    </row>
    <row r="3" spans="2:6">
      <c r="B3" s="861"/>
    </row>
    <row r="4" spans="2:6">
      <c r="B4" s="862" t="s">
        <v>2190</v>
      </c>
    </row>
    <row r="6" spans="2:6">
      <c r="B6" s="418" t="s">
        <v>2191</v>
      </c>
    </row>
    <row r="7" spans="2:6">
      <c r="D7" s="863" t="s">
        <v>1874</v>
      </c>
    </row>
    <row r="8" spans="2:6" ht="13.5" customHeight="1">
      <c r="B8" s="2066" t="s">
        <v>257</v>
      </c>
      <c r="C8" s="1296" t="str">
        <f>'1'!C15:F15</f>
        <v>당기말</v>
      </c>
      <c r="D8" s="1297"/>
      <c r="E8" s="1296" t="s">
        <v>2898</v>
      </c>
      <c r="F8" s="1297"/>
    </row>
    <row r="9" spans="2:6">
      <c r="B9" s="2067"/>
      <c r="C9" s="864" t="s">
        <v>356</v>
      </c>
      <c r="D9" s="864" t="s">
        <v>361</v>
      </c>
      <c r="E9" s="864" t="s">
        <v>356</v>
      </c>
      <c r="F9" s="864" t="s">
        <v>361</v>
      </c>
    </row>
    <row r="10" spans="2:6">
      <c r="B10" s="774" t="s">
        <v>364</v>
      </c>
      <c r="C10" s="865"/>
      <c r="D10" s="865"/>
      <c r="E10" s="865"/>
      <c r="F10" s="865"/>
    </row>
    <row r="11" spans="2:6">
      <c r="B11" s="774" t="s">
        <v>359</v>
      </c>
      <c r="C11" s="852">
        <f>연결BS!D4</f>
        <v>11853592219</v>
      </c>
      <c r="D11" s="890" t="s">
        <v>2192</v>
      </c>
      <c r="E11" s="852">
        <f>연결BS!E4</f>
        <v>19371699448</v>
      </c>
      <c r="F11" s="890" t="s">
        <v>2192</v>
      </c>
    </row>
    <row r="12" spans="2:6">
      <c r="B12" s="774" t="s">
        <v>2193</v>
      </c>
      <c r="C12" s="852">
        <f>연결BS!D7</f>
        <v>1542306044</v>
      </c>
      <c r="D12" s="890" t="s">
        <v>2192</v>
      </c>
      <c r="E12" s="852">
        <f>연결BS!E7</f>
        <v>1742211093</v>
      </c>
      <c r="F12" s="890" t="s">
        <v>2192</v>
      </c>
    </row>
    <row r="13" spans="2:6">
      <c r="B13" s="774" t="s">
        <v>8</v>
      </c>
      <c r="C13" s="852">
        <f>연결BS!D6</f>
        <v>1000000000</v>
      </c>
      <c r="D13" s="890" t="s">
        <v>2192</v>
      </c>
      <c r="E13" s="852">
        <f>연결BS!E6</f>
        <v>0</v>
      </c>
      <c r="F13" s="890" t="s">
        <v>2192</v>
      </c>
    </row>
    <row r="14" spans="2:6">
      <c r="B14" s="774" t="s">
        <v>2647</v>
      </c>
      <c r="C14" s="852">
        <f>연결BS!D31</f>
        <v>58432567</v>
      </c>
      <c r="D14" s="890" t="s">
        <v>2192</v>
      </c>
      <c r="E14" s="852">
        <f>연결BS!E31</f>
        <v>56059511</v>
      </c>
      <c r="F14" s="890" t="s">
        <v>2192</v>
      </c>
    </row>
    <row r="15" spans="2:6">
      <c r="B15" s="774" t="s">
        <v>1115</v>
      </c>
      <c r="C15" s="852">
        <f>연결BS!D36</f>
        <v>715041595</v>
      </c>
      <c r="D15" s="890" t="s">
        <v>2192</v>
      </c>
      <c r="E15" s="852">
        <f>연결BS!E36</f>
        <v>388220275</v>
      </c>
      <c r="F15" s="890" t="s">
        <v>2192</v>
      </c>
    </row>
    <row r="16" spans="2:6">
      <c r="B16" s="774" t="s">
        <v>2758</v>
      </c>
      <c r="C16" s="852">
        <f>연결BS!D39</f>
        <v>172664940</v>
      </c>
      <c r="D16" s="1630">
        <f>C16</f>
        <v>172664940</v>
      </c>
      <c r="E16" s="852">
        <f>연결BS!E39</f>
        <v>172664940</v>
      </c>
      <c r="F16" s="1630">
        <f>E16</f>
        <v>172664940</v>
      </c>
    </row>
    <row r="17" spans="2:6">
      <c r="B17" s="866" t="s">
        <v>144</v>
      </c>
      <c r="C17" s="852">
        <f>SUM(C11:C16)</f>
        <v>15342037365</v>
      </c>
      <c r="D17" s="890"/>
      <c r="E17" s="852">
        <f>SUM(E11:E16)</f>
        <v>21730855267</v>
      </c>
      <c r="F17" s="890"/>
    </row>
    <row r="18" spans="2:6">
      <c r="B18" s="774" t="s">
        <v>1880</v>
      </c>
      <c r="C18" s="915"/>
      <c r="D18" s="890"/>
      <c r="E18" s="915"/>
      <c r="F18" s="890"/>
    </row>
    <row r="19" spans="2:6">
      <c r="B19" s="774" t="s">
        <v>2182</v>
      </c>
      <c r="C19" s="852">
        <f>연결BS!D77+연결BS!D91</f>
        <v>7787280880</v>
      </c>
      <c r="D19" s="890" t="s">
        <v>2192</v>
      </c>
      <c r="E19" s="852">
        <f>연결BS!E77</f>
        <v>1700812758</v>
      </c>
      <c r="F19" s="890" t="s">
        <v>2192</v>
      </c>
    </row>
    <row r="20" spans="2:6">
      <c r="B20" s="774" t="s">
        <v>50</v>
      </c>
      <c r="C20" s="852">
        <f>연결BS!D83</f>
        <v>1120000000</v>
      </c>
      <c r="D20" s="890" t="s">
        <v>2192</v>
      </c>
      <c r="E20" s="852">
        <f>연결BS!E83</f>
        <v>1120000000</v>
      </c>
      <c r="F20" s="890" t="s">
        <v>2192</v>
      </c>
    </row>
    <row r="21" spans="2:6">
      <c r="B21" s="774" t="s">
        <v>1877</v>
      </c>
      <c r="C21" s="852">
        <f>연결BS!D85+연결BS!D92</f>
        <v>2434405568</v>
      </c>
      <c r="D21" s="890" t="s">
        <v>2194</v>
      </c>
      <c r="E21" s="852">
        <f>연결BS!E85+연결BS!E92</f>
        <v>1595258905</v>
      </c>
      <c r="F21" s="890" t="s">
        <v>2194</v>
      </c>
    </row>
    <row r="22" spans="2:6">
      <c r="B22" s="774" t="s">
        <v>1878</v>
      </c>
      <c r="C22" s="852">
        <f>연결BS!D84+연결BS!D90</f>
        <v>4100000000</v>
      </c>
      <c r="D22" s="890" t="s">
        <v>2192</v>
      </c>
      <c r="E22" s="852">
        <f>연결BS!E84+연결BS!E90</f>
        <v>4183300000</v>
      </c>
      <c r="F22" s="890" t="s">
        <v>2192</v>
      </c>
    </row>
    <row r="23" spans="2:6">
      <c r="B23" s="867" t="s">
        <v>144</v>
      </c>
      <c r="C23" s="853">
        <f>SUM(C19:C22)</f>
        <v>15441686448</v>
      </c>
      <c r="D23" s="868"/>
      <c r="E23" s="853">
        <f>SUM(E19:E22)</f>
        <v>8599371663</v>
      </c>
      <c r="F23" s="868"/>
    </row>
    <row r="24" spans="2:6">
      <c r="B24" s="418" t="s">
        <v>2195</v>
      </c>
    </row>
    <row r="25" spans="2:6">
      <c r="B25" s="418" t="s">
        <v>2196</v>
      </c>
    </row>
    <row r="27" spans="2:6">
      <c r="B27" s="418" t="s">
        <v>2197</v>
      </c>
    </row>
    <row r="29" spans="2:6">
      <c r="B29" s="418" t="s">
        <v>2198</v>
      </c>
    </row>
    <row r="30" spans="2:6">
      <c r="B30" s="418" t="s">
        <v>2199</v>
      </c>
    </row>
    <row r="31" spans="2:6">
      <c r="B31" s="418" t="s">
        <v>2200</v>
      </c>
    </row>
    <row r="32" spans="2:6">
      <c r="B32" s="418" t="s">
        <v>2201</v>
      </c>
    </row>
    <row r="35" spans="2:6">
      <c r="B35" s="1366" t="s">
        <v>257</v>
      </c>
      <c r="C35" s="1367" t="s">
        <v>3383</v>
      </c>
      <c r="D35" s="1367" t="s">
        <v>3384</v>
      </c>
      <c r="E35" s="1367" t="s">
        <v>3385</v>
      </c>
      <c r="F35" s="1461" t="s">
        <v>334</v>
      </c>
    </row>
    <row r="36" spans="2:6">
      <c r="B36" s="774" t="s">
        <v>335</v>
      </c>
      <c r="C36" s="865"/>
      <c r="D36" s="865"/>
      <c r="E36" s="865"/>
      <c r="F36" s="1631"/>
    </row>
    <row r="37" spans="2:6">
      <c r="B37" s="774" t="s">
        <v>3386</v>
      </c>
      <c r="C37" s="852">
        <v>0</v>
      </c>
      <c r="D37" s="852">
        <v>0</v>
      </c>
      <c r="E37" s="852">
        <f>D16</f>
        <v>172664940</v>
      </c>
      <c r="F37" s="879">
        <f>SUM(C37:E37)</f>
        <v>172664940</v>
      </c>
    </row>
    <row r="38" spans="2:6">
      <c r="B38" s="774" t="s">
        <v>340</v>
      </c>
      <c r="C38" s="786"/>
      <c r="D38" s="786"/>
      <c r="E38" s="786"/>
      <c r="F38" s="787"/>
    </row>
    <row r="39" spans="2:6">
      <c r="B39" s="778" t="s">
        <v>3386</v>
      </c>
      <c r="C39" s="852">
        <v>0</v>
      </c>
      <c r="D39" s="852">
        <v>0</v>
      </c>
      <c r="E39" s="788">
        <f>F16</f>
        <v>172664940</v>
      </c>
      <c r="F39" s="879">
        <f>SUM(C39:E39)</f>
        <v>172664940</v>
      </c>
    </row>
    <row r="43" spans="2:6">
      <c r="B43" s="418" t="s">
        <v>3387</v>
      </c>
    </row>
    <row r="44" spans="2:6">
      <c r="B44" s="2082" t="s">
        <v>332</v>
      </c>
      <c r="C44" s="1367" t="s">
        <v>328</v>
      </c>
      <c r="D44" s="1632" t="s">
        <v>329</v>
      </c>
    </row>
    <row r="45" spans="2:6" ht="33">
      <c r="B45" s="2083"/>
      <c r="C45" s="1633" t="s">
        <v>3379</v>
      </c>
      <c r="D45" s="1634" t="s">
        <v>3379</v>
      </c>
    </row>
    <row r="46" spans="2:6">
      <c r="B46" s="1273" t="s">
        <v>326</v>
      </c>
      <c r="C46" s="852">
        <f>D51</f>
        <v>172664940</v>
      </c>
      <c r="D46" s="879">
        <v>189231441</v>
      </c>
    </row>
    <row r="47" spans="2:6">
      <c r="B47" s="2084" t="s">
        <v>2784</v>
      </c>
      <c r="C47" s="2085"/>
      <c r="D47" s="2086"/>
    </row>
    <row r="48" spans="2:6">
      <c r="B48" s="1273" t="s">
        <v>2785</v>
      </c>
      <c r="C48" s="852">
        <f>-PL!Y106</f>
        <v>0</v>
      </c>
      <c r="D48" s="879">
        <v>-16566501</v>
      </c>
      <c r="E48" s="886"/>
    </row>
    <row r="49" spans="2:4">
      <c r="B49" s="1273" t="s">
        <v>3388</v>
      </c>
      <c r="C49" s="852">
        <v>0</v>
      </c>
      <c r="D49" s="879">
        <v>0</v>
      </c>
    </row>
    <row r="50" spans="2:4">
      <c r="B50" s="774" t="s">
        <v>3389</v>
      </c>
      <c r="C50" s="852">
        <v>0</v>
      </c>
      <c r="D50" s="879">
        <v>0</v>
      </c>
    </row>
    <row r="51" spans="2:4">
      <c r="B51" s="1273" t="s">
        <v>327</v>
      </c>
      <c r="C51" s="879">
        <f>SUM(C48:C50,C46)</f>
        <v>172664940</v>
      </c>
      <c r="D51" s="879">
        <f>SUM(D48:D50,D46)</f>
        <v>172664940</v>
      </c>
    </row>
    <row r="52" spans="2:4">
      <c r="B52" s="1636" t="s">
        <v>2788</v>
      </c>
      <c r="C52" s="880">
        <f>C51-$C$55</f>
        <v>-16566501</v>
      </c>
      <c r="D52" s="880">
        <f>D51-$C$55</f>
        <v>-16566501</v>
      </c>
    </row>
    <row r="53" spans="2:4">
      <c r="B53" s="876"/>
      <c r="C53" s="1637" t="b">
        <f>C51=D16</f>
        <v>1</v>
      </c>
      <c r="D53" s="1637" t="b">
        <f>D51=E16</f>
        <v>1</v>
      </c>
    </row>
    <row r="55" spans="2:4">
      <c r="B55" s="1638" t="s">
        <v>3390</v>
      </c>
      <c r="C55" s="1639">
        <v>189231441</v>
      </c>
    </row>
  </sheetData>
  <mergeCells count="3">
    <mergeCell ref="B8:B9"/>
    <mergeCell ref="B44:B45"/>
    <mergeCell ref="B47:D47"/>
  </mergeCells>
  <phoneticPr fontId="3" type="noConversion"/>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50"/>
  <dimension ref="B3:L73"/>
  <sheetViews>
    <sheetView showGridLines="0" topLeftCell="A21" zoomScaleNormal="100" workbookViewId="0">
      <selection activeCell="E38" sqref="E38:F38"/>
    </sheetView>
  </sheetViews>
  <sheetFormatPr defaultColWidth="9" defaultRowHeight="16.5"/>
  <cols>
    <col min="1" max="1" width="5.375" style="418" customWidth="1"/>
    <col min="2" max="4" width="30.625" style="418" customWidth="1"/>
    <col min="5" max="6" width="14.625" style="418" customWidth="1"/>
    <col min="7" max="9" width="9" style="418"/>
    <col min="10" max="10" width="9.125" style="418" bestFit="1" customWidth="1"/>
    <col min="11" max="16384" width="9" style="418"/>
  </cols>
  <sheetData>
    <row r="3" spans="2:6">
      <c r="B3" s="849" t="s">
        <v>1870</v>
      </c>
    </row>
    <row r="4" spans="2:6">
      <c r="B4" s="850"/>
    </row>
    <row r="5" spans="2:6">
      <c r="B5" s="418" t="s">
        <v>1871</v>
      </c>
    </row>
    <row r="6" spans="2:6" s="101" customFormat="1" ht="13.5">
      <c r="C6" s="1416"/>
      <c r="D6" s="1416" t="s">
        <v>1874</v>
      </c>
    </row>
    <row r="7" spans="2:6" s="101" customFormat="1" ht="13.5">
      <c r="B7" s="1469" t="s">
        <v>1872</v>
      </c>
      <c r="C7" s="1470" t="str">
        <f>'5'!C8:D8</f>
        <v>당기말</v>
      </c>
      <c r="D7" s="1470" t="str">
        <f>'5'!E8</f>
        <v>전기말</v>
      </c>
    </row>
    <row r="8" spans="2:6" s="101" customFormat="1" ht="13.5">
      <c r="B8" s="1140" t="s">
        <v>1873</v>
      </c>
      <c r="C8" s="1141"/>
      <c r="D8" s="1141"/>
    </row>
    <row r="9" spans="2:6" s="101" customFormat="1" ht="13.5">
      <c r="B9" s="1140" t="s">
        <v>359</v>
      </c>
      <c r="C9" s="1420">
        <f>연결BS!D5</f>
        <v>11853592219</v>
      </c>
      <c r="D9" s="1420">
        <f>연결BS!E5</f>
        <v>19371699448</v>
      </c>
      <c r="E9" s="101" t="b">
        <f>C9='5'!C11</f>
        <v>1</v>
      </c>
      <c r="F9" s="101" t="b">
        <f>D9='5'!E11</f>
        <v>1</v>
      </c>
    </row>
    <row r="10" spans="2:6" s="101" customFormat="1" ht="13.5">
      <c r="B10" s="1140" t="s">
        <v>341</v>
      </c>
      <c r="C10" s="1420">
        <f>연결BS!D7</f>
        <v>1542306044</v>
      </c>
      <c r="D10" s="1420">
        <f>연결BS!E7</f>
        <v>1742211093</v>
      </c>
      <c r="E10" s="101" t="b">
        <f>C10='5'!C12</f>
        <v>1</v>
      </c>
      <c r="F10" s="101" t="b">
        <f>D10='5'!E12</f>
        <v>1</v>
      </c>
    </row>
    <row r="11" spans="2:6" s="101" customFormat="1" ht="13.5">
      <c r="B11" s="1140" t="s">
        <v>8</v>
      </c>
      <c r="C11" s="1420">
        <f>연결BS!D6</f>
        <v>1000000000</v>
      </c>
      <c r="D11" s="1420">
        <f>연결BS!E6</f>
        <v>0</v>
      </c>
      <c r="E11" s="101" t="b">
        <f>C11='5'!C13</f>
        <v>1</v>
      </c>
      <c r="F11" s="101" t="b">
        <f>D11='5'!E13</f>
        <v>1</v>
      </c>
    </row>
    <row r="12" spans="2:6" s="101" customFormat="1" ht="13.5">
      <c r="B12" s="1140" t="s">
        <v>2647</v>
      </c>
      <c r="C12" s="1420">
        <f>연결BS!D31</f>
        <v>58432567</v>
      </c>
      <c r="D12" s="1420">
        <f>연결BS!E31</f>
        <v>56059511</v>
      </c>
    </row>
    <row r="13" spans="2:6" s="101" customFormat="1" ht="13.5">
      <c r="B13" s="1140" t="s">
        <v>1115</v>
      </c>
      <c r="C13" s="1420">
        <f>연결BS!D36</f>
        <v>715041595</v>
      </c>
      <c r="D13" s="1420">
        <f>연결BS!E36</f>
        <v>388220275</v>
      </c>
      <c r="E13" s="101" t="b">
        <f>C13='5'!C15</f>
        <v>1</v>
      </c>
      <c r="F13" s="101" t="b">
        <f>D13='5'!E15</f>
        <v>1</v>
      </c>
    </row>
    <row r="14" spans="2:6" s="101" customFormat="1" ht="13.5">
      <c r="B14" s="1422" t="s">
        <v>2756</v>
      </c>
      <c r="C14" s="1420">
        <f>SUM(C9:C13)</f>
        <v>15169372425</v>
      </c>
      <c r="D14" s="1420">
        <f>SUM(D9:D13)</f>
        <v>21558190327</v>
      </c>
    </row>
    <row r="15" spans="2:6" s="101" customFormat="1" ht="13.5">
      <c r="B15" s="1471" t="s">
        <v>2849</v>
      </c>
      <c r="C15" s="1420"/>
      <c r="D15" s="1420"/>
    </row>
    <row r="16" spans="2:6" s="101" customFormat="1" ht="13.5">
      <c r="B16" s="1471" t="s">
        <v>1511</v>
      </c>
      <c r="C16" s="1420">
        <f>연결BS!D39</f>
        <v>172664940</v>
      </c>
      <c r="D16" s="1420">
        <f>연결BS!E39</f>
        <v>172664940</v>
      </c>
      <c r="E16" s="101" t="b">
        <f>C16='5'!C16</f>
        <v>1</v>
      </c>
      <c r="F16" s="101" t="b">
        <f>D16='5'!E16</f>
        <v>1</v>
      </c>
    </row>
    <row r="17" spans="2:6" s="101" customFormat="1" ht="13.5">
      <c r="B17" s="1422" t="s">
        <v>144</v>
      </c>
      <c r="C17" s="1423">
        <f>SUM(C14:C16)</f>
        <v>15342037365</v>
      </c>
      <c r="D17" s="1423">
        <f>SUM(D14:D16)</f>
        <v>21730855267</v>
      </c>
      <c r="E17" s="101" t="b">
        <f>C17='5'!C17</f>
        <v>1</v>
      </c>
      <c r="F17" s="101" t="b">
        <f>D17='5'!E17</f>
        <v>1</v>
      </c>
    </row>
    <row r="18" spans="2:6" s="101" customFormat="1" ht="13.5">
      <c r="B18" s="1472"/>
    </row>
    <row r="19" spans="2:6" s="101" customFormat="1" ht="13.5">
      <c r="C19" s="1416"/>
      <c r="D19" s="1416" t="s">
        <v>1874</v>
      </c>
    </row>
    <row r="20" spans="2:6" s="101" customFormat="1" ht="13.5">
      <c r="B20" s="1469" t="s">
        <v>1875</v>
      </c>
      <c r="C20" s="1470" t="str">
        <f>C7</f>
        <v>당기말</v>
      </c>
      <c r="D20" s="1470" t="str">
        <f>D7</f>
        <v>전기말</v>
      </c>
    </row>
    <row r="21" spans="2:6" s="101" customFormat="1" ht="13.5">
      <c r="B21" s="1140" t="s">
        <v>1876</v>
      </c>
      <c r="C21" s="1141"/>
      <c r="D21" s="1141"/>
    </row>
    <row r="22" spans="2:6" s="101" customFormat="1" ht="13.5">
      <c r="B22" s="1140" t="s">
        <v>362</v>
      </c>
      <c r="C22" s="1420">
        <f>연결BS!D77+연결BS!D91</f>
        <v>7787280880</v>
      </c>
      <c r="D22" s="1420">
        <f>연결BS!E77</f>
        <v>1700812758</v>
      </c>
      <c r="E22" s="101" t="b">
        <f>C22='5'!C19</f>
        <v>1</v>
      </c>
      <c r="F22" s="101" t="b">
        <f>D22='5'!E19</f>
        <v>1</v>
      </c>
    </row>
    <row r="23" spans="2:6" s="101" customFormat="1" ht="13.5">
      <c r="B23" s="1140" t="s">
        <v>50</v>
      </c>
      <c r="C23" s="1420">
        <f>연결BS!D83</f>
        <v>1120000000</v>
      </c>
      <c r="D23" s="1420">
        <f>연결BS!E83</f>
        <v>1120000000</v>
      </c>
      <c r="E23" s="101" t="b">
        <f>C23='5'!C20</f>
        <v>1</v>
      </c>
      <c r="F23" s="101" t="b">
        <f>D23='5'!E20</f>
        <v>1</v>
      </c>
    </row>
    <row r="24" spans="2:6" s="101" customFormat="1" ht="13.5">
      <c r="B24" s="1140" t="s">
        <v>1878</v>
      </c>
      <c r="C24" s="1420">
        <f>연결BS!D84+연결BS!D90</f>
        <v>4100000000</v>
      </c>
      <c r="D24" s="1420">
        <f>연결BS!E84+연결BS!E90</f>
        <v>4183300000</v>
      </c>
      <c r="E24" s="101" t="b">
        <f>C24='5'!C22</f>
        <v>1</v>
      </c>
      <c r="F24" s="101" t="b">
        <f>D24='5'!E22</f>
        <v>1</v>
      </c>
    </row>
    <row r="25" spans="2:6" s="101" customFormat="1" ht="13.5">
      <c r="B25" s="1140" t="s">
        <v>2850</v>
      </c>
      <c r="C25" s="1420"/>
      <c r="D25" s="1420"/>
    </row>
    <row r="26" spans="2:6" s="101" customFormat="1" ht="13.5">
      <c r="B26" s="1140" t="s">
        <v>1877</v>
      </c>
      <c r="C26" s="1420">
        <f>연결BS!D85+연결BS!D92</f>
        <v>2434405568</v>
      </c>
      <c r="D26" s="1420">
        <f>연결BS!E85+연결BS!E92</f>
        <v>1595258905</v>
      </c>
      <c r="E26" s="101" t="b">
        <f>C26='5'!C21</f>
        <v>1</v>
      </c>
      <c r="F26" s="101" t="b">
        <f>D26='5'!E21</f>
        <v>1</v>
      </c>
    </row>
    <row r="27" spans="2:6" s="101" customFormat="1" ht="13.5">
      <c r="B27" s="1422" t="s">
        <v>144</v>
      </c>
      <c r="C27" s="1423">
        <f>SUM(C21:C26)</f>
        <v>15441686448</v>
      </c>
      <c r="D27" s="1423">
        <f>SUM(D21:D26)</f>
        <v>8599371663</v>
      </c>
      <c r="E27" s="101" t="b">
        <f>C27='5'!C23</f>
        <v>1</v>
      </c>
      <c r="F27" s="101" t="b">
        <f>D27='5'!E23</f>
        <v>1</v>
      </c>
    </row>
    <row r="28" spans="2:6" s="101" customFormat="1" ht="13.5">
      <c r="B28" s="102"/>
    </row>
    <row r="29" spans="2:6" s="101" customFormat="1" ht="13.5">
      <c r="B29" s="101" t="s">
        <v>1879</v>
      </c>
    </row>
    <row r="30" spans="2:6" s="101" customFormat="1" ht="13.5">
      <c r="D30" s="1408" t="s">
        <v>1874</v>
      </c>
    </row>
    <row r="31" spans="2:6" s="101" customFormat="1" ht="13.5" customHeight="1">
      <c r="B31" s="2072" t="s">
        <v>257</v>
      </c>
      <c r="C31" s="1473" t="str">
        <f>'1'!C27:F27</f>
        <v>당기</v>
      </c>
      <c r="D31" s="1640"/>
      <c r="E31" s="1474"/>
      <c r="F31" s="1475"/>
    </row>
    <row r="32" spans="2:6" s="101" customFormat="1" ht="13.5">
      <c r="B32" s="2087"/>
      <c r="C32" s="1409" t="s">
        <v>364</v>
      </c>
      <c r="D32" s="1409" t="s">
        <v>364</v>
      </c>
      <c r="E32" s="1409" t="s">
        <v>1880</v>
      </c>
      <c r="F32" s="1409" t="s">
        <v>2648</v>
      </c>
    </row>
    <row r="33" spans="2:12" s="101" customFormat="1" ht="13.5">
      <c r="B33" s="2087"/>
      <c r="C33" s="1476" t="s">
        <v>1881</v>
      </c>
      <c r="D33" s="1476" t="s">
        <v>3391</v>
      </c>
      <c r="E33" s="1476" t="s">
        <v>1882</v>
      </c>
      <c r="F33" s="1476"/>
    </row>
    <row r="34" spans="2:12" s="101" customFormat="1" ht="13.5">
      <c r="B34" s="1477" t="s">
        <v>133</v>
      </c>
      <c r="C34" s="1478">
        <f>연결PL!D86</f>
        <v>22101454</v>
      </c>
      <c r="D34" s="1478">
        <v>0</v>
      </c>
      <c r="E34" s="1478">
        <v>0</v>
      </c>
      <c r="F34" s="1478">
        <v>0</v>
      </c>
    </row>
    <row r="35" spans="2:12" s="101" customFormat="1" ht="13.5">
      <c r="B35" s="1477" t="s">
        <v>120</v>
      </c>
      <c r="C35" s="1478">
        <f>연결PL!D88</f>
        <v>109841433</v>
      </c>
      <c r="D35" s="1478">
        <v>0</v>
      </c>
      <c r="E35" s="1478">
        <v>0</v>
      </c>
      <c r="F35" s="1478">
        <v>0</v>
      </c>
    </row>
    <row r="36" spans="2:12" s="101" customFormat="1" ht="13.5">
      <c r="B36" s="1477" t="s">
        <v>121</v>
      </c>
      <c r="C36" s="1478">
        <f>연결PL!D89</f>
        <v>37603839</v>
      </c>
      <c r="D36" s="1478">
        <v>0</v>
      </c>
      <c r="E36" s="1478">
        <v>0</v>
      </c>
      <c r="F36" s="1478">
        <v>0</v>
      </c>
      <c r="L36" s="101" t="s">
        <v>2918</v>
      </c>
    </row>
    <row r="37" spans="2:12" s="101" customFormat="1" ht="13.5">
      <c r="B37" s="1375" t="s">
        <v>144</v>
      </c>
      <c r="C37" s="1478">
        <f>SUM(C34:C36)</f>
        <v>169546726</v>
      </c>
      <c r="D37" s="1478">
        <v>0</v>
      </c>
      <c r="E37" s="1478">
        <f>SUM(E34:E36)</f>
        <v>0</v>
      </c>
      <c r="F37" s="1478">
        <f>SUM(F34:F36)</f>
        <v>0</v>
      </c>
      <c r="G37" s="1127" t="b">
        <f>공시PL!F11=SUM(C37:F37)</f>
        <v>1</v>
      </c>
    </row>
    <row r="38" spans="2:12" s="101" customFormat="1" ht="13.5">
      <c r="B38" s="1477" t="s">
        <v>179</v>
      </c>
      <c r="C38" s="1478">
        <v>0</v>
      </c>
      <c r="D38" s="1478">
        <v>0</v>
      </c>
      <c r="E38" s="1478">
        <f>연결PL!D91-F38</f>
        <v>71893278</v>
      </c>
      <c r="F38" s="1478">
        <f>CF정산표!K136</f>
        <v>27061673</v>
      </c>
      <c r="K38" s="1478">
        <v>44013137</v>
      </c>
      <c r="L38" s="1478">
        <v>13871026</v>
      </c>
    </row>
    <row r="39" spans="2:12" s="101" customFormat="1" ht="13.5">
      <c r="B39" s="1590" t="s">
        <v>2988</v>
      </c>
      <c r="C39" s="1478">
        <v>0</v>
      </c>
      <c r="D39" s="1478">
        <f>연결PL!D92</f>
        <v>0</v>
      </c>
      <c r="E39" s="1478">
        <v>0</v>
      </c>
      <c r="F39" s="1478">
        <v>0</v>
      </c>
      <c r="K39" s="1478">
        <f>K38-L39</f>
        <v>30142111</v>
      </c>
      <c r="L39" s="1478">
        <v>13871026</v>
      </c>
    </row>
    <row r="40" spans="2:12" s="101" customFormat="1" ht="13.5">
      <c r="B40" s="1477" t="s">
        <v>125</v>
      </c>
      <c r="C40" s="1478">
        <f>연결PL!D94</f>
        <v>174288542</v>
      </c>
      <c r="D40" s="1478">
        <v>0</v>
      </c>
      <c r="E40" s="1478">
        <v>0</v>
      </c>
      <c r="F40" s="1478">
        <v>0</v>
      </c>
    </row>
    <row r="41" spans="2:12" s="101" customFormat="1" ht="13.5">
      <c r="B41" s="1477" t="s">
        <v>127</v>
      </c>
      <c r="C41" s="1478">
        <f>연결PL!D95</f>
        <v>2</v>
      </c>
      <c r="D41" s="1478">
        <v>0</v>
      </c>
      <c r="E41" s="1478">
        <v>0</v>
      </c>
      <c r="F41" s="1478">
        <v>0</v>
      </c>
    </row>
    <row r="42" spans="2:12" s="101" customFormat="1" ht="13.5">
      <c r="B42" s="1422" t="s">
        <v>144</v>
      </c>
      <c r="C42" s="1478">
        <f>SUM(C38:C41)</f>
        <v>174288544</v>
      </c>
      <c r="D42" s="1478">
        <f>SUM(D38:D41)</f>
        <v>0</v>
      </c>
      <c r="E42" s="1478">
        <f>SUM(E38:E41)</f>
        <v>71893278</v>
      </c>
      <c r="F42" s="1478">
        <f>SUM(F38:F41)</f>
        <v>27061673</v>
      </c>
      <c r="G42" s="1127" t="b">
        <f>SUM(C42:F42)=공시PL!F12</f>
        <v>1</v>
      </c>
    </row>
    <row r="43" spans="2:12" s="101" customFormat="1" ht="13.5">
      <c r="F43" s="101" t="s">
        <v>2649</v>
      </c>
    </row>
    <row r="44" spans="2:12" s="101" customFormat="1" ht="13.5">
      <c r="B44" s="1479" t="s">
        <v>2227</v>
      </c>
      <c r="C44" s="1479"/>
    </row>
    <row r="45" spans="2:12" s="101" customFormat="1" ht="13.5"/>
    <row r="46" spans="2:12" s="101" customFormat="1" ht="13.5"/>
    <row r="47" spans="2:12" s="101" customFormat="1" ht="13.5"/>
    <row r="48" spans="2:12" s="101" customFormat="1" ht="13.5"/>
    <row r="49" s="101" customFormat="1" ht="13.5"/>
    <row r="50" s="101" customFormat="1" ht="13.5"/>
    <row r="51" s="101" customFormat="1" ht="13.5"/>
    <row r="52" s="101" customFormat="1" ht="13.5"/>
    <row r="53" s="101" customFormat="1" ht="13.5"/>
    <row r="54" s="101" customFormat="1" ht="13.5"/>
    <row r="55" s="101" customFormat="1" ht="13.5"/>
    <row r="56" s="101" customFormat="1" ht="13.5"/>
    <row r="57" s="101" customFormat="1" ht="13.5"/>
    <row r="58" s="101" customFormat="1" ht="13.5"/>
    <row r="59" s="101" customFormat="1" ht="13.5"/>
    <row r="60" s="101" customFormat="1" ht="13.5"/>
    <row r="61" s="101" customFormat="1" ht="13.5"/>
    <row r="62" s="101" customFormat="1" ht="13.5"/>
    <row r="63" s="101" customFormat="1" ht="13.5"/>
    <row r="64" s="101" customFormat="1" ht="13.5"/>
    <row r="65" s="101" customFormat="1" ht="13.5"/>
    <row r="66" s="101" customFormat="1" ht="13.5"/>
    <row r="67" s="101" customFormat="1" ht="13.5"/>
    <row r="68" s="101" customFormat="1" ht="13.5"/>
    <row r="69" s="101" customFormat="1" ht="13.5"/>
    <row r="70" s="101" customFormat="1" ht="13.5"/>
    <row r="71" s="101" customFormat="1" ht="13.5"/>
    <row r="72" s="101" customFormat="1" ht="13.5"/>
    <row r="73" s="101" customFormat="1" ht="13.5"/>
  </sheetData>
  <mergeCells count="1">
    <mergeCell ref="B31:B33"/>
  </mergeCells>
  <phoneticPr fontId="3"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 operator="containsText" id="{2EA1E426-62A8-4346-A00D-98BCE2BD2154}">
            <xm:f>NOT(ISERROR(SEARCH("true",A7)))</xm:f>
            <xm:f>"true"</xm:f>
            <x14:dxf>
              <fill>
                <patternFill>
                  <bgColor theme="9" tint="0.79998168889431442"/>
                </patternFill>
              </fill>
            </x14:dxf>
          </x14:cfRule>
          <x14:cfRule type="containsText" priority="2" operator="containsText" id="{FF057577-4EE5-49F9-8567-492E47D0C7CA}">
            <xm:f>NOT(ISERROR(SEARCH("FALSE",A7)))</xm:f>
            <xm:f>"FALSE"</xm:f>
            <x14:dxf>
              <fill>
                <patternFill>
                  <bgColor rgb="FFFF0000"/>
                </patternFill>
              </fill>
            </x14:dxf>
          </x14:cfRule>
          <xm:sqref>A7:D27 A28:XFD34 A35:I35 K35:XFD35 A36:XFD37 K38:XFD39 A38:I40 M40:XFD40 A41:XFD1048576</xm:sqref>
        </x14:conditionalFormatting>
        <x14:conditionalFormatting xmlns:xm="http://schemas.microsoft.com/office/excel/2006/main">
          <x14:cfRule type="containsText" priority="7" operator="containsText" id="{10F1FC13-8CCC-458C-B6CD-95B3FEF5A66E}">
            <xm:f>NOT(ISERROR(SEARCH("true",A1)))</xm:f>
            <xm:f>"true"</xm:f>
            <x14:dxf>
              <fill>
                <patternFill>
                  <bgColor theme="9" tint="0.79998168889431442"/>
                </patternFill>
              </fill>
            </x14:dxf>
          </x14:cfRule>
          <x14:cfRule type="containsText" priority="8" operator="containsText" id="{EAAFF24C-66DB-495B-BB6F-BF041AD5D959}">
            <xm:f>NOT(ISERROR(SEARCH("FALSE",A1)))</xm:f>
            <xm:f>"FALSE"</xm:f>
            <x14:dxf>
              <fill>
                <patternFill>
                  <bgColor rgb="FFFF0000"/>
                </patternFill>
              </fill>
            </x14:dxf>
          </x14:cfRule>
          <xm:sqref>A1:XFD6 E7:XFD8 E9:F17 H9:XFD17 E18:XFD21 E22:F27 H22:XFD27</xm:sqref>
        </x14:conditionalFormatting>
      </x14:conditionalFormattings>
    </ext>
  </extLs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51"/>
  <dimension ref="B3:D9"/>
  <sheetViews>
    <sheetView showGridLines="0" zoomScale="85" zoomScaleNormal="85" workbookViewId="0">
      <selection activeCell="C8" sqref="C8:D8"/>
    </sheetView>
  </sheetViews>
  <sheetFormatPr defaultColWidth="9" defaultRowHeight="16.5"/>
  <cols>
    <col min="1" max="1" width="9" style="418"/>
    <col min="2" max="3" width="25.875" style="418" customWidth="1"/>
    <col min="4" max="4" width="17.625" style="418" customWidth="1"/>
    <col min="5" max="16384" width="9" style="418"/>
  </cols>
  <sheetData>
    <row r="3" spans="2:4">
      <c r="B3" s="478" t="s">
        <v>2202</v>
      </c>
    </row>
    <row r="5" spans="2:4">
      <c r="B5" s="418" t="s">
        <v>2203</v>
      </c>
    </row>
    <row r="6" spans="2:4">
      <c r="C6" s="863" t="s">
        <v>1888</v>
      </c>
    </row>
    <row r="7" spans="2:4">
      <c r="B7" s="869" t="s">
        <v>257</v>
      </c>
      <c r="C7" s="870" t="str">
        <f>'6'!C7</f>
        <v>당기말</v>
      </c>
      <c r="D7" s="870" t="str">
        <f>'6'!D7</f>
        <v>전기말</v>
      </c>
    </row>
    <row r="8" spans="2:4">
      <c r="B8" s="778" t="s">
        <v>2204</v>
      </c>
      <c r="C8" s="872">
        <f>연결BS!D5</f>
        <v>11853592219</v>
      </c>
      <c r="D8" s="872">
        <f>연결BS!E5</f>
        <v>19371699448</v>
      </c>
    </row>
    <row r="9" spans="2:4">
      <c r="C9" s="418" t="b">
        <f>C8=연결BS!D4</f>
        <v>1</v>
      </c>
      <c r="D9" s="418" t="b">
        <f>D8=연결BS!E4</f>
        <v>1</v>
      </c>
    </row>
  </sheetData>
  <phoneticPr fontId="3"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 operator="containsText" id="{779CA327-9A1B-4AD3-B207-1D0EA7F76EC7}">
            <xm:f>NOT(ISERROR(SEARCH("true",A1)))</xm:f>
            <xm:f>"true"</xm:f>
            <x14:dxf>
              <fill>
                <patternFill>
                  <bgColor theme="9" tint="0.79998168889431442"/>
                </patternFill>
              </fill>
            </x14:dxf>
          </x14:cfRule>
          <xm:sqref>A1:XFD1048576</xm:sqref>
        </x14:conditionalFormatting>
      </x14:conditionalFormattings>
    </ext>
  </extLst>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52"/>
  <dimension ref="B3:I86"/>
  <sheetViews>
    <sheetView showGridLines="0" topLeftCell="A38" zoomScale="85" zoomScaleNormal="85" workbookViewId="0">
      <selection activeCell="E60" sqref="E60"/>
    </sheetView>
  </sheetViews>
  <sheetFormatPr defaultColWidth="9" defaultRowHeight="16.5" outlineLevelRow="1"/>
  <cols>
    <col min="1" max="1" width="9" style="418"/>
    <col min="2" max="2" width="21.5" style="418" customWidth="1"/>
    <col min="3" max="8" width="16.625" style="418" customWidth="1"/>
    <col min="9" max="9" width="11.25" style="418" bestFit="1" customWidth="1"/>
    <col min="10" max="16384" width="9" style="418"/>
  </cols>
  <sheetData>
    <row r="3" spans="2:6">
      <c r="B3" s="478" t="s">
        <v>1883</v>
      </c>
    </row>
    <row r="4" spans="2:6" s="101" customFormat="1" ht="13.5"/>
    <row r="5" spans="2:6" s="101" customFormat="1" ht="13.5">
      <c r="B5" s="101" t="s">
        <v>1884</v>
      </c>
    </row>
    <row r="6" spans="2:6" s="101" customFormat="1" ht="13.5">
      <c r="E6" s="1317" t="s">
        <v>368</v>
      </c>
    </row>
    <row r="7" spans="2:6" s="101" customFormat="1" ht="13.5" customHeight="1">
      <c r="B7" s="2088" t="s">
        <v>257</v>
      </c>
      <c r="C7" s="1432" t="str">
        <f>'7'!C7</f>
        <v>당기말</v>
      </c>
      <c r="D7" s="1433"/>
      <c r="E7" s="1397"/>
    </row>
    <row r="8" spans="2:6" s="101" customFormat="1" ht="13.5">
      <c r="B8" s="2089"/>
      <c r="C8" s="1434" t="s">
        <v>1885</v>
      </c>
      <c r="D8" s="1434" t="s">
        <v>336</v>
      </c>
      <c r="E8" s="1434" t="s">
        <v>356</v>
      </c>
    </row>
    <row r="9" spans="2:6" s="101" customFormat="1" ht="13.5">
      <c r="B9" s="107" t="s">
        <v>10</v>
      </c>
      <c r="C9" s="1341">
        <f>연결BS!D8</f>
        <v>1093289891</v>
      </c>
      <c r="D9" s="1341">
        <f>연결BS!D9</f>
        <v>-79701518</v>
      </c>
      <c r="E9" s="1341">
        <f>SUM(C9:D9)</f>
        <v>1013588373</v>
      </c>
    </row>
    <row r="10" spans="2:6" s="101" customFormat="1" ht="13.5">
      <c r="B10" s="107" t="s">
        <v>13</v>
      </c>
      <c r="C10" s="1341">
        <f>연결BS!D12</f>
        <v>544512562</v>
      </c>
      <c r="D10" s="1341">
        <f>연결BS!D13</f>
        <v>-24139000</v>
      </c>
      <c r="E10" s="1341">
        <f t="shared" ref="E10:E12" si="0">SUM(C10:D10)</f>
        <v>520373562</v>
      </c>
    </row>
    <row r="11" spans="2:6" s="101" customFormat="1" ht="13.5">
      <c r="B11" s="107" t="s">
        <v>15</v>
      </c>
      <c r="C11" s="1341">
        <f>연결BS!D10</f>
        <v>8344109</v>
      </c>
      <c r="D11" s="1341">
        <f>연결BS!D11</f>
        <v>0</v>
      </c>
      <c r="E11" s="1341">
        <f t="shared" si="0"/>
        <v>8344109</v>
      </c>
    </row>
    <row r="12" spans="2:6" s="101" customFormat="1" ht="13.5">
      <c r="B12" s="106" t="s">
        <v>144</v>
      </c>
      <c r="C12" s="1345">
        <f>SUM(C9:C11)</f>
        <v>1646146562</v>
      </c>
      <c r="D12" s="1345">
        <f t="shared" ref="D12" si="1">SUM(D9:D11)</f>
        <v>-103840518</v>
      </c>
      <c r="E12" s="1341">
        <f t="shared" si="0"/>
        <v>1542306044</v>
      </c>
      <c r="F12" s="101" t="b">
        <f>E12=연결BS!D7</f>
        <v>1</v>
      </c>
    </row>
    <row r="13" spans="2:6" s="101" customFormat="1" ht="13.5"/>
    <row r="14" spans="2:6" s="101" customFormat="1" ht="13.5">
      <c r="B14" s="101" t="s">
        <v>1886</v>
      </c>
    </row>
    <row r="15" spans="2:6" s="101" customFormat="1" ht="13.5"/>
    <row r="16" spans="2:6" s="101" customFormat="1" ht="13.5">
      <c r="B16" s="101" t="s">
        <v>1887</v>
      </c>
    </row>
    <row r="17" spans="2:9" s="101" customFormat="1" ht="13.5">
      <c r="H17" s="1317" t="s">
        <v>1888</v>
      </c>
    </row>
    <row r="18" spans="2:9" s="101" customFormat="1" ht="13.5">
      <c r="B18" s="1442" t="s">
        <v>257</v>
      </c>
      <c r="C18" s="1443" t="s">
        <v>1889</v>
      </c>
      <c r="D18" s="1443" t="s">
        <v>2628</v>
      </c>
      <c r="E18" s="1443" t="s">
        <v>2851</v>
      </c>
      <c r="F18" s="1443" t="s">
        <v>2852</v>
      </c>
      <c r="G18" s="1443" t="s">
        <v>1890</v>
      </c>
      <c r="H18" s="1444" t="s">
        <v>172</v>
      </c>
    </row>
    <row r="19" spans="2:9" s="101" customFormat="1" ht="13.5">
      <c r="B19" s="107" t="s">
        <v>1891</v>
      </c>
      <c r="C19" s="1282">
        <f>SUM(C25,C31,C37,C43,C49,C55,C61)</f>
        <v>548693560</v>
      </c>
      <c r="D19" s="1282">
        <f t="shared" ref="D19:G19" si="2">SUM(D25,D31,D37,D43,D49,D55,D61)</f>
        <v>442896038</v>
      </c>
      <c r="E19" s="1282">
        <f t="shared" si="2"/>
        <v>71813493</v>
      </c>
      <c r="F19" s="1282">
        <f t="shared" si="2"/>
        <v>3961300</v>
      </c>
      <c r="G19" s="1282">
        <f t="shared" si="2"/>
        <v>25925500</v>
      </c>
      <c r="H19" s="1283">
        <f>SUM(C19:G19)</f>
        <v>1093289891</v>
      </c>
      <c r="I19" s="101" t="b">
        <f>H19=C9</f>
        <v>1</v>
      </c>
    </row>
    <row r="20" spans="2:9" s="101" customFormat="1" ht="13.5">
      <c r="B20" s="107" t="s">
        <v>1892</v>
      </c>
      <c r="C20" s="1435">
        <f>C21/C19</f>
        <v>2.9937386179637319E-2</v>
      </c>
      <c r="D20" s="1435">
        <f t="shared" ref="D20:G20" si="3">D21/D19</f>
        <v>3.6926690683107895E-2</v>
      </c>
      <c r="E20" s="1435">
        <f t="shared" si="3"/>
        <v>0.25603398793037402</v>
      </c>
      <c r="F20" s="1435">
        <f t="shared" si="3"/>
        <v>0.65841693383485222</v>
      </c>
      <c r="G20" s="1435">
        <f t="shared" si="3"/>
        <v>1</v>
      </c>
      <c r="H20" s="1436"/>
    </row>
    <row r="21" spans="2:9" s="101" customFormat="1" ht="13.5">
      <c r="B21" s="91" t="s">
        <v>1893</v>
      </c>
      <c r="C21" s="1282">
        <f t="shared" ref="C21:G21" si="4">SUM(C27,C33,C39,C45,C51,C57,C63)</f>
        <v>16426451</v>
      </c>
      <c r="D21" s="1282">
        <f t="shared" si="4"/>
        <v>16354685</v>
      </c>
      <c r="E21" s="1282">
        <f t="shared" si="4"/>
        <v>18386695</v>
      </c>
      <c r="F21" s="1282">
        <f t="shared" si="4"/>
        <v>2608187</v>
      </c>
      <c r="G21" s="1282">
        <f t="shared" si="4"/>
        <v>25925500</v>
      </c>
      <c r="H21" s="1283">
        <f>SUM(C21:G21)</f>
        <v>79701518</v>
      </c>
      <c r="I21" s="1437" t="b">
        <f>H21=-D9</f>
        <v>1</v>
      </c>
    </row>
    <row r="22" spans="2:9" s="101" customFormat="1" ht="13.5"/>
    <row r="23" spans="2:9" s="101" customFormat="1" ht="13.5" outlineLevel="1">
      <c r="B23" s="1445" t="s">
        <v>338</v>
      </c>
    </row>
    <row r="24" spans="2:9" s="101" customFormat="1" ht="13.5" outlineLevel="1">
      <c r="B24" s="1442" t="s">
        <v>257</v>
      </c>
      <c r="C24" s="1443" t="s">
        <v>1889</v>
      </c>
      <c r="D24" s="1443" t="s">
        <v>2628</v>
      </c>
      <c r="E24" s="1443" t="s">
        <v>2851</v>
      </c>
      <c r="F24" s="1443" t="s">
        <v>2852</v>
      </c>
      <c r="G24" s="1443" t="s">
        <v>1890</v>
      </c>
      <c r="H24" s="1444" t="s">
        <v>172</v>
      </c>
    </row>
    <row r="25" spans="2:9" s="101" customFormat="1" ht="13.5" outlineLevel="1">
      <c r="B25" s="107" t="s">
        <v>1891</v>
      </c>
      <c r="C25" s="1282">
        <f>BS!S11-BS!T11+BS!V11-BS!W11</f>
        <v>-2152723450</v>
      </c>
      <c r="D25" s="1282"/>
      <c r="E25" s="1282"/>
      <c r="F25" s="1282"/>
      <c r="G25" s="1282"/>
      <c r="H25" s="1283">
        <f>SUM(C25:G25)</f>
        <v>-2152723450</v>
      </c>
    </row>
    <row r="26" spans="2:9" s="101" customFormat="1" ht="13.5" outlineLevel="1">
      <c r="B26" s="107" t="s">
        <v>1892</v>
      </c>
      <c r="C26" s="1438"/>
      <c r="D26" s="1438"/>
      <c r="E26" s="1438"/>
      <c r="F26" s="1438"/>
      <c r="G26" s="1438"/>
      <c r="H26" s="1436"/>
    </row>
    <row r="27" spans="2:9" s="101" customFormat="1" ht="13.5" outlineLevel="1">
      <c r="B27" s="91" t="s">
        <v>1893</v>
      </c>
      <c r="C27" s="1285">
        <f>-RIT!E68</f>
        <v>-3137776</v>
      </c>
      <c r="D27" s="1285">
        <f>-RIT!E69</f>
        <v>-21287331</v>
      </c>
      <c r="E27" s="1285">
        <f>-RIT!E70</f>
        <v>-1216037</v>
      </c>
      <c r="F27" s="1285">
        <f>-RIT!E71</f>
        <v>0</v>
      </c>
      <c r="G27" s="1285">
        <f>-SUM(RIT!E72:E74)</f>
        <v>0</v>
      </c>
      <c r="H27" s="1283">
        <f>SUM(C27:G27)</f>
        <v>-25641144</v>
      </c>
    </row>
    <row r="28" spans="2:9" s="101" customFormat="1" ht="13.5" outlineLevel="1">
      <c r="B28" s="1365"/>
      <c r="C28" s="1439"/>
      <c r="D28" s="1440"/>
      <c r="E28" s="1439"/>
      <c r="F28" s="1439"/>
      <c r="G28" s="1439"/>
      <c r="H28" s="1439"/>
    </row>
    <row r="29" spans="2:9" s="101" customFormat="1" ht="13.5" outlineLevel="1">
      <c r="B29" s="1445" t="s">
        <v>403</v>
      </c>
    </row>
    <row r="30" spans="2:9" s="101" customFormat="1" ht="13.5" outlineLevel="1">
      <c r="B30" s="1442" t="s">
        <v>257</v>
      </c>
      <c r="C30" s="1443" t="s">
        <v>1889</v>
      </c>
      <c r="D30" s="1443" t="s">
        <v>2628</v>
      </c>
      <c r="E30" s="1443" t="s">
        <v>2851</v>
      </c>
      <c r="F30" s="1443" t="s">
        <v>2852</v>
      </c>
      <c r="G30" s="1443" t="s">
        <v>1890</v>
      </c>
      <c r="H30" s="1444" t="s">
        <v>172</v>
      </c>
    </row>
    <row r="31" spans="2:9" s="101" customFormat="1" ht="13.5" outlineLevel="1">
      <c r="B31" s="107" t="s">
        <v>1891</v>
      </c>
      <c r="C31" s="1282">
        <v>991173769</v>
      </c>
      <c r="D31" s="1282">
        <v>442896038</v>
      </c>
      <c r="E31" s="1282">
        <v>71813493</v>
      </c>
      <c r="F31" s="1282">
        <v>3961300</v>
      </c>
      <c r="G31" s="1282">
        <v>25925500</v>
      </c>
      <c r="H31" s="1283">
        <f>SUM(C31:G31)</f>
        <v>1535770100</v>
      </c>
      <c r="I31" s="1127">
        <f>H31-BS!H11</f>
        <v>0</v>
      </c>
    </row>
    <row r="32" spans="2:9" s="101" customFormat="1" ht="13.5" outlineLevel="1">
      <c r="B32" s="107" t="s">
        <v>1892</v>
      </c>
      <c r="C32" s="1438"/>
      <c r="D32" s="1438"/>
      <c r="E32" s="1438"/>
      <c r="F32" s="1438"/>
      <c r="G32" s="1438"/>
      <c r="H32" s="1436"/>
    </row>
    <row r="33" spans="2:9" s="101" customFormat="1" ht="13.5" outlineLevel="1">
      <c r="B33" s="91" t="s">
        <v>1893</v>
      </c>
      <c r="C33" s="1285">
        <v>19564227</v>
      </c>
      <c r="D33" s="1285">
        <v>37642016</v>
      </c>
      <c r="E33" s="1285">
        <v>19602732</v>
      </c>
      <c r="F33" s="1285">
        <v>2608187</v>
      </c>
      <c r="G33" s="1285">
        <v>25925500</v>
      </c>
      <c r="H33" s="1283">
        <f>SUM(C33:G33)</f>
        <v>105342662</v>
      </c>
      <c r="I33" s="101" t="b">
        <f>H33=-BS!H12</f>
        <v>1</v>
      </c>
    </row>
    <row r="34" spans="2:9" s="101" customFormat="1" ht="13.5" outlineLevel="1"/>
    <row r="35" spans="2:9" s="101" customFormat="1" ht="13.5" outlineLevel="1">
      <c r="B35" s="1445" t="s">
        <v>1397</v>
      </c>
    </row>
    <row r="36" spans="2:9" s="101" customFormat="1" ht="13.5" outlineLevel="1">
      <c r="B36" s="1442" t="s">
        <v>257</v>
      </c>
      <c r="C36" s="1443" t="s">
        <v>1889</v>
      </c>
      <c r="D36" s="1443" t="s">
        <v>2628</v>
      </c>
      <c r="E36" s="1443" t="s">
        <v>2851</v>
      </c>
      <c r="F36" s="1443" t="s">
        <v>2852</v>
      </c>
      <c r="G36" s="1443" t="s">
        <v>1890</v>
      </c>
      <c r="H36" s="1444" t="s">
        <v>172</v>
      </c>
    </row>
    <row r="37" spans="2:9" s="101" customFormat="1" ht="13.5" outlineLevel="1">
      <c r="B37" s="107" t="s">
        <v>1891</v>
      </c>
      <c r="C37" s="1282">
        <v>0</v>
      </c>
      <c r="D37" s="1282">
        <v>0</v>
      </c>
      <c r="E37" s="1282">
        <v>0</v>
      </c>
      <c r="F37" s="1282">
        <v>0</v>
      </c>
      <c r="G37" s="1282">
        <v>0</v>
      </c>
      <c r="H37" s="1283">
        <f>SUM(C37:G37)</f>
        <v>0</v>
      </c>
      <c r="I37" s="101" t="b">
        <f>H37=BS!I11</f>
        <v>1</v>
      </c>
    </row>
    <row r="38" spans="2:9" s="101" customFormat="1" ht="13.5" outlineLevel="1">
      <c r="B38" s="107" t="s">
        <v>1892</v>
      </c>
      <c r="C38" s="1438"/>
      <c r="D38" s="1438"/>
      <c r="E38" s="1438"/>
      <c r="F38" s="1438"/>
      <c r="G38" s="1438"/>
      <c r="H38" s="1436"/>
    </row>
    <row r="39" spans="2:9" s="101" customFormat="1" ht="13.5" outlineLevel="1">
      <c r="B39" s="91" t="s">
        <v>1893</v>
      </c>
      <c r="C39" s="1285">
        <v>0</v>
      </c>
      <c r="D39" s="1285">
        <v>0</v>
      </c>
      <c r="E39" s="1285">
        <v>0</v>
      </c>
      <c r="F39" s="1285">
        <v>0</v>
      </c>
      <c r="G39" s="1285">
        <v>0</v>
      </c>
      <c r="H39" s="1283">
        <f>SUM(C39:G39)</f>
        <v>0</v>
      </c>
      <c r="I39" s="101" t="b">
        <f>-H39=BS!I12</f>
        <v>1</v>
      </c>
    </row>
    <row r="40" spans="2:9" s="101" customFormat="1" ht="13.5" outlineLevel="1"/>
    <row r="41" spans="2:9" s="101" customFormat="1" ht="13.5" outlineLevel="1">
      <c r="B41" s="1445" t="s">
        <v>1402</v>
      </c>
    </row>
    <row r="42" spans="2:9" s="101" customFormat="1" ht="13.5" outlineLevel="1">
      <c r="B42" s="1442" t="s">
        <v>257</v>
      </c>
      <c r="C42" s="1443" t="s">
        <v>1889</v>
      </c>
      <c r="D42" s="1443" t="s">
        <v>2628</v>
      </c>
      <c r="E42" s="1443" t="s">
        <v>2851</v>
      </c>
      <c r="F42" s="1443" t="s">
        <v>2852</v>
      </c>
      <c r="G42" s="1443" t="s">
        <v>1890</v>
      </c>
      <c r="H42" s="1444" t="s">
        <v>172</v>
      </c>
    </row>
    <row r="43" spans="2:9" s="101" customFormat="1" ht="13.5" outlineLevel="1">
      <c r="B43" s="107" t="s">
        <v>1891</v>
      </c>
      <c r="C43" s="1282">
        <f>BS!J11</f>
        <v>1710243241</v>
      </c>
      <c r="D43" s="1282">
        <v>0</v>
      </c>
      <c r="E43" s="1282">
        <v>0</v>
      </c>
      <c r="F43" s="1282">
        <v>0</v>
      </c>
      <c r="G43" s="1282">
        <v>0</v>
      </c>
      <c r="H43" s="1283">
        <f>SUM(C43:G43)</f>
        <v>1710243241</v>
      </c>
      <c r="I43" s="101" t="b">
        <f>H43=BS!J11</f>
        <v>1</v>
      </c>
    </row>
    <row r="44" spans="2:9" s="101" customFormat="1" ht="13.5" outlineLevel="1">
      <c r="B44" s="107" t="s">
        <v>1892</v>
      </c>
      <c r="C44" s="1438"/>
      <c r="D44" s="1438"/>
      <c r="E44" s="1438"/>
      <c r="F44" s="1438"/>
      <c r="G44" s="1438"/>
      <c r="H44" s="1436"/>
    </row>
    <row r="45" spans="2:9" s="101" customFormat="1" ht="13.5" outlineLevel="1">
      <c r="B45" s="91" t="s">
        <v>1893</v>
      </c>
      <c r="C45" s="1285">
        <v>0</v>
      </c>
      <c r="D45" s="1285">
        <v>0</v>
      </c>
      <c r="E45" s="1285">
        <v>0</v>
      </c>
      <c r="F45" s="1285">
        <v>0</v>
      </c>
      <c r="G45" s="1285">
        <v>0</v>
      </c>
      <c r="H45" s="1283">
        <f>SUM(C45:G45)</f>
        <v>0</v>
      </c>
      <c r="I45" s="101" t="b">
        <f>-H45=BS!J12</f>
        <v>1</v>
      </c>
    </row>
    <row r="46" spans="2:9" s="101" customFormat="1" ht="13.5" outlineLevel="1"/>
    <row r="47" spans="2:9" s="101" customFormat="1" ht="13.5" outlineLevel="1">
      <c r="B47" s="1445" t="s">
        <v>1403</v>
      </c>
    </row>
    <row r="48" spans="2:9" s="101" customFormat="1" ht="13.5" outlineLevel="1">
      <c r="B48" s="1442" t="s">
        <v>257</v>
      </c>
      <c r="C48" s="1443" t="s">
        <v>1889</v>
      </c>
      <c r="D48" s="1443" t="s">
        <v>2628</v>
      </c>
      <c r="E48" s="1443" t="s">
        <v>2851</v>
      </c>
      <c r="F48" s="1443" t="s">
        <v>2852</v>
      </c>
      <c r="G48" s="1443" t="s">
        <v>1890</v>
      </c>
      <c r="H48" s="1444" t="s">
        <v>172</v>
      </c>
    </row>
    <row r="49" spans="2:9" s="101" customFormat="1" ht="13.5" outlineLevel="1">
      <c r="B49" s="107" t="s">
        <v>1891</v>
      </c>
      <c r="C49" s="1282">
        <f>BS!K11</f>
        <v>0</v>
      </c>
      <c r="D49" s="1282">
        <v>0</v>
      </c>
      <c r="E49" s="1282">
        <v>0</v>
      </c>
      <c r="F49" s="1282">
        <v>0</v>
      </c>
      <c r="G49" s="1282">
        <v>0</v>
      </c>
      <c r="H49" s="1283">
        <f>SUM(C49:G49)</f>
        <v>0</v>
      </c>
      <c r="I49" s="101" t="b">
        <f>H49=BS!K11</f>
        <v>1</v>
      </c>
    </row>
    <row r="50" spans="2:9" s="101" customFormat="1" ht="13.5" outlineLevel="1">
      <c r="B50" s="107" t="s">
        <v>1892</v>
      </c>
      <c r="C50" s="1438"/>
      <c r="D50" s="1438"/>
      <c r="E50" s="1438"/>
      <c r="F50" s="1438"/>
      <c r="G50" s="1438"/>
      <c r="H50" s="1436"/>
    </row>
    <row r="51" spans="2:9" s="101" customFormat="1" ht="13.5" outlineLevel="1">
      <c r="B51" s="91" t="s">
        <v>1893</v>
      </c>
      <c r="C51" s="1285">
        <v>0</v>
      </c>
      <c r="D51" s="1285">
        <v>0</v>
      </c>
      <c r="E51" s="1285">
        <v>0</v>
      </c>
      <c r="F51" s="1285">
        <v>0</v>
      </c>
      <c r="G51" s="1285">
        <v>0</v>
      </c>
      <c r="H51" s="1283">
        <f>SUM(C51:G51)</f>
        <v>0</v>
      </c>
      <c r="I51" s="101" t="b">
        <f>-H51=BS!K12</f>
        <v>1</v>
      </c>
    </row>
    <row r="52" spans="2:9" s="101" customFormat="1" ht="13.5" outlineLevel="1"/>
    <row r="53" spans="2:9" s="101" customFormat="1" ht="13.5" outlineLevel="1">
      <c r="B53" s="1445" t="s">
        <v>1404</v>
      </c>
    </row>
    <row r="54" spans="2:9" s="101" customFormat="1" ht="13.5" outlineLevel="1">
      <c r="B54" s="1442" t="s">
        <v>257</v>
      </c>
      <c r="C54" s="1443" t="s">
        <v>1889</v>
      </c>
      <c r="D54" s="1443" t="s">
        <v>2628</v>
      </c>
      <c r="E54" s="1443" t="s">
        <v>2851</v>
      </c>
      <c r="F54" s="1443" t="s">
        <v>2852</v>
      </c>
      <c r="G54" s="1443" t="s">
        <v>1890</v>
      </c>
      <c r="H54" s="1444" t="s">
        <v>172</v>
      </c>
    </row>
    <row r="55" spans="2:9" s="101" customFormat="1" ht="13.5" outlineLevel="1">
      <c r="B55" s="107" t="s">
        <v>1891</v>
      </c>
      <c r="C55" s="1282">
        <v>0</v>
      </c>
      <c r="D55" s="1282">
        <v>0</v>
      </c>
      <c r="E55" s="1282">
        <v>0</v>
      </c>
      <c r="F55" s="1282">
        <v>0</v>
      </c>
      <c r="G55" s="1282">
        <v>0</v>
      </c>
      <c r="H55" s="1283">
        <f>SUM(C55:G55)</f>
        <v>0</v>
      </c>
      <c r="I55" s="101" t="b">
        <f>H55=BS!L11</f>
        <v>1</v>
      </c>
    </row>
    <row r="56" spans="2:9" s="101" customFormat="1" ht="13.5" outlineLevel="1">
      <c r="B56" s="107" t="s">
        <v>1892</v>
      </c>
      <c r="C56" s="1438"/>
      <c r="D56" s="1438"/>
      <c r="E56" s="1438"/>
      <c r="F56" s="1438"/>
      <c r="G56" s="1438"/>
      <c r="H56" s="1436"/>
    </row>
    <row r="57" spans="2:9" s="101" customFormat="1" ht="13.5" outlineLevel="1">
      <c r="B57" s="91" t="s">
        <v>1893</v>
      </c>
      <c r="C57" s="1285">
        <v>0</v>
      </c>
      <c r="D57" s="1285">
        <v>0</v>
      </c>
      <c r="E57" s="1285">
        <v>0</v>
      </c>
      <c r="F57" s="1285">
        <v>0</v>
      </c>
      <c r="G57" s="1285">
        <v>0</v>
      </c>
      <c r="H57" s="1283">
        <f>SUM(C57:G57)</f>
        <v>0</v>
      </c>
      <c r="I57" s="101" t="b">
        <f>-H57=BS!L12</f>
        <v>1</v>
      </c>
    </row>
    <row r="58" spans="2:9" s="101" customFormat="1" ht="13.5" outlineLevel="1"/>
    <row r="59" spans="2:9" s="101" customFormat="1" ht="13.5" outlineLevel="1">
      <c r="B59" s="1445" t="s">
        <v>1398</v>
      </c>
    </row>
    <row r="60" spans="2:9" s="101" customFormat="1" ht="13.5" outlineLevel="1">
      <c r="B60" s="1442" t="s">
        <v>257</v>
      </c>
      <c r="C60" s="1443" t="s">
        <v>1889</v>
      </c>
      <c r="D60" s="1443" t="s">
        <v>2628</v>
      </c>
      <c r="E60" s="1443" t="s">
        <v>2851</v>
      </c>
      <c r="F60" s="1443" t="s">
        <v>2852</v>
      </c>
      <c r="G60" s="1443" t="s">
        <v>1890</v>
      </c>
      <c r="H60" s="1444" t="s">
        <v>172</v>
      </c>
    </row>
    <row r="61" spans="2:9" s="101" customFormat="1" ht="13.5" outlineLevel="1">
      <c r="B61" s="107" t="s">
        <v>1891</v>
      </c>
      <c r="C61" s="1282">
        <v>0</v>
      </c>
      <c r="D61" s="1282"/>
      <c r="E61" s="1282"/>
      <c r="F61" s="1282"/>
      <c r="G61" s="1282"/>
      <c r="H61" s="1283">
        <f>SUM(C61:G61)</f>
        <v>0</v>
      </c>
      <c r="I61" s="101" t="b">
        <f>H61=BS!M11</f>
        <v>1</v>
      </c>
    </row>
    <row r="62" spans="2:9" s="101" customFormat="1" ht="13.5" outlineLevel="1">
      <c r="B62" s="107" t="s">
        <v>1892</v>
      </c>
      <c r="C62" s="1438"/>
      <c r="D62" s="1438"/>
      <c r="E62" s="1438"/>
      <c r="F62" s="1438"/>
      <c r="G62" s="1438"/>
      <c r="H62" s="1436"/>
    </row>
    <row r="63" spans="2:9" s="101" customFormat="1" ht="13.5" outlineLevel="1">
      <c r="B63" s="91" t="s">
        <v>1893</v>
      </c>
      <c r="C63" s="1285">
        <v>0</v>
      </c>
      <c r="D63" s="1285">
        <v>0</v>
      </c>
      <c r="E63" s="1285">
        <v>0</v>
      </c>
      <c r="F63" s="1285">
        <v>0</v>
      </c>
      <c r="G63" s="1285">
        <v>0</v>
      </c>
      <c r="H63" s="1283">
        <f>SUM(C63:G63)</f>
        <v>0</v>
      </c>
      <c r="I63" s="101" t="b">
        <f>-H63=BS!M12</f>
        <v>1</v>
      </c>
    </row>
    <row r="64" spans="2:9" s="101" customFormat="1" ht="13.5" outlineLevel="1">
      <c r="B64" s="1365"/>
      <c r="C64" s="1439"/>
      <c r="D64" s="1439"/>
      <c r="E64" s="1439"/>
      <c r="F64" s="1439"/>
      <c r="G64" s="1439"/>
      <c r="H64" s="1439"/>
    </row>
    <row r="65" spans="2:9" s="101" customFormat="1" ht="13.5" outlineLevel="1">
      <c r="B65" s="1445" t="s">
        <v>3412</v>
      </c>
    </row>
    <row r="66" spans="2:9" s="101" customFormat="1" ht="13.5" outlineLevel="1">
      <c r="B66" s="1442" t="s">
        <v>257</v>
      </c>
      <c r="C66" s="1443" t="s">
        <v>1889</v>
      </c>
      <c r="D66" s="1443" t="s">
        <v>2628</v>
      </c>
      <c r="E66" s="1443" t="s">
        <v>2851</v>
      </c>
      <c r="F66" s="1443" t="s">
        <v>2852</v>
      </c>
      <c r="G66" s="1443" t="s">
        <v>1890</v>
      </c>
      <c r="H66" s="1444" t="s">
        <v>172</v>
      </c>
    </row>
    <row r="67" spans="2:9" s="101" customFormat="1" ht="13.5" outlineLevel="1">
      <c r="B67" s="107" t="s">
        <v>1891</v>
      </c>
      <c r="C67" s="1282">
        <v>0</v>
      </c>
      <c r="D67" s="1282"/>
      <c r="E67" s="1282"/>
      <c r="F67" s="1282"/>
      <c r="G67" s="1282"/>
      <c r="H67" s="1283">
        <f>SUM(C67:G67)</f>
        <v>0</v>
      </c>
      <c r="I67" s="101" t="b">
        <f>H67=BS!N11</f>
        <v>1</v>
      </c>
    </row>
    <row r="68" spans="2:9" s="101" customFormat="1" ht="13.5" outlineLevel="1">
      <c r="B68" s="107" t="s">
        <v>1892</v>
      </c>
      <c r="C68" s="1438"/>
      <c r="D68" s="1438"/>
      <c r="E68" s="1438"/>
      <c r="F68" s="1438"/>
      <c r="G68" s="1438"/>
      <c r="H68" s="1436"/>
    </row>
    <row r="69" spans="2:9" s="101" customFormat="1" ht="13.5" outlineLevel="1">
      <c r="B69" s="91" t="s">
        <v>1893</v>
      </c>
      <c r="C69" s="1285">
        <v>0</v>
      </c>
      <c r="D69" s="1285">
        <v>0</v>
      </c>
      <c r="E69" s="1285">
        <v>0</v>
      </c>
      <c r="F69" s="1285">
        <v>0</v>
      </c>
      <c r="G69" s="1285">
        <v>0</v>
      </c>
      <c r="H69" s="1283">
        <f>SUM(C69:G69)</f>
        <v>0</v>
      </c>
      <c r="I69" s="101" t="b">
        <f>-H69=BS!N12</f>
        <v>1</v>
      </c>
    </row>
    <row r="70" spans="2:9" s="101" customFormat="1" ht="13.5"/>
    <row r="71" spans="2:9" s="101" customFormat="1" ht="13.5"/>
    <row r="72" spans="2:9" s="101" customFormat="1" ht="13.5"/>
    <row r="73" spans="2:9" s="101" customFormat="1" ht="13.5">
      <c r="B73" s="101" t="s">
        <v>1894</v>
      </c>
    </row>
    <row r="74" spans="2:9" s="101" customFormat="1" ht="13.5">
      <c r="B74" s="1339"/>
      <c r="F74" s="1317" t="s">
        <v>1895</v>
      </c>
    </row>
    <row r="75" spans="2:9" s="101" customFormat="1" ht="13.5">
      <c r="B75" s="1442" t="s">
        <v>257</v>
      </c>
      <c r="C75" s="1443" t="s">
        <v>326</v>
      </c>
      <c r="D75" s="1443" t="s">
        <v>174</v>
      </c>
      <c r="E75" s="1443" t="s">
        <v>1896</v>
      </c>
      <c r="F75" s="1444" t="s">
        <v>327</v>
      </c>
    </row>
    <row r="76" spans="2:9" s="101" customFormat="1" ht="13.5">
      <c r="B76" s="107" t="s">
        <v>10</v>
      </c>
      <c r="C76" s="1282">
        <f>-연결BS!E9</f>
        <v>163007230</v>
      </c>
      <c r="D76" s="1282">
        <f>연결PL!D62</f>
        <v>-83305712</v>
      </c>
      <c r="E76" s="1282">
        <v>0</v>
      </c>
      <c r="F76" s="1283">
        <f>SUM(C76:E76)</f>
        <v>79701518</v>
      </c>
      <c r="G76" s="1127"/>
      <c r="H76" s="1127">
        <f>F76+D9</f>
        <v>0</v>
      </c>
    </row>
    <row r="77" spans="2:9" s="101" customFormat="1" ht="13.5">
      <c r="B77" s="107" t="s">
        <v>13</v>
      </c>
      <c r="C77" s="1282">
        <f>-연결BS!E13</f>
        <v>27139000</v>
      </c>
      <c r="D77" s="1282">
        <v>-3000000</v>
      </c>
      <c r="E77" s="1282"/>
      <c r="F77" s="1283">
        <f t="shared" ref="F77" si="5">SUM(C77:E77)</f>
        <v>24139000</v>
      </c>
      <c r="H77" s="1127">
        <f>F77+D10</f>
        <v>0</v>
      </c>
    </row>
    <row r="78" spans="2:9" s="101" customFormat="1" ht="13.5">
      <c r="B78" s="107" t="s">
        <v>1534</v>
      </c>
      <c r="C78" s="1282">
        <f>-연결BS!E27</f>
        <v>0</v>
      </c>
      <c r="D78" s="1282">
        <v>0</v>
      </c>
      <c r="E78" s="1282">
        <v>0</v>
      </c>
      <c r="F78" s="1283">
        <f t="shared" ref="F78" si="6">SUM(C78:E78)</f>
        <v>0</v>
      </c>
      <c r="H78" s="1127"/>
    </row>
    <row r="79" spans="2:9" s="101" customFormat="1" ht="13.5">
      <c r="B79" s="91" t="s">
        <v>144</v>
      </c>
      <c r="C79" s="1285">
        <f>SUM(C76:C78)</f>
        <v>190146230</v>
      </c>
      <c r="D79" s="1285">
        <f>SUM(D76:D78)</f>
        <v>-86305712</v>
      </c>
      <c r="E79" s="1285">
        <f>SUM(E76:E77)</f>
        <v>0</v>
      </c>
      <c r="F79" s="1285">
        <f>SUM(F76:F77)</f>
        <v>103840518</v>
      </c>
      <c r="G79" s="1441">
        <f>F79+D12</f>
        <v>0</v>
      </c>
    </row>
    <row r="80" spans="2:9" s="101" customFormat="1" ht="13.5">
      <c r="B80" s="102"/>
      <c r="D80" s="1118">
        <f>연결PL!D62-연결PL!D73</f>
        <v>-86305712</v>
      </c>
    </row>
    <row r="81" spans="4:4" s="101" customFormat="1" ht="13.5">
      <c r="D81" s="1119">
        <f>D79-D80</f>
        <v>0</v>
      </c>
    </row>
    <row r="82" spans="4:4" s="101" customFormat="1" ht="13.5"/>
    <row r="83" spans="4:4" s="101" customFormat="1" ht="13.5"/>
    <row r="84" spans="4:4" s="101" customFormat="1" ht="13.5"/>
    <row r="85" spans="4:4" s="101" customFormat="1" ht="13.5"/>
    <row r="86" spans="4:4" s="101" customFormat="1" ht="13.5"/>
  </sheetData>
  <mergeCells count="1">
    <mergeCell ref="B7:B8"/>
  </mergeCells>
  <phoneticPr fontId="3"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 operator="containsText" id="{2C56F528-B4E5-4125-97AA-F7563CC2C70B}">
            <xm:f>NOT(ISERROR(SEARCH("true",A1)))</xm:f>
            <xm:f>"true"</xm:f>
            <x14:dxf>
              <fill>
                <patternFill>
                  <bgColor theme="9" tint="0.79998168889431442"/>
                </patternFill>
              </fill>
            </x14:dxf>
          </x14:cfRule>
          <x14:cfRule type="containsText" priority="2" operator="containsText" id="{F15DD722-FE58-48CC-B0EF-30EA39002989}">
            <xm:f>NOT(ISERROR(SEARCH("FALSE",A1)))</xm:f>
            <xm:f>"FALSE"</xm:f>
            <x14:dxf>
              <fill>
                <patternFill>
                  <bgColor rgb="FFFF0000"/>
                </patternFill>
              </fill>
            </x14:dxf>
          </x14:cfRule>
          <xm:sqref>A1:XFD1048576</xm:sqref>
        </x14:conditionalFormatting>
      </x14:conditionalFormattings>
    </ext>
  </extLs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heet53"/>
  <dimension ref="B2:L25"/>
  <sheetViews>
    <sheetView showGridLines="0" zoomScale="85" zoomScaleNormal="85" workbookViewId="0">
      <selection activeCell="B15" sqref="B15:B16"/>
    </sheetView>
  </sheetViews>
  <sheetFormatPr defaultColWidth="9" defaultRowHeight="16.5"/>
  <cols>
    <col min="1" max="1" width="2.625" style="418" customWidth="1"/>
    <col min="2" max="2" width="26.625" style="418" customWidth="1"/>
    <col min="3" max="9" width="15.125" style="881" customWidth="1"/>
    <col min="10" max="16384" width="9" style="418"/>
  </cols>
  <sheetData>
    <row r="2" spans="2:9">
      <c r="B2" s="478" t="s">
        <v>1897</v>
      </c>
      <c r="C2" s="418"/>
      <c r="D2" s="418"/>
    </row>
    <row r="3" spans="2:9">
      <c r="C3" s="418"/>
      <c r="D3" s="418"/>
    </row>
    <row r="4" spans="2:9" s="101" customFormat="1" ht="13.5">
      <c r="B4" s="101" t="s">
        <v>1898</v>
      </c>
      <c r="E4" s="105"/>
      <c r="F4" s="105"/>
      <c r="G4" s="105"/>
      <c r="H4" s="105"/>
      <c r="I4" s="105"/>
    </row>
    <row r="5" spans="2:9" s="101" customFormat="1" ht="13.5">
      <c r="C5" s="1317" t="s">
        <v>368</v>
      </c>
      <c r="D5" s="105"/>
      <c r="E5" s="105"/>
      <c r="F5" s="105"/>
      <c r="G5" s="105"/>
      <c r="H5" s="105"/>
    </row>
    <row r="6" spans="2:9" s="101" customFormat="1" ht="13.5">
      <c r="B6" s="1449" t="s">
        <v>257</v>
      </c>
      <c r="C6" s="1450" t="str">
        <f>'7'!C7</f>
        <v>당기말</v>
      </c>
      <c r="D6" s="1450" t="str">
        <f>'7'!D7</f>
        <v>전기말</v>
      </c>
      <c r="E6" s="105"/>
      <c r="F6" s="105"/>
      <c r="G6" s="105"/>
      <c r="H6" s="105"/>
    </row>
    <row r="7" spans="2:9" s="101" customFormat="1" ht="13.5">
      <c r="B7" s="1281" t="s">
        <v>23</v>
      </c>
      <c r="C7" s="1341">
        <f>연결BS!D15</f>
        <v>113083377</v>
      </c>
      <c r="D7" s="1341">
        <f>연결BS!E15</f>
        <v>111295016</v>
      </c>
      <c r="E7" s="105"/>
      <c r="F7" s="105"/>
      <c r="G7" s="105"/>
      <c r="H7" s="105"/>
    </row>
    <row r="8" spans="2:9" s="101" customFormat="1" ht="13.5">
      <c r="B8" s="1281" t="s">
        <v>1899</v>
      </c>
      <c r="C8" s="1341">
        <f>연결BS!D16</f>
        <v>0</v>
      </c>
      <c r="D8" s="1341">
        <f>연결BS!E16</f>
        <v>-14089</v>
      </c>
      <c r="E8" s="105"/>
      <c r="F8" s="105"/>
      <c r="G8" s="105"/>
      <c r="H8" s="105"/>
    </row>
    <row r="9" spans="2:9" s="101" customFormat="1" ht="13.5">
      <c r="B9" s="1281" t="s">
        <v>21</v>
      </c>
      <c r="C9" s="1341">
        <f>연결BS!D17</f>
        <v>2573602294</v>
      </c>
      <c r="D9" s="1341">
        <f>연결BS!E17</f>
        <v>2367206763</v>
      </c>
      <c r="E9" s="105"/>
      <c r="F9" s="105"/>
      <c r="G9" s="105"/>
      <c r="H9" s="105"/>
    </row>
    <row r="10" spans="2:9" s="101" customFormat="1" ht="13.5">
      <c r="B10" s="1281" t="s">
        <v>1899</v>
      </c>
      <c r="C10" s="1341">
        <f>연결BS!D18</f>
        <v>-827921741</v>
      </c>
      <c r="D10" s="1341">
        <f>연결BS!E18</f>
        <v>-725171962</v>
      </c>
      <c r="E10" s="105"/>
      <c r="F10" s="105"/>
      <c r="G10" s="105"/>
      <c r="H10" s="105"/>
    </row>
    <row r="11" spans="2:9" s="101" customFormat="1" ht="13.5">
      <c r="B11" s="1281" t="s">
        <v>24</v>
      </c>
      <c r="C11" s="1341">
        <f>연결BS!D19</f>
        <v>487254381</v>
      </c>
      <c r="D11" s="1341">
        <f>연결BS!E19</f>
        <v>354984836</v>
      </c>
      <c r="E11" s="105"/>
      <c r="F11" s="105"/>
      <c r="G11" s="105"/>
      <c r="H11" s="105"/>
    </row>
    <row r="12" spans="2:9" s="101" customFormat="1" ht="13.5">
      <c r="B12" s="1281" t="s">
        <v>1899</v>
      </c>
      <c r="C12" s="1341">
        <f>연결BS!D20</f>
        <v>-67100184</v>
      </c>
      <c r="D12" s="1341">
        <f>연결BS!E20</f>
        <v>-34479470</v>
      </c>
      <c r="E12" s="105"/>
      <c r="F12" s="105"/>
      <c r="G12" s="105"/>
      <c r="H12" s="105"/>
    </row>
    <row r="13" spans="2:9" s="101" customFormat="1" ht="13.5">
      <c r="B13" s="1320" t="s">
        <v>1373</v>
      </c>
      <c r="C13" s="1348">
        <f>연결BS!D21</f>
        <v>48405072</v>
      </c>
      <c r="D13" s="1348">
        <f>연결BS!E21</f>
        <v>49267189</v>
      </c>
      <c r="E13" s="105"/>
      <c r="F13" s="105"/>
      <c r="G13" s="105"/>
      <c r="H13" s="105"/>
    </row>
    <row r="14" spans="2:9" s="101" customFormat="1" ht="13.5">
      <c r="B14" s="1320" t="s">
        <v>1899</v>
      </c>
      <c r="C14" s="1348">
        <f>연결BS!D22</f>
        <v>-20598322</v>
      </c>
      <c r="D14" s="1348">
        <f>연결BS!E22</f>
        <v>-2358686</v>
      </c>
      <c r="E14" s="105"/>
      <c r="F14" s="105"/>
      <c r="G14" s="105"/>
      <c r="H14" s="105"/>
    </row>
    <row r="15" spans="2:9" s="101" customFormat="1" ht="13.5">
      <c r="B15" s="1320" t="s">
        <v>4025</v>
      </c>
      <c r="C15" s="1348">
        <f>BS!X33</f>
        <v>1451631047</v>
      </c>
      <c r="D15" s="1348">
        <v>0</v>
      </c>
      <c r="E15" s="105"/>
      <c r="F15" s="105"/>
      <c r="G15" s="105"/>
      <c r="H15" s="105"/>
    </row>
    <row r="16" spans="2:9" s="101" customFormat="1" ht="13.5">
      <c r="B16" s="1320" t="s">
        <v>1899</v>
      </c>
      <c r="C16" s="1348">
        <f>BS!X34</f>
        <v>-1451631047</v>
      </c>
      <c r="D16" s="1348">
        <v>0</v>
      </c>
      <c r="E16" s="105"/>
      <c r="F16" s="105"/>
      <c r="G16" s="105"/>
      <c r="H16" s="105"/>
    </row>
    <row r="17" spans="2:12" s="101" customFormat="1" ht="13.5">
      <c r="B17" s="91" t="s">
        <v>144</v>
      </c>
      <c r="C17" s="1345">
        <f>SUM(C7:C16)</f>
        <v>2306724877</v>
      </c>
      <c r="D17" s="1345">
        <f>SUM(D7:D16)</f>
        <v>2120729597</v>
      </c>
      <c r="E17" s="105"/>
      <c r="F17" s="105"/>
      <c r="G17" s="105"/>
      <c r="H17" s="105"/>
      <c r="I17" s="105"/>
    </row>
    <row r="18" spans="2:12" s="101" customFormat="1" ht="13.5">
      <c r="C18" s="105" t="b">
        <f>C17=연결BS!D14</f>
        <v>1</v>
      </c>
      <c r="D18" s="105" t="b">
        <f>D17=연결BS!E14</f>
        <v>1</v>
      </c>
      <c r="E18" s="105"/>
      <c r="F18" s="105"/>
      <c r="G18" s="105"/>
      <c r="H18" s="105"/>
      <c r="I18" s="105"/>
    </row>
    <row r="19" spans="2:12" s="101" customFormat="1" ht="13.5">
      <c r="C19" s="105"/>
      <c r="D19" s="105"/>
      <c r="E19" s="105"/>
      <c r="F19" s="105"/>
      <c r="G19" s="105"/>
      <c r="H19" s="105"/>
      <c r="I19" s="105"/>
      <c r="J19" s="105"/>
      <c r="K19" s="105"/>
      <c r="L19" s="105"/>
    </row>
    <row r="20" spans="2:12" s="101" customFormat="1" ht="13.5">
      <c r="B20" s="1466" t="s">
        <v>257</v>
      </c>
      <c r="C20" s="1467" t="s">
        <v>2897</v>
      </c>
      <c r="D20" s="1467" t="s">
        <v>612</v>
      </c>
      <c r="E20" s="105"/>
      <c r="F20" s="105"/>
      <c r="G20" s="105"/>
      <c r="H20" s="105"/>
      <c r="I20" s="105"/>
      <c r="J20" s="105"/>
      <c r="K20" s="105"/>
      <c r="L20" s="105"/>
    </row>
    <row r="21" spans="2:12" s="101" customFormat="1" ht="13.5">
      <c r="B21" s="15" t="s">
        <v>363</v>
      </c>
      <c r="C21" s="1283">
        <f>SUM(CF정산표!K31:K34)-SUM(CF정산표!H31:H34)</f>
        <v>131193174</v>
      </c>
      <c r="D21" s="1283"/>
      <c r="E21" s="105"/>
      <c r="F21" s="105"/>
      <c r="G21" s="105"/>
      <c r="H21" s="105"/>
      <c r="I21" s="105"/>
    </row>
    <row r="22" spans="2:12" s="101" customFormat="1" ht="13.5">
      <c r="C22" s="105"/>
      <c r="D22" s="105"/>
      <c r="E22" s="105"/>
      <c r="F22" s="105"/>
      <c r="G22" s="105"/>
      <c r="H22" s="105"/>
      <c r="I22" s="105"/>
    </row>
    <row r="23" spans="2:12" s="101" customFormat="1" ht="13.5">
      <c r="C23" s="105"/>
      <c r="D23" s="105"/>
      <c r="E23" s="105"/>
      <c r="F23" s="105"/>
      <c r="G23" s="105"/>
      <c r="H23" s="105"/>
      <c r="I23" s="105"/>
    </row>
    <row r="24" spans="2:12" s="101" customFormat="1" ht="13.5">
      <c r="C24" s="105"/>
      <c r="D24" s="105"/>
      <c r="E24" s="105"/>
      <c r="F24" s="105"/>
      <c r="G24" s="105"/>
      <c r="H24" s="105"/>
      <c r="I24" s="105"/>
    </row>
    <row r="25" spans="2:12" s="101" customFormat="1" ht="13.5">
      <c r="C25" s="105"/>
      <c r="D25" s="105"/>
      <c r="E25" s="105"/>
      <c r="F25" s="105"/>
      <c r="G25" s="105"/>
      <c r="H25" s="105"/>
      <c r="I25" s="105"/>
    </row>
  </sheetData>
  <phoneticPr fontId="3" type="noConversion"/>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54"/>
  <dimension ref="B3:E15"/>
  <sheetViews>
    <sheetView showGridLines="0" zoomScale="85" zoomScaleNormal="85" workbookViewId="0">
      <selection activeCell="C9" sqref="C9:D14"/>
    </sheetView>
  </sheetViews>
  <sheetFormatPr defaultColWidth="9" defaultRowHeight="13.5"/>
  <cols>
    <col min="1" max="1" width="9" style="101"/>
    <col min="2" max="2" width="18.875" style="101" customWidth="1"/>
    <col min="3" max="3" width="18.125" style="101" customWidth="1"/>
    <col min="4" max="4" width="14.5" style="101" customWidth="1"/>
    <col min="5" max="16384" width="9" style="101"/>
  </cols>
  <sheetData>
    <row r="3" spans="2:5" s="418" customFormat="1" ht="16.5">
      <c r="B3" s="849" t="s">
        <v>4024</v>
      </c>
    </row>
    <row r="4" spans="2:5" s="418" customFormat="1" ht="16.5">
      <c r="B4" s="851"/>
    </row>
    <row r="5" spans="2:5">
      <c r="B5" s="101" t="s">
        <v>1900</v>
      </c>
    </row>
    <row r="6" spans="2:5">
      <c r="C6" s="1317" t="s">
        <v>368</v>
      </c>
    </row>
    <row r="7" spans="2:5">
      <c r="B7" s="2088" t="s">
        <v>257</v>
      </c>
      <c r="C7" s="2090" t="str">
        <f>'6'!C7</f>
        <v>당기말</v>
      </c>
      <c r="D7" s="2091"/>
      <c r="E7" s="2092" t="str">
        <f>'6'!D7</f>
        <v>전기말</v>
      </c>
    </row>
    <row r="8" spans="2:5">
      <c r="B8" s="2089"/>
      <c r="C8" s="1400" t="s">
        <v>3848</v>
      </c>
      <c r="D8" s="1400" t="s">
        <v>3849</v>
      </c>
      <c r="E8" s="2093"/>
    </row>
    <row r="9" spans="2:5">
      <c r="B9" s="1281" t="s">
        <v>16</v>
      </c>
      <c r="C9" s="1341">
        <f>연결BS!D26</f>
        <v>1238992451</v>
      </c>
      <c r="D9" s="1341">
        <v>0</v>
      </c>
      <c r="E9" s="1341">
        <f>연결BS!E26</f>
        <v>2298824241</v>
      </c>
    </row>
    <row r="10" spans="2:5">
      <c r="B10" s="1281" t="s">
        <v>812</v>
      </c>
      <c r="C10" s="1341">
        <f>연결BS!D27</f>
        <v>-564300000</v>
      </c>
      <c r="D10" s="1341">
        <v>0</v>
      </c>
      <c r="E10" s="1341">
        <f>연결BS!E27</f>
        <v>0</v>
      </c>
    </row>
    <row r="11" spans="2:5">
      <c r="B11" s="1281" t="s">
        <v>17</v>
      </c>
      <c r="C11" s="1341">
        <f>연결BS!D28</f>
        <v>1698698289</v>
      </c>
      <c r="D11" s="1341">
        <f>BS!X81</f>
        <v>466873197</v>
      </c>
      <c r="E11" s="1341">
        <f>연결BS!E28</f>
        <v>474036344</v>
      </c>
    </row>
    <row r="12" spans="2:5">
      <c r="B12" s="1320" t="s">
        <v>2760</v>
      </c>
      <c r="C12" s="1341">
        <f>연결BS!D29</f>
        <v>4272227</v>
      </c>
      <c r="D12" s="1341">
        <v>0</v>
      </c>
      <c r="E12" s="1341">
        <f>연결BS!E29</f>
        <v>7692640</v>
      </c>
    </row>
    <row r="13" spans="2:5">
      <c r="B13" s="1320" t="s">
        <v>3794</v>
      </c>
      <c r="C13" s="1341">
        <f>연결BS!D30</f>
        <v>415346404</v>
      </c>
      <c r="D13" s="1341">
        <v>0</v>
      </c>
      <c r="E13" s="1348">
        <v>0</v>
      </c>
    </row>
    <row r="14" spans="2:5">
      <c r="B14" s="91" t="s">
        <v>144</v>
      </c>
      <c r="C14" s="1345">
        <f>SUM(C9:C13)</f>
        <v>2793009371</v>
      </c>
      <c r="D14" s="1345">
        <f>SUM(D9:D13)</f>
        <v>466873197</v>
      </c>
      <c r="E14" s="1345">
        <f>SUM(E9:E12)</f>
        <v>2780553225</v>
      </c>
    </row>
    <row r="15" spans="2:5">
      <c r="C15" s="101" t="b">
        <f>C14=연결BS!D25</f>
        <v>1</v>
      </c>
      <c r="D15" s="101" t="b">
        <f>D14=연결BS!D71</f>
        <v>1</v>
      </c>
      <c r="E15" s="101" t="b">
        <f>E14=연결BS!E25</f>
        <v>1</v>
      </c>
    </row>
  </sheetData>
  <mergeCells count="3">
    <mergeCell ref="C7:D7"/>
    <mergeCell ref="E7:E8"/>
    <mergeCell ref="B7:B8"/>
  </mergeCells>
  <phoneticPr fontId="3"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3" operator="containsText" id="{3F640481-2029-4064-AC13-46EF459EB17A}">
            <xm:f>NOT(ISERROR(SEARCH("false",A1)))</xm:f>
            <xm:f>"false"</xm:f>
            <x14:dxf>
              <fill>
                <patternFill>
                  <bgColor rgb="FFFF0000"/>
                </patternFill>
              </fill>
            </x14:dxf>
          </x14:cfRule>
          <x14:cfRule type="containsText" priority="4" operator="containsText" id="{78BE5C0F-0B45-43C7-8EA8-08CFE27EB419}">
            <xm:f>NOT(ISERROR(SEARCH("true",A1)))</xm:f>
            <xm:f>"true"</xm:f>
            <x14:dxf>
              <fill>
                <patternFill>
                  <bgColor theme="9" tint="0.79998168889431442"/>
                </patternFill>
              </fill>
            </x14:dxf>
          </x14:cfRule>
          <xm:sqref>A1:XFD6 A7:C7 E7:XFD7 A8 C8 F8:XFD8 A9:C15 E9:XFD15 A16:XFD1048576</xm:sqref>
        </x14:conditionalFormatting>
        <x14:conditionalFormatting xmlns:xm="http://schemas.microsoft.com/office/excel/2006/main">
          <x14:cfRule type="containsText" priority="1" operator="containsText" id="{614940ED-DE6D-4BA5-8E6D-FCD39B8F3796}">
            <xm:f>NOT(ISERROR(SEARCH("false",D8)))</xm:f>
            <xm:f>"false"</xm:f>
            <x14:dxf>
              <fill>
                <patternFill>
                  <bgColor rgb="FFFF0000"/>
                </patternFill>
              </fill>
            </x14:dxf>
          </x14:cfRule>
          <x14:cfRule type="containsText" priority="2" operator="containsText" id="{B8495E57-C4FF-4B8A-AAAB-23C2744A5643}">
            <xm:f>NOT(ISERROR(SEARCH("true",D8)))</xm:f>
            <xm:f>"true"</xm:f>
            <x14:dxf>
              <fill>
                <patternFill>
                  <bgColor theme="9" tint="0.79998168889431442"/>
                </patternFill>
              </fill>
            </x14:dxf>
          </x14:cfRule>
          <xm:sqref>D8:D15</xm:sqref>
        </x14:conditionalFormatting>
      </x14:conditionalFormattings>
    </ext>
  </extLst>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55"/>
  <dimension ref="B3:I34"/>
  <sheetViews>
    <sheetView showGridLines="0" topLeftCell="A4" zoomScale="85" zoomScaleNormal="85" workbookViewId="0">
      <selection activeCell="C19" sqref="C19:C21"/>
    </sheetView>
  </sheetViews>
  <sheetFormatPr defaultColWidth="9" defaultRowHeight="16.5"/>
  <cols>
    <col min="1" max="1" width="9" style="418"/>
    <col min="2" max="2" width="25.125" style="418" customWidth="1"/>
    <col min="3" max="3" width="18.125" style="418" customWidth="1"/>
    <col min="4" max="7" width="11.75" style="418" customWidth="1"/>
    <col min="8" max="8" width="13.125" style="418" bestFit="1" customWidth="1"/>
    <col min="9" max="9" width="15" style="418" bestFit="1" customWidth="1"/>
    <col min="10" max="16384" width="9" style="418"/>
  </cols>
  <sheetData>
    <row r="3" spans="2:9">
      <c r="B3" s="478" t="s">
        <v>2919</v>
      </c>
    </row>
    <row r="5" spans="2:9">
      <c r="B5" s="478" t="s">
        <v>2921</v>
      </c>
    </row>
    <row r="7" spans="2:9">
      <c r="C7" s="863" t="s">
        <v>368</v>
      </c>
    </row>
    <row r="8" spans="2:9">
      <c r="B8" s="882" t="s">
        <v>332</v>
      </c>
      <c r="C8" s="870" t="str">
        <f>'6'!C7</f>
        <v>당기말</v>
      </c>
      <c r="D8" s="870" t="str">
        <f>'6'!D7</f>
        <v>전기말</v>
      </c>
    </row>
    <row r="9" spans="2:9">
      <c r="B9" s="774" t="s">
        <v>43</v>
      </c>
      <c r="C9" s="883">
        <f>연결BS!D32</f>
        <v>58432567</v>
      </c>
      <c r="D9" s="883">
        <f>연결BS!E32</f>
        <v>54809510</v>
      </c>
    </row>
    <row r="10" spans="2:9">
      <c r="B10" s="774" t="s">
        <v>2923</v>
      </c>
      <c r="C10" s="883">
        <f>연결BS!D33+I10</f>
        <v>1189000000</v>
      </c>
      <c r="D10" s="883">
        <f>연결BS!E33</f>
        <v>1250001</v>
      </c>
      <c r="F10" s="418" t="s">
        <v>4020</v>
      </c>
      <c r="I10" s="1609">
        <v>1189000000</v>
      </c>
    </row>
    <row r="11" spans="2:9">
      <c r="B11" s="957" t="s">
        <v>4021</v>
      </c>
      <c r="C11" s="1865">
        <f>I11</f>
        <v>-1189000000</v>
      </c>
      <c r="D11" s="1865">
        <v>0</v>
      </c>
      <c r="F11" s="418" t="s">
        <v>4022</v>
      </c>
      <c r="I11" s="1609">
        <v>-1189000000</v>
      </c>
    </row>
    <row r="12" spans="2:9">
      <c r="B12" s="867" t="s">
        <v>144</v>
      </c>
      <c r="C12" s="872">
        <f>SUM(C9:C11)</f>
        <v>58432567</v>
      </c>
      <c r="D12" s="872">
        <f>SUM(D9:D11)</f>
        <v>56059511</v>
      </c>
    </row>
    <row r="13" spans="2:9">
      <c r="C13" s="418" t="b">
        <f>C12=연결BS!D31</f>
        <v>1</v>
      </c>
      <c r="D13" s="418" t="b">
        <f>D12=연결BS!E31</f>
        <v>1</v>
      </c>
    </row>
    <row r="16" spans="2:9">
      <c r="B16" s="478" t="s">
        <v>2922</v>
      </c>
    </row>
    <row r="17" spans="2:9">
      <c r="C17" s="863" t="s">
        <v>368</v>
      </c>
    </row>
    <row r="18" spans="2:9">
      <c r="B18" s="882" t="s">
        <v>332</v>
      </c>
      <c r="C18" s="870" t="str">
        <f>'6'!C7</f>
        <v>당기말</v>
      </c>
      <c r="D18" s="870" t="str">
        <f>'6'!D7</f>
        <v>전기말</v>
      </c>
    </row>
    <row r="19" spans="2:9">
      <c r="B19" s="774" t="s">
        <v>43</v>
      </c>
      <c r="C19" s="883">
        <f>연결BS!D37</f>
        <v>696916809</v>
      </c>
      <c r="D19" s="883">
        <f>연결BS!E37</f>
        <v>378196105</v>
      </c>
    </row>
    <row r="20" spans="2:9">
      <c r="B20" s="774" t="s">
        <v>44</v>
      </c>
      <c r="C20" s="883">
        <f>연결BS!D38</f>
        <v>18124786</v>
      </c>
      <c r="D20" s="883">
        <f>연결BS!E38</f>
        <v>10024170</v>
      </c>
    </row>
    <row r="21" spans="2:9">
      <c r="B21" s="867" t="s">
        <v>144</v>
      </c>
      <c r="C21" s="872">
        <f>SUM(C19:C20)</f>
        <v>715041595</v>
      </c>
      <c r="D21" s="872">
        <f>SUM(D19:D20)</f>
        <v>388220275</v>
      </c>
    </row>
    <row r="22" spans="2:9">
      <c r="C22" s="418" t="b">
        <f>C21=연결BS!D36</f>
        <v>1</v>
      </c>
      <c r="D22" s="418" t="b">
        <f>D21=연결BS!E36</f>
        <v>1</v>
      </c>
    </row>
    <row r="27" spans="2:9">
      <c r="B27" s="1591" t="s">
        <v>2998</v>
      </c>
      <c r="C27" s="1276"/>
      <c r="D27" s="1276"/>
      <c r="E27" s="1276"/>
      <c r="F27" s="1276"/>
      <c r="G27" s="1276"/>
      <c r="H27" s="1276"/>
      <c r="I27" s="1276"/>
    </row>
    <row r="28" spans="2:9">
      <c r="B28" s="1276"/>
      <c r="C28" s="1276"/>
      <c r="D28" s="1276"/>
      <c r="E28" s="1276"/>
      <c r="F28" s="1276"/>
      <c r="G28" s="1276"/>
      <c r="H28" s="1276"/>
      <c r="I28" s="1276"/>
    </row>
    <row r="29" spans="2:9">
      <c r="B29" s="2094" t="s">
        <v>332</v>
      </c>
      <c r="C29" s="2094" t="s">
        <v>2999</v>
      </c>
      <c r="D29" s="1593" t="str">
        <f>C18</f>
        <v>당기말</v>
      </c>
      <c r="E29" s="1593"/>
      <c r="F29" s="1593" t="str">
        <f>D18</f>
        <v>전기말</v>
      </c>
      <c r="G29" s="1593"/>
      <c r="H29" s="1592"/>
      <c r="I29" s="1592"/>
    </row>
    <row r="30" spans="2:9">
      <c r="B30" s="2095"/>
      <c r="C30" s="2095"/>
      <c r="D30" s="1594" t="s">
        <v>3000</v>
      </c>
      <c r="E30" s="1594" t="s">
        <v>356</v>
      </c>
      <c r="F30" s="1594" t="s">
        <v>3000</v>
      </c>
      <c r="G30" s="1594" t="s">
        <v>356</v>
      </c>
    </row>
    <row r="31" spans="2:9">
      <c r="B31" s="1595" t="s">
        <v>3001</v>
      </c>
      <c r="C31" s="1595" t="s">
        <v>3002</v>
      </c>
      <c r="D31" s="1596">
        <f>'5'!C16</f>
        <v>172664940</v>
      </c>
      <c r="E31" s="1596">
        <f>D31</f>
        <v>172664940</v>
      </c>
      <c r="F31" s="1596">
        <f>'5'!E16</f>
        <v>172664940</v>
      </c>
      <c r="G31" s="1596">
        <f>F31</f>
        <v>172664940</v>
      </c>
    </row>
    <row r="32" spans="2:9">
      <c r="B32" s="1595" t="s">
        <v>3003</v>
      </c>
      <c r="C32" s="1595"/>
      <c r="D32" s="1596">
        <f>SUM(D31)</f>
        <v>172664940</v>
      </c>
      <c r="E32" s="1596">
        <f>SUM(E31)</f>
        <v>172664940</v>
      </c>
      <c r="F32" s="1596">
        <f>SUM(F31)</f>
        <v>172664940</v>
      </c>
      <c r="G32" s="1596">
        <f>SUM(G31)</f>
        <v>172664940</v>
      </c>
    </row>
    <row r="33" spans="2:7">
      <c r="B33" s="1597"/>
      <c r="C33" s="1597"/>
      <c r="D33" s="1597"/>
      <c r="E33" s="1597" t="b">
        <f>E32=연결BS!D39</f>
        <v>1</v>
      </c>
      <c r="F33" s="1597"/>
      <c r="G33" s="1597" t="b">
        <f>G32=연결BS!E39</f>
        <v>1</v>
      </c>
    </row>
    <row r="34" spans="2:7">
      <c r="B34" s="1592"/>
      <c r="C34" s="1592"/>
    </row>
  </sheetData>
  <mergeCells count="2">
    <mergeCell ref="B29:B30"/>
    <mergeCell ref="C29:C30"/>
  </mergeCells>
  <phoneticPr fontId="3"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0" operator="containsText" id="{AE437A7D-FC70-4C5E-8951-23D1A74EE8F2}">
            <xm:f>NOT(ISERROR(SEARCH("true",A1)))</xm:f>
            <xm:f>"true"</xm:f>
            <x14:dxf>
              <fill>
                <patternFill>
                  <bgColor theme="9" tint="0.79998168889431442"/>
                </patternFill>
              </fill>
            </x14:dxf>
          </x14:cfRule>
          <xm:sqref>A1:XFD9 A10:G11 I10:XFD11 A12:XFD26 A27:A34 J27:XFD34 B29:G33 A35:XFD38 A39:A43 H39:XFD43 A44:XFD1048576</xm:sqref>
        </x14:conditionalFormatting>
        <x14:conditionalFormatting xmlns:xm="http://schemas.microsoft.com/office/excel/2006/main">
          <x14:cfRule type="containsText" priority="3" operator="containsText" id="{27429627-EA96-44D3-ABA9-E71F17E7E51D}">
            <xm:f>NOT(ISERROR(SEARCH("TRUE",B31)))</xm:f>
            <xm:f>"TRUE"</xm:f>
            <x14:dxf>
              <fill>
                <patternFill>
                  <bgColor theme="9" tint="0.79998168889431442"/>
                </patternFill>
              </fill>
            </x14:dxf>
          </x14:cfRule>
          <x14:cfRule type="containsText" priority="4" operator="containsText" id="{000DFB7F-FD1A-4CF2-A3FC-69B5F1ABDD61}">
            <xm:f>NOT(ISERROR(SEARCH("FALSE",B31)))</xm:f>
            <xm:f>"FALSE"</xm:f>
            <x14:dxf>
              <fill>
                <patternFill>
                  <bgColor theme="5"/>
                </patternFill>
              </fill>
            </x14:dxf>
          </x14:cfRule>
          <xm:sqref>B31:C32</xm:sqref>
        </x14:conditionalFormatting>
        <x14:conditionalFormatting xmlns:xm="http://schemas.microsoft.com/office/excel/2006/main">
          <x14:cfRule type="containsText" priority="5" operator="containsText" id="{17CC0C1D-4FA1-4D85-B9C8-494FC0B1539E}">
            <xm:f>NOT(ISERROR(SEARCH("TRUE",B29)))</xm:f>
            <xm:f>"TRUE"</xm:f>
            <x14:dxf>
              <fill>
                <patternFill>
                  <bgColor theme="9" tint="0.79998168889431442"/>
                </patternFill>
              </fill>
            </x14:dxf>
          </x14:cfRule>
          <x14:cfRule type="containsText" priority="6" operator="containsText" id="{A4D6A4A9-2728-4FEA-B6E7-93589A981D03}">
            <xm:f>NOT(ISERROR(SEARCH("FALSE",B29)))</xm:f>
            <xm:f>"FALSE"</xm:f>
            <x14:dxf>
              <fill>
                <patternFill>
                  <bgColor theme="5"/>
                </patternFill>
              </fill>
            </x14:dxf>
          </x14:cfRule>
          <xm:sqref>B29:G29</xm:sqref>
        </x14:conditionalFormatting>
        <x14:conditionalFormatting xmlns:xm="http://schemas.microsoft.com/office/excel/2006/main">
          <x14:cfRule type="containsText" priority="9" operator="containsText" id="{D4D68126-61E5-41A9-BEFB-458C5E05E824}">
            <xm:f>NOT(ISERROR(SEARCH("false",A1)))</xm:f>
            <xm:f>"false"</xm:f>
            <x14:dxf>
              <fill>
                <patternFill>
                  <bgColor rgb="FFC00000"/>
                </patternFill>
              </fill>
            </x14:dxf>
          </x14:cfRule>
          <xm:sqref>B29:G33 A1:XFD9 A10:G11 I10:XFD11 A12:XFD26 A27:A34 J27:XFD34 A35:XFD38 A39:A43 H39:XFD43 A44:XFD1048576</xm:sqref>
        </x14:conditionalFormatting>
        <x14:conditionalFormatting xmlns:xm="http://schemas.microsoft.com/office/excel/2006/main">
          <x14:cfRule type="containsText" priority="7" operator="containsText" id="{ADB00C90-F2BC-4C6E-AAAD-5C57C128E6EF}">
            <xm:f>NOT(ISERROR(SEARCH("TRUE",B27)))</xm:f>
            <xm:f>"TRUE"</xm:f>
            <x14:dxf>
              <fill>
                <patternFill>
                  <bgColor theme="9" tint="0.79998168889431442"/>
                </patternFill>
              </fill>
            </x14:dxf>
          </x14:cfRule>
          <x14:cfRule type="containsText" priority="8" operator="containsText" id="{DF572BA9-AB91-4868-BF40-85B067A6F82B}">
            <xm:f>NOT(ISERROR(SEARCH("FALSE",B27)))</xm:f>
            <xm:f>"FALSE"</xm:f>
            <x14:dxf>
              <fill>
                <patternFill>
                  <bgColor theme="5"/>
                </patternFill>
              </fill>
            </x14:dxf>
          </x14:cfRule>
          <xm:sqref>B27:I29 B33:G33 B34:C34</xm:sqref>
        </x14:conditionalFormatting>
        <x14:conditionalFormatting xmlns:xm="http://schemas.microsoft.com/office/excel/2006/main">
          <x14:cfRule type="containsText" priority="1" operator="containsText" id="{2CB67E36-19C6-4C6A-82E5-B45429D871B7}">
            <xm:f>NOT(ISERROR(SEARCH("TRUE",D30)))</xm:f>
            <xm:f>"TRUE"</xm:f>
            <x14:dxf>
              <fill>
                <patternFill>
                  <bgColor theme="9" tint="0.79998168889431442"/>
                </patternFill>
              </fill>
            </x14:dxf>
          </x14:cfRule>
          <x14:cfRule type="containsText" priority="2" operator="containsText" id="{092241C1-671B-44A5-96F7-7F41730C7C5A}">
            <xm:f>NOT(ISERROR(SEARCH("FALSE",D30)))</xm:f>
            <xm:f>"FALSE"</xm:f>
            <x14:dxf>
              <fill>
                <patternFill>
                  <bgColor theme="5"/>
                </patternFill>
              </fill>
            </x14:dxf>
          </x14:cfRule>
          <xm:sqref>D30:G32</xm:sqref>
        </x14:conditionalFormatting>
      </x14:conditionalFormattings>
    </ext>
  </extLst>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heet22"/>
  <dimension ref="B2:V146"/>
  <sheetViews>
    <sheetView showGridLines="0" zoomScale="85" zoomScaleNormal="85" workbookViewId="0">
      <selection activeCell="F30" sqref="F30"/>
    </sheetView>
  </sheetViews>
  <sheetFormatPr defaultColWidth="9" defaultRowHeight="13.5"/>
  <cols>
    <col min="1" max="1" width="3.125" style="101" customWidth="1"/>
    <col min="2" max="2" width="16.5" style="101" customWidth="1"/>
    <col min="3" max="13" width="13.625" style="105" customWidth="1"/>
    <col min="14" max="14" width="12.625" style="105" customWidth="1"/>
    <col min="15" max="22" width="12.625" style="101" customWidth="1"/>
    <col min="23" max="16384" width="9" style="101"/>
  </cols>
  <sheetData>
    <row r="2" spans="2:14">
      <c r="B2" s="1315" t="s">
        <v>2211</v>
      </c>
      <c r="C2" s="101"/>
      <c r="D2" s="101"/>
      <c r="E2" s="101"/>
      <c r="F2" s="101"/>
      <c r="G2" s="101"/>
      <c r="H2" s="101"/>
      <c r="I2" s="101"/>
      <c r="J2" s="101"/>
    </row>
    <row r="3" spans="2:14">
      <c r="C3" s="101"/>
      <c r="D3" s="101"/>
      <c r="E3" s="101"/>
      <c r="F3" s="101"/>
      <c r="G3" s="101"/>
      <c r="H3" s="101"/>
      <c r="I3" s="101"/>
      <c r="J3" s="101"/>
    </row>
    <row r="4" spans="2:14">
      <c r="B4" s="101" t="s">
        <v>2212</v>
      </c>
      <c r="C4" s="101"/>
      <c r="D4" s="101"/>
      <c r="E4" s="101"/>
      <c r="F4" s="101"/>
      <c r="G4" s="101"/>
      <c r="H4" s="101"/>
      <c r="I4" s="101"/>
      <c r="J4" s="101"/>
    </row>
    <row r="5" spans="2:14">
      <c r="C5" s="101"/>
      <c r="D5" s="101"/>
      <c r="E5" s="1317" t="s">
        <v>1888</v>
      </c>
      <c r="F5" s="1317"/>
      <c r="G5" s="101"/>
      <c r="H5" s="101"/>
      <c r="I5" s="101"/>
      <c r="J5" s="101"/>
    </row>
    <row r="6" spans="2:14" ht="13.5" customHeight="1">
      <c r="B6" s="2096" t="s">
        <v>257</v>
      </c>
      <c r="C6" s="2098" t="s">
        <v>335</v>
      </c>
      <c r="D6" s="2099"/>
      <c r="E6" s="2100"/>
      <c r="F6" s="1317"/>
      <c r="L6" s="101"/>
      <c r="M6" s="101"/>
      <c r="N6" s="101"/>
    </row>
    <row r="7" spans="2:14">
      <c r="B7" s="2097"/>
      <c r="C7" s="1319" t="s">
        <v>2209</v>
      </c>
      <c r="D7" s="1319" t="s">
        <v>367</v>
      </c>
      <c r="E7" s="1319" t="s">
        <v>356</v>
      </c>
      <c r="F7" s="1317"/>
      <c r="L7" s="101"/>
      <c r="M7" s="101"/>
      <c r="N7" s="101"/>
    </row>
    <row r="8" spans="2:14">
      <c r="B8" s="1281" t="s">
        <v>2598</v>
      </c>
      <c r="C8" s="1282">
        <f>연결BS!D44</f>
        <v>1115280040</v>
      </c>
      <c r="D8" s="1282">
        <v>0</v>
      </c>
      <c r="E8" s="1282">
        <f>SUM(C8:D8)</f>
        <v>1115280040</v>
      </c>
      <c r="F8" s="105" t="b">
        <f>E8=연결BS!D44</f>
        <v>1</v>
      </c>
      <c r="L8" s="101"/>
      <c r="M8" s="101"/>
      <c r="N8" s="101"/>
    </row>
    <row r="9" spans="2:14">
      <c r="B9" s="1281" t="s">
        <v>2901</v>
      </c>
      <c r="C9" s="1282">
        <f>연결BS!D45</f>
        <v>2832428420</v>
      </c>
      <c r="D9" s="1282">
        <f>연결BS!D46</f>
        <v>-61959374</v>
      </c>
      <c r="E9" s="1282">
        <f>SUM(C9:D9)</f>
        <v>2770469046</v>
      </c>
      <c r="F9" s="105" t="b">
        <f>E9=SUM(연결BS!D45:D46)</f>
        <v>1</v>
      </c>
      <c r="L9" s="101"/>
      <c r="M9" s="101"/>
      <c r="N9" s="101"/>
    </row>
    <row r="10" spans="2:14">
      <c r="B10" s="1281" t="s">
        <v>31</v>
      </c>
      <c r="C10" s="1282">
        <f>연결BS!D47</f>
        <v>4880028475</v>
      </c>
      <c r="D10" s="1282">
        <f>연결BS!D48</f>
        <v>-2996965212</v>
      </c>
      <c r="E10" s="1282">
        <f>SUM(C10:D10)</f>
        <v>1883063263</v>
      </c>
      <c r="F10" s="105" t="b">
        <f>E10=SUM(연결BS!D47:D48)</f>
        <v>1</v>
      </c>
      <c r="L10" s="101"/>
      <c r="M10" s="101"/>
      <c r="N10" s="101"/>
    </row>
    <row r="11" spans="2:14">
      <c r="B11" s="1281" t="s">
        <v>33</v>
      </c>
      <c r="C11" s="1282">
        <f>연결BS!D49</f>
        <v>7974819</v>
      </c>
      <c r="D11" s="1282">
        <f>연결BS!D50</f>
        <v>-7972819</v>
      </c>
      <c r="E11" s="1282">
        <f t="shared" ref="E11:E16" si="0">SUM(C11:D11)</f>
        <v>2000</v>
      </c>
      <c r="F11" s="105" t="b">
        <f>E11=SUM(연결BS!D49:D50)</f>
        <v>1</v>
      </c>
      <c r="L11" s="101"/>
      <c r="M11" s="101"/>
      <c r="N11" s="101"/>
    </row>
    <row r="12" spans="2:14">
      <c r="B12" s="1281" t="s">
        <v>662</v>
      </c>
      <c r="C12" s="1282">
        <f>연결BS!D51</f>
        <v>131100000</v>
      </c>
      <c r="D12" s="1282">
        <f>연결BS!D52</f>
        <v>-67838194</v>
      </c>
      <c r="E12" s="1282">
        <f t="shared" si="0"/>
        <v>63261806</v>
      </c>
      <c r="F12" s="105" t="b">
        <f>E12=SUM(연결BS!D51:D52)</f>
        <v>1</v>
      </c>
      <c r="L12" s="101"/>
      <c r="M12" s="101"/>
      <c r="N12" s="101"/>
    </row>
    <row r="13" spans="2:14">
      <c r="B13" s="1281" t="s">
        <v>32</v>
      </c>
      <c r="C13" s="1282">
        <f>연결BS!D53</f>
        <v>1535040545</v>
      </c>
      <c r="D13" s="1282">
        <f>연결BS!D54</f>
        <v>-1221588823</v>
      </c>
      <c r="E13" s="1282">
        <f t="shared" si="0"/>
        <v>313451722</v>
      </c>
      <c r="F13" s="105" t="b">
        <f>E13=SUM(연결BS!D53:D54)</f>
        <v>1</v>
      </c>
      <c r="L13" s="101"/>
      <c r="M13" s="101"/>
      <c r="N13" s="101"/>
    </row>
    <row r="14" spans="2:14">
      <c r="B14" s="1281" t="s">
        <v>669</v>
      </c>
      <c r="C14" s="1282">
        <f>연결BS!D55</f>
        <v>550941423</v>
      </c>
      <c r="D14" s="1282">
        <f>연결BS!D56</f>
        <v>-349402157</v>
      </c>
      <c r="E14" s="1282">
        <f t="shared" si="0"/>
        <v>201539266</v>
      </c>
      <c r="F14" s="105" t="b">
        <f>E14=SUM(연결BS!D55:D56)</f>
        <v>1</v>
      </c>
      <c r="L14" s="101"/>
      <c r="M14" s="101"/>
      <c r="N14" s="101"/>
    </row>
    <row r="15" spans="2:14">
      <c r="B15" s="1281" t="s">
        <v>2601</v>
      </c>
      <c r="C15" s="1282">
        <f>연결BS!D57</f>
        <v>1633968204</v>
      </c>
      <c r="D15" s="1282">
        <f>연결BS!D58</f>
        <v>-797806647</v>
      </c>
      <c r="E15" s="1282">
        <f t="shared" ref="E15" si="1">SUM(C15:D15)</f>
        <v>836161557</v>
      </c>
      <c r="F15" s="105" t="b">
        <f>E15=SUM(연결BS!D57:D58)</f>
        <v>1</v>
      </c>
      <c r="L15" s="101"/>
      <c r="M15" s="101"/>
      <c r="N15" s="101"/>
    </row>
    <row r="16" spans="2:14">
      <c r="B16" s="1281" t="s">
        <v>346</v>
      </c>
      <c r="C16" s="1282">
        <f>연결BS!D60</f>
        <v>4849259093</v>
      </c>
      <c r="D16" s="1282">
        <f>연결BS!D61</f>
        <v>-2530675437</v>
      </c>
      <c r="E16" s="1282">
        <f t="shared" si="0"/>
        <v>2318583656</v>
      </c>
      <c r="F16" s="105" t="b">
        <f>E16=SUM(연결BS!D60:D61)</f>
        <v>1</v>
      </c>
      <c r="L16" s="101"/>
      <c r="M16" s="101"/>
      <c r="N16" s="101"/>
    </row>
    <row r="17" spans="2:17">
      <c r="B17" s="1320" t="s">
        <v>34</v>
      </c>
      <c r="C17" s="1282">
        <f>연결BS!D59</f>
        <v>1376213175</v>
      </c>
      <c r="D17" s="1282">
        <v>0</v>
      </c>
      <c r="E17" s="1282">
        <f>SUM(C17:D17)</f>
        <v>1376213175</v>
      </c>
      <c r="F17" s="105" t="b">
        <f>E17=연결BS!D59</f>
        <v>1</v>
      </c>
      <c r="L17" s="101"/>
      <c r="M17" s="101"/>
      <c r="N17" s="101"/>
    </row>
    <row r="18" spans="2:17">
      <c r="B18" s="91" t="s">
        <v>144</v>
      </c>
      <c r="C18" s="1285">
        <f>SUM(C8:C17)</f>
        <v>18912234194</v>
      </c>
      <c r="D18" s="1285">
        <f>SUM(D8:D17)</f>
        <v>-8034208663</v>
      </c>
      <c r="E18" s="1285">
        <f>SUM(E8:E17)</f>
        <v>10878025531</v>
      </c>
      <c r="F18" s="105" t="b">
        <f>E18=연결BS!D43</f>
        <v>1</v>
      </c>
      <c r="L18" s="101"/>
      <c r="M18" s="101"/>
      <c r="N18" s="101"/>
    </row>
    <row r="19" spans="2:17">
      <c r="B19" s="1338"/>
      <c r="C19" s="101"/>
      <c r="D19" s="101"/>
      <c r="E19" s="101"/>
      <c r="F19" s="101"/>
      <c r="G19" s="101"/>
      <c r="H19" s="101"/>
      <c r="I19" s="101"/>
      <c r="J19" s="101"/>
    </row>
    <row r="20" spans="2:17">
      <c r="B20" s="101" t="s">
        <v>2213</v>
      </c>
      <c r="C20" s="101"/>
      <c r="D20" s="101"/>
      <c r="E20" s="101"/>
      <c r="F20" s="101"/>
      <c r="G20" s="101"/>
      <c r="H20" s="101"/>
      <c r="I20" s="101"/>
      <c r="J20" s="101"/>
    </row>
    <row r="21" spans="2:17">
      <c r="B21" s="1339"/>
      <c r="C21" s="101"/>
      <c r="D21" s="101"/>
      <c r="E21" s="101"/>
      <c r="F21" s="101"/>
      <c r="G21" s="101"/>
      <c r="H21" s="101"/>
      <c r="I21" s="101"/>
      <c r="J21" s="1317" t="s">
        <v>1895</v>
      </c>
      <c r="Q21" s="1127"/>
    </row>
    <row r="22" spans="2:17">
      <c r="B22" s="1331" t="s">
        <v>257</v>
      </c>
      <c r="C22" s="1340" t="s">
        <v>326</v>
      </c>
      <c r="D22" s="1340" t="s">
        <v>365</v>
      </c>
      <c r="E22" s="1340" t="s">
        <v>366</v>
      </c>
      <c r="F22" s="1340" t="s">
        <v>2727</v>
      </c>
      <c r="G22" s="1340" t="s">
        <v>176</v>
      </c>
      <c r="H22" s="1340" t="s">
        <v>2599</v>
      </c>
      <c r="I22" s="1340" t="s">
        <v>2210</v>
      </c>
      <c r="J22" s="1332" t="s">
        <v>327</v>
      </c>
    </row>
    <row r="23" spans="2:17">
      <c r="B23" s="1281" t="s">
        <v>2598</v>
      </c>
      <c r="C23" s="1369">
        <f t="shared" ref="C23:E24" si="2">SUM(C38,C52)</f>
        <v>557640020</v>
      </c>
      <c r="D23" s="1341">
        <f t="shared" si="2"/>
        <v>0</v>
      </c>
      <c r="E23" s="1341">
        <f t="shared" si="2"/>
        <v>0</v>
      </c>
      <c r="F23" s="1341">
        <f t="shared" ref="F23:F24" si="3">SUM(F38,F52)</f>
        <v>557640020</v>
      </c>
      <c r="G23" s="1341">
        <f t="shared" ref="G23:I26" si="4">SUM(G38,G52)</f>
        <v>0</v>
      </c>
      <c r="H23" s="1341">
        <f t="shared" si="4"/>
        <v>0</v>
      </c>
      <c r="I23" s="1341">
        <f t="shared" si="4"/>
        <v>0</v>
      </c>
      <c r="J23" s="1342">
        <f t="shared" ref="J23:J28" si="5">SUM(C23:I23)</f>
        <v>1115280040</v>
      </c>
      <c r="K23" s="105">
        <f t="shared" ref="K23:K30" si="6">J23-E8</f>
        <v>0</v>
      </c>
      <c r="Q23" s="1127"/>
    </row>
    <row r="24" spans="2:17">
      <c r="B24" s="1281" t="s">
        <v>2862</v>
      </c>
      <c r="C24" s="1369">
        <f t="shared" si="2"/>
        <v>1324817461</v>
      </c>
      <c r="D24" s="1341">
        <f t="shared" si="2"/>
        <v>0</v>
      </c>
      <c r="E24" s="1341">
        <f t="shared" si="2"/>
        <v>0</v>
      </c>
      <c r="F24" s="1341">
        <f t="shared" si="3"/>
        <v>1476538478</v>
      </c>
      <c r="G24" s="1341">
        <f t="shared" si="4"/>
        <v>-30886893</v>
      </c>
      <c r="H24" s="1341">
        <f t="shared" si="4"/>
        <v>0</v>
      </c>
      <c r="I24" s="1341">
        <f t="shared" si="4"/>
        <v>0</v>
      </c>
      <c r="J24" s="1342">
        <f t="shared" si="5"/>
        <v>2770469046</v>
      </c>
      <c r="K24" s="105">
        <f t="shared" si="6"/>
        <v>0</v>
      </c>
      <c r="Q24" s="1127"/>
    </row>
    <row r="25" spans="2:17">
      <c r="B25" s="1281" t="s">
        <v>31</v>
      </c>
      <c r="C25" s="1369">
        <f t="shared" ref="C25" si="7">SUM(C40,C54)</f>
        <v>608801118</v>
      </c>
      <c r="D25" s="1341">
        <f>SUM(D40,D54)</f>
        <v>488099500</v>
      </c>
      <c r="E25" s="1341">
        <f>SUM(E40,E54)</f>
        <v>-89250000</v>
      </c>
      <c r="F25" s="1341">
        <f t="shared" ref="F25" si="8">SUM(F40,F54)</f>
        <v>456711494</v>
      </c>
      <c r="G25" s="1341">
        <f t="shared" si="4"/>
        <v>-113701911</v>
      </c>
      <c r="H25" s="1341">
        <f t="shared" si="4"/>
        <v>532403062</v>
      </c>
      <c r="I25" s="1341">
        <f t="shared" si="4"/>
        <v>0</v>
      </c>
      <c r="J25" s="1342">
        <f t="shared" si="5"/>
        <v>1883063263</v>
      </c>
      <c r="K25" s="105">
        <f t="shared" si="6"/>
        <v>0</v>
      </c>
    </row>
    <row r="26" spans="2:17">
      <c r="B26" s="1281" t="s">
        <v>33</v>
      </c>
      <c r="C26" s="1369">
        <f t="shared" ref="C26" si="9">SUM(C41,C55)</f>
        <v>2000</v>
      </c>
      <c r="D26" s="1341">
        <f>SUM(D41,D55)</f>
        <v>0</v>
      </c>
      <c r="E26" s="1341">
        <f>SUM(E41,E55)</f>
        <v>0</v>
      </c>
      <c r="F26" s="1341">
        <f t="shared" ref="F26" si="10">SUM(F41,F55)</f>
        <v>0</v>
      </c>
      <c r="G26" s="1341">
        <f t="shared" si="4"/>
        <v>0</v>
      </c>
      <c r="H26" s="1341">
        <f t="shared" si="4"/>
        <v>0</v>
      </c>
      <c r="I26" s="1341">
        <f t="shared" si="4"/>
        <v>0</v>
      </c>
      <c r="J26" s="1342">
        <f t="shared" si="5"/>
        <v>2000</v>
      </c>
      <c r="K26" s="105">
        <f t="shared" si="6"/>
        <v>0</v>
      </c>
      <c r="Q26" s="1127"/>
    </row>
    <row r="27" spans="2:17">
      <c r="B27" s="1281" t="s">
        <v>662</v>
      </c>
      <c r="C27" s="1369">
        <f t="shared" ref="C27" si="11">SUM(C42,C56)</f>
        <v>72944794</v>
      </c>
      <c r="D27" s="1341">
        <f t="shared" ref="D27:I27" si="12">SUM(D42,D56)</f>
        <v>0</v>
      </c>
      <c r="E27" s="1341">
        <f t="shared" si="12"/>
        <v>0</v>
      </c>
      <c r="F27" s="1341">
        <f t="shared" ref="F27" si="13">SUM(F42,F56)</f>
        <v>0</v>
      </c>
      <c r="G27" s="1341">
        <f t="shared" si="12"/>
        <v>-9682988</v>
      </c>
      <c r="H27" s="1341">
        <f>SUM(H42,H56)</f>
        <v>0</v>
      </c>
      <c r="I27" s="1341">
        <f t="shared" si="12"/>
        <v>0</v>
      </c>
      <c r="J27" s="1342">
        <f t="shared" si="5"/>
        <v>63261806</v>
      </c>
      <c r="K27" s="105">
        <f t="shared" si="6"/>
        <v>0</v>
      </c>
    </row>
    <row r="28" spans="2:17">
      <c r="B28" s="1281" t="s">
        <v>32</v>
      </c>
      <c r="C28" s="1369">
        <v>180363707</v>
      </c>
      <c r="D28" s="1341">
        <f t="shared" ref="D28:G28" si="14">ROUND(SUM(D43,D57),)</f>
        <v>36050585</v>
      </c>
      <c r="E28" s="1341">
        <f t="shared" si="14"/>
        <v>-4822402</v>
      </c>
      <c r="F28" s="1341">
        <f t="shared" ref="F28:G30" si="15">ROUND(SUM(F43,F57),)</f>
        <v>115440965</v>
      </c>
      <c r="G28" s="1341">
        <f t="shared" si="14"/>
        <v>-38370925</v>
      </c>
      <c r="H28" s="1341">
        <f>SUM(H43,H57)</f>
        <v>16965213</v>
      </c>
      <c r="I28" s="1343">
        <f>ROUND(SUM(I43,I57),)</f>
        <v>7824579</v>
      </c>
      <c r="J28" s="1342">
        <f t="shared" si="5"/>
        <v>313451722</v>
      </c>
      <c r="K28" s="105">
        <f>J28-E13</f>
        <v>0</v>
      </c>
      <c r="Q28" s="1127"/>
    </row>
    <row r="29" spans="2:17">
      <c r="B29" s="1281" t="s">
        <v>669</v>
      </c>
      <c r="C29" s="1369">
        <v>228885766</v>
      </c>
      <c r="D29" s="1341">
        <f t="shared" ref="D29:E29" si="16">ROUND(SUM(D44,D58),)</f>
        <v>0</v>
      </c>
      <c r="E29" s="1341">
        <f t="shared" si="16"/>
        <v>-3000</v>
      </c>
      <c r="F29" s="1341">
        <f t="shared" si="15"/>
        <v>0</v>
      </c>
      <c r="G29" s="1341">
        <f t="shared" si="15"/>
        <v>-40955306</v>
      </c>
      <c r="H29" s="1341">
        <f t="shared" ref="H29:H30" si="17">SUM(H44,H58)</f>
        <v>0</v>
      </c>
      <c r="I29" s="1343">
        <f t="shared" ref="I29:I30" si="18">ROUND(SUM(I44,I58),)</f>
        <v>13611806</v>
      </c>
      <c r="J29" s="1342">
        <f t="shared" ref="J29:J30" si="19">SUM(C29:I29)</f>
        <v>201539266</v>
      </c>
      <c r="K29" s="105">
        <f t="shared" si="6"/>
        <v>0</v>
      </c>
    </row>
    <row r="30" spans="2:17">
      <c r="B30" s="1281" t="s">
        <v>1366</v>
      </c>
      <c r="C30" s="1369">
        <f t="shared" ref="C30" si="20">SUM(C45,C59)</f>
        <v>387867496</v>
      </c>
      <c r="D30" s="1341">
        <f t="shared" ref="D30:E30" si="21">ROUND(SUM(D45,D59),)</f>
        <v>0</v>
      </c>
      <c r="E30" s="1341">
        <f t="shared" si="21"/>
        <v>0</v>
      </c>
      <c r="F30" s="1341">
        <f t="shared" si="15"/>
        <v>499037904</v>
      </c>
      <c r="G30" s="1341">
        <f>ROUND(SUM(G45,G59),)</f>
        <v>-83818358</v>
      </c>
      <c r="H30" s="1341">
        <f t="shared" si="17"/>
        <v>33074515</v>
      </c>
      <c r="I30" s="1343">
        <f t="shared" si="18"/>
        <v>0</v>
      </c>
      <c r="J30" s="1342">
        <f t="shared" si="19"/>
        <v>836161557</v>
      </c>
      <c r="K30" s="105">
        <f t="shared" si="6"/>
        <v>0</v>
      </c>
    </row>
    <row r="31" spans="2:17">
      <c r="B31" s="1281" t="s">
        <v>346</v>
      </c>
      <c r="C31" s="1369">
        <f t="shared" ref="C31" si="22">SUM(C46,C60)</f>
        <v>1638864883</v>
      </c>
      <c r="D31" s="1341">
        <f t="shared" ref="D31" si="23">ROUND(SUM(D46,D60),)</f>
        <v>9012918</v>
      </c>
      <c r="E31" s="1341">
        <f>ROUND(SUM(E46,E60),)</f>
        <v>-18218466</v>
      </c>
      <c r="F31" s="1341">
        <f t="shared" ref="F31" si="24">ROUND(SUM(F46,F60),)</f>
        <v>0</v>
      </c>
      <c r="G31" s="1341">
        <f>ROUND(SUM(G46,G60),)</f>
        <v>-268245539</v>
      </c>
      <c r="H31" s="1341">
        <f>SUM(H46,H60)</f>
        <v>957169860</v>
      </c>
      <c r="I31" s="1343">
        <f>ROUND(SUM(I46,I60),)</f>
        <v>0</v>
      </c>
      <c r="J31" s="1342">
        <f>SUM(C31:I31)</f>
        <v>2318583656</v>
      </c>
      <c r="K31" s="105">
        <f>J31-E16</f>
        <v>0</v>
      </c>
    </row>
    <row r="32" spans="2:17">
      <c r="B32" s="1320" t="s">
        <v>34</v>
      </c>
      <c r="C32" s="1369">
        <f t="shared" ref="C32" si="25">SUM(C47,C61)</f>
        <v>4039985025</v>
      </c>
      <c r="D32" s="1341">
        <f>SUM(D47,D61)</f>
        <v>416565450</v>
      </c>
      <c r="E32" s="1341">
        <f>SUM(E47,E61)</f>
        <v>0</v>
      </c>
      <c r="F32" s="1341">
        <f>SUM(F47,F61)</f>
        <v>-3080337300</v>
      </c>
      <c r="G32" s="1344">
        <f>SUM(G47,G61)</f>
        <v>0</v>
      </c>
      <c r="H32" s="1341">
        <f>SUM(H47,H61)</f>
        <v>0</v>
      </c>
      <c r="I32" s="1343"/>
      <c r="J32" s="1342">
        <f>SUM(C32:I32)</f>
        <v>1376213175</v>
      </c>
      <c r="K32" s="105">
        <f>J32-E17</f>
        <v>0</v>
      </c>
    </row>
    <row r="33" spans="2:12">
      <c r="B33" s="91" t="s">
        <v>144</v>
      </c>
      <c r="C33" s="1345">
        <f>SUM(C23:C32)</f>
        <v>9040172270</v>
      </c>
      <c r="D33" s="1345">
        <f t="shared" ref="D33:J33" si="26">SUM(D23:D32)</f>
        <v>949728453</v>
      </c>
      <c r="E33" s="1345">
        <f t="shared" si="26"/>
        <v>-112293868</v>
      </c>
      <c r="F33" s="1345">
        <f t="shared" ref="F33" si="27">SUM(F23:F32)</f>
        <v>25031561</v>
      </c>
      <c r="G33" s="1345">
        <f t="shared" si="26"/>
        <v>-585661920</v>
      </c>
      <c r="H33" s="1345">
        <f t="shared" si="26"/>
        <v>1539612650</v>
      </c>
      <c r="I33" s="1345">
        <f t="shared" si="26"/>
        <v>21436385</v>
      </c>
      <c r="J33" s="1345">
        <f t="shared" si="26"/>
        <v>10878025531</v>
      </c>
      <c r="K33" s="105">
        <f>J33-E18</f>
        <v>0</v>
      </c>
      <c r="L33" s="105">
        <f>J33-C33</f>
        <v>1837853261</v>
      </c>
    </row>
    <row r="34" spans="2:12">
      <c r="B34" s="1338"/>
      <c r="C34" s="1127">
        <f>C33-연결BS!E43</f>
        <v>0</v>
      </c>
      <c r="D34" s="1346"/>
      <c r="E34" s="101"/>
      <c r="F34" s="101"/>
      <c r="G34" s="1347">
        <f>CF정산표!K71</f>
        <v>585661920</v>
      </c>
      <c r="H34" s="1347"/>
      <c r="I34" s="101"/>
      <c r="J34" s="101"/>
    </row>
    <row r="35" spans="2:12">
      <c r="G35" s="105">
        <f>SUM(G33:G34)</f>
        <v>0</v>
      </c>
    </row>
    <row r="36" spans="2:12">
      <c r="B36" s="101" t="s">
        <v>338</v>
      </c>
    </row>
    <row r="37" spans="2:12">
      <c r="B37" s="1331" t="s">
        <v>257</v>
      </c>
      <c r="C37" s="1340" t="s">
        <v>326</v>
      </c>
      <c r="D37" s="1340" t="s">
        <v>365</v>
      </c>
      <c r="E37" s="1340" t="s">
        <v>366</v>
      </c>
      <c r="F37" s="1340" t="s">
        <v>2726</v>
      </c>
      <c r="G37" s="1340" t="s">
        <v>176</v>
      </c>
      <c r="H37" s="1340" t="s">
        <v>2599</v>
      </c>
      <c r="I37" s="1340" t="s">
        <v>2210</v>
      </c>
      <c r="J37" s="1332" t="s">
        <v>327</v>
      </c>
    </row>
    <row r="38" spans="2:12">
      <c r="B38" s="1281" t="s">
        <v>2598</v>
      </c>
      <c r="C38" s="1341"/>
      <c r="D38" s="1341"/>
      <c r="E38" s="1341"/>
      <c r="F38" s="1341"/>
      <c r="G38" s="1341"/>
      <c r="H38" s="1341"/>
      <c r="I38" s="1341"/>
      <c r="J38" s="1342"/>
    </row>
    <row r="39" spans="2:12">
      <c r="B39" s="1281" t="s">
        <v>2901</v>
      </c>
      <c r="C39" s="1341"/>
      <c r="D39" s="1341"/>
      <c r="E39" s="1341"/>
      <c r="F39" s="1341"/>
      <c r="G39" s="1341"/>
      <c r="H39" s="1341"/>
      <c r="I39" s="1341"/>
      <c r="J39" s="1342"/>
    </row>
    <row r="40" spans="2:12">
      <c r="B40" s="1281" t="s">
        <v>31</v>
      </c>
      <c r="C40" s="1341"/>
      <c r="D40" s="1341"/>
      <c r="E40" s="1341"/>
      <c r="F40" s="1341"/>
      <c r="G40" s="1341"/>
      <c r="H40" s="1341"/>
      <c r="I40" s="1341"/>
      <c r="J40" s="1342"/>
    </row>
    <row r="41" spans="2:12">
      <c r="B41" s="1281" t="s">
        <v>33</v>
      </c>
      <c r="C41" s="1341"/>
      <c r="D41" s="1341"/>
      <c r="E41" s="1341"/>
      <c r="F41" s="1341"/>
      <c r="G41" s="1341"/>
      <c r="H41" s="1341"/>
      <c r="I41" s="1341"/>
      <c r="J41" s="1342"/>
    </row>
    <row r="42" spans="2:12">
      <c r="B42" s="1281" t="s">
        <v>662</v>
      </c>
      <c r="C42" s="1341"/>
      <c r="D42" s="1341"/>
      <c r="E42" s="1341"/>
      <c r="F42" s="1341"/>
      <c r="G42" s="1341"/>
      <c r="H42" s="1348"/>
      <c r="I42" s="1341"/>
      <c r="J42" s="1342"/>
    </row>
    <row r="43" spans="2:12">
      <c r="B43" s="1281" t="s">
        <v>32</v>
      </c>
      <c r="C43" s="1341"/>
      <c r="D43" s="1341"/>
      <c r="E43" s="1341"/>
      <c r="F43" s="1341"/>
      <c r="G43" s="1341">
        <f>-RIT!J110</f>
        <v>-1038187</v>
      </c>
      <c r="H43" s="1349"/>
      <c r="I43" s="1341">
        <v>5728</v>
      </c>
      <c r="J43" s="1342"/>
    </row>
    <row r="44" spans="2:12">
      <c r="B44" s="1281" t="s">
        <v>669</v>
      </c>
      <c r="C44" s="1341"/>
      <c r="D44" s="1341"/>
      <c r="E44" s="1341"/>
      <c r="F44" s="1341"/>
      <c r="G44" s="1341"/>
      <c r="H44" s="1349"/>
      <c r="I44" s="1341">
        <v>1</v>
      </c>
      <c r="J44" s="1342"/>
    </row>
    <row r="45" spans="2:12">
      <c r="B45" s="1281" t="s">
        <v>1366</v>
      </c>
      <c r="C45" s="1341"/>
      <c r="D45" s="1341"/>
      <c r="E45" s="1341"/>
      <c r="F45" s="1341"/>
      <c r="G45" s="1341"/>
      <c r="H45" s="1349"/>
      <c r="I45" s="1341"/>
      <c r="J45" s="1342"/>
    </row>
    <row r="46" spans="2:12">
      <c r="B46" s="1281" t="s">
        <v>346</v>
      </c>
      <c r="C46" s="1341"/>
      <c r="D46" s="1341"/>
      <c r="E46" s="1341"/>
      <c r="F46" s="1341"/>
      <c r="G46" s="1341"/>
      <c r="H46" s="1349"/>
      <c r="I46" s="1341">
        <v>0</v>
      </c>
      <c r="J46" s="1342"/>
    </row>
    <row r="47" spans="2:12">
      <c r="B47" s="1320" t="s">
        <v>34</v>
      </c>
      <c r="C47" s="1348"/>
      <c r="D47" s="1348"/>
      <c r="E47" s="1348"/>
      <c r="F47" s="1348"/>
      <c r="G47" s="1348"/>
      <c r="H47" s="1349"/>
      <c r="I47" s="1348"/>
      <c r="J47" s="1342"/>
    </row>
    <row r="48" spans="2:12">
      <c r="B48" s="91" t="s">
        <v>144</v>
      </c>
      <c r="C48" s="1345"/>
      <c r="D48" s="1345"/>
      <c r="E48" s="1345"/>
      <c r="F48" s="1345"/>
      <c r="G48" s="1345"/>
      <c r="H48" s="1349"/>
      <c r="I48" s="1345"/>
      <c r="J48" s="1342"/>
    </row>
    <row r="50" spans="2:10">
      <c r="B50" s="101" t="s">
        <v>94</v>
      </c>
    </row>
    <row r="51" spans="2:10">
      <c r="B51" s="1331" t="s">
        <v>257</v>
      </c>
      <c r="C51" s="1340" t="s">
        <v>326</v>
      </c>
      <c r="D51" s="1340" t="s">
        <v>365</v>
      </c>
      <c r="E51" s="1340" t="s">
        <v>366</v>
      </c>
      <c r="F51" s="1340" t="s">
        <v>2726</v>
      </c>
      <c r="G51" s="1340" t="s">
        <v>176</v>
      </c>
      <c r="H51" s="1340" t="s">
        <v>2599</v>
      </c>
      <c r="I51" s="1340" t="s">
        <v>2210</v>
      </c>
      <c r="J51" s="1332" t="s">
        <v>327</v>
      </c>
    </row>
    <row r="52" spans="2:10">
      <c r="B52" s="1281" t="s">
        <v>2598</v>
      </c>
      <c r="C52" s="1341">
        <f>SUM(C66,C80,C94,O94,C109,C123,C136)</f>
        <v>557640020</v>
      </c>
      <c r="D52" s="1341">
        <f t="shared" ref="D52:I52" si="28">SUM(D66,D80,D94,P94,D109,D123,D136)</f>
        <v>0</v>
      </c>
      <c r="E52" s="1341">
        <f t="shared" si="28"/>
        <v>0</v>
      </c>
      <c r="F52" s="1341">
        <f t="shared" si="28"/>
        <v>557640020</v>
      </c>
      <c r="G52" s="1341">
        <f>SUM(G66,G80,G94,G109,G123,G136)</f>
        <v>0</v>
      </c>
      <c r="H52" s="1341">
        <f t="shared" si="28"/>
        <v>0</v>
      </c>
      <c r="I52" s="1341">
        <f t="shared" si="28"/>
        <v>0</v>
      </c>
      <c r="J52" s="1342"/>
    </row>
    <row r="53" spans="2:10">
      <c r="B53" s="1281" t="s">
        <v>2901</v>
      </c>
      <c r="C53" s="1341">
        <f t="shared" ref="C53:I53" si="29">SUM(C67,C81,C95,O95,C110,C124,C137)</f>
        <v>1324817461</v>
      </c>
      <c r="D53" s="1341">
        <f t="shared" si="29"/>
        <v>0</v>
      </c>
      <c r="E53" s="1341">
        <f t="shared" si="29"/>
        <v>0</v>
      </c>
      <c r="F53" s="1341">
        <f t="shared" si="29"/>
        <v>1476538478</v>
      </c>
      <c r="G53" s="1341">
        <f>SUM(G67,G81,G95,G110,G124,G137)</f>
        <v>-30886893</v>
      </c>
      <c r="H53" s="1341">
        <f t="shared" si="29"/>
        <v>0</v>
      </c>
      <c r="I53" s="1341">
        <f t="shared" si="29"/>
        <v>0</v>
      </c>
      <c r="J53" s="1342"/>
    </row>
    <row r="54" spans="2:10">
      <c r="B54" s="1281" t="s">
        <v>31</v>
      </c>
      <c r="C54" s="1341">
        <f t="shared" ref="C54:I54" si="30">SUM(C68,C82,C96,O96,C111,C125,C138)</f>
        <v>608801118</v>
      </c>
      <c r="D54" s="1341">
        <f t="shared" si="30"/>
        <v>488099500</v>
      </c>
      <c r="E54" s="1341">
        <f t="shared" si="30"/>
        <v>-89250000</v>
      </c>
      <c r="F54" s="1341">
        <f t="shared" si="30"/>
        <v>456711494</v>
      </c>
      <c r="G54" s="1341">
        <f t="shared" ref="G54:G61" si="31">SUM(G68,G82,G96,G111,G125,G138)</f>
        <v>-113701911</v>
      </c>
      <c r="H54" s="1341">
        <f t="shared" si="30"/>
        <v>532403062</v>
      </c>
      <c r="I54" s="1341">
        <f t="shared" si="30"/>
        <v>0</v>
      </c>
      <c r="J54" s="1342"/>
    </row>
    <row r="55" spans="2:10">
      <c r="B55" s="1281" t="s">
        <v>33</v>
      </c>
      <c r="C55" s="1341">
        <f t="shared" ref="C55:I55" si="32">SUM(C69,C83,C97,O97,C112,C126,C139)</f>
        <v>2000</v>
      </c>
      <c r="D55" s="1341">
        <f t="shared" si="32"/>
        <v>0</v>
      </c>
      <c r="E55" s="1341">
        <f t="shared" si="32"/>
        <v>0</v>
      </c>
      <c r="F55" s="1341">
        <f t="shared" si="32"/>
        <v>0</v>
      </c>
      <c r="G55" s="1341">
        <f t="shared" si="31"/>
        <v>0</v>
      </c>
      <c r="H55" s="1341">
        <f t="shared" si="32"/>
        <v>0</v>
      </c>
      <c r="I55" s="1341">
        <f t="shared" si="32"/>
        <v>0</v>
      </c>
      <c r="J55" s="1342"/>
    </row>
    <row r="56" spans="2:10">
      <c r="B56" s="1281" t="s">
        <v>662</v>
      </c>
      <c r="C56" s="1341">
        <f t="shared" ref="C56:I56" si="33">SUM(C70,C84,C98,O98,C113,C127,C140)</f>
        <v>72944794</v>
      </c>
      <c r="D56" s="1341">
        <f t="shared" si="33"/>
        <v>0</v>
      </c>
      <c r="E56" s="1341">
        <f t="shared" si="33"/>
        <v>0</v>
      </c>
      <c r="F56" s="1341">
        <f t="shared" si="33"/>
        <v>0</v>
      </c>
      <c r="G56" s="1341">
        <f t="shared" si="31"/>
        <v>-9682988</v>
      </c>
      <c r="H56" s="1341">
        <f t="shared" si="33"/>
        <v>0</v>
      </c>
      <c r="I56" s="1341">
        <f t="shared" si="33"/>
        <v>0</v>
      </c>
      <c r="J56" s="1342"/>
    </row>
    <row r="57" spans="2:10">
      <c r="B57" s="1281" t="s">
        <v>32</v>
      </c>
      <c r="C57" s="1341">
        <f t="shared" ref="C57:I57" si="34">SUM(C71,C85,C99,O99,C114,C128,C141)</f>
        <v>181622297.0654</v>
      </c>
      <c r="D57" s="1341">
        <f t="shared" si="34"/>
        <v>36050585.409999996</v>
      </c>
      <c r="E57" s="1341">
        <f t="shared" si="34"/>
        <v>-4822402</v>
      </c>
      <c r="F57" s="1341">
        <f t="shared" si="34"/>
        <v>115440965</v>
      </c>
      <c r="G57" s="1341">
        <f t="shared" si="31"/>
        <v>-37332738</v>
      </c>
      <c r="H57" s="1341">
        <f t="shared" si="34"/>
        <v>16965213</v>
      </c>
      <c r="I57" s="1341">
        <f t="shared" si="34"/>
        <v>7818851</v>
      </c>
      <c r="J57" s="1342"/>
    </row>
    <row r="58" spans="2:10">
      <c r="B58" s="1281" t="s">
        <v>669</v>
      </c>
      <c r="C58" s="1341">
        <f t="shared" ref="C58:I58" si="35">SUM(C72,C86,C100,O100,C115,C129,C142)</f>
        <v>230123448.16</v>
      </c>
      <c r="D58" s="1341">
        <f t="shared" si="35"/>
        <v>0</v>
      </c>
      <c r="E58" s="1341">
        <f t="shared" si="35"/>
        <v>-3000</v>
      </c>
      <c r="F58" s="1341">
        <f t="shared" si="35"/>
        <v>0</v>
      </c>
      <c r="G58" s="1341">
        <f t="shared" si="31"/>
        <v>-40955306</v>
      </c>
      <c r="H58" s="1341">
        <f t="shared" si="35"/>
        <v>0</v>
      </c>
      <c r="I58" s="1341">
        <f t="shared" si="35"/>
        <v>13611805</v>
      </c>
      <c r="J58" s="1342"/>
    </row>
    <row r="59" spans="2:10">
      <c r="B59" s="1281" t="s">
        <v>1366</v>
      </c>
      <c r="C59" s="1341">
        <f t="shared" ref="C59:I59" si="36">SUM(C73,C87,C101,O101,C116,C130,C143)</f>
        <v>387867496</v>
      </c>
      <c r="D59" s="1341">
        <f t="shared" si="36"/>
        <v>0</v>
      </c>
      <c r="E59" s="1341">
        <f t="shared" si="36"/>
        <v>0</v>
      </c>
      <c r="F59" s="1341">
        <f t="shared" si="36"/>
        <v>499037904</v>
      </c>
      <c r="G59" s="1341">
        <f t="shared" si="31"/>
        <v>-83818358</v>
      </c>
      <c r="H59" s="1341">
        <f t="shared" si="36"/>
        <v>33074515</v>
      </c>
      <c r="I59" s="1341">
        <f t="shared" si="36"/>
        <v>0</v>
      </c>
      <c r="J59" s="1342"/>
    </row>
    <row r="60" spans="2:10">
      <c r="B60" s="1281" t="s">
        <v>346</v>
      </c>
      <c r="C60" s="1341">
        <f t="shared" ref="C60:I60" si="37">SUM(C74,C88,C102,O102,C117,C131,C144)</f>
        <v>1638864883</v>
      </c>
      <c r="D60" s="1341">
        <f t="shared" si="37"/>
        <v>9012918</v>
      </c>
      <c r="E60" s="1341">
        <f t="shared" si="37"/>
        <v>-18218466</v>
      </c>
      <c r="F60" s="1341">
        <f t="shared" si="37"/>
        <v>0</v>
      </c>
      <c r="G60" s="1341">
        <f t="shared" si="31"/>
        <v>-268245539</v>
      </c>
      <c r="H60" s="1341">
        <f t="shared" si="37"/>
        <v>957169860</v>
      </c>
      <c r="I60" s="1341">
        <f t="shared" si="37"/>
        <v>0</v>
      </c>
      <c r="J60" s="1342"/>
    </row>
    <row r="61" spans="2:10">
      <c r="B61" s="1320" t="s">
        <v>34</v>
      </c>
      <c r="C61" s="1341">
        <f t="shared" ref="C61:I61" si="38">SUM(C75,C89,C103,O103,C118,C132,C145)</f>
        <v>4039985025</v>
      </c>
      <c r="D61" s="1341">
        <f t="shared" si="38"/>
        <v>416565450</v>
      </c>
      <c r="E61" s="1341">
        <f t="shared" si="38"/>
        <v>0</v>
      </c>
      <c r="F61" s="1341">
        <f t="shared" si="38"/>
        <v>-3080337300</v>
      </c>
      <c r="G61" s="1341">
        <f t="shared" si="31"/>
        <v>0</v>
      </c>
      <c r="H61" s="1341">
        <f t="shared" si="38"/>
        <v>0</v>
      </c>
      <c r="I61" s="1341">
        <f t="shared" si="38"/>
        <v>0</v>
      </c>
      <c r="J61" s="1342"/>
    </row>
    <row r="62" spans="2:10">
      <c r="B62" s="91" t="s">
        <v>144</v>
      </c>
      <c r="C62" s="1345"/>
      <c r="D62" s="1345"/>
      <c r="E62" s="1345"/>
      <c r="F62" s="1345"/>
      <c r="G62" s="1345"/>
      <c r="H62" s="1349"/>
      <c r="I62" s="1345"/>
      <c r="J62" s="1342"/>
    </row>
    <row r="64" spans="2:10">
      <c r="B64" s="101" t="s">
        <v>2206</v>
      </c>
    </row>
    <row r="65" spans="2:15">
      <c r="B65" s="1331" t="s">
        <v>257</v>
      </c>
      <c r="C65" s="1340" t="s">
        <v>326</v>
      </c>
      <c r="D65" s="1340" t="s">
        <v>365</v>
      </c>
      <c r="E65" s="1340" t="s">
        <v>366</v>
      </c>
      <c r="F65" s="1340" t="s">
        <v>2726</v>
      </c>
      <c r="G65" s="1340" t="s">
        <v>176</v>
      </c>
      <c r="H65" s="1340" t="s">
        <v>2599</v>
      </c>
      <c r="I65" s="1340" t="s">
        <v>2210</v>
      </c>
      <c r="J65" s="1332" t="s">
        <v>327</v>
      </c>
    </row>
    <row r="66" spans="2:15">
      <c r="B66" s="1281" t="s">
        <v>28</v>
      </c>
      <c r="C66" s="1341">
        <v>557640020</v>
      </c>
      <c r="D66" s="1341">
        <v>0</v>
      </c>
      <c r="E66" s="1341">
        <v>0</v>
      </c>
      <c r="F66" s="1341">
        <v>557640020</v>
      </c>
      <c r="G66" s="1341">
        <v>0</v>
      </c>
      <c r="H66" s="1341"/>
      <c r="I66" s="1341"/>
      <c r="J66" s="1342"/>
    </row>
    <row r="67" spans="2:15">
      <c r="B67" s="1281" t="s">
        <v>29</v>
      </c>
      <c r="C67" s="1341">
        <v>1324817461</v>
      </c>
      <c r="D67" s="1341">
        <v>0</v>
      </c>
      <c r="E67" s="1341"/>
      <c r="F67" s="1341">
        <v>1476538478</v>
      </c>
      <c r="G67" s="1341">
        <v>-30886893</v>
      </c>
      <c r="H67" s="1341"/>
      <c r="I67" s="1341"/>
      <c r="J67" s="1342"/>
    </row>
    <row r="68" spans="2:15">
      <c r="B68" s="1281" t="s">
        <v>31</v>
      </c>
      <c r="C68" s="1341">
        <v>608801118</v>
      </c>
      <c r="D68" s="1341">
        <v>488099500</v>
      </c>
      <c r="E68" s="1341">
        <v>-89250000</v>
      </c>
      <c r="F68" s="1341">
        <v>456711494</v>
      </c>
      <c r="G68" s="1341">
        <v>-113701911</v>
      </c>
      <c r="H68" s="1341"/>
      <c r="I68" s="1341"/>
      <c r="J68" s="1342"/>
    </row>
    <row r="69" spans="2:15">
      <c r="B69" s="1281" t="s">
        <v>33</v>
      </c>
      <c r="C69" s="1341">
        <v>2000</v>
      </c>
      <c r="D69" s="1341">
        <v>0</v>
      </c>
      <c r="E69" s="1341">
        <v>0</v>
      </c>
      <c r="F69" s="1341">
        <v>0</v>
      </c>
      <c r="G69" s="1341">
        <v>0</v>
      </c>
      <c r="H69" s="1341"/>
      <c r="I69" s="1341"/>
      <c r="J69" s="1342"/>
    </row>
    <row r="70" spans="2:15">
      <c r="B70" s="1281" t="s">
        <v>662</v>
      </c>
      <c r="C70" s="1341">
        <v>72944794</v>
      </c>
      <c r="D70" s="1341">
        <v>0</v>
      </c>
      <c r="E70" s="1341">
        <v>0</v>
      </c>
      <c r="F70" s="1341">
        <v>0</v>
      </c>
      <c r="G70" s="1341">
        <v>-9682988</v>
      </c>
      <c r="H70" s="1348"/>
      <c r="I70" s="1341"/>
      <c r="J70" s="1342"/>
    </row>
    <row r="71" spans="2:15">
      <c r="B71" s="1281" t="s">
        <v>32</v>
      </c>
      <c r="C71" s="1341">
        <v>51239563</v>
      </c>
      <c r="D71" s="1341">
        <v>33830272</v>
      </c>
      <c r="E71" s="1341">
        <v>-4822402</v>
      </c>
      <c r="F71" s="1341">
        <v>115440965</v>
      </c>
      <c r="G71" s="1341">
        <v>-17200439</v>
      </c>
      <c r="H71" s="1349"/>
      <c r="I71" s="1341"/>
      <c r="J71" s="1342"/>
    </row>
    <row r="72" spans="2:15">
      <c r="B72" s="1281" t="s">
        <v>669</v>
      </c>
      <c r="C72" s="1341">
        <v>644984</v>
      </c>
      <c r="D72" s="1341">
        <v>0</v>
      </c>
      <c r="E72" s="1341">
        <v>-3000</v>
      </c>
      <c r="F72" s="1341">
        <v>0</v>
      </c>
      <c r="G72" s="1341">
        <v>-633984</v>
      </c>
      <c r="H72" s="1349"/>
      <c r="I72" s="1341"/>
      <c r="J72" s="1342"/>
    </row>
    <row r="73" spans="2:15">
      <c r="B73" s="1281" t="s">
        <v>1366</v>
      </c>
      <c r="C73" s="1341">
        <v>387867496</v>
      </c>
      <c r="D73" s="1341">
        <v>0</v>
      </c>
      <c r="E73" s="1341">
        <v>0</v>
      </c>
      <c r="F73" s="1341">
        <v>499037904</v>
      </c>
      <c r="G73" s="1341">
        <v>-83818358</v>
      </c>
      <c r="H73" s="1349"/>
      <c r="I73" s="1341"/>
      <c r="J73" s="1342"/>
    </row>
    <row r="74" spans="2:15">
      <c r="B74" s="1281" t="s">
        <v>346</v>
      </c>
      <c r="C74" s="1341">
        <v>1638864883</v>
      </c>
      <c r="D74" s="1341">
        <v>9012918</v>
      </c>
      <c r="E74" s="1341">
        <v>-18218466</v>
      </c>
      <c r="F74" s="1341">
        <v>0</v>
      </c>
      <c r="G74" s="1341">
        <v>-268245539</v>
      </c>
      <c r="H74" s="1349"/>
      <c r="I74" s="1341"/>
      <c r="J74" s="1342"/>
    </row>
    <row r="75" spans="2:15">
      <c r="B75" s="1320" t="s">
        <v>34</v>
      </c>
      <c r="C75" s="1348">
        <v>4039985025</v>
      </c>
      <c r="D75" s="1348">
        <v>416565450</v>
      </c>
      <c r="E75" s="1348">
        <v>0</v>
      </c>
      <c r="F75" s="1348">
        <v>-3080337300</v>
      </c>
      <c r="G75" s="1348">
        <v>0</v>
      </c>
      <c r="H75" s="1349"/>
      <c r="I75" s="1348"/>
      <c r="J75" s="1342"/>
    </row>
    <row r="76" spans="2:15">
      <c r="B76" s="91" t="s">
        <v>144</v>
      </c>
      <c r="C76" s="1345"/>
      <c r="D76" s="1345"/>
      <c r="E76" s="1345"/>
      <c r="F76" s="1345"/>
      <c r="G76" s="1345"/>
      <c r="H76" s="1349"/>
      <c r="I76" s="1345"/>
      <c r="J76" s="1342">
        <f>SUM(C66:I75)</f>
        <v>9018883065</v>
      </c>
      <c r="K76" s="105" t="b">
        <f>J76=BS!H48</f>
        <v>1</v>
      </c>
    </row>
    <row r="77" spans="2:15">
      <c r="O77" s="105"/>
    </row>
    <row r="78" spans="2:15">
      <c r="B78" s="101" t="s">
        <v>1397</v>
      </c>
    </row>
    <row r="79" spans="2:15">
      <c r="B79" s="1331" t="s">
        <v>257</v>
      </c>
      <c r="C79" s="1340" t="s">
        <v>326</v>
      </c>
      <c r="D79" s="1340" t="s">
        <v>365</v>
      </c>
      <c r="E79" s="1340" t="s">
        <v>366</v>
      </c>
      <c r="F79" s="1340" t="s">
        <v>2726</v>
      </c>
      <c r="G79" s="1340" t="s">
        <v>176</v>
      </c>
      <c r="H79" s="1340" t="s">
        <v>2599</v>
      </c>
      <c r="I79" s="1340" t="s">
        <v>2210</v>
      </c>
      <c r="J79" s="1332" t="s">
        <v>327</v>
      </c>
    </row>
    <row r="80" spans="2:15">
      <c r="B80" s="1281" t="s">
        <v>2598</v>
      </c>
      <c r="C80" s="1341"/>
      <c r="D80" s="1341"/>
      <c r="E80" s="1341"/>
      <c r="F80" s="1341"/>
      <c r="G80" s="1341"/>
      <c r="H80" s="1341"/>
      <c r="I80" s="1341"/>
      <c r="J80" s="1342"/>
    </row>
    <row r="81" spans="2:22">
      <c r="B81" s="1281" t="s">
        <v>29</v>
      </c>
      <c r="C81" s="1341"/>
      <c r="D81" s="1341"/>
      <c r="E81" s="1341"/>
      <c r="F81" s="1341"/>
      <c r="G81" s="1341"/>
      <c r="H81" s="1341"/>
      <c r="I81" s="1341"/>
      <c r="J81" s="1342"/>
    </row>
    <row r="82" spans="2:22">
      <c r="B82" s="1281" t="s">
        <v>31</v>
      </c>
      <c r="C82" s="1341"/>
      <c r="D82" s="1341"/>
      <c r="E82" s="1341"/>
      <c r="F82" s="1341"/>
      <c r="G82" s="1341"/>
      <c r="H82" s="1341"/>
      <c r="I82" s="1341"/>
      <c r="J82" s="1342"/>
    </row>
    <row r="83" spans="2:22">
      <c r="B83" s="1281" t="s">
        <v>33</v>
      </c>
      <c r="C83" s="1341"/>
      <c r="D83" s="1341"/>
      <c r="E83" s="1341"/>
      <c r="F83" s="1341"/>
      <c r="G83" s="1341"/>
      <c r="H83" s="1341"/>
      <c r="I83" s="1341"/>
      <c r="J83" s="1342"/>
      <c r="P83" s="105"/>
    </row>
    <row r="84" spans="2:22">
      <c r="B84" s="1281" t="s">
        <v>662</v>
      </c>
      <c r="C84" s="1341"/>
      <c r="D84" s="1341"/>
      <c r="E84" s="1341"/>
      <c r="F84" s="1341"/>
      <c r="G84" s="1341"/>
      <c r="H84" s="1348"/>
      <c r="I84" s="1341"/>
      <c r="J84" s="1342"/>
      <c r="O84" s="1127"/>
    </row>
    <row r="85" spans="2:22">
      <c r="B85" s="1281" t="s">
        <v>32</v>
      </c>
      <c r="C85" s="1341"/>
      <c r="D85" s="1341"/>
      <c r="E85" s="1341"/>
      <c r="F85" s="1341"/>
      <c r="G85" s="1341"/>
      <c r="H85" s="1349"/>
      <c r="I85" s="1341"/>
      <c r="J85" s="1342"/>
      <c r="O85" s="1127"/>
    </row>
    <row r="86" spans="2:22">
      <c r="B86" s="1281" t="s">
        <v>669</v>
      </c>
      <c r="C86" s="1341"/>
      <c r="D86" s="1341"/>
      <c r="E86" s="1341"/>
      <c r="F86" s="1341"/>
      <c r="G86" s="1341"/>
      <c r="H86" s="1349"/>
      <c r="I86" s="1341"/>
      <c r="J86" s="1342"/>
      <c r="K86" s="105" t="s">
        <v>2602</v>
      </c>
    </row>
    <row r="87" spans="2:22">
      <c r="B87" s="1281" t="s">
        <v>1366</v>
      </c>
      <c r="C87" s="1341"/>
      <c r="D87" s="1341"/>
      <c r="E87" s="1341"/>
      <c r="F87" s="1341"/>
      <c r="G87" s="1341"/>
      <c r="H87" s="1349"/>
      <c r="I87" s="1341"/>
      <c r="J87" s="1342"/>
    </row>
    <row r="88" spans="2:22">
      <c r="B88" s="1281" t="s">
        <v>346</v>
      </c>
      <c r="C88" s="1341"/>
      <c r="D88" s="1341"/>
      <c r="E88" s="1341"/>
      <c r="F88" s="1341"/>
      <c r="G88" s="1341"/>
      <c r="H88" s="1349"/>
      <c r="I88" s="1341"/>
      <c r="J88" s="1342"/>
    </row>
    <row r="89" spans="2:22">
      <c r="B89" s="1320" t="s">
        <v>34</v>
      </c>
      <c r="C89" s="1348"/>
      <c r="D89" s="1348"/>
      <c r="E89" s="1348"/>
      <c r="F89" s="1348"/>
      <c r="G89" s="1348"/>
      <c r="H89" s="1349"/>
      <c r="I89" s="1348"/>
      <c r="J89" s="1342"/>
    </row>
    <row r="90" spans="2:22">
      <c r="B90" s="91" t="s">
        <v>144</v>
      </c>
      <c r="C90" s="1345"/>
      <c r="D90" s="1345"/>
      <c r="E90" s="1345"/>
      <c r="F90" s="1345"/>
      <c r="G90" s="1345"/>
      <c r="H90" s="1349"/>
      <c r="I90" s="1345"/>
      <c r="J90" s="1342">
        <f>SUM(C82:I88)</f>
        <v>0</v>
      </c>
      <c r="K90" s="105" t="b">
        <f>J90=BS!I48</f>
        <v>1</v>
      </c>
    </row>
    <row r="92" spans="2:22">
      <c r="B92" s="101" t="s">
        <v>2585</v>
      </c>
      <c r="N92" s="101" t="s">
        <v>3847</v>
      </c>
      <c r="O92" s="105"/>
      <c r="P92" s="105"/>
      <c r="Q92" s="105"/>
      <c r="R92" s="105"/>
      <c r="S92" s="105"/>
      <c r="T92" s="105"/>
      <c r="U92" s="105"/>
      <c r="V92" s="105"/>
    </row>
    <row r="93" spans="2:22">
      <c r="B93" s="1331" t="s">
        <v>257</v>
      </c>
      <c r="C93" s="1340" t="s">
        <v>326</v>
      </c>
      <c r="D93" s="1340" t="s">
        <v>365</v>
      </c>
      <c r="E93" s="1340" t="s">
        <v>366</v>
      </c>
      <c r="F93" s="1340" t="s">
        <v>2726</v>
      </c>
      <c r="G93" s="1340" t="s">
        <v>176</v>
      </c>
      <c r="H93" s="1340" t="s">
        <v>2599</v>
      </c>
      <c r="I93" s="1340" t="s">
        <v>2210</v>
      </c>
      <c r="J93" s="1332" t="s">
        <v>327</v>
      </c>
      <c r="N93" s="1331" t="s">
        <v>257</v>
      </c>
      <c r="O93" s="1340" t="s">
        <v>326</v>
      </c>
      <c r="P93" s="1340" t="s">
        <v>365</v>
      </c>
      <c r="Q93" s="1340" t="s">
        <v>366</v>
      </c>
      <c r="R93" s="1340" t="s">
        <v>2726</v>
      </c>
      <c r="S93" s="1340" t="s">
        <v>176</v>
      </c>
      <c r="T93" s="1340" t="s">
        <v>2599</v>
      </c>
      <c r="U93" s="1340" t="s">
        <v>2210</v>
      </c>
      <c r="V93" s="1332" t="s">
        <v>327</v>
      </c>
    </row>
    <row r="94" spans="2:22">
      <c r="B94" s="1281" t="s">
        <v>2598</v>
      </c>
      <c r="C94" s="1341"/>
      <c r="D94" s="1341"/>
      <c r="E94" s="1341"/>
      <c r="F94" s="1341"/>
      <c r="G94" s="1341"/>
      <c r="H94" s="1341"/>
      <c r="I94" s="1341"/>
      <c r="J94" s="1342"/>
      <c r="N94" s="1281" t="s">
        <v>2598</v>
      </c>
      <c r="O94" s="1341"/>
      <c r="P94" s="1341"/>
      <c r="Q94" s="1341"/>
      <c r="R94" s="1341"/>
      <c r="S94" s="1341"/>
      <c r="T94" s="1341"/>
      <c r="U94" s="1341"/>
      <c r="V94" s="1342"/>
    </row>
    <row r="95" spans="2:22">
      <c r="B95" s="1281" t="s">
        <v>2901</v>
      </c>
      <c r="C95" s="1341"/>
      <c r="D95" s="1341"/>
      <c r="E95" s="1341"/>
      <c r="F95" s="1341"/>
      <c r="G95" s="1341"/>
      <c r="H95" s="1341"/>
      <c r="I95" s="1341"/>
      <c r="J95" s="1342"/>
      <c r="N95" s="1281" t="s">
        <v>29</v>
      </c>
      <c r="O95" s="1341"/>
      <c r="P95" s="1341"/>
      <c r="Q95" s="1341"/>
      <c r="R95" s="1341"/>
      <c r="S95" s="1341"/>
      <c r="T95" s="1341"/>
      <c r="U95" s="1341"/>
      <c r="V95" s="1342"/>
    </row>
    <row r="96" spans="2:22">
      <c r="B96" s="1281" t="s">
        <v>31</v>
      </c>
      <c r="C96" s="1341">
        <f>ROUND(O96*$M$97,)</f>
        <v>0</v>
      </c>
      <c r="D96" s="1341">
        <f t="shared" ref="D96:E100" si="39">ROUND(P96*$M$99,)</f>
        <v>0</v>
      </c>
      <c r="E96" s="1341">
        <f t="shared" si="39"/>
        <v>0</v>
      </c>
      <c r="F96" s="1341"/>
      <c r="G96" s="1341">
        <f>ROUND(S96*$M$99,)</f>
        <v>0</v>
      </c>
      <c r="H96" s="1341"/>
      <c r="I96" s="1341"/>
      <c r="J96" s="1342">
        <f>SUM(BS!J52:K53)</f>
        <v>0</v>
      </c>
      <c r="L96" s="1351" t="s">
        <v>2588</v>
      </c>
      <c r="M96" s="1352"/>
      <c r="N96" s="1350" t="s">
        <v>31</v>
      </c>
      <c r="O96" s="1341"/>
      <c r="P96" s="1341"/>
      <c r="Q96" s="1341"/>
      <c r="R96" s="1341"/>
      <c r="S96" s="1341"/>
      <c r="T96" s="1341"/>
      <c r="U96" s="1341"/>
      <c r="V96" s="1342"/>
    </row>
    <row r="97" spans="2:22">
      <c r="B97" s="1281" t="s">
        <v>33</v>
      </c>
      <c r="C97" s="1341">
        <f>ROUND(O97*$M$97,)</f>
        <v>0</v>
      </c>
      <c r="D97" s="1341">
        <f t="shared" si="39"/>
        <v>0</v>
      </c>
      <c r="E97" s="1341">
        <f t="shared" si="39"/>
        <v>0</v>
      </c>
      <c r="F97" s="1341"/>
      <c r="G97" s="1341">
        <f>ROUND(S97*$M$99,)</f>
        <v>0</v>
      </c>
      <c r="H97" s="1341"/>
      <c r="I97" s="1341"/>
      <c r="J97" s="1342">
        <f>SUM(BS!J54:K55)</f>
        <v>0</v>
      </c>
      <c r="L97" s="1353" t="s">
        <v>2589</v>
      </c>
      <c r="M97" s="1354">
        <f>환율변동효과!B7</f>
        <v>184.41</v>
      </c>
      <c r="N97" s="1350" t="s">
        <v>33</v>
      </c>
      <c r="O97" s="1341"/>
      <c r="P97" s="1341"/>
      <c r="Q97" s="1341"/>
      <c r="R97" s="1341"/>
      <c r="S97" s="1341"/>
      <c r="T97" s="1341"/>
      <c r="U97" s="1341"/>
      <c r="V97" s="1342"/>
    </row>
    <row r="98" spans="2:22">
      <c r="B98" s="1281" t="s">
        <v>662</v>
      </c>
      <c r="C98" s="1341">
        <f>ROUND(O98*$M$97,)</f>
        <v>0</v>
      </c>
      <c r="D98" s="1341">
        <f t="shared" si="39"/>
        <v>0</v>
      </c>
      <c r="E98" s="1341">
        <f t="shared" si="39"/>
        <v>0</v>
      </c>
      <c r="F98" s="1341"/>
      <c r="G98" s="1341">
        <f>ROUND(S98*$M$99,)</f>
        <v>0</v>
      </c>
      <c r="H98" s="1348"/>
      <c r="I98" s="1341"/>
      <c r="J98" s="1342">
        <f>SUM(BS!J56:K57)</f>
        <v>0</v>
      </c>
      <c r="L98" s="1353" t="s">
        <v>2590</v>
      </c>
      <c r="M98" s="1354">
        <f>환율변동효과!B3</f>
        <v>196.6</v>
      </c>
      <c r="N98" s="1350" t="s">
        <v>662</v>
      </c>
      <c r="O98" s="1341"/>
      <c r="P98" s="1341"/>
      <c r="Q98" s="1341"/>
      <c r="R98" s="1341"/>
      <c r="S98" s="1341"/>
      <c r="T98" s="1348"/>
      <c r="U98" s="1341"/>
      <c r="V98" s="1342"/>
    </row>
    <row r="99" spans="2:22">
      <c r="B99" s="1281" t="s">
        <v>32</v>
      </c>
      <c r="C99" s="1341">
        <f>ROUND(O99*$M$97,)</f>
        <v>129679521</v>
      </c>
      <c r="D99" s="1341">
        <f t="shared" si="39"/>
        <v>2208668</v>
      </c>
      <c r="E99" s="1341">
        <f>ROUND(Q99*$M$99,)</f>
        <v>0</v>
      </c>
      <c r="F99" s="1341"/>
      <c r="G99" s="1341">
        <f>ROUND(S99*$M$99,)</f>
        <v>-20132299</v>
      </c>
      <c r="H99" s="1349"/>
      <c r="I99" s="1341">
        <f>J99-SUM(C99:G99)</f>
        <v>7818851</v>
      </c>
      <c r="J99" s="1342">
        <f>SUM(BS!J58:K59)</f>
        <v>119574741</v>
      </c>
      <c r="L99" s="1355" t="s">
        <v>2591</v>
      </c>
      <c r="M99" s="1356">
        <f>환율변동효과!B4</f>
        <v>189.66</v>
      </c>
      <c r="N99" s="1350" t="s">
        <v>32</v>
      </c>
      <c r="O99" s="1341">
        <v>703213.06539999996</v>
      </c>
      <c r="P99" s="1341">
        <v>11645.41</v>
      </c>
      <c r="Q99" s="1341"/>
      <c r="R99" s="1341">
        <v>0</v>
      </c>
      <c r="S99" s="1341">
        <v>-106149.41999999997</v>
      </c>
      <c r="T99" s="1349"/>
      <c r="U99" s="1341"/>
      <c r="V99" s="1342">
        <f>SUM(O99:U99)</f>
        <v>608709.05540000007</v>
      </c>
    </row>
    <row r="100" spans="2:22">
      <c r="B100" s="1281" t="s">
        <v>669</v>
      </c>
      <c r="C100" s="1341">
        <f>ROUND(O100*$M$97,)</f>
        <v>228240783</v>
      </c>
      <c r="D100" s="1341">
        <f t="shared" si="39"/>
        <v>0</v>
      </c>
      <c r="E100" s="1341">
        <f t="shared" si="39"/>
        <v>0</v>
      </c>
      <c r="F100" s="1341"/>
      <c r="G100" s="1341">
        <f>ROUND(S100*$M$99,)</f>
        <v>-40321322</v>
      </c>
      <c r="H100" s="1349"/>
      <c r="I100" s="1341">
        <f>J100-SUM(C100:G100)</f>
        <v>13611805</v>
      </c>
      <c r="J100" s="1342">
        <f>SUM(BS!J60:K61)</f>
        <v>201531266</v>
      </c>
      <c r="L100" s="101"/>
      <c r="M100" s="101"/>
      <c r="N100" s="1281" t="s">
        <v>669</v>
      </c>
      <c r="O100" s="1341">
        <v>1237681.1599999997</v>
      </c>
      <c r="P100" s="1341"/>
      <c r="Q100" s="1341"/>
      <c r="R100" s="1341">
        <v>0</v>
      </c>
      <c r="S100" s="1341">
        <v>-212597.91999999998</v>
      </c>
      <c r="T100" s="1349"/>
      <c r="U100" s="1341"/>
      <c r="V100" s="1342">
        <f>SUM(O100:U100)</f>
        <v>1025083.2399999998</v>
      </c>
    </row>
    <row r="101" spans="2:22">
      <c r="B101" s="1281" t="s">
        <v>1366</v>
      </c>
      <c r="C101" s="1341"/>
      <c r="D101" s="1341"/>
      <c r="E101" s="1341"/>
      <c r="F101" s="1341"/>
      <c r="G101" s="1341"/>
      <c r="H101" s="1349"/>
      <c r="I101" s="1341"/>
      <c r="J101" s="1342"/>
      <c r="L101" s="101"/>
      <c r="M101" s="101"/>
      <c r="N101" s="1281" t="s">
        <v>1366</v>
      </c>
      <c r="O101" s="1341"/>
      <c r="P101" s="1341"/>
      <c r="Q101" s="1341"/>
      <c r="R101" s="1341"/>
      <c r="S101" s="1341">
        <v>0</v>
      </c>
      <c r="T101" s="1349"/>
      <c r="U101" s="1341"/>
      <c r="V101" s="1342"/>
    </row>
    <row r="102" spans="2:22">
      <c r="B102" s="1281" t="s">
        <v>346</v>
      </c>
      <c r="C102" s="1341">
        <f>ROUND(O102*$M$97,)</f>
        <v>0</v>
      </c>
      <c r="D102" s="1341">
        <f>ROUND(P102*$M$99,)</f>
        <v>0</v>
      </c>
      <c r="E102" s="1341">
        <f>ROUND(Q102*$M$99,)</f>
        <v>0</v>
      </c>
      <c r="F102" s="1341"/>
      <c r="G102" s="1341">
        <f>ROUND(S102*$M$99,)</f>
        <v>0</v>
      </c>
      <c r="H102" s="1349"/>
      <c r="I102" s="1341">
        <f>J102-SUM(C102:G102)</f>
        <v>0</v>
      </c>
      <c r="J102" s="1342">
        <f>SUM(BS!J64:K65)</f>
        <v>0</v>
      </c>
      <c r="L102" s="101"/>
      <c r="M102" s="101"/>
      <c r="N102" s="1281" t="s">
        <v>346</v>
      </c>
      <c r="O102" s="1341">
        <v>0</v>
      </c>
      <c r="P102" s="1341"/>
      <c r="Q102" s="1341"/>
      <c r="R102" s="1341"/>
      <c r="S102" s="1341">
        <v>0</v>
      </c>
      <c r="T102" s="1349"/>
      <c r="U102" s="1341"/>
      <c r="V102" s="1342">
        <f>SUM(O102:U102)</f>
        <v>0</v>
      </c>
    </row>
    <row r="103" spans="2:22">
      <c r="B103" s="1320" t="s">
        <v>34</v>
      </c>
      <c r="C103" s="1348"/>
      <c r="D103" s="1348"/>
      <c r="E103" s="1348"/>
      <c r="F103" s="1348"/>
      <c r="G103" s="1348"/>
      <c r="H103" s="1349"/>
      <c r="I103" s="1348"/>
      <c r="J103" s="1342"/>
      <c r="L103" s="101"/>
      <c r="M103" s="101"/>
      <c r="N103" s="1320" t="s">
        <v>34</v>
      </c>
      <c r="O103" s="1348"/>
      <c r="P103" s="1348"/>
      <c r="Q103" s="1348"/>
      <c r="R103" s="1348"/>
      <c r="S103" s="1348"/>
      <c r="T103" s="1349"/>
      <c r="U103" s="1348"/>
      <c r="V103" s="1342"/>
    </row>
    <row r="104" spans="2:22">
      <c r="B104" s="91" t="s">
        <v>144</v>
      </c>
      <c r="C104" s="1345">
        <f>SUM(C99:C103)</f>
        <v>357920304</v>
      </c>
      <c r="D104" s="1345"/>
      <c r="E104" s="1345"/>
      <c r="F104" s="1345"/>
      <c r="G104" s="1345"/>
      <c r="H104" s="1349"/>
      <c r="I104" s="1345"/>
      <c r="J104" s="1342">
        <f>SUM(C96:I102)</f>
        <v>321106007</v>
      </c>
      <c r="K104" s="105">
        <f>J104-BS!J48-BS!K48</f>
        <v>0</v>
      </c>
      <c r="L104" s="101"/>
      <c r="M104" s="101"/>
      <c r="N104" s="91" t="s">
        <v>144</v>
      </c>
      <c r="O104" s="1345"/>
      <c r="P104" s="1345"/>
      <c r="Q104" s="1345"/>
      <c r="R104" s="1345"/>
      <c r="S104" s="1345"/>
      <c r="T104" s="1349"/>
      <c r="U104" s="1345"/>
      <c r="V104" s="1342"/>
    </row>
    <row r="105" spans="2:22">
      <c r="G105" s="105" t="b">
        <f>-SUM(G96:G102)=(HK_PL!K36+DHK_PL!K36)</f>
        <v>1</v>
      </c>
      <c r="L105" s="101"/>
      <c r="M105" s="101"/>
      <c r="N105" s="101"/>
    </row>
    <row r="106" spans="2:22">
      <c r="G106" s="105">
        <f>-SUM(G96:G102)-(HK_PL!K36+DHK_PL!K36)</f>
        <v>0</v>
      </c>
      <c r="H106" s="1814"/>
      <c r="L106" s="101"/>
      <c r="M106" s="101"/>
      <c r="N106" s="101"/>
    </row>
    <row r="107" spans="2:22">
      <c r="B107" s="101" t="s">
        <v>1404</v>
      </c>
      <c r="L107" s="101"/>
      <c r="M107" s="101"/>
      <c r="N107" s="101"/>
    </row>
    <row r="108" spans="2:22">
      <c r="B108" s="1331" t="s">
        <v>257</v>
      </c>
      <c r="C108" s="1340" t="s">
        <v>326</v>
      </c>
      <c r="D108" s="1340" t="s">
        <v>365</v>
      </c>
      <c r="E108" s="1340" t="s">
        <v>366</v>
      </c>
      <c r="F108" s="1340" t="s">
        <v>2726</v>
      </c>
      <c r="G108" s="1340" t="s">
        <v>176</v>
      </c>
      <c r="H108" s="1340" t="s">
        <v>2599</v>
      </c>
      <c r="I108" s="1340" t="s">
        <v>2210</v>
      </c>
      <c r="J108" s="1332" t="s">
        <v>327</v>
      </c>
      <c r="K108" s="105" t="s">
        <v>2587</v>
      </c>
      <c r="L108" s="101"/>
      <c r="M108" s="101"/>
      <c r="N108" s="101"/>
    </row>
    <row r="109" spans="2:22">
      <c r="B109" s="1281" t="s">
        <v>2598</v>
      </c>
      <c r="C109" s="1341"/>
      <c r="D109" s="1341"/>
      <c r="E109" s="1341"/>
      <c r="F109" s="1341"/>
      <c r="G109" s="1341"/>
      <c r="H109" s="1341"/>
      <c r="I109" s="1341"/>
      <c r="J109" s="1342"/>
      <c r="L109" s="101"/>
      <c r="M109" s="101"/>
      <c r="N109" s="101"/>
    </row>
    <row r="110" spans="2:22">
      <c r="B110" s="1281" t="s">
        <v>29</v>
      </c>
      <c r="C110" s="1341"/>
      <c r="D110" s="1341"/>
      <c r="E110" s="1341"/>
      <c r="F110" s="1341"/>
      <c r="G110" s="1341"/>
      <c r="H110" s="1341"/>
      <c r="I110" s="1341"/>
      <c r="J110" s="1342"/>
      <c r="L110" s="101"/>
      <c r="M110" s="101"/>
      <c r="N110" s="101"/>
    </row>
    <row r="111" spans="2:22">
      <c r="B111" s="1281" t="s">
        <v>31</v>
      </c>
      <c r="C111" s="1341"/>
      <c r="D111" s="1341"/>
      <c r="E111" s="1341"/>
      <c r="F111" s="1341"/>
      <c r="G111" s="1341"/>
      <c r="H111" s="1341"/>
      <c r="I111" s="1341"/>
      <c r="J111" s="1342"/>
      <c r="L111" s="101"/>
      <c r="M111" s="101"/>
      <c r="N111" s="101"/>
    </row>
    <row r="112" spans="2:22">
      <c r="B112" s="1281" t="s">
        <v>33</v>
      </c>
      <c r="C112" s="1341"/>
      <c r="D112" s="1341"/>
      <c r="E112" s="1341"/>
      <c r="F112" s="1341"/>
      <c r="G112" s="1341"/>
      <c r="H112" s="1341"/>
      <c r="I112" s="1341"/>
      <c r="J112" s="1342"/>
      <c r="L112" s="101"/>
      <c r="M112" s="101"/>
      <c r="N112" s="101"/>
    </row>
    <row r="113" spans="2:14">
      <c r="B113" s="1281" t="s">
        <v>662</v>
      </c>
      <c r="C113" s="1341"/>
      <c r="D113" s="1341"/>
      <c r="E113" s="1341"/>
      <c r="F113" s="1341"/>
      <c r="G113" s="1341"/>
      <c r="H113" s="1348"/>
      <c r="I113" s="1341"/>
      <c r="J113" s="1342"/>
      <c r="L113" s="101"/>
      <c r="M113" s="101"/>
      <c r="N113" s="101"/>
    </row>
    <row r="114" spans="2:14">
      <c r="B114" s="1281" t="s">
        <v>32</v>
      </c>
      <c r="C114" s="1341"/>
      <c r="D114" s="1341"/>
      <c r="E114" s="1341"/>
      <c r="F114" s="1341"/>
      <c r="G114" s="1341"/>
      <c r="H114" s="1349"/>
      <c r="I114" s="1341"/>
      <c r="J114" s="1342"/>
      <c r="L114" s="101"/>
      <c r="M114" s="101"/>
      <c r="N114" s="101"/>
    </row>
    <row r="115" spans="2:14">
      <c r="B115" s="1281" t="s">
        <v>669</v>
      </c>
      <c r="C115" s="1341"/>
      <c r="D115" s="1341"/>
      <c r="E115" s="1341"/>
      <c r="F115" s="1341"/>
      <c r="G115" s="1341"/>
      <c r="H115" s="1349"/>
      <c r="I115" s="1341"/>
      <c r="J115" s="1342"/>
      <c r="L115" s="101"/>
      <c r="M115" s="101"/>
      <c r="N115" s="101"/>
    </row>
    <row r="116" spans="2:14">
      <c r="B116" s="1281" t="s">
        <v>1366</v>
      </c>
      <c r="C116" s="1341"/>
      <c r="D116" s="1341"/>
      <c r="E116" s="1341"/>
      <c r="F116" s="1341"/>
      <c r="G116" s="1341"/>
      <c r="H116" s="1349"/>
      <c r="I116" s="1341"/>
      <c r="J116" s="1342"/>
      <c r="L116" s="101"/>
      <c r="M116" s="101"/>
      <c r="N116" s="101"/>
    </row>
    <row r="117" spans="2:14">
      <c r="B117" s="1281" t="s">
        <v>346</v>
      </c>
      <c r="C117" s="1341"/>
      <c r="D117" s="1341"/>
      <c r="E117" s="1341"/>
      <c r="F117" s="1341"/>
      <c r="G117" s="1341"/>
      <c r="H117" s="1349"/>
      <c r="I117" s="1341"/>
      <c r="J117" s="1342"/>
      <c r="L117" s="101"/>
      <c r="M117" s="101"/>
      <c r="N117" s="101"/>
    </row>
    <row r="118" spans="2:14">
      <c r="B118" s="1320" t="s">
        <v>34</v>
      </c>
      <c r="C118" s="1348"/>
      <c r="D118" s="1348"/>
      <c r="E118" s="1348"/>
      <c r="F118" s="1348"/>
      <c r="G118" s="1348"/>
      <c r="H118" s="1349"/>
      <c r="I118" s="1348"/>
      <c r="J118" s="1342"/>
      <c r="L118" s="101"/>
      <c r="M118" s="101"/>
      <c r="N118" s="101"/>
    </row>
    <row r="119" spans="2:14">
      <c r="B119" s="91" t="s">
        <v>144</v>
      </c>
      <c r="C119" s="1345"/>
      <c r="D119" s="1345"/>
      <c r="E119" s="1345"/>
      <c r="F119" s="1345"/>
      <c r="G119" s="1345"/>
      <c r="H119" s="1349"/>
      <c r="I119" s="1345"/>
      <c r="J119" s="1342"/>
      <c r="L119" s="101"/>
      <c r="M119" s="101"/>
      <c r="N119" s="101"/>
    </row>
    <row r="120" spans="2:14">
      <c r="L120" s="101"/>
      <c r="M120" s="101"/>
      <c r="N120" s="101"/>
    </row>
    <row r="121" spans="2:14">
      <c r="B121" s="101" t="s">
        <v>1398</v>
      </c>
      <c r="L121" s="101"/>
      <c r="M121" s="101"/>
      <c r="N121" s="101"/>
    </row>
    <row r="122" spans="2:14">
      <c r="B122" s="1331" t="s">
        <v>257</v>
      </c>
      <c r="C122" s="1340" t="s">
        <v>326</v>
      </c>
      <c r="D122" s="1340" t="s">
        <v>365</v>
      </c>
      <c r="E122" s="1340" t="s">
        <v>366</v>
      </c>
      <c r="F122" s="1340" t="s">
        <v>2726</v>
      </c>
      <c r="G122" s="1340" t="s">
        <v>176</v>
      </c>
      <c r="H122" s="1340" t="s">
        <v>2599</v>
      </c>
      <c r="I122" s="1340" t="s">
        <v>2210</v>
      </c>
      <c r="J122" s="1332" t="s">
        <v>327</v>
      </c>
      <c r="K122" s="105" t="s">
        <v>2586</v>
      </c>
      <c r="L122" s="101"/>
      <c r="M122" s="101"/>
      <c r="N122" s="101"/>
    </row>
    <row r="123" spans="2:14">
      <c r="B123" s="1281" t="s">
        <v>2598</v>
      </c>
      <c r="C123" s="1341"/>
      <c r="D123" s="1341"/>
      <c r="E123" s="1341"/>
      <c r="F123" s="1341"/>
      <c r="G123" s="1341"/>
      <c r="H123" s="1341"/>
      <c r="I123" s="1341"/>
      <c r="J123" s="1342"/>
      <c r="L123" s="101"/>
      <c r="M123" s="101"/>
      <c r="N123" s="101"/>
    </row>
    <row r="124" spans="2:14">
      <c r="B124" s="1281" t="s">
        <v>31</v>
      </c>
      <c r="C124" s="1341"/>
      <c r="D124" s="1341"/>
      <c r="E124" s="1341"/>
      <c r="F124" s="1341"/>
      <c r="G124" s="1341"/>
      <c r="H124" s="1341"/>
      <c r="I124" s="1341"/>
      <c r="J124" s="1342"/>
      <c r="L124" s="101"/>
      <c r="M124" s="101"/>
      <c r="N124" s="101"/>
    </row>
    <row r="125" spans="2:14">
      <c r="B125" s="1281" t="s">
        <v>33</v>
      </c>
      <c r="C125" s="1341"/>
      <c r="D125" s="1341"/>
      <c r="E125" s="1341"/>
      <c r="F125" s="1341"/>
      <c r="G125" s="1341"/>
      <c r="H125" s="1341"/>
      <c r="I125" s="1341"/>
      <c r="J125" s="1342"/>
    </row>
    <row r="126" spans="2:14">
      <c r="B126" s="1281" t="s">
        <v>662</v>
      </c>
      <c r="C126" s="1341"/>
      <c r="D126" s="1341"/>
      <c r="E126" s="1341"/>
      <c r="F126" s="1341"/>
      <c r="G126" s="1341"/>
      <c r="H126" s="1348"/>
      <c r="I126" s="1341"/>
      <c r="J126" s="1342"/>
    </row>
    <row r="127" spans="2:14">
      <c r="B127" s="1281" t="s">
        <v>32</v>
      </c>
      <c r="C127" s="1341"/>
      <c r="D127" s="1341"/>
      <c r="E127" s="1341"/>
      <c r="F127" s="1341"/>
      <c r="G127" s="1341"/>
      <c r="H127" s="1349"/>
      <c r="I127" s="1341"/>
      <c r="J127" s="1342"/>
    </row>
    <row r="128" spans="2:14">
      <c r="B128" s="1281" t="s">
        <v>669</v>
      </c>
      <c r="C128" s="1341"/>
      <c r="D128" s="1341"/>
      <c r="E128" s="1341"/>
      <c r="F128" s="1341"/>
      <c r="G128" s="1341"/>
      <c r="H128" s="1349"/>
      <c r="I128" s="1341"/>
      <c r="J128" s="1342"/>
    </row>
    <row r="129" spans="2:10">
      <c r="B129" s="1281" t="s">
        <v>2601</v>
      </c>
      <c r="C129" s="1341"/>
      <c r="D129" s="1341"/>
      <c r="E129" s="1341"/>
      <c r="F129" s="1341"/>
      <c r="G129" s="1341"/>
      <c r="H129" s="1349"/>
      <c r="I129" s="1341"/>
      <c r="J129" s="1342"/>
    </row>
    <row r="130" spans="2:10">
      <c r="B130" s="1281" t="s">
        <v>346</v>
      </c>
      <c r="C130" s="1341"/>
      <c r="D130" s="1341"/>
      <c r="E130" s="1341"/>
      <c r="F130" s="1341"/>
      <c r="G130" s="1341"/>
      <c r="H130" s="1349"/>
      <c r="I130" s="1341"/>
      <c r="J130" s="1342"/>
    </row>
    <row r="131" spans="2:10">
      <c r="B131" s="1320" t="s">
        <v>2600</v>
      </c>
      <c r="C131" s="1348"/>
      <c r="D131" s="1348"/>
      <c r="E131" s="1348"/>
      <c r="F131" s="1348"/>
      <c r="G131" s="1348"/>
      <c r="H131" s="1349"/>
      <c r="I131" s="1348"/>
      <c r="J131" s="1342"/>
    </row>
    <row r="132" spans="2:10">
      <c r="B132" s="91" t="s">
        <v>144</v>
      </c>
      <c r="C132" s="1345"/>
      <c r="D132" s="1345"/>
      <c r="E132" s="1345"/>
      <c r="F132" s="1345"/>
      <c r="G132" s="1345"/>
      <c r="H132" s="1349"/>
      <c r="I132" s="1345"/>
      <c r="J132" s="1342"/>
    </row>
    <row r="134" spans="2:10">
      <c r="B134" s="101" t="s">
        <v>3412</v>
      </c>
    </row>
    <row r="135" spans="2:10">
      <c r="B135" s="1331" t="s">
        <v>257</v>
      </c>
      <c r="C135" s="1340" t="s">
        <v>326</v>
      </c>
      <c r="D135" s="1340" t="s">
        <v>365</v>
      </c>
      <c r="E135" s="1340" t="s">
        <v>366</v>
      </c>
      <c r="F135" s="1340" t="s">
        <v>2726</v>
      </c>
      <c r="G135" s="1340" t="s">
        <v>176</v>
      </c>
      <c r="H135" s="1340" t="s">
        <v>2599</v>
      </c>
      <c r="I135" s="1340" t="s">
        <v>2210</v>
      </c>
      <c r="J135" s="1332" t="s">
        <v>327</v>
      </c>
    </row>
    <row r="136" spans="2:10">
      <c r="B136" s="1281" t="s">
        <v>2511</v>
      </c>
      <c r="C136" s="1341"/>
      <c r="D136" s="1341"/>
      <c r="E136" s="1341"/>
      <c r="F136" s="1341"/>
      <c r="G136" s="1341"/>
      <c r="H136" s="1341"/>
      <c r="I136" s="1341"/>
      <c r="J136" s="1342"/>
    </row>
    <row r="137" spans="2:10">
      <c r="B137" s="1281" t="s">
        <v>2862</v>
      </c>
      <c r="C137" s="1341"/>
      <c r="D137" s="1341"/>
      <c r="E137" s="1341"/>
      <c r="F137" s="1341"/>
      <c r="G137" s="1341"/>
      <c r="H137" s="1341"/>
      <c r="I137" s="1341"/>
      <c r="J137" s="1342"/>
    </row>
    <row r="138" spans="2:10">
      <c r="B138" s="1281" t="s">
        <v>31</v>
      </c>
      <c r="C138" s="1341"/>
      <c r="D138" s="1341"/>
      <c r="E138" s="1341"/>
      <c r="F138" s="1341"/>
      <c r="G138" s="1341"/>
      <c r="H138" s="1341">
        <v>532403062</v>
      </c>
      <c r="I138" s="1341"/>
      <c r="J138" s="1342"/>
    </row>
    <row r="139" spans="2:10">
      <c r="B139" s="1281" t="s">
        <v>33</v>
      </c>
      <c r="C139" s="1341"/>
      <c r="D139" s="1341"/>
      <c r="E139" s="1341"/>
      <c r="F139" s="1341"/>
      <c r="G139" s="1341"/>
      <c r="H139" s="1341"/>
      <c r="I139" s="1341"/>
      <c r="J139" s="1342"/>
    </row>
    <row r="140" spans="2:10">
      <c r="B140" s="1281" t="s">
        <v>662</v>
      </c>
      <c r="C140" s="1341"/>
      <c r="D140" s="1341"/>
      <c r="E140" s="1341"/>
      <c r="F140" s="1341"/>
      <c r="G140" s="1341"/>
      <c r="H140" s="1348"/>
      <c r="I140" s="1341"/>
      <c r="J140" s="1342"/>
    </row>
    <row r="141" spans="2:10">
      <c r="B141" s="1281" t="s">
        <v>32</v>
      </c>
      <c r="C141" s="1341"/>
      <c r="D141" s="1341"/>
      <c r="E141" s="1341"/>
      <c r="F141" s="1341"/>
      <c r="G141" s="1341"/>
      <c r="H141" s="1349">
        <v>16965213</v>
      </c>
      <c r="I141" s="1341"/>
      <c r="J141" s="1342"/>
    </row>
    <row r="142" spans="2:10">
      <c r="B142" s="1281" t="s">
        <v>669</v>
      </c>
      <c r="C142" s="1341"/>
      <c r="D142" s="1341"/>
      <c r="E142" s="1341"/>
      <c r="F142" s="1341"/>
      <c r="G142" s="1341"/>
      <c r="H142" s="1349"/>
      <c r="I142" s="1341"/>
      <c r="J142" s="1342"/>
    </row>
    <row r="143" spans="2:10">
      <c r="B143" s="1281" t="s">
        <v>2571</v>
      </c>
      <c r="C143" s="1341"/>
      <c r="D143" s="1341"/>
      <c r="E143" s="1341"/>
      <c r="F143" s="1341"/>
      <c r="G143" s="1341"/>
      <c r="H143" s="1349">
        <v>33074515</v>
      </c>
      <c r="I143" s="1341"/>
      <c r="J143" s="1342"/>
    </row>
    <row r="144" spans="2:10">
      <c r="B144" s="1281" t="s">
        <v>346</v>
      </c>
      <c r="C144" s="1341"/>
      <c r="D144" s="1341"/>
      <c r="E144" s="1341"/>
      <c r="F144" s="1341"/>
      <c r="G144" s="1341"/>
      <c r="H144" s="1349">
        <v>957169860</v>
      </c>
      <c r="I144" s="1341"/>
      <c r="J144" s="1342"/>
    </row>
    <row r="145" spans="2:11">
      <c r="B145" s="1320" t="s">
        <v>2514</v>
      </c>
      <c r="C145" s="1348"/>
      <c r="D145" s="1348"/>
      <c r="E145" s="1348"/>
      <c r="F145" s="1348"/>
      <c r="G145" s="1348"/>
      <c r="H145" s="1349"/>
      <c r="I145" s="1348"/>
      <c r="J145" s="1342"/>
    </row>
    <row r="146" spans="2:11">
      <c r="B146" s="91" t="s">
        <v>144</v>
      </c>
      <c r="C146" s="1345"/>
      <c r="D146" s="1345"/>
      <c r="E146" s="1345"/>
      <c r="F146" s="1345"/>
      <c r="G146" s="1345"/>
      <c r="H146" s="1349"/>
      <c r="I146" s="1345"/>
      <c r="J146" s="1342">
        <f>SUM(C135:I145)</f>
        <v>1539612650</v>
      </c>
      <c r="K146" s="105" t="b">
        <f>J146=BS!N48</f>
        <v>1</v>
      </c>
    </row>
  </sheetData>
  <mergeCells count="2">
    <mergeCell ref="B6:B7"/>
    <mergeCell ref="C6:E6"/>
  </mergeCells>
  <phoneticPr fontId="3" type="noConversion"/>
  <pageMargins left="0.7" right="0.7" top="0.75" bottom="0.75" header="0.3" footer="0.3"/>
  <pageSetup paperSize="9" orientation="portrait" r:id="rId1"/>
  <legacyDrawing r:id="rId2"/>
  <extLst>
    <ext xmlns:x14="http://schemas.microsoft.com/office/spreadsheetml/2009/9/main" uri="{78C0D931-6437-407d-A8EE-F0AAD7539E65}">
      <x14:conditionalFormattings>
        <x14:conditionalFormatting xmlns:xm="http://schemas.microsoft.com/office/excel/2006/main">
          <x14:cfRule type="containsText" priority="1" operator="containsText" id="{8408FC19-8F63-42EB-BBBE-9D1936FE8DD1}">
            <xm:f>NOT(ISERROR(SEARCH("true",A1)))</xm:f>
            <xm:f>"true"</xm:f>
            <x14:dxf>
              <fill>
                <patternFill>
                  <bgColor theme="9" tint="0.79998168889431442"/>
                </patternFill>
              </fill>
            </x14:dxf>
          </x14:cfRule>
          <x14:cfRule type="containsText" priority="2" operator="containsText" id="{85FC6C1D-AA65-454A-9341-32DC2EAA162B}">
            <xm:f>NOT(ISERROR(SEARCH("false",A1)))</xm:f>
            <xm:f>"false"</xm:f>
            <x14:dxf>
              <fill>
                <patternFill>
                  <bgColor rgb="FFFF0000"/>
                </patternFill>
              </fill>
            </x14:dxf>
          </x14:cfRule>
          <xm:sqref>A1:XFD1048576</xm:sqref>
        </x14:conditionalFormatting>
      </x14:conditionalFormattings>
    </ext>
  </extLs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Sheet56"/>
  <dimension ref="B2:S42"/>
  <sheetViews>
    <sheetView showGridLines="0" zoomScale="70" zoomScaleNormal="70" workbookViewId="0">
      <selection activeCell="C41" sqref="C41"/>
    </sheetView>
  </sheetViews>
  <sheetFormatPr defaultColWidth="9" defaultRowHeight="16.5"/>
  <cols>
    <col min="1" max="1" width="6.5" style="418" customWidth="1"/>
    <col min="2" max="2" width="28.625" style="418" customWidth="1"/>
    <col min="3" max="6" width="28.625" style="881" customWidth="1"/>
    <col min="7" max="8" width="14.375" style="881" customWidth="1"/>
    <col min="9" max="9" width="16.875" style="418" customWidth="1"/>
    <col min="10" max="11" width="14.375" style="418" customWidth="1"/>
    <col min="12" max="12" width="3" style="418" customWidth="1"/>
    <col min="13" max="13" width="16.875" style="418" customWidth="1"/>
    <col min="14" max="15" width="14.375" style="418" customWidth="1"/>
    <col min="16" max="16" width="2.25" style="418" customWidth="1"/>
    <col min="17" max="17" width="16.875" style="418" customWidth="1"/>
    <col min="18" max="19" width="14.375" style="418" customWidth="1"/>
    <col min="20" max="16384" width="9" style="418"/>
  </cols>
  <sheetData>
    <row r="2" spans="2:19">
      <c r="B2" s="849" t="s">
        <v>2214</v>
      </c>
      <c r="C2" s="917"/>
      <c r="D2" s="418"/>
      <c r="E2" s="418"/>
      <c r="F2" s="418"/>
      <c r="G2" s="418"/>
      <c r="H2" s="418"/>
    </row>
    <row r="3" spans="2:19">
      <c r="B3" s="851"/>
      <c r="C3" s="418"/>
      <c r="D3" s="418"/>
      <c r="E3" s="418"/>
      <c r="F3" s="418"/>
      <c r="G3" s="418"/>
      <c r="H3" s="418"/>
    </row>
    <row r="4" spans="2:19">
      <c r="B4" s="418" t="s">
        <v>2215</v>
      </c>
      <c r="C4" s="418"/>
      <c r="D4" s="418"/>
      <c r="E4" s="418"/>
      <c r="F4" s="418"/>
      <c r="G4" s="418"/>
      <c r="H4" s="418"/>
    </row>
    <row r="5" spans="2:19">
      <c r="C5" s="418"/>
      <c r="D5" s="418"/>
      <c r="E5" s="863" t="s">
        <v>1888</v>
      </c>
      <c r="F5" s="418"/>
      <c r="G5" s="418"/>
      <c r="H5" s="418"/>
    </row>
    <row r="6" spans="2:19" ht="13.5" customHeight="1">
      <c r="B6" s="2101" t="s">
        <v>2216</v>
      </c>
      <c r="C6" s="1333" t="str">
        <f>'5'!C8</f>
        <v>당기말</v>
      </c>
      <c r="D6" s="1334"/>
      <c r="E6" s="1335"/>
      <c r="F6" s="418"/>
      <c r="G6" s="418"/>
      <c r="H6" s="418"/>
      <c r="I6" s="2103" t="s">
        <v>2216</v>
      </c>
      <c r="J6" s="1841" t="s">
        <v>403</v>
      </c>
      <c r="K6" s="1841"/>
      <c r="M6" s="2103" t="s">
        <v>2216</v>
      </c>
      <c r="N6" s="1841" t="s">
        <v>3412</v>
      </c>
      <c r="O6" s="1841"/>
      <c r="Q6" s="2103" t="s">
        <v>2216</v>
      </c>
      <c r="R6" s="1841" t="s">
        <v>338</v>
      </c>
      <c r="S6" s="1841"/>
    </row>
    <row r="7" spans="2:19">
      <c r="B7" s="2102"/>
      <c r="C7" s="784" t="s">
        <v>2209</v>
      </c>
      <c r="D7" s="784" t="s">
        <v>2217</v>
      </c>
      <c r="E7" s="784" t="s">
        <v>356</v>
      </c>
      <c r="F7" s="418"/>
      <c r="G7" s="418"/>
      <c r="H7" s="418"/>
      <c r="I7" s="2103"/>
      <c r="J7" s="1840" t="s">
        <v>2209</v>
      </c>
      <c r="K7" s="1840" t="s">
        <v>2217</v>
      </c>
      <c r="M7" s="2103"/>
      <c r="N7" s="1840" t="s">
        <v>2209</v>
      </c>
      <c r="O7" s="1840" t="s">
        <v>2217</v>
      </c>
      <c r="Q7" s="2103"/>
      <c r="R7" s="1840" t="s">
        <v>2209</v>
      </c>
      <c r="S7" s="1840" t="s">
        <v>2217</v>
      </c>
    </row>
    <row r="8" spans="2:19">
      <c r="B8" s="866" t="s">
        <v>36</v>
      </c>
      <c r="C8" s="852">
        <f>SUM(J8,N8,R8)</f>
        <v>5400419463</v>
      </c>
      <c r="D8" s="852">
        <f t="shared" ref="D8:D14" si="0">SUM(K8,O8,S8)</f>
        <v>-279676697</v>
      </c>
      <c r="E8" s="852">
        <f>SUM(C8:D8)</f>
        <v>5120742766</v>
      </c>
      <c r="F8" s="418" t="b">
        <f>E8=H20</f>
        <v>1</v>
      </c>
      <c r="G8" s="418" t="s">
        <v>3990</v>
      </c>
      <c r="H8" s="418"/>
      <c r="I8" s="1842" t="s">
        <v>36</v>
      </c>
      <c r="J8" s="1639">
        <v>344867367</v>
      </c>
      <c r="K8" s="1639">
        <v>-272038896</v>
      </c>
      <c r="M8" s="1842" t="s">
        <v>36</v>
      </c>
      <c r="N8" s="1639">
        <v>18047539</v>
      </c>
      <c r="O8" s="1639">
        <v>-7637801</v>
      </c>
      <c r="Q8" s="1842" t="s">
        <v>36</v>
      </c>
      <c r="R8" s="1639">
        <f>RIC!F78+RIC!F79</f>
        <v>5037504557</v>
      </c>
      <c r="S8" s="1639"/>
    </row>
    <row r="9" spans="2:19">
      <c r="B9" s="866" t="s">
        <v>41</v>
      </c>
      <c r="C9" s="852">
        <f t="shared" ref="C9:C14" si="1">SUM(J9,N9,R9)</f>
        <v>269155095</v>
      </c>
      <c r="D9" s="852">
        <f t="shared" si="0"/>
        <v>-196038311</v>
      </c>
      <c r="E9" s="852">
        <f t="shared" ref="E9:E14" si="2">SUM(C9:D9)</f>
        <v>73116784</v>
      </c>
      <c r="F9" s="418" t="b">
        <f t="shared" ref="F9:F15" si="3">E9=H21</f>
        <v>1</v>
      </c>
      <c r="G9" s="418"/>
      <c r="H9" s="418"/>
      <c r="I9" s="1842" t="s">
        <v>41</v>
      </c>
      <c r="J9" s="1639">
        <v>208575095</v>
      </c>
      <c r="K9" s="1639">
        <v>-156681444</v>
      </c>
      <c r="M9" s="1842" t="s">
        <v>41</v>
      </c>
      <c r="N9" s="1639">
        <v>60580000</v>
      </c>
      <c r="O9" s="1639">
        <v>-39356867</v>
      </c>
      <c r="Q9" s="1842" t="s">
        <v>41</v>
      </c>
      <c r="R9" s="1639"/>
      <c r="S9" s="1639"/>
    </row>
    <row r="10" spans="2:19">
      <c r="B10" s="866" t="s">
        <v>40</v>
      </c>
      <c r="C10" s="852">
        <f t="shared" si="1"/>
        <v>8613263678</v>
      </c>
      <c r="D10" s="852">
        <f t="shared" si="0"/>
        <v>-2984858639</v>
      </c>
      <c r="E10" s="852">
        <f t="shared" si="2"/>
        <v>5628405039</v>
      </c>
      <c r="F10" s="418" t="b">
        <f t="shared" si="3"/>
        <v>1</v>
      </c>
      <c r="G10" s="418"/>
      <c r="H10" s="418"/>
      <c r="I10" s="1842" t="s">
        <v>40</v>
      </c>
      <c r="J10" s="1639">
        <v>1114353343</v>
      </c>
      <c r="K10" s="1639">
        <v>-1114353343</v>
      </c>
      <c r="M10" s="1842" t="s">
        <v>40</v>
      </c>
      <c r="N10" s="1639">
        <v>7498910335</v>
      </c>
      <c r="O10" s="1639">
        <v>-1870505296</v>
      </c>
      <c r="Q10" s="1842" t="s">
        <v>40</v>
      </c>
      <c r="R10" s="1639"/>
      <c r="S10" s="1639"/>
    </row>
    <row r="11" spans="2:19">
      <c r="B11" s="907" t="s">
        <v>39</v>
      </c>
      <c r="C11" s="852">
        <f t="shared" si="1"/>
        <v>16195983360</v>
      </c>
      <c r="D11" s="852">
        <f t="shared" si="0"/>
        <v>0</v>
      </c>
      <c r="E11" s="852">
        <f t="shared" si="2"/>
        <v>16195983360</v>
      </c>
      <c r="F11" s="418" t="b">
        <f t="shared" si="3"/>
        <v>1</v>
      </c>
      <c r="G11" s="418"/>
      <c r="H11" s="418"/>
      <c r="I11" s="1842" t="s">
        <v>39</v>
      </c>
      <c r="J11" s="1639"/>
      <c r="K11" s="1639"/>
      <c r="M11" s="1842" t="s">
        <v>39</v>
      </c>
      <c r="N11" s="1639">
        <v>0</v>
      </c>
      <c r="O11" s="1639">
        <v>0</v>
      </c>
      <c r="Q11" s="1842" t="s">
        <v>39</v>
      </c>
      <c r="R11" s="1639">
        <f>RIC!F76</f>
        <v>16195983360</v>
      </c>
      <c r="S11" s="1639"/>
    </row>
    <row r="12" spans="2:19">
      <c r="B12" s="907" t="s">
        <v>3759</v>
      </c>
      <c r="C12" s="852">
        <f t="shared" si="1"/>
        <v>46357920</v>
      </c>
      <c r="D12" s="852">
        <f t="shared" si="0"/>
        <v>0</v>
      </c>
      <c r="E12" s="852">
        <f t="shared" si="2"/>
        <v>46357920</v>
      </c>
      <c r="F12" s="418" t="b">
        <f t="shared" si="3"/>
        <v>1</v>
      </c>
      <c r="G12" s="418"/>
      <c r="H12" s="418"/>
      <c r="I12" s="1842" t="s">
        <v>3759</v>
      </c>
      <c r="J12" s="1639"/>
      <c r="K12" s="1639"/>
      <c r="M12" s="1842" t="s">
        <v>3759</v>
      </c>
      <c r="N12" s="1639">
        <v>46357920</v>
      </c>
      <c r="O12" s="1639">
        <v>0</v>
      </c>
      <c r="Q12" s="1842" t="s">
        <v>3759</v>
      </c>
      <c r="R12" s="1639"/>
      <c r="S12" s="1639"/>
    </row>
    <row r="13" spans="2:19">
      <c r="B13" s="907" t="s">
        <v>3835</v>
      </c>
      <c r="C13" s="852">
        <f t="shared" si="1"/>
        <v>6097155442</v>
      </c>
      <c r="D13" s="852">
        <f t="shared" si="0"/>
        <v>0</v>
      </c>
      <c r="E13" s="852">
        <f t="shared" si="2"/>
        <v>6097155442</v>
      </c>
      <c r="F13" s="418" t="b">
        <f t="shared" si="3"/>
        <v>1</v>
      </c>
      <c r="G13" s="418"/>
      <c r="H13" s="418"/>
      <c r="I13" s="1842" t="s">
        <v>3835</v>
      </c>
      <c r="J13" s="1639"/>
      <c r="K13" s="1639"/>
      <c r="M13" s="1842" t="s">
        <v>3835</v>
      </c>
      <c r="N13" s="1639">
        <v>0</v>
      </c>
      <c r="O13" s="1639">
        <v>0</v>
      </c>
      <c r="Q13" s="1842" t="s">
        <v>3835</v>
      </c>
      <c r="R13" s="1639">
        <f>RIC!F77</f>
        <v>6097155442</v>
      </c>
      <c r="S13" s="1639"/>
    </row>
    <row r="14" spans="2:19">
      <c r="B14" s="907" t="s">
        <v>3761</v>
      </c>
      <c r="C14" s="852">
        <f t="shared" si="1"/>
        <v>38294058</v>
      </c>
      <c r="D14" s="852">
        <f t="shared" si="0"/>
        <v>0</v>
      </c>
      <c r="E14" s="852">
        <f t="shared" si="2"/>
        <v>38294058</v>
      </c>
      <c r="F14" s="418" t="b">
        <f t="shared" si="3"/>
        <v>1</v>
      </c>
      <c r="G14" s="418"/>
      <c r="H14" s="418"/>
      <c r="I14" s="1842" t="s">
        <v>3761</v>
      </c>
      <c r="J14" s="1639"/>
      <c r="K14" s="1639"/>
      <c r="M14" s="1842" t="s">
        <v>3761</v>
      </c>
      <c r="N14" s="1639">
        <v>38294058</v>
      </c>
      <c r="O14" s="1639">
        <v>0</v>
      </c>
      <c r="Q14" s="1842" t="s">
        <v>3761</v>
      </c>
      <c r="R14" s="1639"/>
      <c r="S14" s="1639"/>
    </row>
    <row r="15" spans="2:19">
      <c r="B15" s="867" t="s">
        <v>144</v>
      </c>
      <c r="C15" s="852">
        <f t="shared" ref="C15:D15" si="4">SUM(C8:C14)</f>
        <v>36660629016</v>
      </c>
      <c r="D15" s="852">
        <f t="shared" si="4"/>
        <v>-3460573647</v>
      </c>
      <c r="E15" s="852">
        <f>SUM(E8:E14)</f>
        <v>33200055369</v>
      </c>
      <c r="F15" s="418" t="b">
        <f t="shared" si="3"/>
        <v>1</v>
      </c>
      <c r="G15" s="418"/>
      <c r="H15" s="418"/>
    </row>
    <row r="16" spans="2:19">
      <c r="B16" s="851"/>
      <c r="C16" s="418"/>
      <c r="D16" s="418"/>
      <c r="E16" s="418"/>
      <c r="F16" s="418"/>
      <c r="G16" s="418"/>
      <c r="H16" s="418"/>
    </row>
    <row r="17" spans="2:9">
      <c r="B17" s="418" t="s">
        <v>2218</v>
      </c>
      <c r="C17" s="418"/>
      <c r="D17" s="418"/>
      <c r="E17" s="418"/>
      <c r="F17" s="418"/>
      <c r="G17" s="418"/>
      <c r="H17" s="418"/>
    </row>
    <row r="18" spans="2:9">
      <c r="B18" s="876"/>
      <c r="C18" s="418"/>
      <c r="D18" s="418"/>
      <c r="E18" s="418"/>
      <c r="F18" s="418"/>
      <c r="G18" s="418"/>
      <c r="H18" s="863" t="s">
        <v>1895</v>
      </c>
    </row>
    <row r="19" spans="2:9">
      <c r="B19" s="783" t="s">
        <v>257</v>
      </c>
      <c r="C19" s="870" t="s">
        <v>326</v>
      </c>
      <c r="D19" s="870" t="s">
        <v>2219</v>
      </c>
      <c r="E19" s="870" t="s">
        <v>2899</v>
      </c>
      <c r="F19" s="870" t="s">
        <v>2220</v>
      </c>
      <c r="G19" s="870" t="s">
        <v>602</v>
      </c>
      <c r="H19" s="871" t="s">
        <v>327</v>
      </c>
    </row>
    <row r="20" spans="2:9">
      <c r="B20" s="866" t="s">
        <v>36</v>
      </c>
      <c r="C20" s="877">
        <v>38021463</v>
      </c>
      <c r="D20" s="877">
        <v>48682479</v>
      </c>
      <c r="E20" s="877">
        <v>0</v>
      </c>
      <c r="F20" s="877">
        <v>-13875471</v>
      </c>
      <c r="G20" s="877">
        <f>SUM(N8:O8,R8:S8)</f>
        <v>5047914295</v>
      </c>
      <c r="H20" s="918">
        <f>SUM(C20:G20)</f>
        <v>5120742766</v>
      </c>
      <c r="I20" s="418" t="b">
        <f>H20=BS!X69+BS!X70</f>
        <v>1</v>
      </c>
    </row>
    <row r="21" spans="2:9">
      <c r="B21" s="866" t="s">
        <v>41</v>
      </c>
      <c r="C21" s="877">
        <v>12347287</v>
      </c>
      <c r="D21" s="877">
        <v>47200000</v>
      </c>
      <c r="E21" s="877">
        <v>0</v>
      </c>
      <c r="F21" s="877">
        <v>-7653636</v>
      </c>
      <c r="G21" s="877">
        <f t="shared" ref="G21:G26" si="5">SUM(N9:O9,R9:S9)</f>
        <v>21223133</v>
      </c>
      <c r="H21" s="918">
        <f t="shared" ref="H21:H27" si="6">SUM(C21:G21)</f>
        <v>73116784</v>
      </c>
      <c r="I21" s="418" t="b">
        <f>H21=BS!X72</f>
        <v>1</v>
      </c>
    </row>
    <row r="22" spans="2:9">
      <c r="B22" s="866" t="s">
        <v>40</v>
      </c>
      <c r="C22" s="877">
        <v>0</v>
      </c>
      <c r="D22" s="877">
        <v>0</v>
      </c>
      <c r="E22" s="877">
        <v>0</v>
      </c>
      <c r="F22" s="877">
        <v>0</v>
      </c>
      <c r="G22" s="877">
        <f t="shared" si="5"/>
        <v>5628405039</v>
      </c>
      <c r="H22" s="918">
        <f t="shared" si="6"/>
        <v>5628405039</v>
      </c>
      <c r="I22" s="418" t="b">
        <f>H22=BS!X71</f>
        <v>1</v>
      </c>
    </row>
    <row r="23" spans="2:9">
      <c r="B23" s="907" t="s">
        <v>39</v>
      </c>
      <c r="C23" s="943">
        <v>0</v>
      </c>
      <c r="D23" s="943">
        <v>0</v>
      </c>
      <c r="E23" s="943">
        <v>0</v>
      </c>
      <c r="F23" s="943">
        <v>0</v>
      </c>
      <c r="G23" s="877">
        <f t="shared" si="5"/>
        <v>16195983360</v>
      </c>
      <c r="H23" s="918">
        <f t="shared" si="6"/>
        <v>16195983360</v>
      </c>
      <c r="I23" s="418" t="b">
        <f>H23=BS!X73</f>
        <v>1</v>
      </c>
    </row>
    <row r="24" spans="2:9">
      <c r="B24" s="907" t="s">
        <v>3759</v>
      </c>
      <c r="C24" s="943">
        <v>0</v>
      </c>
      <c r="D24" s="943">
        <v>0</v>
      </c>
      <c r="E24" s="943">
        <v>0</v>
      </c>
      <c r="F24" s="943">
        <v>0</v>
      </c>
      <c r="G24" s="877">
        <f t="shared" si="5"/>
        <v>46357920</v>
      </c>
      <c r="H24" s="918">
        <f t="shared" si="6"/>
        <v>46357920</v>
      </c>
      <c r="I24" s="418" t="b">
        <f>H24=BS!X74</f>
        <v>1</v>
      </c>
    </row>
    <row r="25" spans="2:9">
      <c r="B25" s="907" t="s">
        <v>3835</v>
      </c>
      <c r="C25" s="943">
        <v>0</v>
      </c>
      <c r="D25" s="943">
        <v>0</v>
      </c>
      <c r="E25" s="943">
        <v>0</v>
      </c>
      <c r="F25" s="943">
        <v>0</v>
      </c>
      <c r="G25" s="877">
        <f t="shared" si="5"/>
        <v>6097155442</v>
      </c>
      <c r="H25" s="918">
        <f t="shared" si="6"/>
        <v>6097155442</v>
      </c>
      <c r="I25" s="418" t="b">
        <f>H25=BS!X76</f>
        <v>1</v>
      </c>
    </row>
    <row r="26" spans="2:9">
      <c r="B26" s="907" t="s">
        <v>3761</v>
      </c>
      <c r="C26" s="943">
        <v>0</v>
      </c>
      <c r="D26" s="943">
        <v>0</v>
      </c>
      <c r="E26" s="943">
        <v>0</v>
      </c>
      <c r="F26" s="943">
        <v>0</v>
      </c>
      <c r="G26" s="877">
        <f t="shared" si="5"/>
        <v>38294058</v>
      </c>
      <c r="H26" s="918">
        <f t="shared" si="6"/>
        <v>38294058</v>
      </c>
      <c r="I26" s="418" t="b">
        <f>H26=BS!X75</f>
        <v>1</v>
      </c>
    </row>
    <row r="27" spans="2:9">
      <c r="B27" s="867" t="s">
        <v>144</v>
      </c>
      <c r="C27" s="878">
        <f t="shared" ref="C27:F27" si="7">SUM(C20:C26)</f>
        <v>50368750</v>
      </c>
      <c r="D27" s="878">
        <f t="shared" si="7"/>
        <v>95882479</v>
      </c>
      <c r="E27" s="878">
        <f t="shared" si="7"/>
        <v>0</v>
      </c>
      <c r="F27" s="878">
        <f t="shared" si="7"/>
        <v>-21529107</v>
      </c>
      <c r="G27" s="878">
        <f>SUM(G20:G26)</f>
        <v>33075333247</v>
      </c>
      <c r="H27" s="918">
        <f t="shared" si="6"/>
        <v>33200055369</v>
      </c>
      <c r="I27" s="886">
        <f>H27-BS!X68</f>
        <v>0</v>
      </c>
    </row>
    <row r="28" spans="2:9">
      <c r="C28" s="418" t="b">
        <f>C27=연결BS!E62</f>
        <v>1</v>
      </c>
      <c r="D28" s="418" t="b">
        <f>D27=연결CF!C51</f>
        <v>1</v>
      </c>
      <c r="E28" s="418"/>
      <c r="F28" s="886">
        <f>F27+PL!Y74</f>
        <v>0</v>
      </c>
      <c r="G28" s="418"/>
      <c r="H28" s="418" t="b">
        <f>H27=연결BS!D62</f>
        <v>1</v>
      </c>
    </row>
    <row r="29" spans="2:9">
      <c r="C29" s="418"/>
      <c r="D29" s="418"/>
      <c r="E29" s="418"/>
      <c r="F29" s="418" t="b">
        <f>연결CF!C15=-F27</f>
        <v>1</v>
      </c>
      <c r="G29" s="418"/>
      <c r="H29" s="418"/>
    </row>
    <row r="30" spans="2:9">
      <c r="C30" s="418"/>
      <c r="D30" s="418"/>
      <c r="E30" s="418"/>
      <c r="F30" s="418" t="s">
        <v>2236</v>
      </c>
      <c r="G30" s="418"/>
      <c r="H30" s="418"/>
    </row>
    <row r="31" spans="2:9">
      <c r="B31" s="418" t="s">
        <v>2221</v>
      </c>
      <c r="C31" s="418"/>
      <c r="D31" s="418"/>
      <c r="E31" s="418"/>
      <c r="F31" s="418"/>
      <c r="G31" s="418"/>
      <c r="H31" s="418"/>
    </row>
    <row r="32" spans="2:9">
      <c r="B32" s="876"/>
      <c r="C32" s="418"/>
      <c r="D32" s="418"/>
      <c r="E32" s="863" t="s">
        <v>1895</v>
      </c>
      <c r="F32" s="418"/>
      <c r="G32" s="418"/>
      <c r="H32" s="418"/>
    </row>
    <row r="33" spans="2:8">
      <c r="B33" s="873" t="s">
        <v>257</v>
      </c>
      <c r="C33" s="874" t="s">
        <v>2222</v>
      </c>
      <c r="D33" s="874" t="s">
        <v>2223</v>
      </c>
      <c r="E33" s="875" t="s">
        <v>2224</v>
      </c>
      <c r="F33" s="418"/>
      <c r="G33" s="418"/>
      <c r="H33" s="418"/>
    </row>
    <row r="34" spans="2:8">
      <c r="B34" s="2104" t="s">
        <v>1662</v>
      </c>
      <c r="C34" s="884" t="s">
        <v>2225</v>
      </c>
      <c r="D34" s="853">
        <v>0</v>
      </c>
      <c r="E34" s="1843">
        <v>0</v>
      </c>
      <c r="F34" s="418"/>
      <c r="G34" s="418"/>
      <c r="H34" s="418"/>
    </row>
    <row r="35" spans="2:8">
      <c r="B35" s="2105"/>
      <c r="C35" s="884" t="s">
        <v>3993</v>
      </c>
      <c r="D35" s="853">
        <v>3388469724</v>
      </c>
      <c r="E35" s="1843" t="s">
        <v>3995</v>
      </c>
      <c r="F35" s="418"/>
      <c r="G35" s="418"/>
      <c r="H35" s="418"/>
    </row>
    <row r="36" spans="2:8">
      <c r="B36" s="2106"/>
      <c r="C36" s="884" t="s">
        <v>3994</v>
      </c>
      <c r="D36" s="853">
        <v>2239935315</v>
      </c>
      <c r="E36" s="1843" t="s">
        <v>3996</v>
      </c>
      <c r="F36" s="418"/>
      <c r="G36" s="418"/>
      <c r="H36" s="418"/>
    </row>
    <row r="37" spans="2:8">
      <c r="C37" s="418"/>
      <c r="D37" s="418" t="b">
        <f>SUM(D34:D36)=H22</f>
        <v>1</v>
      </c>
      <c r="E37" s="418"/>
      <c r="F37" s="418"/>
      <c r="G37" s="418"/>
      <c r="H37" s="418"/>
    </row>
    <row r="38" spans="2:8">
      <c r="B38" s="418" t="s">
        <v>2226</v>
      </c>
      <c r="C38" s="418"/>
      <c r="D38" s="418"/>
      <c r="E38" s="418"/>
      <c r="F38" s="418"/>
      <c r="G38" s="418"/>
      <c r="H38" s="418"/>
    </row>
    <row r="39" spans="2:8">
      <c r="B39" s="876"/>
      <c r="C39" s="863" t="s">
        <v>1895</v>
      </c>
      <c r="D39" s="418"/>
      <c r="E39" s="418"/>
      <c r="F39" s="418"/>
      <c r="G39" s="418"/>
      <c r="H39" s="418"/>
    </row>
    <row r="40" spans="2:8">
      <c r="B40" s="873" t="s">
        <v>257</v>
      </c>
      <c r="C40" s="874" t="str">
        <f>'1'!C27:F27</f>
        <v>당기</v>
      </c>
      <c r="E40" s="418"/>
      <c r="F40" s="418"/>
      <c r="G40" s="418"/>
      <c r="H40" s="418"/>
    </row>
    <row r="41" spans="2:8">
      <c r="B41" s="867" t="s">
        <v>85</v>
      </c>
      <c r="C41" s="853">
        <v>364625079</v>
      </c>
      <c r="E41" s="418"/>
      <c r="F41" s="418"/>
      <c r="G41" s="418"/>
      <c r="H41" s="418"/>
    </row>
    <row r="42" spans="2:8">
      <c r="C42" s="881" t="b">
        <f>C41=연결PL!D52</f>
        <v>1</v>
      </c>
    </row>
  </sheetData>
  <mergeCells count="5">
    <mergeCell ref="B6:B7"/>
    <mergeCell ref="I6:I7"/>
    <mergeCell ref="M6:M7"/>
    <mergeCell ref="Q6:Q7"/>
    <mergeCell ref="B34:B36"/>
  </mergeCells>
  <phoneticPr fontId="3"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3" operator="containsText" id="{186B5BAA-DD98-47B5-9583-8DBAC06F123F}">
            <xm:f>NOT(ISERROR(SEARCH("TRUE",A1)))</xm:f>
            <xm:f>"TRUE"</xm:f>
            <x14:dxf>
              <fill>
                <patternFill>
                  <bgColor theme="9" tint="0.79998168889431442"/>
                </patternFill>
              </fill>
            </x14:dxf>
          </x14:cfRule>
          <xm:sqref>A18:F28 A1:XFD17 H18:XFD28 A29:XFD34 A35:A36 C35:XFD36 A37:XFD1048576</xm:sqref>
        </x14:conditionalFormatting>
        <x14:conditionalFormatting xmlns:xm="http://schemas.microsoft.com/office/excel/2006/main">
          <x14:cfRule type="containsText" priority="4" operator="containsText" id="{88A06668-1B16-4F1D-AA14-9938B111DB34}">
            <xm:f>NOT(ISERROR(SEARCH("FALSE",A1)))</xm:f>
            <xm:f>"FALSE"</xm:f>
            <x14:dxf>
              <fill>
                <patternFill>
                  <bgColor theme="5"/>
                </patternFill>
              </fill>
            </x14:dxf>
          </x14:cfRule>
          <xm:sqref>A1:XFD17 A18:F28 H18:XFD28 A29:XFD34 A35:A36 C35:XFD36 A37:XFD1048576</xm:sqref>
        </x14:conditionalFormatting>
        <x14:conditionalFormatting xmlns:xm="http://schemas.microsoft.com/office/excel/2006/main">
          <x14:cfRule type="containsText" priority="1" operator="containsText" id="{DE1B4A0D-5022-4620-9573-284B0662290F}">
            <xm:f>NOT(ISERROR(SEARCH("TRUE",C19)))</xm:f>
            <xm:f>"TRUE"</xm:f>
            <x14:dxf>
              <fill>
                <patternFill>
                  <bgColor theme="9" tint="0.79998168889431442"/>
                </patternFill>
              </fill>
            </x14:dxf>
          </x14:cfRule>
          <x14:cfRule type="containsText" priority="2" operator="containsText" id="{CF0353A4-9A3C-45E3-A22B-A30475CBCBD5}">
            <xm:f>NOT(ISERROR(SEARCH("FALSE",C19)))</xm:f>
            <xm:f>"FALSE"</xm:f>
            <x14:dxf>
              <fill>
                <patternFill>
                  <bgColor theme="5"/>
                </patternFill>
              </fill>
            </x14:dxf>
          </x14:cfRule>
          <xm:sqref>G19:G27 C27:G27</xm:sqref>
        </x14:conditionalFormatting>
      </x14:conditionalFormattings>
    </ext>
  </extLst>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codeName="Sheet57"/>
  <dimension ref="B2:I46"/>
  <sheetViews>
    <sheetView showGridLines="0" topLeftCell="A24" zoomScale="85" zoomScaleNormal="85" workbookViewId="0">
      <selection activeCell="C36" sqref="C36:C39"/>
    </sheetView>
  </sheetViews>
  <sheetFormatPr defaultColWidth="9" defaultRowHeight="16.5"/>
  <cols>
    <col min="1" max="1" width="6" style="418" customWidth="1"/>
    <col min="2" max="2" width="19.625" style="418" customWidth="1"/>
    <col min="3" max="7" width="19.625" style="881" customWidth="1"/>
    <col min="8" max="8" width="14.125" style="881" customWidth="1"/>
    <col min="9" max="16384" width="9" style="418"/>
  </cols>
  <sheetData>
    <row r="2" spans="2:8">
      <c r="B2" s="478" t="s">
        <v>3010</v>
      </c>
      <c r="C2" s="418"/>
      <c r="D2" s="418"/>
      <c r="E2" s="418"/>
      <c r="F2" s="418"/>
      <c r="G2" s="418"/>
      <c r="H2" s="418"/>
    </row>
    <row r="3" spans="2:8">
      <c r="C3" s="418"/>
      <c r="D3" s="418"/>
      <c r="E3" s="418"/>
      <c r="F3" s="418"/>
      <c r="G3" s="418"/>
      <c r="H3" s="418"/>
    </row>
    <row r="4" spans="2:8">
      <c r="B4" s="418" t="s">
        <v>3011</v>
      </c>
      <c r="C4" s="418"/>
      <c r="D4" s="418"/>
      <c r="E4" s="418"/>
      <c r="F4" s="418"/>
      <c r="G4" s="418"/>
      <c r="H4" s="418"/>
    </row>
    <row r="5" spans="2:8">
      <c r="C5" s="418"/>
      <c r="D5" s="418"/>
      <c r="E5" s="418"/>
      <c r="F5" s="418"/>
      <c r="G5" s="863" t="s">
        <v>368</v>
      </c>
      <c r="H5" s="418"/>
    </row>
    <row r="6" spans="2:8" ht="13.5" customHeight="1">
      <c r="B6" s="2101" t="s">
        <v>257</v>
      </c>
      <c r="C6" s="2113" t="s">
        <v>351</v>
      </c>
      <c r="D6" s="2113" t="s">
        <v>352</v>
      </c>
      <c r="E6" s="2113" t="s">
        <v>1901</v>
      </c>
      <c r="F6" s="2115" t="s">
        <v>335</v>
      </c>
      <c r="G6" s="2116"/>
      <c r="H6" s="418"/>
    </row>
    <row r="7" spans="2:8">
      <c r="B7" s="2102"/>
      <c r="C7" s="2114"/>
      <c r="D7" s="2114"/>
      <c r="E7" s="2114"/>
      <c r="F7" s="784" t="s">
        <v>1902</v>
      </c>
      <c r="G7" s="784" t="s">
        <v>356</v>
      </c>
      <c r="H7" s="418"/>
    </row>
    <row r="8" spans="2:8" ht="33">
      <c r="B8" s="867" t="s">
        <v>3012</v>
      </c>
      <c r="C8" s="884" t="s">
        <v>3008</v>
      </c>
      <c r="D8" s="780" t="s">
        <v>1774</v>
      </c>
      <c r="E8" s="780" t="s">
        <v>3009</v>
      </c>
      <c r="F8" s="1606" t="s">
        <v>3478</v>
      </c>
      <c r="G8" s="853">
        <f>BS!X46</f>
        <v>0</v>
      </c>
      <c r="H8" s="418" t="b">
        <f>G8=연결BS!D42</f>
        <v>1</v>
      </c>
    </row>
    <row r="9" spans="2:8">
      <c r="C9" s="418"/>
      <c r="D9" s="418"/>
      <c r="E9" s="418"/>
      <c r="F9" s="418"/>
      <c r="G9" s="418"/>
      <c r="H9" s="418"/>
    </row>
    <row r="10" spans="2:8">
      <c r="C10" s="418"/>
      <c r="D10" s="418"/>
      <c r="E10" s="418"/>
      <c r="F10" s="418"/>
      <c r="G10" s="418"/>
      <c r="H10" s="418"/>
    </row>
    <row r="11" spans="2:8">
      <c r="B11" s="418" t="s">
        <v>1903</v>
      </c>
      <c r="C11" s="418"/>
      <c r="D11" s="418"/>
      <c r="E11" s="418"/>
      <c r="F11" s="418"/>
      <c r="G11" s="418"/>
      <c r="H11" s="418"/>
    </row>
    <row r="12" spans="2:8">
      <c r="C12" s="863" t="s">
        <v>368</v>
      </c>
      <c r="D12" s="418"/>
      <c r="E12" s="418"/>
      <c r="F12" s="418"/>
      <c r="G12" s="418"/>
      <c r="H12" s="418"/>
    </row>
    <row r="13" spans="2:8">
      <c r="B13" s="783" t="s">
        <v>332</v>
      </c>
      <c r="C13" s="870" t="s">
        <v>328</v>
      </c>
      <c r="D13" s="418"/>
      <c r="E13" s="418"/>
      <c r="F13" s="418"/>
      <c r="G13" s="418"/>
      <c r="H13" s="418"/>
    </row>
    <row r="14" spans="2:8">
      <c r="B14" s="774" t="s">
        <v>377</v>
      </c>
      <c r="C14" s="877">
        <v>16999999500</v>
      </c>
      <c r="D14" s="418"/>
      <c r="E14" s="418"/>
      <c r="F14" s="418"/>
      <c r="G14" s="418"/>
      <c r="H14" s="418"/>
    </row>
    <row r="15" spans="2:8">
      <c r="B15" s="774" t="s">
        <v>365</v>
      </c>
      <c r="C15" s="877">
        <v>0</v>
      </c>
      <c r="D15" s="418"/>
      <c r="E15" s="418"/>
      <c r="F15" s="418"/>
      <c r="G15" s="418"/>
      <c r="H15" s="418"/>
    </row>
    <row r="16" spans="2:8">
      <c r="B16" s="774" t="s">
        <v>1904</v>
      </c>
      <c r="C16" s="877">
        <f>연결PL!D96</f>
        <v>-2067945777</v>
      </c>
      <c r="D16" s="886"/>
      <c r="E16" s="418"/>
      <c r="F16" s="418"/>
      <c r="G16" s="418"/>
      <c r="H16" s="418"/>
    </row>
    <row r="17" spans="2:8">
      <c r="B17" s="957" t="s">
        <v>2713</v>
      </c>
      <c r="C17" s="943">
        <v>-14932053723</v>
      </c>
      <c r="D17" s="886" t="s">
        <v>3846</v>
      </c>
      <c r="E17" s="418"/>
      <c r="F17" s="418"/>
      <c r="G17" s="418"/>
      <c r="H17" s="418"/>
    </row>
    <row r="18" spans="2:8">
      <c r="B18" s="778" t="s">
        <v>378</v>
      </c>
      <c r="C18" s="878">
        <f>SUM(C14:C17)</f>
        <v>0</v>
      </c>
      <c r="D18" s="418" t="b">
        <f>C18=G8</f>
        <v>1</v>
      </c>
      <c r="E18" s="418"/>
      <c r="F18" s="418"/>
      <c r="G18" s="418"/>
      <c r="H18" s="418"/>
    </row>
    <row r="19" spans="2:8">
      <c r="C19" s="418"/>
      <c r="D19" s="418"/>
      <c r="E19" s="418"/>
      <c r="F19" s="418"/>
      <c r="G19" s="418"/>
      <c r="H19" s="418"/>
    </row>
    <row r="20" spans="2:8">
      <c r="C20" s="418"/>
      <c r="D20" s="418"/>
      <c r="E20" s="418"/>
      <c r="F20" s="418"/>
      <c r="G20" s="418"/>
      <c r="H20" s="418"/>
    </row>
    <row r="21" spans="2:8">
      <c r="B21" s="418" t="s">
        <v>3015</v>
      </c>
      <c r="C21" s="418"/>
      <c r="D21" s="418"/>
      <c r="E21" s="418"/>
      <c r="F21" s="418"/>
      <c r="G21" s="418"/>
      <c r="H21" s="418"/>
    </row>
    <row r="22" spans="2:8">
      <c r="C22" s="863" t="s">
        <v>1905</v>
      </c>
      <c r="D22" s="418"/>
      <c r="E22" s="418"/>
      <c r="F22" s="418"/>
      <c r="G22" s="418"/>
      <c r="H22" s="418"/>
    </row>
    <row r="23" spans="2:8">
      <c r="B23" s="783" t="s">
        <v>360</v>
      </c>
      <c r="C23" s="870" t="s">
        <v>335</v>
      </c>
      <c r="D23" s="418"/>
      <c r="E23" s="418"/>
      <c r="F23" s="418"/>
      <c r="G23" s="418"/>
      <c r="H23" s="418"/>
    </row>
    <row r="24" spans="2:8">
      <c r="B24" s="774" t="s">
        <v>4</v>
      </c>
      <c r="C24" s="852">
        <f>지분법계산_에이티지씨!C50</f>
        <v>2658778533</v>
      </c>
      <c r="D24" s="418"/>
      <c r="E24" s="418"/>
      <c r="F24" s="418"/>
      <c r="G24" s="418"/>
      <c r="H24" s="418"/>
    </row>
    <row r="25" spans="2:8">
      <c r="B25" s="774" t="s">
        <v>25</v>
      </c>
      <c r="C25" s="852">
        <f>지분법계산_에이티지씨!C51</f>
        <v>8080134954</v>
      </c>
      <c r="D25" s="418"/>
      <c r="E25" s="418"/>
      <c r="F25" s="418"/>
      <c r="G25" s="418"/>
      <c r="H25" s="418"/>
    </row>
    <row r="26" spans="2:8">
      <c r="B26" s="774" t="s">
        <v>267</v>
      </c>
      <c r="C26" s="852">
        <f>지분법계산_에이티지씨!C52</f>
        <v>10738913487</v>
      </c>
      <c r="D26" s="418"/>
      <c r="E26" s="418"/>
      <c r="F26" s="418"/>
      <c r="G26" s="418"/>
      <c r="H26" s="418"/>
    </row>
    <row r="27" spans="2:8">
      <c r="B27" s="774" t="s">
        <v>47</v>
      </c>
      <c r="C27" s="852">
        <f>지분법계산_에이티지씨!C53</f>
        <v>9388591014</v>
      </c>
      <c r="D27" s="418"/>
      <c r="E27" s="418"/>
      <c r="F27" s="418"/>
      <c r="G27" s="418"/>
      <c r="H27" s="418"/>
    </row>
    <row r="28" spans="2:8">
      <c r="B28" s="774" t="s">
        <v>56</v>
      </c>
      <c r="C28" s="852">
        <f>지분법계산_에이티지씨!C54</f>
        <v>1113355079</v>
      </c>
      <c r="D28" s="418"/>
      <c r="E28" s="418"/>
      <c r="F28" s="418"/>
      <c r="G28" s="418"/>
      <c r="H28" s="418"/>
    </row>
    <row r="29" spans="2:8">
      <c r="B29" s="774" t="s">
        <v>268</v>
      </c>
      <c r="C29" s="852">
        <f>지분법계산_에이티지씨!C55</f>
        <v>10501946093</v>
      </c>
      <c r="D29" s="418"/>
      <c r="E29" s="418"/>
      <c r="F29" s="418"/>
      <c r="G29" s="418"/>
      <c r="H29" s="418"/>
    </row>
    <row r="30" spans="2:8">
      <c r="B30" s="774" t="s">
        <v>61</v>
      </c>
      <c r="C30" s="852">
        <f>지분법계산_에이티지씨!C56</f>
        <v>236967394</v>
      </c>
      <c r="D30" s="886"/>
      <c r="E30" s="418"/>
      <c r="F30" s="1607"/>
      <c r="G30" s="1608"/>
      <c r="H30" s="418"/>
    </row>
    <row r="31" spans="2:8">
      <c r="B31" s="778" t="s">
        <v>1131</v>
      </c>
      <c r="C31" s="852">
        <f>지분법계산_에이티지씨!C57</f>
        <v>10738913487</v>
      </c>
      <c r="D31" s="886"/>
      <c r="E31" s="418"/>
      <c r="F31" s="418"/>
      <c r="G31" s="418"/>
      <c r="H31" s="418"/>
    </row>
    <row r="32" spans="2:8">
      <c r="C32" s="418"/>
      <c r="D32" s="418"/>
      <c r="E32" s="418"/>
      <c r="F32" s="418"/>
      <c r="G32" s="418"/>
      <c r="H32" s="418"/>
    </row>
    <row r="33" spans="2:9">
      <c r="B33" s="418" t="s">
        <v>3014</v>
      </c>
      <c r="C33" s="418"/>
      <c r="D33" s="418"/>
      <c r="E33" s="418"/>
      <c r="F33" s="418"/>
      <c r="G33" s="418"/>
      <c r="H33" s="418"/>
    </row>
    <row r="34" spans="2:9">
      <c r="B34" s="863"/>
      <c r="C34" s="885" t="s">
        <v>325</v>
      </c>
      <c r="E34" s="418"/>
      <c r="F34" s="418"/>
      <c r="G34" s="418"/>
      <c r="H34" s="418"/>
    </row>
    <row r="35" spans="2:9">
      <c r="B35" s="783" t="s">
        <v>360</v>
      </c>
      <c r="C35" s="870" t="s">
        <v>3013</v>
      </c>
      <c r="D35" s="418"/>
      <c r="E35" s="418"/>
      <c r="F35" s="418"/>
      <c r="G35" s="418"/>
      <c r="H35" s="418"/>
    </row>
    <row r="36" spans="2:9">
      <c r="B36" s="774" t="s">
        <v>81</v>
      </c>
      <c r="C36" s="852">
        <f>지분법계산_에이티지씨!C60</f>
        <v>0</v>
      </c>
      <c r="D36" s="418"/>
      <c r="E36" s="418"/>
      <c r="F36" s="418"/>
      <c r="G36" s="418"/>
      <c r="H36" s="418"/>
    </row>
    <row r="37" spans="2:9">
      <c r="B37" s="774" t="s">
        <v>86</v>
      </c>
      <c r="C37" s="852">
        <f>지분법계산_에이티지씨!C61</f>
        <v>-3883766794</v>
      </c>
      <c r="D37" s="418"/>
      <c r="E37" s="418"/>
      <c r="F37" s="418"/>
      <c r="G37" s="418"/>
      <c r="H37" s="418"/>
    </row>
    <row r="38" spans="2:9">
      <c r="B38" s="774" t="s">
        <v>148</v>
      </c>
      <c r="C38" s="852">
        <f>지분법계산_에이티지씨!C62</f>
        <v>-5456860857</v>
      </c>
      <c r="D38" s="886"/>
      <c r="E38" s="1173"/>
      <c r="F38" s="418"/>
      <c r="G38" s="418"/>
      <c r="H38" s="418"/>
    </row>
    <row r="39" spans="2:9">
      <c r="B39" s="778" t="s">
        <v>1906</v>
      </c>
      <c r="C39" s="852">
        <f>지분법계산_에이티지씨!C63</f>
        <v>-5456860857</v>
      </c>
      <c r="D39" s="418"/>
      <c r="E39" s="418"/>
      <c r="F39" s="418"/>
      <c r="G39" s="418"/>
      <c r="H39" s="418"/>
    </row>
    <row r="42" spans="2:9">
      <c r="B42" s="898"/>
    </row>
    <row r="43" spans="2:9">
      <c r="B43" s="1654" t="s">
        <v>3405</v>
      </c>
      <c r="C43" s="1655"/>
      <c r="D43" s="1655"/>
      <c r="E43" s="1655"/>
      <c r="F43" s="1655"/>
      <c r="G43" s="1655"/>
      <c r="H43" s="1655"/>
      <c r="I43" s="1656"/>
    </row>
    <row r="44" spans="2:9">
      <c r="B44" s="2107" t="s">
        <v>351</v>
      </c>
      <c r="C44" s="2109" t="s">
        <v>3402</v>
      </c>
      <c r="D44" s="1657" t="s">
        <v>3403</v>
      </c>
      <c r="E44" s="1657" t="s">
        <v>3402</v>
      </c>
      <c r="F44" s="2109" t="s">
        <v>39</v>
      </c>
      <c r="G44" s="2109" t="s">
        <v>337</v>
      </c>
      <c r="H44" s="2111" t="s">
        <v>356</v>
      </c>
      <c r="I44" s="1656"/>
    </row>
    <row r="45" spans="2:9">
      <c r="B45" s="2108"/>
      <c r="C45" s="2110"/>
      <c r="D45" s="1658" t="s">
        <v>407</v>
      </c>
      <c r="E45" s="1658" t="s">
        <v>3404</v>
      </c>
      <c r="F45" s="2110"/>
      <c r="G45" s="2110"/>
      <c r="H45" s="2112"/>
      <c r="I45" s="1656"/>
    </row>
    <row r="46" spans="2:9">
      <c r="B46" s="1659" t="s">
        <v>3008</v>
      </c>
      <c r="C46" s="1661">
        <v>0</v>
      </c>
      <c r="D46" s="1660" t="str">
        <f>F8</f>
        <v>-</v>
      </c>
      <c r="E46" s="1661">
        <v>0</v>
      </c>
      <c r="F46" s="1661">
        <f>-지분법계산_에이티지씨!O13</f>
        <v>0</v>
      </c>
      <c r="G46" s="1661">
        <f>-지분법계산_에이티지씨!P13</f>
        <v>0</v>
      </c>
      <c r="H46" s="1662">
        <f>SUM(E46:G46)</f>
        <v>0</v>
      </c>
      <c r="I46" s="1656" t="b">
        <f>H46=G8</f>
        <v>1</v>
      </c>
    </row>
  </sheetData>
  <mergeCells count="10">
    <mergeCell ref="B6:B7"/>
    <mergeCell ref="C6:C7"/>
    <mergeCell ref="D6:D7"/>
    <mergeCell ref="E6:E7"/>
    <mergeCell ref="F6:G6"/>
    <mergeCell ref="B44:B45"/>
    <mergeCell ref="C44:C45"/>
    <mergeCell ref="F44:F45"/>
    <mergeCell ref="G44:G45"/>
    <mergeCell ref="H44:H45"/>
  </mergeCells>
  <phoneticPr fontId="3" type="noConversion"/>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codeName="Sheet58"/>
  <dimension ref="B2:E31"/>
  <sheetViews>
    <sheetView showGridLines="0" zoomScale="85" zoomScaleNormal="85" workbookViewId="0">
      <selection activeCell="C8" sqref="C8:D12"/>
    </sheetView>
  </sheetViews>
  <sheetFormatPr defaultColWidth="9" defaultRowHeight="16.5"/>
  <cols>
    <col min="1" max="1" width="5.625" style="418" customWidth="1"/>
    <col min="2" max="2" width="22.625" style="418" customWidth="1"/>
    <col min="3" max="3" width="15.5" style="418" customWidth="1"/>
    <col min="4" max="4" width="16" style="418" customWidth="1"/>
    <col min="5" max="5" width="15.125" style="418" customWidth="1"/>
    <col min="6" max="6" width="9" style="418"/>
    <col min="7" max="7" width="17.125" style="418" bestFit="1" customWidth="1"/>
    <col min="8" max="8" width="15.125" style="418" bestFit="1" customWidth="1"/>
    <col min="9" max="9" width="11.125" style="418" bestFit="1" customWidth="1"/>
    <col min="10" max="16384" width="9" style="418"/>
  </cols>
  <sheetData>
    <row r="2" spans="2:5">
      <c r="B2" s="478" t="s">
        <v>1907</v>
      </c>
    </row>
    <row r="4" spans="2:5">
      <c r="B4" s="418" t="s">
        <v>1908</v>
      </c>
    </row>
    <row r="5" spans="2:5">
      <c r="C5" s="887" t="s">
        <v>1895</v>
      </c>
    </row>
    <row r="6" spans="2:5">
      <c r="B6" s="1357" t="s">
        <v>257</v>
      </c>
      <c r="C6" s="2117" t="str">
        <f>'11'!C18</f>
        <v>당기말</v>
      </c>
      <c r="D6" s="2118"/>
      <c r="E6" s="1358" t="str">
        <f>'11'!D18</f>
        <v>전기말</v>
      </c>
    </row>
    <row r="7" spans="2:5">
      <c r="B7" s="1815"/>
      <c r="C7" s="1816" t="s">
        <v>3848</v>
      </c>
      <c r="D7" s="1816" t="s">
        <v>3849</v>
      </c>
      <c r="E7" s="1816" t="s">
        <v>3848</v>
      </c>
    </row>
    <row r="8" spans="2:5">
      <c r="B8" s="866" t="s">
        <v>48</v>
      </c>
      <c r="C8" s="877">
        <f>연결BS!D78</f>
        <v>299168927</v>
      </c>
      <c r="D8" s="877">
        <v>0</v>
      </c>
      <c r="E8" s="877">
        <f>연결BS!E78</f>
        <v>564384003</v>
      </c>
    </row>
    <row r="9" spans="2:5">
      <c r="B9" s="866" t="s">
        <v>51</v>
      </c>
      <c r="C9" s="877">
        <f>연결BS!D79</f>
        <v>4343550080</v>
      </c>
      <c r="D9" s="877">
        <f>BS!X116+BS!X117</f>
        <v>299694899</v>
      </c>
      <c r="E9" s="877">
        <f>연결BS!E79</f>
        <v>293535909</v>
      </c>
    </row>
    <row r="10" spans="2:5">
      <c r="B10" s="866" t="s">
        <v>53</v>
      </c>
      <c r="C10" s="877">
        <f>연결BS!D80</f>
        <v>85200680</v>
      </c>
      <c r="D10" s="877">
        <v>0</v>
      </c>
      <c r="E10" s="877">
        <f>연결BS!E80</f>
        <v>0</v>
      </c>
    </row>
    <row r="11" spans="2:5">
      <c r="B11" s="866" t="s">
        <v>54</v>
      </c>
      <c r="C11" s="877">
        <f>연결BS!D81</f>
        <v>2759666294</v>
      </c>
      <c r="D11" s="877">
        <v>0</v>
      </c>
      <c r="E11" s="877">
        <f>연결BS!E81</f>
        <v>842892846</v>
      </c>
    </row>
    <row r="12" spans="2:5">
      <c r="B12" s="867" t="s">
        <v>144</v>
      </c>
      <c r="C12" s="878">
        <f>SUM(C6:C11)</f>
        <v>7487585981</v>
      </c>
      <c r="D12" s="878">
        <f>SUM(D6:D11)</f>
        <v>299694899</v>
      </c>
      <c r="E12" s="878">
        <f>SUM(E6:E11)</f>
        <v>1700812758</v>
      </c>
    </row>
    <row r="13" spans="2:5">
      <c r="C13" s="418" t="b">
        <f>C12=연결BS!D77</f>
        <v>1</v>
      </c>
      <c r="D13" s="418" t="b">
        <f>D12=연결BS!D91</f>
        <v>1</v>
      </c>
      <c r="E13" s="418" t="b">
        <f>E12=연결BS!E77</f>
        <v>1</v>
      </c>
    </row>
    <row r="16" spans="2:5" ht="13.5" customHeight="1"/>
    <row r="22" spans="3:3" ht="13.5" customHeight="1"/>
    <row r="23" spans="3:3" ht="13.5" customHeight="1"/>
    <row r="25" spans="3:3" ht="13.5" customHeight="1"/>
    <row r="30" spans="3:3">
      <c r="C30" s="888"/>
    </row>
    <row r="31" spans="3:3">
      <c r="C31" s="888"/>
    </row>
  </sheetData>
  <mergeCells count="1">
    <mergeCell ref="C6:D6"/>
  </mergeCells>
  <phoneticPr fontId="3"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3" operator="containsText" id="{8DF2778C-A51B-48CA-961E-39A07A790F34}">
            <xm:f>NOT(ISERROR(SEARCH("true",A1)))</xm:f>
            <xm:f>"true"</xm:f>
            <x14:dxf>
              <fill>
                <patternFill>
                  <bgColor theme="9" tint="0.79998168889431442"/>
                </patternFill>
              </fill>
            </x14:dxf>
          </x14:cfRule>
          <x14:cfRule type="containsText" priority="4" operator="containsText" id="{926085EC-5C12-49B9-A3AB-AA3BD3B73363}">
            <xm:f>NOT(ISERROR(SEARCH("False",A1)))</xm:f>
            <xm:f>"False"</xm:f>
            <x14:dxf>
              <fill>
                <patternFill>
                  <bgColor rgb="FFC00000"/>
                </patternFill>
              </fill>
            </x14:dxf>
          </x14:cfRule>
          <xm:sqref>A1:XFD5 A6:C13 E6:XFD13 A14:XFD1048576</xm:sqref>
        </x14:conditionalFormatting>
        <x14:conditionalFormatting xmlns:xm="http://schemas.microsoft.com/office/excel/2006/main">
          <x14:cfRule type="containsText" priority="1" operator="containsText" id="{472BA650-15E3-4B48-868C-AE56690C3266}">
            <xm:f>NOT(ISERROR(SEARCH("true",D7)))</xm:f>
            <xm:f>"true"</xm:f>
            <x14:dxf>
              <fill>
                <patternFill>
                  <bgColor theme="9" tint="0.79998168889431442"/>
                </patternFill>
              </fill>
            </x14:dxf>
          </x14:cfRule>
          <x14:cfRule type="containsText" priority="2" operator="containsText" id="{3CE55F71-27D1-46A5-8B08-81C581974FA0}">
            <xm:f>NOT(ISERROR(SEARCH("False",D7)))</xm:f>
            <xm:f>"False"</xm:f>
            <x14:dxf>
              <fill>
                <patternFill>
                  <bgColor rgb="FFC00000"/>
                </patternFill>
              </fill>
            </x14:dxf>
          </x14:cfRule>
          <xm:sqref>D7:D13</xm:sqref>
        </x14:conditionalFormatting>
      </x14:conditionalFormattings>
    </ext>
  </extLst>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codeName="Sheet59"/>
  <dimension ref="B2:F12"/>
  <sheetViews>
    <sheetView showGridLines="0" zoomScale="85" zoomScaleNormal="85" workbookViewId="0">
      <selection activeCell="C9" sqref="C9"/>
    </sheetView>
  </sheetViews>
  <sheetFormatPr defaultColWidth="9" defaultRowHeight="16.5"/>
  <cols>
    <col min="1" max="1" width="4.875" style="418" customWidth="1"/>
    <col min="2" max="2" width="19.5" style="418" customWidth="1"/>
    <col min="3" max="3" width="18" style="418" customWidth="1"/>
    <col min="4" max="5" width="17.125" style="418" customWidth="1"/>
    <col min="6" max="6" width="14.625" style="418" customWidth="1"/>
    <col min="7" max="16384" width="9" style="418"/>
  </cols>
  <sheetData>
    <row r="2" spans="2:6">
      <c r="B2" s="849" t="s">
        <v>2927</v>
      </c>
    </row>
    <row r="3" spans="2:6">
      <c r="B3" s="851"/>
    </row>
    <row r="4" spans="2:6">
      <c r="F4" s="863" t="s">
        <v>368</v>
      </c>
    </row>
    <row r="6" spans="2:6">
      <c r="B6" s="2119" t="s">
        <v>257</v>
      </c>
      <c r="C6" s="1481" t="str">
        <f>'15'!C6</f>
        <v>당기말</v>
      </c>
      <c r="D6" s="1481"/>
      <c r="E6" s="1481" t="str">
        <f>'15'!E6</f>
        <v>전기말</v>
      </c>
      <c r="F6" s="1481"/>
    </row>
    <row r="7" spans="2:6">
      <c r="B7" s="2119"/>
      <c r="C7" s="1482" t="s">
        <v>2924</v>
      </c>
      <c r="D7" s="1482" t="s">
        <v>2925</v>
      </c>
      <c r="E7" s="1482" t="s">
        <v>2920</v>
      </c>
      <c r="F7" s="1482" t="s">
        <v>2926</v>
      </c>
    </row>
    <row r="8" spans="2:6">
      <c r="B8" s="1483" t="s">
        <v>52</v>
      </c>
      <c r="C8" s="1484">
        <f>연결BS!D87</f>
        <v>7028604154</v>
      </c>
      <c r="D8" s="1485">
        <v>0</v>
      </c>
      <c r="E8" s="1486">
        <f>연결BS!E87</f>
        <v>2550767839</v>
      </c>
      <c r="F8" s="1486">
        <v>0</v>
      </c>
    </row>
    <row r="9" spans="2:6">
      <c r="B9" s="1487" t="s">
        <v>183</v>
      </c>
      <c r="C9" s="1488">
        <f>연결BS!D88</f>
        <v>9395003</v>
      </c>
      <c r="D9" s="1489">
        <v>0</v>
      </c>
      <c r="E9" s="1486">
        <f>연결BS!E88</f>
        <v>17343122</v>
      </c>
      <c r="F9" s="1490">
        <v>0</v>
      </c>
    </row>
    <row r="10" spans="2:6">
      <c r="B10" s="1491" t="s">
        <v>2663</v>
      </c>
      <c r="C10" s="1492">
        <v>0</v>
      </c>
      <c r="D10" s="1489">
        <f>연결BS!D97</f>
        <v>205709924</v>
      </c>
      <c r="E10" s="1493">
        <v>0</v>
      </c>
      <c r="F10" s="1490">
        <f>연결BS!E97</f>
        <v>173088026</v>
      </c>
    </row>
    <row r="11" spans="2:6">
      <c r="B11" s="1494" t="s">
        <v>144</v>
      </c>
      <c r="C11" s="1495">
        <f>SUM(C8:C10)</f>
        <v>7037999157</v>
      </c>
      <c r="D11" s="1495">
        <f>SUM(D8:D10)</f>
        <v>205709924</v>
      </c>
      <c r="E11" s="1495">
        <f>SUM(E8:E10)</f>
        <v>2568110961</v>
      </c>
      <c r="F11" s="1495">
        <f>SUM(F8:F10)</f>
        <v>173088026</v>
      </c>
    </row>
    <row r="12" spans="2:6">
      <c r="C12" s="418" t="b">
        <f>C11=연결BS!D86</f>
        <v>1</v>
      </c>
      <c r="D12" s="418" t="b">
        <f>D11=연결BS!D96</f>
        <v>1</v>
      </c>
      <c r="E12" s="418" t="b">
        <f>E11=연결BS!E86</f>
        <v>1</v>
      </c>
      <c r="F12" s="418" t="b">
        <f>F11=연결BS!E96</f>
        <v>1</v>
      </c>
    </row>
  </sheetData>
  <mergeCells count="1">
    <mergeCell ref="B6:B7"/>
  </mergeCells>
  <phoneticPr fontId="3"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3" operator="containsText" id="{BC45A5F8-BCF2-449D-85FE-AA3421BC87D3}">
            <xm:f>NOT(ISERROR(SEARCH("false",A1)))</xm:f>
            <xm:f>"false"</xm:f>
            <x14:dxf>
              <fill>
                <patternFill>
                  <bgColor rgb="FFC00000"/>
                </patternFill>
              </fill>
            </x14:dxf>
          </x14:cfRule>
          <x14:cfRule type="containsText" priority="4" operator="containsText" id="{10867992-78B2-4619-BCC2-12BC60C83DB6}">
            <xm:f>NOT(ISERROR(SEARCH("true",A1)))</xm:f>
            <xm:f>"true"</xm:f>
            <x14:dxf>
              <fill>
                <patternFill>
                  <bgColor theme="9" tint="0.79998168889431442"/>
                </patternFill>
              </fill>
            </x14:dxf>
          </x14:cfRule>
          <xm:sqref>A1:XFD3 A4 C4:XFD4 A5:XFD5 A6:A11 G6:XFD11 A12:XFD1048576</xm:sqref>
        </x14:conditionalFormatting>
        <x14:conditionalFormatting xmlns:xm="http://schemas.microsoft.com/office/excel/2006/main">
          <x14:cfRule type="containsText" priority="1" operator="containsText" id="{14EDBB0F-B7E5-4963-8933-741A5347963D}">
            <xm:f>NOT(ISERROR(SEARCH("TRUE",B6)))</xm:f>
            <xm:f>"TRUE"</xm:f>
            <x14:dxf>
              <fill>
                <patternFill>
                  <bgColor theme="9" tint="0.79998168889431442"/>
                </patternFill>
              </fill>
            </x14:dxf>
          </x14:cfRule>
          <x14:cfRule type="containsText" priority="2" operator="containsText" id="{3746F77C-39E0-4EF8-8E69-0D3BCAA559FB}">
            <xm:f>NOT(ISERROR(SEARCH("FALSE",B6)))</xm:f>
            <xm:f>"FALSE"</xm:f>
            <x14:dxf>
              <fill>
                <patternFill>
                  <bgColor theme="5"/>
                </patternFill>
              </fill>
            </x14:dxf>
          </x14:cfRule>
          <xm:sqref>B6:F6 C7:F7 B8:F11</xm:sqref>
        </x14:conditionalFormatting>
      </x14:conditionalFormattings>
    </ext>
  </extLst>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codeName="Sheet60"/>
  <dimension ref="B2:F11"/>
  <sheetViews>
    <sheetView showGridLines="0" zoomScale="85" zoomScaleNormal="85" workbookViewId="0">
      <selection activeCell="C7" sqref="C7"/>
    </sheetView>
  </sheetViews>
  <sheetFormatPr defaultColWidth="9" defaultRowHeight="16.5"/>
  <cols>
    <col min="1" max="1" width="3.625" style="889" customWidth="1"/>
    <col min="2" max="2" width="39.125" style="889" customWidth="1"/>
    <col min="3" max="4" width="17.875" style="889" customWidth="1"/>
    <col min="5" max="5" width="9.375" style="889" bestFit="1" customWidth="1"/>
    <col min="6" max="8" width="9" style="889"/>
    <col min="9" max="9" width="10.625" style="889" bestFit="1" customWidth="1"/>
    <col min="10" max="16384" width="9" style="889"/>
  </cols>
  <sheetData>
    <row r="2" spans="2:6">
      <c r="B2" s="849" t="s">
        <v>1909</v>
      </c>
      <c r="C2" s="418"/>
      <c r="D2" s="418"/>
    </row>
    <row r="3" spans="2:6">
      <c r="B3" s="851"/>
      <c r="C3" s="418"/>
      <c r="D3" s="418"/>
    </row>
    <row r="4" spans="2:6">
      <c r="B4" s="889" t="s">
        <v>1910</v>
      </c>
      <c r="C4" s="418"/>
      <c r="D4" s="418"/>
    </row>
    <row r="5" spans="2:6">
      <c r="C5" s="863" t="s">
        <v>368</v>
      </c>
      <c r="D5" s="863"/>
    </row>
    <row r="6" spans="2:6">
      <c r="B6" s="873" t="s">
        <v>257</v>
      </c>
      <c r="C6" s="874" t="str">
        <f>'6'!C7</f>
        <v>당기말</v>
      </c>
      <c r="D6" s="874" t="str">
        <f>'6'!D7</f>
        <v>전기말</v>
      </c>
    </row>
    <row r="7" spans="2:6">
      <c r="B7" s="778" t="s">
        <v>183</v>
      </c>
      <c r="C7" s="853">
        <f>연결BS!D88</f>
        <v>9395003</v>
      </c>
      <c r="D7" s="853">
        <f>연결BS!E88</f>
        <v>17343122</v>
      </c>
      <c r="E7" s="889" t="b">
        <f>C7=연결BS!D88</f>
        <v>1</v>
      </c>
      <c r="F7" s="889" t="b">
        <f>D7=연결BS!E88</f>
        <v>1</v>
      </c>
    </row>
    <row r="8" spans="2:6">
      <c r="B8" s="418"/>
      <c r="C8" s="418"/>
      <c r="D8" s="418"/>
    </row>
    <row r="9" spans="2:6">
      <c r="B9" s="889" t="s">
        <v>1911</v>
      </c>
      <c r="C9" s="418"/>
      <c r="D9" s="418"/>
    </row>
    <row r="10" spans="2:6">
      <c r="B10" s="889" t="s">
        <v>1912</v>
      </c>
      <c r="C10" s="418"/>
      <c r="D10" s="418"/>
    </row>
    <row r="11" spans="2:6">
      <c r="C11" s="418"/>
      <c r="D11" s="418"/>
    </row>
  </sheetData>
  <phoneticPr fontId="3"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 operator="containsText" id="{453A058C-44B5-4F55-BC16-E669FD6DBFF7}">
            <xm:f>NOT(ISERROR(SEARCH("false",A1)))</xm:f>
            <xm:f>"false"</xm:f>
            <x14:dxf>
              <fill>
                <patternFill>
                  <bgColor rgb="FFC00000"/>
                </patternFill>
              </fill>
            </x14:dxf>
          </x14:cfRule>
          <x14:cfRule type="containsText" priority="2" operator="containsText" id="{87916FCD-1BCB-403A-BBD0-736D449FE5A5}">
            <xm:f>NOT(ISERROR(SEARCH("true",A1)))</xm:f>
            <xm:f>"true"</xm:f>
            <x14:dxf>
              <fill>
                <patternFill>
                  <bgColor theme="9" tint="0.79998168889431442"/>
                </patternFill>
              </fill>
            </x14:dxf>
          </x14:cfRule>
          <xm:sqref>A1:XFD1048576</xm:sqref>
        </x14:conditionalFormatting>
      </x14:conditionalFormattings>
    </ext>
  </extLst>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codeName="Sheet61"/>
  <dimension ref="B2:I33"/>
  <sheetViews>
    <sheetView showGridLines="0" zoomScale="85" zoomScaleNormal="85" workbookViewId="0">
      <selection activeCell="D33" sqref="D33"/>
    </sheetView>
  </sheetViews>
  <sheetFormatPr defaultColWidth="9" defaultRowHeight="13.5"/>
  <cols>
    <col min="1" max="1" width="9" style="101"/>
    <col min="2" max="2" width="17.375" style="101" customWidth="1"/>
    <col min="3" max="4" width="16.125" style="101" customWidth="1"/>
    <col min="5" max="5" width="14.875" style="105" customWidth="1"/>
    <col min="6" max="7" width="14.625" style="105" customWidth="1"/>
    <col min="8" max="8" width="16.125" style="101" customWidth="1"/>
    <col min="9" max="9" width="20.125" style="101" customWidth="1"/>
    <col min="10" max="16384" width="9" style="101"/>
  </cols>
  <sheetData>
    <row r="2" spans="2:9">
      <c r="B2" s="1315" t="s">
        <v>1913</v>
      </c>
      <c r="C2" s="1316" t="s">
        <v>3845</v>
      </c>
      <c r="E2" s="101"/>
      <c r="F2" s="101"/>
      <c r="G2" s="101"/>
    </row>
    <row r="3" spans="2:9">
      <c r="E3" s="101"/>
      <c r="F3" s="101"/>
      <c r="G3" s="101"/>
    </row>
    <row r="4" spans="2:9">
      <c r="B4" s="101" t="s">
        <v>1914</v>
      </c>
      <c r="E4" s="101"/>
      <c r="F4" s="101"/>
      <c r="G4" s="101"/>
    </row>
    <row r="5" spans="2:9">
      <c r="E5" s="101"/>
      <c r="F5" s="1317" t="s">
        <v>368</v>
      </c>
      <c r="G5" s="1317"/>
    </row>
    <row r="6" spans="2:9">
      <c r="B6" s="1318" t="s">
        <v>257</v>
      </c>
      <c r="C6" s="1319" t="s">
        <v>371</v>
      </c>
      <c r="D6" s="1319" t="s">
        <v>1915</v>
      </c>
      <c r="E6" s="1319" t="s">
        <v>1916</v>
      </c>
      <c r="F6" s="1319" t="str">
        <f>'17'!C6</f>
        <v>당기말</v>
      </c>
      <c r="G6" s="1319" t="str">
        <f>'17'!D6</f>
        <v>전기말</v>
      </c>
    </row>
    <row r="7" spans="2:9">
      <c r="B7" s="2120" t="s">
        <v>50</v>
      </c>
      <c r="C7" s="1321" t="s">
        <v>2714</v>
      </c>
      <c r="D7" s="1600">
        <v>3.916E-2</v>
      </c>
      <c r="E7" s="1322">
        <v>46288</v>
      </c>
      <c r="F7" s="1323">
        <v>400000000</v>
      </c>
      <c r="G7" s="1323">
        <v>400000000</v>
      </c>
    </row>
    <row r="8" spans="2:9">
      <c r="B8" s="2122"/>
      <c r="C8" s="1321" t="s">
        <v>2714</v>
      </c>
      <c r="D8" s="1600">
        <v>3.8870000000000002E-2</v>
      </c>
      <c r="E8" s="1322">
        <v>46430</v>
      </c>
      <c r="F8" s="1323">
        <v>720000000</v>
      </c>
      <c r="G8" s="1323">
        <v>720000000</v>
      </c>
    </row>
    <row r="9" spans="2:9" ht="13.5" customHeight="1">
      <c r="B9" s="2126" t="s">
        <v>144</v>
      </c>
      <c r="C9" s="2127"/>
      <c r="D9" s="2127"/>
      <c r="E9" s="2128"/>
      <c r="F9" s="1324">
        <f>SUM(F7:F8)</f>
        <v>1120000000</v>
      </c>
      <c r="G9" s="1324">
        <f>SUM(G7:G8)</f>
        <v>1120000000</v>
      </c>
      <c r="H9" s="101" t="b">
        <f>F9=연결BS!D83</f>
        <v>1</v>
      </c>
      <c r="I9" s="101" t="b">
        <f>G9=연결BS!E83</f>
        <v>1</v>
      </c>
    </row>
    <row r="10" spans="2:9">
      <c r="B10" s="1320" t="s">
        <v>55</v>
      </c>
      <c r="C10" s="1325" t="s">
        <v>2936</v>
      </c>
      <c r="D10" s="1600">
        <v>3.6700000000000003E-2</v>
      </c>
      <c r="E10" s="1322">
        <v>46322</v>
      </c>
      <c r="F10" s="1323">
        <v>0</v>
      </c>
      <c r="G10" s="1323">
        <v>83300000</v>
      </c>
    </row>
    <row r="11" spans="2:9" ht="13.5" customHeight="1">
      <c r="B11" s="2126" t="s">
        <v>144</v>
      </c>
      <c r="C11" s="2127"/>
      <c r="D11" s="2127"/>
      <c r="E11" s="2128"/>
      <c r="F11" s="1323">
        <f>SUM(F10:F10)</f>
        <v>0</v>
      </c>
      <c r="G11" s="1326">
        <f>SUM(G10:G10)</f>
        <v>83300000</v>
      </c>
      <c r="H11" s="101" t="b">
        <f>F11=연결BS!D84</f>
        <v>1</v>
      </c>
      <c r="I11" s="101" t="b">
        <f>G11=연결BS!E84</f>
        <v>1</v>
      </c>
    </row>
    <row r="12" spans="2:9">
      <c r="B12" s="2120" t="s">
        <v>57</v>
      </c>
      <c r="C12" s="1321" t="s">
        <v>574</v>
      </c>
      <c r="D12" s="1600">
        <v>4.095E-2</v>
      </c>
      <c r="E12" s="1322">
        <v>46645</v>
      </c>
      <c r="F12" s="1323">
        <v>700000000</v>
      </c>
      <c r="G12" s="1323">
        <v>700000000</v>
      </c>
    </row>
    <row r="13" spans="2:9">
      <c r="B13" s="2121"/>
      <c r="C13" s="1553" t="s">
        <v>574</v>
      </c>
      <c r="D13" s="1601">
        <v>3.4799999999999998E-2</v>
      </c>
      <c r="E13" s="1602">
        <v>46620</v>
      </c>
      <c r="F13" s="1554">
        <v>2900000000</v>
      </c>
      <c r="G13" s="1554">
        <v>2900000000</v>
      </c>
    </row>
    <row r="14" spans="2:9">
      <c r="B14" s="2122"/>
      <c r="C14" s="1321" t="s">
        <v>574</v>
      </c>
      <c r="D14" s="1600">
        <v>3.3059999999999999E-2</v>
      </c>
      <c r="E14" s="1322">
        <v>46977</v>
      </c>
      <c r="F14" s="1323">
        <v>500000000</v>
      </c>
      <c r="G14" s="1323">
        <v>500000000</v>
      </c>
    </row>
    <row r="15" spans="2:9" ht="13.5" customHeight="1">
      <c r="B15" s="2123" t="s">
        <v>144</v>
      </c>
      <c r="C15" s="2124"/>
      <c r="D15" s="2124"/>
      <c r="E15" s="2125"/>
      <c r="F15" s="1326">
        <f>SUM(F12:F14)</f>
        <v>4100000000</v>
      </c>
      <c r="G15" s="1326">
        <f>SUM(G12:G14)</f>
        <v>4100000000</v>
      </c>
      <c r="H15" s="101" t="b">
        <f>F15=연결BS!D90</f>
        <v>1</v>
      </c>
      <c r="I15" s="101" t="b">
        <f>G15=연결BS!E90</f>
        <v>1</v>
      </c>
    </row>
    <row r="16" spans="2:9">
      <c r="E16" s="101"/>
      <c r="F16" s="101"/>
      <c r="G16" s="101"/>
    </row>
    <row r="17" spans="2:7">
      <c r="B17" s="1327" t="s">
        <v>1437</v>
      </c>
      <c r="C17" s="1327" t="s">
        <v>2205</v>
      </c>
      <c r="E17" s="101"/>
      <c r="F17" s="101"/>
      <c r="G17" s="101"/>
    </row>
    <row r="18" spans="2:7">
      <c r="B18" s="1328" t="s">
        <v>2206</v>
      </c>
      <c r="C18" s="1329">
        <f>BS!H97+BS!H101+BS!H108</f>
        <v>5220000000</v>
      </c>
      <c r="D18" s="1330" t="s">
        <v>2208</v>
      </c>
      <c r="E18" s="101"/>
      <c r="F18" s="101"/>
      <c r="G18" s="101"/>
    </row>
    <row r="19" spans="2:7">
      <c r="B19" s="1328" t="s">
        <v>1397</v>
      </c>
      <c r="C19" s="1329">
        <f>BS!I97+BS!I101+BS!I108</f>
        <v>0</v>
      </c>
      <c r="E19" s="101"/>
      <c r="F19" s="101"/>
      <c r="G19" s="101"/>
    </row>
    <row r="20" spans="2:7">
      <c r="B20" s="1328" t="s">
        <v>829</v>
      </c>
      <c r="C20" s="1329">
        <f>BS!J97+BS!J101+BS!J108</f>
        <v>0</v>
      </c>
      <c r="E20" s="101"/>
      <c r="F20" s="101"/>
      <c r="G20" s="101"/>
    </row>
    <row r="21" spans="2:7">
      <c r="B21" s="1328" t="s">
        <v>1779</v>
      </c>
      <c r="C21" s="1329">
        <f>BS!K97+BS!K101+BS!K108</f>
        <v>0</v>
      </c>
      <c r="E21" s="101"/>
      <c r="F21" s="101"/>
      <c r="G21" s="101"/>
    </row>
    <row r="22" spans="2:7">
      <c r="B22" s="1328" t="s">
        <v>1428</v>
      </c>
      <c r="C22" s="1329">
        <f>BS!L97+BS!L101+BS!L108</f>
        <v>0</v>
      </c>
      <c r="E22" s="101"/>
      <c r="F22" s="101"/>
      <c r="G22" s="101"/>
    </row>
    <row r="23" spans="2:7">
      <c r="B23" s="1328" t="s">
        <v>2207</v>
      </c>
      <c r="C23" s="1329">
        <f>BS!M97+BS!M101+BS!M108</f>
        <v>0</v>
      </c>
      <c r="E23" s="101"/>
      <c r="F23" s="101"/>
      <c r="G23" s="101"/>
    </row>
    <row r="24" spans="2:7">
      <c r="B24" s="1328" t="s">
        <v>3412</v>
      </c>
      <c r="C24" s="1329">
        <f>BS!N97+BS!N101+BS!N108</f>
        <v>0</v>
      </c>
      <c r="E24" s="101"/>
      <c r="F24" s="101"/>
      <c r="G24" s="101"/>
    </row>
    <row r="25" spans="2:7">
      <c r="C25" s="1127">
        <f>SUM(C18:C24)</f>
        <v>5220000000</v>
      </c>
      <c r="D25" s="101" t="b">
        <f>C25=SUM(F15,F11,F9)</f>
        <v>1</v>
      </c>
      <c r="E25" s="101"/>
      <c r="F25" s="101"/>
      <c r="G25" s="101"/>
    </row>
    <row r="26" spans="2:7">
      <c r="C26" s="1127"/>
      <c r="E26" s="101"/>
      <c r="F26" s="101"/>
      <c r="G26" s="101"/>
    </row>
    <row r="27" spans="2:7">
      <c r="B27" s="101" t="s">
        <v>1918</v>
      </c>
      <c r="E27" s="101"/>
      <c r="F27" s="101"/>
      <c r="G27" s="101"/>
    </row>
    <row r="28" spans="2:7">
      <c r="B28" s="1317" t="s">
        <v>368</v>
      </c>
      <c r="E28" s="101"/>
      <c r="F28" s="101"/>
      <c r="G28" s="101"/>
    </row>
    <row r="29" spans="2:7">
      <c r="B29" s="1331" t="s">
        <v>332</v>
      </c>
      <c r="C29" s="1332" t="s">
        <v>328</v>
      </c>
      <c r="E29" s="101"/>
      <c r="F29" s="101"/>
      <c r="G29" s="101"/>
    </row>
    <row r="30" spans="2:7">
      <c r="B30" s="1281" t="s">
        <v>1919</v>
      </c>
      <c r="C30" s="90">
        <v>0</v>
      </c>
      <c r="E30" s="101"/>
      <c r="F30" s="101"/>
      <c r="G30" s="101"/>
    </row>
    <row r="31" spans="2:7">
      <c r="B31" s="1281" t="s">
        <v>1920</v>
      </c>
      <c r="C31" s="90">
        <v>3600000000</v>
      </c>
      <c r="E31" s="101"/>
      <c r="F31" s="101"/>
      <c r="G31" s="101"/>
    </row>
    <row r="32" spans="2:7">
      <c r="B32" s="1281" t="s">
        <v>1921</v>
      </c>
      <c r="C32" s="90">
        <v>500000000</v>
      </c>
      <c r="E32" s="101"/>
      <c r="F32" s="101"/>
      <c r="G32" s="101"/>
    </row>
    <row r="33" spans="2:7">
      <c r="B33" s="91" t="s">
        <v>144</v>
      </c>
      <c r="C33" s="92">
        <f>SUM(C30:C32)</f>
        <v>4100000000</v>
      </c>
      <c r="D33" s="101" t="b">
        <f>C33=F15+F11</f>
        <v>1</v>
      </c>
      <c r="E33" s="101"/>
      <c r="F33" s="101"/>
      <c r="G33" s="101"/>
    </row>
  </sheetData>
  <mergeCells count="5">
    <mergeCell ref="B12:B14"/>
    <mergeCell ref="B15:E15"/>
    <mergeCell ref="B7:B8"/>
    <mergeCell ref="B9:E9"/>
    <mergeCell ref="B11:E11"/>
  </mergeCells>
  <phoneticPr fontId="3" type="noConversion"/>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containsText" priority="1" operator="containsText" id="{BE3C39DA-BA52-4BC0-BE5E-F6FAD8834620}">
            <xm:f>NOT(ISERROR(SEARCH("false",A1)))</xm:f>
            <xm:f>"false"</xm:f>
            <x14:dxf>
              <fill>
                <patternFill>
                  <bgColor rgb="FFC00000"/>
                </patternFill>
              </fill>
            </x14:dxf>
          </x14:cfRule>
          <x14:cfRule type="containsText" priority="2" operator="containsText" id="{7595590F-089E-46FA-9C57-BD840833C043}">
            <xm:f>NOT(ISERROR(SEARCH("TRUE",A1)))</xm:f>
            <xm:f>"TRUE"</xm:f>
            <x14:dxf>
              <fill>
                <patternFill>
                  <bgColor theme="9" tint="0.79998168889431442"/>
                </patternFill>
              </fill>
            </x14:dxf>
          </x14:cfRule>
          <xm:sqref>A1:XFD1048576</xm:sqref>
        </x14:conditionalFormatting>
      </x14:conditionalFormattings>
    </ext>
  </extLst>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codeName="Sheet62"/>
  <dimension ref="B2:P240"/>
  <sheetViews>
    <sheetView showGridLines="0" topLeftCell="A193" zoomScale="85" zoomScaleNormal="85" workbookViewId="0">
      <selection activeCell="C207" sqref="C207"/>
    </sheetView>
  </sheetViews>
  <sheetFormatPr defaultColWidth="9" defaultRowHeight="16.5" outlineLevelRow="1"/>
  <cols>
    <col min="1" max="1" width="9" style="418"/>
    <col min="2" max="11" width="21.5" style="418" customWidth="1"/>
    <col min="12" max="12" width="3.875" style="418" customWidth="1"/>
    <col min="13" max="14" width="21.5" style="418" customWidth="1"/>
    <col min="15" max="16" width="12.875" style="418" customWidth="1"/>
    <col min="17" max="23" width="21.5" style="418" customWidth="1"/>
    <col min="24" max="16384" width="9" style="418"/>
  </cols>
  <sheetData>
    <row r="2" spans="2:6">
      <c r="B2" s="849" t="s">
        <v>1922</v>
      </c>
    </row>
    <row r="3" spans="2:6">
      <c r="B3" s="851"/>
    </row>
    <row r="4" spans="2:6">
      <c r="B4" s="418" t="s">
        <v>1923</v>
      </c>
    </row>
    <row r="5" spans="2:6">
      <c r="B5" s="876"/>
      <c r="E5" s="863" t="s">
        <v>1905</v>
      </c>
    </row>
    <row r="6" spans="2:6">
      <c r="B6" s="783" t="s">
        <v>360</v>
      </c>
      <c r="C6" s="870" t="s">
        <v>33</v>
      </c>
      <c r="D6" s="870" t="s">
        <v>29</v>
      </c>
      <c r="E6" s="871" t="s">
        <v>144</v>
      </c>
    </row>
    <row r="7" spans="2:6" ht="13.5" customHeight="1">
      <c r="B7" s="2129" t="s">
        <v>1924</v>
      </c>
      <c r="C7" s="2130"/>
      <c r="D7" s="2130"/>
      <c r="E7" s="2131"/>
    </row>
    <row r="8" spans="2:6">
      <c r="B8" s="774" t="s">
        <v>1925</v>
      </c>
      <c r="C8" s="852">
        <f t="shared" ref="C8:D8" si="0">SUM(C27,C46,C65,C84,C103,C122,C141,C160)</f>
        <v>260490954</v>
      </c>
      <c r="D8" s="852">
        <f t="shared" si="0"/>
        <v>1836902703</v>
      </c>
      <c r="E8" s="879">
        <f>C8+D8</f>
        <v>2097393657</v>
      </c>
      <c r="F8" s="886">
        <f>E8-연결BS!E60</f>
        <v>0</v>
      </c>
    </row>
    <row r="9" spans="2:6">
      <c r="B9" s="774" t="s">
        <v>1926</v>
      </c>
      <c r="C9" s="852">
        <f t="shared" ref="C9:D9" si="1">SUM(C28,C47,C66,C85,C104,C123,C142,C161)</f>
        <v>-61687807</v>
      </c>
      <c r="D9" s="852">
        <f t="shared" si="1"/>
        <v>-312608906</v>
      </c>
      <c r="E9" s="879">
        <f>C9+D9</f>
        <v>-374296713</v>
      </c>
    </row>
    <row r="10" spans="2:6">
      <c r="B10" s="774" t="s">
        <v>3863</v>
      </c>
      <c r="C10" s="852">
        <f>SUM(C29,C48,C67,C86,C105,C124,C143,C162)</f>
        <v>42206348</v>
      </c>
      <c r="D10" s="852">
        <f t="shared" ref="D10:D11" si="2">SUM(D29,D48,D67,D86,D105,D124,D143,D162)</f>
        <v>3075052951</v>
      </c>
      <c r="E10" s="879">
        <f>C10+D10</f>
        <v>3117259299</v>
      </c>
    </row>
    <row r="11" spans="2:6">
      <c r="B11" s="774" t="s">
        <v>2743</v>
      </c>
      <c r="C11" s="852">
        <f t="shared" ref="C11" si="3">SUM(C30,C49,C68,C87,C106,C125,C144,C163)</f>
        <v>0</v>
      </c>
      <c r="D11" s="852">
        <f t="shared" si="2"/>
        <v>8902850</v>
      </c>
      <c r="E11" s="879">
        <f>C11+D11</f>
        <v>8902850</v>
      </c>
    </row>
    <row r="12" spans="2:6">
      <c r="B12" s="774" t="s">
        <v>1927</v>
      </c>
      <c r="C12" s="852">
        <f>SUM(C8:C11)</f>
        <v>241009495</v>
      </c>
      <c r="D12" s="852">
        <f t="shared" ref="D12:E12" si="4">SUM(D8:D11)</f>
        <v>4608249598</v>
      </c>
      <c r="E12" s="852">
        <f t="shared" si="4"/>
        <v>4849259093</v>
      </c>
      <c r="F12" s="886">
        <f>E12-BS!X64</f>
        <v>0</v>
      </c>
    </row>
    <row r="13" spans="2:6">
      <c r="B13" s="774" t="s">
        <v>1928</v>
      </c>
      <c r="C13" s="786"/>
      <c r="D13" s="786"/>
      <c r="E13" s="787"/>
    </row>
    <row r="14" spans="2:6">
      <c r="B14" s="774" t="s">
        <v>1925</v>
      </c>
      <c r="C14" s="852">
        <f>SUM(C33,C52,C71,C90,C109,C128,C147,C166)</f>
        <v>86822323</v>
      </c>
      <c r="D14" s="852">
        <f>SUM(D33,D52,D71,D90,D109,D128,D147,D166)</f>
        <v>371706451</v>
      </c>
      <c r="E14" s="852">
        <f>SUM(C14:D14)</f>
        <v>458528774</v>
      </c>
      <c r="F14" s="886">
        <f>E14+연결BS!E61</f>
        <v>0</v>
      </c>
    </row>
    <row r="15" spans="2:6">
      <c r="B15" s="774" t="s">
        <v>1929</v>
      </c>
      <c r="C15" s="852">
        <f t="shared" ref="C15:D15" si="5">SUM(C34,C53,C72,C91,C110,C129,C148,C167)</f>
        <v>-43469341</v>
      </c>
      <c r="D15" s="852">
        <f t="shared" si="5"/>
        <v>-321621824</v>
      </c>
      <c r="E15" s="852">
        <f t="shared" ref="E15:E17" si="6">SUM(C15:D15)</f>
        <v>-365091165</v>
      </c>
    </row>
    <row r="16" spans="2:6">
      <c r="B16" s="774" t="s">
        <v>1930</v>
      </c>
      <c r="C16" s="852">
        <f t="shared" ref="C16:D16" si="7">SUM(C35,C54,C73,C92,C111,C130,C149,C168)</f>
        <v>26096408</v>
      </c>
      <c r="D16" s="852">
        <f t="shared" si="7"/>
        <v>242149131</v>
      </c>
      <c r="E16" s="852">
        <f t="shared" si="6"/>
        <v>268245539</v>
      </c>
    </row>
    <row r="17" spans="2:6">
      <c r="B17" s="774" t="s">
        <v>3862</v>
      </c>
      <c r="C17" s="852">
        <f t="shared" ref="C17:D17" si="8">SUM(C36,C55,C74,C93,C112,C131,C150,C169)</f>
        <v>17585980</v>
      </c>
      <c r="D17" s="852">
        <f t="shared" si="8"/>
        <v>2142503459</v>
      </c>
      <c r="E17" s="852">
        <f t="shared" si="6"/>
        <v>2160089439</v>
      </c>
    </row>
    <row r="18" spans="2:6">
      <c r="B18" s="774" t="s">
        <v>2744</v>
      </c>
      <c r="C18" s="852">
        <f t="shared" ref="C18:D18" si="9">SUM(C37,C56,C75,C94,C113,C132,C151,C170)</f>
        <v>0</v>
      </c>
      <c r="D18" s="852">
        <f t="shared" si="9"/>
        <v>8902850</v>
      </c>
      <c r="E18" s="852">
        <f t="shared" ref="E18" si="10">SUM(C18:D18)</f>
        <v>8902850</v>
      </c>
    </row>
    <row r="19" spans="2:6">
      <c r="B19" s="774" t="s">
        <v>1927</v>
      </c>
      <c r="C19" s="852">
        <f>SUM(C14:C18)</f>
        <v>87035370</v>
      </c>
      <c r="D19" s="852">
        <f t="shared" ref="D19:E19" si="11">SUM(D14:D18)</f>
        <v>2443640067</v>
      </c>
      <c r="E19" s="852">
        <f t="shared" si="11"/>
        <v>2530675437</v>
      </c>
      <c r="F19" s="886">
        <f>-E19-BS!X65</f>
        <v>0</v>
      </c>
    </row>
    <row r="20" spans="2:6" ht="13.5" customHeight="1">
      <c r="B20" s="2129" t="s">
        <v>1931</v>
      </c>
      <c r="C20" s="2130"/>
      <c r="D20" s="2130"/>
      <c r="E20" s="2131"/>
    </row>
    <row r="21" spans="2:6">
      <c r="B21" s="774" t="s">
        <v>1925</v>
      </c>
      <c r="C21" s="852">
        <f>C8-C14</f>
        <v>173668631</v>
      </c>
      <c r="D21" s="852">
        <f t="shared" ref="D21:E21" si="12">D8-D14</f>
        <v>1465196252</v>
      </c>
      <c r="E21" s="852">
        <f t="shared" si="12"/>
        <v>1638864883</v>
      </c>
    </row>
    <row r="22" spans="2:6">
      <c r="B22" s="778" t="s">
        <v>1927</v>
      </c>
      <c r="C22" s="853">
        <f>C12-C19</f>
        <v>153974125</v>
      </c>
      <c r="D22" s="853">
        <f t="shared" ref="D22:E22" si="13">D12-D19</f>
        <v>2164609531</v>
      </c>
      <c r="E22" s="853">
        <f t="shared" si="13"/>
        <v>2318583656</v>
      </c>
      <c r="F22" s="886">
        <f>E22-(BS!X64+BS!X65)</f>
        <v>0</v>
      </c>
    </row>
    <row r="24" spans="2:6" hidden="1" outlineLevel="1">
      <c r="B24" s="898" t="s">
        <v>338</v>
      </c>
    </row>
    <row r="25" spans="2:6" hidden="1" outlineLevel="1">
      <c r="B25" s="783" t="s">
        <v>360</v>
      </c>
      <c r="C25" s="870" t="s">
        <v>33</v>
      </c>
      <c r="D25" s="870" t="s">
        <v>29</v>
      </c>
      <c r="E25" s="871" t="s">
        <v>144</v>
      </c>
    </row>
    <row r="26" spans="2:6" hidden="1" outlineLevel="1">
      <c r="B26" s="2129" t="s">
        <v>1924</v>
      </c>
      <c r="C26" s="2130"/>
      <c r="D26" s="2130"/>
      <c r="E26" s="2131"/>
    </row>
    <row r="27" spans="2:6" hidden="1" outlineLevel="1">
      <c r="B27" s="774" t="s">
        <v>1925</v>
      </c>
      <c r="C27" s="852"/>
      <c r="D27" s="852">
        <v>0</v>
      </c>
      <c r="E27" s="879"/>
    </row>
    <row r="28" spans="2:6" hidden="1" outlineLevel="1">
      <c r="B28" s="774" t="s">
        <v>1926</v>
      </c>
      <c r="C28" s="852"/>
      <c r="D28" s="852"/>
      <c r="E28" s="879"/>
    </row>
    <row r="29" spans="2:6" hidden="1" outlineLevel="1">
      <c r="B29" s="774" t="s">
        <v>3862</v>
      </c>
      <c r="C29" s="852"/>
      <c r="D29" s="852"/>
      <c r="E29" s="879"/>
    </row>
    <row r="30" spans="2:6" hidden="1" outlineLevel="1">
      <c r="B30" s="774" t="s">
        <v>2743</v>
      </c>
      <c r="C30" s="852"/>
      <c r="D30" s="852">
        <f>-D27</f>
        <v>0</v>
      </c>
      <c r="E30" s="879"/>
    </row>
    <row r="31" spans="2:6" hidden="1" outlineLevel="1">
      <c r="B31" s="774" t="s">
        <v>1927</v>
      </c>
      <c r="C31" s="852"/>
      <c r="D31" s="852"/>
      <c r="E31" s="879"/>
    </row>
    <row r="32" spans="2:6" hidden="1" outlineLevel="1">
      <c r="B32" s="774" t="s">
        <v>1928</v>
      </c>
      <c r="C32" s="786"/>
      <c r="D32" s="786"/>
      <c r="E32" s="787"/>
    </row>
    <row r="33" spans="2:5" hidden="1" outlineLevel="1">
      <c r="B33" s="774" t="s">
        <v>1925</v>
      </c>
      <c r="C33" s="852"/>
      <c r="D33" s="852">
        <v>0</v>
      </c>
      <c r="E33" s="879"/>
    </row>
    <row r="34" spans="2:5" hidden="1" outlineLevel="1">
      <c r="B34" s="774" t="s">
        <v>1929</v>
      </c>
      <c r="C34" s="852"/>
      <c r="D34" s="852"/>
      <c r="E34" s="879"/>
    </row>
    <row r="35" spans="2:5" hidden="1" outlineLevel="1">
      <c r="B35" s="774" t="s">
        <v>1930</v>
      </c>
      <c r="C35" s="852"/>
      <c r="D35" s="852"/>
      <c r="E35" s="879"/>
    </row>
    <row r="36" spans="2:5" hidden="1" outlineLevel="1">
      <c r="B36" s="774" t="s">
        <v>3862</v>
      </c>
      <c r="C36" s="852"/>
      <c r="D36" s="852"/>
      <c r="E36" s="879"/>
    </row>
    <row r="37" spans="2:5" hidden="1" outlineLevel="1">
      <c r="B37" s="774" t="s">
        <v>2743</v>
      </c>
      <c r="C37" s="852"/>
      <c r="D37" s="852">
        <f>-D33</f>
        <v>0</v>
      </c>
      <c r="E37" s="879"/>
    </row>
    <row r="38" spans="2:5" hidden="1" outlineLevel="1">
      <c r="B38" s="774" t="s">
        <v>1927</v>
      </c>
      <c r="C38" s="852"/>
      <c r="D38" s="852"/>
      <c r="E38" s="879"/>
    </row>
    <row r="39" spans="2:5" hidden="1" outlineLevel="1">
      <c r="B39" s="2129" t="s">
        <v>1931</v>
      </c>
      <c r="C39" s="2130"/>
      <c r="D39" s="2130"/>
      <c r="E39" s="2131"/>
    </row>
    <row r="40" spans="2:5" hidden="1" outlineLevel="1">
      <c r="B40" s="774" t="s">
        <v>1925</v>
      </c>
      <c r="C40" s="852"/>
      <c r="D40" s="852"/>
      <c r="E40" s="879"/>
    </row>
    <row r="41" spans="2:5" hidden="1" outlineLevel="1">
      <c r="B41" s="778" t="s">
        <v>1927</v>
      </c>
      <c r="C41" s="853"/>
      <c r="D41" s="853"/>
      <c r="E41" s="880"/>
    </row>
    <row r="42" spans="2:5" hidden="1" outlineLevel="1"/>
    <row r="43" spans="2:5" hidden="1" outlineLevel="1">
      <c r="B43" s="898" t="s">
        <v>403</v>
      </c>
    </row>
    <row r="44" spans="2:5" hidden="1" outlineLevel="1">
      <c r="B44" s="783" t="s">
        <v>360</v>
      </c>
      <c r="C44" s="870" t="s">
        <v>33</v>
      </c>
      <c r="D44" s="870" t="s">
        <v>29</v>
      </c>
      <c r="E44" s="871" t="s">
        <v>144</v>
      </c>
    </row>
    <row r="45" spans="2:5" hidden="1" outlineLevel="1">
      <c r="B45" s="2129" t="s">
        <v>1924</v>
      </c>
      <c r="C45" s="2130"/>
      <c r="D45" s="2130"/>
      <c r="E45" s="2131"/>
    </row>
    <row r="46" spans="2:5" hidden="1" outlineLevel="1">
      <c r="B46" s="774" t="s">
        <v>1925</v>
      </c>
      <c r="C46" s="852">
        <v>260490954</v>
      </c>
      <c r="D46" s="852">
        <v>1524183729</v>
      </c>
      <c r="E46" s="879">
        <f>SUM(C46:D46)</f>
        <v>1784674683</v>
      </c>
    </row>
    <row r="47" spans="2:5" hidden="1" outlineLevel="1">
      <c r="B47" s="774" t="s">
        <v>1926</v>
      </c>
      <c r="C47" s="852">
        <v>-61687807</v>
      </c>
      <c r="D47" s="852">
        <v>9012918</v>
      </c>
      <c r="E47" s="879">
        <f t="shared" ref="E47:E49" si="14">SUM(C47:D47)</f>
        <v>-52674889</v>
      </c>
    </row>
    <row r="48" spans="2:5" hidden="1" outlineLevel="1">
      <c r="B48" s="774" t="s">
        <v>3862</v>
      </c>
      <c r="C48" s="852">
        <v>0</v>
      </c>
      <c r="D48" s="852">
        <v>0</v>
      </c>
      <c r="E48" s="879"/>
    </row>
    <row r="49" spans="2:6" hidden="1" outlineLevel="1">
      <c r="B49" s="774" t="s">
        <v>2743</v>
      </c>
      <c r="C49" s="852">
        <v>0</v>
      </c>
      <c r="D49" s="852">
        <v>0</v>
      </c>
      <c r="E49" s="879">
        <f t="shared" si="14"/>
        <v>0</v>
      </c>
    </row>
    <row r="50" spans="2:6" hidden="1" outlineLevel="1">
      <c r="B50" s="774" t="s">
        <v>1927</v>
      </c>
      <c r="C50" s="879">
        <v>198803147</v>
      </c>
      <c r="D50" s="879">
        <v>1533196647</v>
      </c>
      <c r="E50" s="879">
        <f>SUM(E46:E49)</f>
        <v>1731999794</v>
      </c>
    </row>
    <row r="51" spans="2:6" hidden="1" outlineLevel="1">
      <c r="B51" s="774" t="s">
        <v>1928</v>
      </c>
      <c r="C51" s="786"/>
      <c r="D51" s="786"/>
      <c r="E51" s="787"/>
    </row>
    <row r="52" spans="2:6" hidden="1" outlineLevel="1">
      <c r="B52" s="774" t="s">
        <v>1925</v>
      </c>
      <c r="C52" s="852">
        <v>86822323</v>
      </c>
      <c r="D52" s="852">
        <v>58987477</v>
      </c>
      <c r="E52" s="879">
        <f>SUM(C52:D52)</f>
        <v>145809800</v>
      </c>
    </row>
    <row r="53" spans="2:6" hidden="1" outlineLevel="1">
      <c r="B53" s="774" t="s">
        <v>1929</v>
      </c>
      <c r="C53" s="852">
        <v>-43469341</v>
      </c>
      <c r="D53" s="852">
        <v>0</v>
      </c>
      <c r="E53" s="879">
        <f>SUM(C53:D53)</f>
        <v>-43469341</v>
      </c>
      <c r="F53" s="886"/>
    </row>
    <row r="54" spans="2:6" hidden="1" outlineLevel="1">
      <c r="B54" s="774" t="s">
        <v>1930</v>
      </c>
      <c r="C54" s="852">
        <v>26096408</v>
      </c>
      <c r="D54" s="852">
        <v>242149131</v>
      </c>
      <c r="E54" s="879">
        <f>SUM(C54:D54)</f>
        <v>268245539</v>
      </c>
    </row>
    <row r="55" spans="2:6" hidden="1" outlineLevel="1">
      <c r="B55" s="774" t="s">
        <v>3862</v>
      </c>
      <c r="C55" s="852"/>
      <c r="D55" s="852"/>
      <c r="E55" s="879"/>
    </row>
    <row r="56" spans="2:6" hidden="1" outlineLevel="1">
      <c r="B56" s="774" t="s">
        <v>2743</v>
      </c>
      <c r="C56" s="852">
        <v>0</v>
      </c>
      <c r="D56" s="852">
        <v>0</v>
      </c>
      <c r="E56" s="879">
        <f>SUM(C56:D56)</f>
        <v>0</v>
      </c>
    </row>
    <row r="57" spans="2:6" hidden="1" outlineLevel="1">
      <c r="B57" s="774" t="s">
        <v>1927</v>
      </c>
      <c r="C57" s="879">
        <f>SUM(C52:C56)</f>
        <v>69449390</v>
      </c>
      <c r="D57" s="879">
        <f>SUM(D52:D56)</f>
        <v>301136608</v>
      </c>
      <c r="E57" s="879">
        <f>SUM(E52:E56)</f>
        <v>370585998</v>
      </c>
    </row>
    <row r="58" spans="2:6" hidden="1" outlineLevel="1">
      <c r="B58" s="2129" t="s">
        <v>1931</v>
      </c>
      <c r="C58" s="2130"/>
      <c r="D58" s="2130"/>
      <c r="E58" s="2131"/>
    </row>
    <row r="59" spans="2:6" hidden="1" outlineLevel="1">
      <c r="B59" s="774" t="s">
        <v>1925</v>
      </c>
      <c r="C59" s="852">
        <f>C46-C52</f>
        <v>173668631</v>
      </c>
      <c r="D59" s="852">
        <f>D46-D52</f>
        <v>1465196252</v>
      </c>
      <c r="E59" s="852">
        <f>E46-E52</f>
        <v>1638864883</v>
      </c>
    </row>
    <row r="60" spans="2:6" hidden="1" outlineLevel="1">
      <c r="B60" s="778" t="s">
        <v>1927</v>
      </c>
      <c r="C60" s="853">
        <f>C50-C57</f>
        <v>129353757</v>
      </c>
      <c r="D60" s="853">
        <f>D50-D57</f>
        <v>1232060039</v>
      </c>
      <c r="E60" s="853">
        <f>E50-E57</f>
        <v>1361413796</v>
      </c>
    </row>
    <row r="61" spans="2:6" hidden="1" outlineLevel="1"/>
    <row r="62" spans="2:6" hidden="1" outlineLevel="1">
      <c r="B62" s="898" t="s">
        <v>1397</v>
      </c>
      <c r="C62" s="418" t="s">
        <v>2237</v>
      </c>
    </row>
    <row r="63" spans="2:6" hidden="1" outlineLevel="1">
      <c r="B63" s="783" t="s">
        <v>360</v>
      </c>
      <c r="C63" s="870" t="s">
        <v>33</v>
      </c>
      <c r="D63" s="870" t="s">
        <v>29</v>
      </c>
      <c r="E63" s="871" t="s">
        <v>144</v>
      </c>
    </row>
    <row r="64" spans="2:6" hidden="1" outlineLevel="1">
      <c r="B64" s="2129" t="s">
        <v>1924</v>
      </c>
      <c r="C64" s="2130"/>
      <c r="D64" s="2130"/>
      <c r="E64" s="2131"/>
    </row>
    <row r="65" spans="2:11" hidden="1" outlineLevel="1">
      <c r="B65" s="774" t="s">
        <v>1925</v>
      </c>
      <c r="C65" s="852"/>
      <c r="D65" s="852">
        <v>0</v>
      </c>
      <c r="E65" s="879"/>
    </row>
    <row r="66" spans="2:11" hidden="1" outlineLevel="1">
      <c r="B66" s="774" t="s">
        <v>1926</v>
      </c>
      <c r="C66" s="852"/>
      <c r="D66" s="852">
        <v>0</v>
      </c>
      <c r="E66" s="879"/>
    </row>
    <row r="67" spans="2:11" hidden="1" outlineLevel="1">
      <c r="B67" s="774" t="s">
        <v>3862</v>
      </c>
      <c r="C67" s="852"/>
      <c r="D67" s="852"/>
      <c r="E67" s="879"/>
    </row>
    <row r="68" spans="2:11" hidden="1" outlineLevel="1">
      <c r="B68" s="774" t="s">
        <v>2743</v>
      </c>
      <c r="C68" s="852"/>
      <c r="D68" s="852">
        <v>0</v>
      </c>
      <c r="E68" s="879"/>
    </row>
    <row r="69" spans="2:11" hidden="1" outlineLevel="1">
      <c r="B69" s="774" t="s">
        <v>1927</v>
      </c>
      <c r="C69" s="852"/>
      <c r="D69" s="852">
        <v>0</v>
      </c>
      <c r="E69" s="879"/>
    </row>
    <row r="70" spans="2:11" hidden="1" outlineLevel="1">
      <c r="B70" s="774" t="s">
        <v>1928</v>
      </c>
      <c r="C70" s="786"/>
      <c r="D70" s="786"/>
      <c r="E70" s="787"/>
    </row>
    <row r="71" spans="2:11" hidden="1" outlineLevel="1">
      <c r="B71" s="774" t="s">
        <v>1925</v>
      </c>
      <c r="C71" s="852"/>
      <c r="D71" s="852"/>
      <c r="E71" s="879"/>
    </row>
    <row r="72" spans="2:11" hidden="1" outlineLevel="1">
      <c r="B72" s="774" t="s">
        <v>1929</v>
      </c>
      <c r="C72" s="852"/>
      <c r="D72" s="852"/>
      <c r="E72" s="879"/>
      <c r="K72" s="886"/>
    </row>
    <row r="73" spans="2:11" hidden="1" outlineLevel="1">
      <c r="B73" s="774" t="s">
        <v>1930</v>
      </c>
      <c r="C73" s="852"/>
      <c r="D73" s="852"/>
      <c r="E73" s="879"/>
    </row>
    <row r="74" spans="2:11" hidden="1" outlineLevel="1">
      <c r="B74" s="774" t="s">
        <v>3862</v>
      </c>
      <c r="C74" s="852"/>
      <c r="D74" s="852"/>
      <c r="E74" s="879"/>
    </row>
    <row r="75" spans="2:11" hidden="1" outlineLevel="1">
      <c r="B75" s="774" t="s">
        <v>2743</v>
      </c>
      <c r="C75" s="852"/>
      <c r="D75" s="852"/>
      <c r="E75" s="879"/>
    </row>
    <row r="76" spans="2:11" hidden="1" outlineLevel="1">
      <c r="B76" s="774" t="s">
        <v>1927</v>
      </c>
      <c r="C76" s="852"/>
      <c r="D76" s="852"/>
      <c r="E76" s="879"/>
    </row>
    <row r="77" spans="2:11" hidden="1" outlineLevel="1">
      <c r="B77" s="2129" t="s">
        <v>1931</v>
      </c>
      <c r="C77" s="2130"/>
      <c r="D77" s="2130"/>
      <c r="E77" s="2131"/>
    </row>
    <row r="78" spans="2:11" hidden="1" outlineLevel="1">
      <c r="B78" s="774" t="s">
        <v>1925</v>
      </c>
      <c r="C78" s="852"/>
      <c r="D78" s="852"/>
      <c r="E78" s="879"/>
    </row>
    <row r="79" spans="2:11" hidden="1" outlineLevel="1">
      <c r="B79" s="778" t="s">
        <v>1927</v>
      </c>
      <c r="C79" s="853"/>
      <c r="D79" s="853"/>
      <c r="E79" s="880"/>
      <c r="K79" s="886"/>
    </row>
    <row r="80" spans="2:11" hidden="1" outlineLevel="1"/>
    <row r="81" spans="2:14" hidden="1" outlineLevel="1">
      <c r="B81" s="898" t="s">
        <v>2739</v>
      </c>
      <c r="G81" s="898" t="s">
        <v>2740</v>
      </c>
    </row>
    <row r="82" spans="2:14" hidden="1" outlineLevel="1">
      <c r="B82" s="783" t="s">
        <v>360</v>
      </c>
      <c r="C82" s="870" t="s">
        <v>33</v>
      </c>
      <c r="D82" s="870" t="s">
        <v>29</v>
      </c>
      <c r="E82" s="871" t="s">
        <v>144</v>
      </c>
      <c r="G82" s="783" t="s">
        <v>360</v>
      </c>
      <c r="H82" s="870" t="s">
        <v>33</v>
      </c>
      <c r="I82" s="870" t="s">
        <v>29</v>
      </c>
      <c r="J82" s="871" t="s">
        <v>144</v>
      </c>
    </row>
    <row r="83" spans="2:14" ht="17.25" hidden="1" outlineLevel="1" thickBot="1">
      <c r="B83" s="2129" t="s">
        <v>1924</v>
      </c>
      <c r="C83" s="2130"/>
      <c r="D83" s="2130"/>
      <c r="E83" s="2131"/>
      <c r="G83" s="2129" t="s">
        <v>1924</v>
      </c>
      <c r="H83" s="2130"/>
      <c r="I83" s="2130"/>
      <c r="J83" s="2131"/>
    </row>
    <row r="84" spans="2:14" hidden="1" outlineLevel="1">
      <c r="B84" s="774" t="s">
        <v>1925</v>
      </c>
      <c r="C84" s="852"/>
      <c r="D84" s="852">
        <f>ROUND(I84*$N$84,)</f>
        <v>312718974</v>
      </c>
      <c r="E84" s="879"/>
      <c r="G84" s="774" t="s">
        <v>1925</v>
      </c>
      <c r="H84" s="1460"/>
      <c r="I84" s="1460">
        <v>1695781</v>
      </c>
      <c r="J84" s="879"/>
      <c r="M84" s="746" t="s">
        <v>2565</v>
      </c>
      <c r="N84" s="1456">
        <f>환율변동효과!B7</f>
        <v>184.41</v>
      </c>
    </row>
    <row r="85" spans="2:14" hidden="1" outlineLevel="1">
      <c r="B85" s="774" t="s">
        <v>1926</v>
      </c>
      <c r="C85" s="852"/>
      <c r="D85" s="852">
        <f>ROUND(I85*$N$87,)</f>
        <v>-321621824</v>
      </c>
      <c r="E85" s="879"/>
      <c r="G85" s="774" t="s">
        <v>1926</v>
      </c>
      <c r="H85" s="1460"/>
      <c r="I85" s="1460">
        <v>-1695781</v>
      </c>
      <c r="J85" s="879"/>
      <c r="M85" s="747" t="s">
        <v>2567</v>
      </c>
      <c r="N85" s="1457">
        <f>환율변동효과!B3</f>
        <v>196.6</v>
      </c>
    </row>
    <row r="86" spans="2:14" hidden="1" outlineLevel="1">
      <c r="B86" s="774" t="s">
        <v>3862</v>
      </c>
      <c r="C86" s="852"/>
      <c r="D86" s="852"/>
      <c r="E86" s="879"/>
      <c r="G86" s="774" t="s">
        <v>3862</v>
      </c>
      <c r="H86" s="1460"/>
      <c r="I86" s="1460"/>
      <c r="J86" s="879"/>
      <c r="M86" s="1835"/>
      <c r="N86" s="1457"/>
    </row>
    <row r="87" spans="2:14" ht="17.25" hidden="1" outlineLevel="1" thickBot="1">
      <c r="B87" s="774" t="s">
        <v>2744</v>
      </c>
      <c r="C87" s="852"/>
      <c r="D87" s="852">
        <f>D88-D84-D85</f>
        <v>8902850</v>
      </c>
      <c r="E87" s="879"/>
      <c r="G87" s="774" t="s">
        <v>2743</v>
      </c>
      <c r="H87" s="1460"/>
      <c r="I87" s="1460"/>
      <c r="J87" s="879"/>
      <c r="M87" s="1458" t="s">
        <v>2591</v>
      </c>
      <c r="N87" s="1459">
        <f>환율변동효과!B4</f>
        <v>189.66</v>
      </c>
    </row>
    <row r="88" spans="2:14" hidden="1" outlineLevel="1">
      <c r="B88" s="774" t="s">
        <v>1927</v>
      </c>
      <c r="C88" s="852"/>
      <c r="D88" s="852">
        <f>ROUND(I88*$N$85,)</f>
        <v>0</v>
      </c>
      <c r="E88" s="879"/>
      <c r="G88" s="774" t="s">
        <v>1927</v>
      </c>
      <c r="H88" s="852"/>
      <c r="I88" s="852">
        <f>SUM(I84:I87)</f>
        <v>0</v>
      </c>
      <c r="J88" s="879"/>
    </row>
    <row r="89" spans="2:14" hidden="1" outlineLevel="1">
      <c r="B89" s="774" t="s">
        <v>1928</v>
      </c>
      <c r="C89" s="786"/>
      <c r="D89" s="786"/>
      <c r="E89" s="787"/>
      <c r="G89" s="774" t="s">
        <v>1928</v>
      </c>
      <c r="H89" s="786"/>
      <c r="I89" s="786"/>
      <c r="J89" s="787"/>
    </row>
    <row r="90" spans="2:14" hidden="1" outlineLevel="1">
      <c r="B90" s="774" t="s">
        <v>1925</v>
      </c>
      <c r="C90" s="852"/>
      <c r="D90" s="852">
        <f>ROUND(I90*$N$84,)</f>
        <v>312718974</v>
      </c>
      <c r="E90" s="879"/>
      <c r="G90" s="774" t="s">
        <v>1925</v>
      </c>
      <c r="H90" s="1460"/>
      <c r="I90" s="1460">
        <v>1695781</v>
      </c>
      <c r="J90" s="879"/>
    </row>
    <row r="91" spans="2:14" hidden="1" outlineLevel="1">
      <c r="B91" s="774" t="s">
        <v>1929</v>
      </c>
      <c r="C91" s="852"/>
      <c r="D91" s="852">
        <f>ROUND(I91*$N$87,)</f>
        <v>-321621824</v>
      </c>
      <c r="E91" s="879"/>
      <c r="G91" s="774" t="s">
        <v>1929</v>
      </c>
      <c r="H91" s="1460"/>
      <c r="I91" s="1460">
        <v>-1695781</v>
      </c>
      <c r="J91" s="879"/>
    </row>
    <row r="92" spans="2:14" hidden="1" outlineLevel="1">
      <c r="B92" s="774" t="s">
        <v>1930</v>
      </c>
      <c r="C92" s="852"/>
      <c r="D92" s="852">
        <f>ROUND(I92*$N$87,)</f>
        <v>0</v>
      </c>
      <c r="E92" s="879"/>
      <c r="G92" s="774" t="s">
        <v>1930</v>
      </c>
      <c r="H92" s="1460"/>
      <c r="I92" s="1460">
        <v>0</v>
      </c>
      <c r="J92" s="879"/>
    </row>
    <row r="93" spans="2:14" hidden="1" outlineLevel="1">
      <c r="B93" s="774" t="s">
        <v>3862</v>
      </c>
      <c r="C93" s="852"/>
      <c r="D93" s="852"/>
      <c r="E93" s="879"/>
      <c r="G93" s="774" t="s">
        <v>3862</v>
      </c>
      <c r="H93" s="1460"/>
      <c r="I93" s="1460"/>
      <c r="J93" s="879"/>
    </row>
    <row r="94" spans="2:14" hidden="1" outlineLevel="1">
      <c r="B94" s="774" t="s">
        <v>2743</v>
      </c>
      <c r="C94" s="852"/>
      <c r="D94" s="852">
        <f>D95-SUM(D90:D92)</f>
        <v>8902850</v>
      </c>
      <c r="E94" s="879"/>
      <c r="G94" s="774" t="s">
        <v>2743</v>
      </c>
      <c r="H94" s="1460"/>
      <c r="I94" s="1460"/>
      <c r="J94" s="879"/>
    </row>
    <row r="95" spans="2:14" hidden="1" outlineLevel="1">
      <c r="B95" s="774" t="s">
        <v>1927</v>
      </c>
      <c r="C95" s="852"/>
      <c r="D95" s="852">
        <f>ROUND(I95*$N$85,)</f>
        <v>0</v>
      </c>
      <c r="E95" s="879"/>
      <c r="G95" s="774" t="s">
        <v>1927</v>
      </c>
      <c r="H95" s="852"/>
      <c r="I95" s="852">
        <f>SUM(I90:I94)</f>
        <v>0</v>
      </c>
      <c r="J95" s="879"/>
    </row>
    <row r="96" spans="2:14" hidden="1" outlineLevel="1">
      <c r="B96" s="2129" t="s">
        <v>1931</v>
      </c>
      <c r="C96" s="2130"/>
      <c r="D96" s="2130"/>
      <c r="E96" s="2131"/>
      <c r="G96" s="1370" t="s">
        <v>1931</v>
      </c>
      <c r="H96" s="1371"/>
      <c r="I96" s="1371"/>
      <c r="J96" s="1372"/>
    </row>
    <row r="97" spans="2:10" hidden="1" outlineLevel="1">
      <c r="B97" s="774" t="s">
        <v>1925</v>
      </c>
      <c r="C97" s="852"/>
      <c r="D97" s="852">
        <f>D84-D90</f>
        <v>0</v>
      </c>
      <c r="E97" s="879"/>
      <c r="G97" s="774" t="s">
        <v>1925</v>
      </c>
      <c r="H97" s="852"/>
      <c r="I97" s="852">
        <f>I84-I90</f>
        <v>0</v>
      </c>
      <c r="J97" s="879"/>
    </row>
    <row r="98" spans="2:10" hidden="1" outlineLevel="1">
      <c r="B98" s="778" t="s">
        <v>1927</v>
      </c>
      <c r="C98" s="853"/>
      <c r="D98" s="853">
        <f>D88-D95</f>
        <v>0</v>
      </c>
      <c r="E98" s="880"/>
      <c r="G98" s="778" t="s">
        <v>1927</v>
      </c>
      <c r="H98" s="853"/>
      <c r="I98" s="853">
        <f>I88-I95</f>
        <v>0</v>
      </c>
      <c r="J98" s="880"/>
    </row>
    <row r="99" spans="2:10" hidden="1" outlineLevel="1"/>
    <row r="100" spans="2:10" hidden="1" outlineLevel="1">
      <c r="B100" s="898" t="s">
        <v>1403</v>
      </c>
      <c r="C100" s="418" t="s">
        <v>2742</v>
      </c>
      <c r="G100" s="898" t="s">
        <v>1403</v>
      </c>
      <c r="H100" s="418" t="s">
        <v>2741</v>
      </c>
    </row>
    <row r="101" spans="2:10" hidden="1" outlineLevel="1">
      <c r="B101" s="783" t="s">
        <v>360</v>
      </c>
      <c r="C101" s="870" t="s">
        <v>33</v>
      </c>
      <c r="D101" s="870" t="s">
        <v>29</v>
      </c>
      <c r="E101" s="871" t="s">
        <v>144</v>
      </c>
      <c r="G101" s="783" t="s">
        <v>360</v>
      </c>
      <c r="H101" s="870" t="s">
        <v>33</v>
      </c>
      <c r="I101" s="870" t="s">
        <v>29</v>
      </c>
      <c r="J101" s="871" t="s">
        <v>144</v>
      </c>
    </row>
    <row r="102" spans="2:10" hidden="1" outlineLevel="1">
      <c r="B102" s="2129" t="s">
        <v>1924</v>
      </c>
      <c r="C102" s="2130"/>
      <c r="D102" s="2130"/>
      <c r="E102" s="2131"/>
      <c r="G102" s="2129" t="s">
        <v>1924</v>
      </c>
      <c r="H102" s="2130"/>
      <c r="I102" s="2130"/>
      <c r="J102" s="2131"/>
    </row>
    <row r="103" spans="2:10" hidden="1" outlineLevel="1">
      <c r="B103" s="774" t="s">
        <v>1925</v>
      </c>
      <c r="C103" s="852"/>
      <c r="D103" s="852"/>
      <c r="E103" s="879"/>
      <c r="G103" s="774" t="s">
        <v>1925</v>
      </c>
      <c r="H103" s="852"/>
      <c r="I103" s="852"/>
      <c r="J103" s="879"/>
    </row>
    <row r="104" spans="2:10" hidden="1" outlineLevel="1">
      <c r="B104" s="774" t="s">
        <v>1926</v>
      </c>
      <c r="C104" s="852"/>
      <c r="D104" s="852"/>
      <c r="E104" s="879"/>
      <c r="G104" s="774" t="s">
        <v>1926</v>
      </c>
      <c r="H104" s="852"/>
      <c r="I104" s="852"/>
      <c r="J104" s="879"/>
    </row>
    <row r="105" spans="2:10" hidden="1" outlineLevel="1">
      <c r="B105" s="774" t="s">
        <v>3862</v>
      </c>
      <c r="C105" s="852"/>
      <c r="D105" s="852"/>
      <c r="E105" s="879"/>
      <c r="G105" s="774"/>
      <c r="H105" s="852"/>
      <c r="I105" s="852"/>
      <c r="J105" s="879"/>
    </row>
    <row r="106" spans="2:10" hidden="1" outlineLevel="1">
      <c r="B106" s="774" t="s">
        <v>2743</v>
      </c>
      <c r="C106" s="852"/>
      <c r="D106" s="852"/>
      <c r="E106" s="879"/>
      <c r="G106" s="774" t="s">
        <v>2743</v>
      </c>
      <c r="H106" s="852"/>
      <c r="I106" s="852"/>
      <c r="J106" s="879"/>
    </row>
    <row r="107" spans="2:10" hidden="1" outlineLevel="1">
      <c r="B107" s="774" t="s">
        <v>1927</v>
      </c>
      <c r="C107" s="852"/>
      <c r="D107" s="852"/>
      <c r="E107" s="879"/>
      <c r="G107" s="774" t="s">
        <v>1927</v>
      </c>
      <c r="H107" s="852"/>
      <c r="I107" s="852"/>
      <c r="J107" s="879"/>
    </row>
    <row r="108" spans="2:10" hidden="1" outlineLevel="1">
      <c r="B108" s="774" t="s">
        <v>1928</v>
      </c>
      <c r="C108" s="786"/>
      <c r="D108" s="786"/>
      <c r="E108" s="787"/>
      <c r="G108" s="774" t="s">
        <v>1928</v>
      </c>
      <c r="H108" s="786"/>
      <c r="I108" s="786"/>
      <c r="J108" s="787"/>
    </row>
    <row r="109" spans="2:10" hidden="1" outlineLevel="1">
      <c r="B109" s="774" t="s">
        <v>1925</v>
      </c>
      <c r="C109" s="852"/>
      <c r="D109" s="852"/>
      <c r="E109" s="879"/>
      <c r="G109" s="774" t="s">
        <v>1925</v>
      </c>
      <c r="H109" s="852"/>
      <c r="I109" s="852"/>
      <c r="J109" s="879"/>
    </row>
    <row r="110" spans="2:10" hidden="1" outlineLevel="1">
      <c r="B110" s="774" t="s">
        <v>1929</v>
      </c>
      <c r="C110" s="852"/>
      <c r="D110" s="852"/>
      <c r="E110" s="879"/>
      <c r="G110" s="774" t="s">
        <v>1929</v>
      </c>
      <c r="H110" s="852"/>
      <c r="I110" s="852"/>
      <c r="J110" s="879"/>
    </row>
    <row r="111" spans="2:10" hidden="1" outlineLevel="1">
      <c r="B111" s="774" t="s">
        <v>1930</v>
      </c>
      <c r="C111" s="852"/>
      <c r="D111" s="852"/>
      <c r="E111" s="879"/>
      <c r="G111" s="774" t="s">
        <v>1930</v>
      </c>
      <c r="H111" s="852"/>
      <c r="I111" s="852"/>
      <c r="J111" s="879"/>
    </row>
    <row r="112" spans="2:10" hidden="1" outlineLevel="1">
      <c r="B112" s="774" t="s">
        <v>3862</v>
      </c>
      <c r="C112" s="852"/>
      <c r="D112" s="852"/>
      <c r="E112" s="879"/>
      <c r="G112" s="774"/>
      <c r="H112" s="852"/>
      <c r="I112" s="852"/>
      <c r="J112" s="879"/>
    </row>
    <row r="113" spans="2:10" hidden="1" outlineLevel="1">
      <c r="B113" s="774" t="s">
        <v>2743</v>
      </c>
      <c r="C113" s="852"/>
      <c r="D113" s="852"/>
      <c r="E113" s="879"/>
      <c r="G113" s="774" t="s">
        <v>2743</v>
      </c>
      <c r="H113" s="852"/>
      <c r="I113" s="852"/>
      <c r="J113" s="879"/>
    </row>
    <row r="114" spans="2:10" hidden="1" outlineLevel="1">
      <c r="B114" s="774" t="s">
        <v>1927</v>
      </c>
      <c r="C114" s="852"/>
      <c r="D114" s="852"/>
      <c r="E114" s="879"/>
      <c r="G114" s="774" t="s">
        <v>1927</v>
      </c>
      <c r="H114" s="852"/>
      <c r="I114" s="852"/>
      <c r="J114" s="879"/>
    </row>
    <row r="115" spans="2:10" hidden="1" outlineLevel="1">
      <c r="B115" s="2129" t="s">
        <v>1931</v>
      </c>
      <c r="C115" s="2130"/>
      <c r="D115" s="2130"/>
      <c r="E115" s="2131"/>
      <c r="G115" s="2129" t="s">
        <v>1931</v>
      </c>
      <c r="H115" s="2130"/>
      <c r="I115" s="2130"/>
      <c r="J115" s="2131"/>
    </row>
    <row r="116" spans="2:10" hidden="1" outlineLevel="1">
      <c r="B116" s="774" t="s">
        <v>1925</v>
      </c>
      <c r="C116" s="852"/>
      <c r="D116" s="852"/>
      <c r="E116" s="879"/>
      <c r="G116" s="774" t="s">
        <v>1925</v>
      </c>
      <c r="H116" s="852"/>
      <c r="I116" s="852"/>
      <c r="J116" s="879"/>
    </row>
    <row r="117" spans="2:10" hidden="1" outlineLevel="1">
      <c r="B117" s="778" t="s">
        <v>1927</v>
      </c>
      <c r="C117" s="853"/>
      <c r="D117" s="853"/>
      <c r="E117" s="880"/>
      <c r="G117" s="778" t="s">
        <v>1927</v>
      </c>
      <c r="H117" s="853"/>
      <c r="I117" s="853"/>
      <c r="J117" s="880"/>
    </row>
    <row r="118" spans="2:10" hidden="1" outlineLevel="1"/>
    <row r="119" spans="2:10" hidden="1" outlineLevel="1">
      <c r="B119" s="898" t="s">
        <v>1404</v>
      </c>
      <c r="C119" s="418" t="s">
        <v>2737</v>
      </c>
    </row>
    <row r="120" spans="2:10" hidden="1" outlineLevel="1">
      <c r="B120" s="783" t="s">
        <v>360</v>
      </c>
      <c r="C120" s="870" t="s">
        <v>33</v>
      </c>
      <c r="D120" s="870" t="s">
        <v>29</v>
      </c>
      <c r="E120" s="871" t="s">
        <v>144</v>
      </c>
    </row>
    <row r="121" spans="2:10" hidden="1" outlineLevel="1">
      <c r="B121" s="2129" t="s">
        <v>1924</v>
      </c>
      <c r="C121" s="2130"/>
      <c r="D121" s="2130"/>
      <c r="E121" s="2131"/>
    </row>
    <row r="122" spans="2:10" hidden="1" outlineLevel="1">
      <c r="B122" s="774" t="s">
        <v>1925</v>
      </c>
      <c r="C122" s="852"/>
      <c r="D122" s="852"/>
      <c r="E122" s="879"/>
    </row>
    <row r="123" spans="2:10" hidden="1" outlineLevel="1">
      <c r="B123" s="774" t="s">
        <v>1926</v>
      </c>
      <c r="C123" s="852"/>
      <c r="D123" s="852"/>
      <c r="E123" s="879"/>
    </row>
    <row r="124" spans="2:10" hidden="1" outlineLevel="1">
      <c r="B124" s="774" t="s">
        <v>3862</v>
      </c>
      <c r="C124" s="852"/>
      <c r="D124" s="852"/>
      <c r="E124" s="879"/>
    </row>
    <row r="125" spans="2:10" hidden="1" outlineLevel="1">
      <c r="B125" s="774" t="s">
        <v>2743</v>
      </c>
      <c r="C125" s="852"/>
      <c r="D125" s="852"/>
      <c r="E125" s="879"/>
    </row>
    <row r="126" spans="2:10" hidden="1" outlineLevel="1">
      <c r="B126" s="774" t="s">
        <v>1927</v>
      </c>
      <c r="C126" s="852"/>
      <c r="D126" s="852"/>
      <c r="E126" s="879"/>
    </row>
    <row r="127" spans="2:10" hidden="1" outlineLevel="1">
      <c r="B127" s="774" t="s">
        <v>1928</v>
      </c>
      <c r="C127" s="786"/>
      <c r="D127" s="786"/>
      <c r="E127" s="787"/>
    </row>
    <row r="128" spans="2:10" hidden="1" outlineLevel="1">
      <c r="B128" s="774" t="s">
        <v>1925</v>
      </c>
      <c r="C128" s="852"/>
      <c r="D128" s="852"/>
      <c r="E128" s="879"/>
    </row>
    <row r="129" spans="2:5" hidden="1" outlineLevel="1">
      <c r="B129" s="774" t="s">
        <v>1929</v>
      </c>
      <c r="C129" s="852"/>
      <c r="D129" s="852"/>
      <c r="E129" s="879"/>
    </row>
    <row r="130" spans="2:5" hidden="1" outlineLevel="1">
      <c r="B130" s="774" t="s">
        <v>1930</v>
      </c>
      <c r="C130" s="852"/>
      <c r="D130" s="852"/>
      <c r="E130" s="879"/>
    </row>
    <row r="131" spans="2:5" hidden="1" outlineLevel="1">
      <c r="B131" s="774" t="s">
        <v>3862</v>
      </c>
      <c r="C131" s="852"/>
      <c r="D131" s="852"/>
      <c r="E131" s="879"/>
    </row>
    <row r="132" spans="2:5" hidden="1" outlineLevel="1">
      <c r="B132" s="774" t="s">
        <v>2743</v>
      </c>
      <c r="C132" s="852"/>
      <c r="D132" s="852"/>
      <c r="E132" s="879"/>
    </row>
    <row r="133" spans="2:5" hidden="1" outlineLevel="1">
      <c r="B133" s="774" t="s">
        <v>1927</v>
      </c>
      <c r="C133" s="852"/>
      <c r="D133" s="852"/>
      <c r="E133" s="879"/>
    </row>
    <row r="134" spans="2:5" hidden="1" outlineLevel="1">
      <c r="B134" s="2129" t="s">
        <v>1931</v>
      </c>
      <c r="C134" s="2130"/>
      <c r="D134" s="2130"/>
      <c r="E134" s="2131"/>
    </row>
    <row r="135" spans="2:5" hidden="1" outlineLevel="1">
      <c r="B135" s="774" t="s">
        <v>1925</v>
      </c>
      <c r="C135" s="852"/>
      <c r="D135" s="852"/>
      <c r="E135" s="879"/>
    </row>
    <row r="136" spans="2:5" hidden="1" outlineLevel="1">
      <c r="B136" s="778" t="s">
        <v>1927</v>
      </c>
      <c r="C136" s="853"/>
      <c r="D136" s="853"/>
      <c r="E136" s="880"/>
    </row>
    <row r="137" spans="2:5" hidden="1" outlineLevel="1"/>
    <row r="138" spans="2:5" hidden="1" outlineLevel="1">
      <c r="B138" s="898" t="s">
        <v>1398</v>
      </c>
      <c r="C138" s="418" t="s">
        <v>2738</v>
      </c>
    </row>
    <row r="139" spans="2:5" hidden="1" outlineLevel="1">
      <c r="B139" s="783" t="s">
        <v>360</v>
      </c>
      <c r="C139" s="870" t="s">
        <v>33</v>
      </c>
      <c r="D139" s="870" t="s">
        <v>29</v>
      </c>
      <c r="E139" s="871" t="s">
        <v>144</v>
      </c>
    </row>
    <row r="140" spans="2:5" hidden="1" outlineLevel="1">
      <c r="B140" s="2129" t="s">
        <v>1924</v>
      </c>
      <c r="C140" s="2130"/>
      <c r="D140" s="2130"/>
      <c r="E140" s="2131"/>
    </row>
    <row r="141" spans="2:5" hidden="1" outlineLevel="1">
      <c r="B141" s="774" t="s">
        <v>1925</v>
      </c>
      <c r="C141" s="852"/>
      <c r="D141" s="852"/>
      <c r="E141" s="879"/>
    </row>
    <row r="142" spans="2:5" hidden="1" outlineLevel="1">
      <c r="B142" s="774" t="s">
        <v>1926</v>
      </c>
      <c r="C142" s="852"/>
      <c r="D142" s="852"/>
      <c r="E142" s="879"/>
    </row>
    <row r="143" spans="2:5" hidden="1" outlineLevel="1">
      <c r="B143" s="774" t="s">
        <v>3862</v>
      </c>
      <c r="C143" s="852"/>
      <c r="D143" s="852"/>
      <c r="E143" s="879"/>
    </row>
    <row r="144" spans="2:5" hidden="1" outlineLevel="1">
      <c r="B144" s="774" t="s">
        <v>2743</v>
      </c>
      <c r="C144" s="852"/>
      <c r="D144" s="852"/>
      <c r="E144" s="879"/>
    </row>
    <row r="145" spans="2:5" hidden="1" outlineLevel="1">
      <c r="B145" s="774" t="s">
        <v>1927</v>
      </c>
      <c r="C145" s="852"/>
      <c r="D145" s="852"/>
      <c r="E145" s="879"/>
    </row>
    <row r="146" spans="2:5" hidden="1" outlineLevel="1">
      <c r="B146" s="774" t="s">
        <v>1928</v>
      </c>
      <c r="C146" s="786"/>
      <c r="D146" s="786"/>
      <c r="E146" s="787"/>
    </row>
    <row r="147" spans="2:5" hidden="1" outlineLevel="1">
      <c r="B147" s="774" t="s">
        <v>1925</v>
      </c>
      <c r="C147" s="852"/>
      <c r="D147" s="852"/>
      <c r="E147" s="879"/>
    </row>
    <row r="148" spans="2:5" hidden="1" outlineLevel="1">
      <c r="B148" s="774" t="s">
        <v>1929</v>
      </c>
      <c r="C148" s="852"/>
      <c r="D148" s="852"/>
      <c r="E148" s="879"/>
    </row>
    <row r="149" spans="2:5" hidden="1" outlineLevel="1">
      <c r="B149" s="774" t="s">
        <v>3862</v>
      </c>
      <c r="C149" s="852"/>
      <c r="D149" s="852"/>
      <c r="E149" s="879"/>
    </row>
    <row r="150" spans="2:5" hidden="1" outlineLevel="1">
      <c r="B150" s="774" t="s">
        <v>2743</v>
      </c>
      <c r="C150" s="852"/>
      <c r="D150" s="852"/>
      <c r="E150" s="879"/>
    </row>
    <row r="151" spans="2:5" hidden="1" outlineLevel="1">
      <c r="B151" s="774" t="s">
        <v>1930</v>
      </c>
      <c r="C151" s="852"/>
      <c r="D151" s="852"/>
      <c r="E151" s="879"/>
    </row>
    <row r="152" spans="2:5" hidden="1" outlineLevel="1">
      <c r="B152" s="774" t="s">
        <v>1927</v>
      </c>
      <c r="C152" s="852"/>
      <c r="D152" s="852"/>
      <c r="E152" s="879"/>
    </row>
    <row r="153" spans="2:5" hidden="1" outlineLevel="1">
      <c r="B153" s="2129" t="s">
        <v>1931</v>
      </c>
      <c r="C153" s="2130"/>
      <c r="D153" s="2130"/>
      <c r="E153" s="2131"/>
    </row>
    <row r="154" spans="2:5" hidden="1" outlineLevel="1">
      <c r="B154" s="774" t="s">
        <v>1925</v>
      </c>
      <c r="C154" s="852"/>
      <c r="D154" s="852"/>
      <c r="E154" s="879"/>
    </row>
    <row r="155" spans="2:5" hidden="1" outlineLevel="1">
      <c r="B155" s="778" t="s">
        <v>1927</v>
      </c>
      <c r="C155" s="853"/>
      <c r="D155" s="853"/>
      <c r="E155" s="880"/>
    </row>
    <row r="156" spans="2:5" hidden="1" outlineLevel="1"/>
    <row r="157" spans="2:5" hidden="1" outlineLevel="1">
      <c r="B157" s="898" t="s">
        <v>3412</v>
      </c>
    </row>
    <row r="158" spans="2:5" hidden="1" outlineLevel="1">
      <c r="B158" s="783" t="s">
        <v>360</v>
      </c>
      <c r="C158" s="870" t="s">
        <v>33</v>
      </c>
      <c r="D158" s="870" t="s">
        <v>29</v>
      </c>
      <c r="E158" s="871" t="s">
        <v>144</v>
      </c>
    </row>
    <row r="159" spans="2:5" hidden="1" outlineLevel="1">
      <c r="B159" s="2129" t="s">
        <v>1924</v>
      </c>
      <c r="C159" s="2130"/>
      <c r="D159" s="2130"/>
      <c r="E159" s="2131"/>
    </row>
    <row r="160" spans="2:5" hidden="1" outlineLevel="1">
      <c r="B160" s="774" t="s">
        <v>1925</v>
      </c>
      <c r="C160" s="852"/>
      <c r="D160" s="852"/>
      <c r="E160" s="879"/>
    </row>
    <row r="161" spans="2:5" hidden="1" outlineLevel="1">
      <c r="B161" s="774" t="s">
        <v>1926</v>
      </c>
      <c r="C161" s="852"/>
      <c r="D161" s="852"/>
      <c r="E161" s="879"/>
    </row>
    <row r="162" spans="2:5" hidden="1" outlineLevel="1">
      <c r="B162" s="774" t="s">
        <v>3862</v>
      </c>
      <c r="C162" s="852">
        <v>42206348</v>
      </c>
      <c r="D162" s="852">
        <v>3075052951</v>
      </c>
      <c r="E162" s="879"/>
    </row>
    <row r="163" spans="2:5" hidden="1" outlineLevel="1">
      <c r="B163" s="774" t="s">
        <v>2743</v>
      </c>
      <c r="C163" s="852"/>
      <c r="D163" s="852"/>
      <c r="E163" s="879"/>
    </row>
    <row r="164" spans="2:5" hidden="1" outlineLevel="1">
      <c r="B164" s="774" t="s">
        <v>1927</v>
      </c>
      <c r="C164" s="852"/>
      <c r="D164" s="852"/>
      <c r="E164" s="879"/>
    </row>
    <row r="165" spans="2:5" hidden="1" outlineLevel="1">
      <c r="B165" s="774" t="s">
        <v>1928</v>
      </c>
      <c r="C165" s="786"/>
      <c r="D165" s="786"/>
      <c r="E165" s="787"/>
    </row>
    <row r="166" spans="2:5" hidden="1" outlineLevel="1">
      <c r="B166" s="774" t="s">
        <v>1925</v>
      </c>
      <c r="C166" s="852"/>
      <c r="D166" s="852"/>
      <c r="E166" s="879"/>
    </row>
    <row r="167" spans="2:5" hidden="1" outlineLevel="1">
      <c r="B167" s="774" t="s">
        <v>1929</v>
      </c>
      <c r="C167" s="852"/>
      <c r="D167" s="852"/>
      <c r="E167" s="879"/>
    </row>
    <row r="168" spans="2:5" hidden="1" outlineLevel="1">
      <c r="B168" s="774" t="s">
        <v>1930</v>
      </c>
      <c r="C168" s="852"/>
      <c r="D168" s="852"/>
      <c r="E168" s="879"/>
    </row>
    <row r="169" spans="2:5" hidden="1" outlineLevel="1">
      <c r="B169" s="774" t="s">
        <v>3862</v>
      </c>
      <c r="C169" s="852">
        <v>17585980</v>
      </c>
      <c r="D169" s="852">
        <v>2142503459</v>
      </c>
      <c r="E169" s="879"/>
    </row>
    <row r="170" spans="2:5" hidden="1" outlineLevel="1">
      <c r="B170" s="774" t="s">
        <v>2743</v>
      </c>
      <c r="C170" s="852"/>
      <c r="D170" s="852"/>
      <c r="E170" s="879"/>
    </row>
    <row r="171" spans="2:5" hidden="1" outlineLevel="1">
      <c r="B171" s="774" t="s">
        <v>1927</v>
      </c>
      <c r="C171" s="852"/>
      <c r="D171" s="852"/>
      <c r="E171" s="879"/>
    </row>
    <row r="172" spans="2:5" hidden="1" outlineLevel="1">
      <c r="B172" s="1370" t="s">
        <v>1931</v>
      </c>
      <c r="C172" s="1371"/>
      <c r="D172" s="1371"/>
      <c r="E172" s="1372"/>
    </row>
    <row r="173" spans="2:5" hidden="1" outlineLevel="1">
      <c r="B173" s="774" t="s">
        <v>1925</v>
      </c>
      <c r="C173" s="852"/>
      <c r="D173" s="852"/>
      <c r="E173" s="879"/>
    </row>
    <row r="174" spans="2:5" hidden="1" outlineLevel="1">
      <c r="B174" s="778" t="s">
        <v>1927</v>
      </c>
      <c r="C174" s="853"/>
      <c r="D174" s="853"/>
      <c r="E174" s="880"/>
    </row>
    <row r="175" spans="2:5" hidden="1" outlineLevel="1"/>
    <row r="176" spans="2:5" hidden="1" outlineLevel="1"/>
    <row r="177" spans="2:16" collapsed="1"/>
    <row r="179" spans="2:16">
      <c r="B179" s="418" t="s">
        <v>1932</v>
      </c>
    </row>
    <row r="180" spans="2:16">
      <c r="B180" s="876"/>
      <c r="C180" s="863" t="s">
        <v>1905</v>
      </c>
      <c r="F180" s="1462" t="s">
        <v>2243</v>
      </c>
      <c r="G180" s="854"/>
      <c r="H180" s="854"/>
      <c r="I180" s="854"/>
      <c r="J180" s="854"/>
      <c r="K180" s="854"/>
    </row>
    <row r="181" spans="2:16" ht="17.25" thickBot="1">
      <c r="B181" s="1366" t="s">
        <v>360</v>
      </c>
      <c r="C181" s="1367" t="str">
        <f>'18'!F6</f>
        <v>당기말</v>
      </c>
      <c r="F181" s="1463" t="s">
        <v>403</v>
      </c>
      <c r="G181" s="1463" t="s">
        <v>3412</v>
      </c>
      <c r="H181" s="1463" t="s">
        <v>2606</v>
      </c>
      <c r="I181" s="1463" t="s">
        <v>2607</v>
      </c>
      <c r="J181" s="1463" t="s">
        <v>2608</v>
      </c>
      <c r="K181" s="1463" t="s">
        <v>338</v>
      </c>
      <c r="M181" s="1463" t="s">
        <v>2605</v>
      </c>
    </row>
    <row r="182" spans="2:16">
      <c r="B182" s="774" t="s">
        <v>326</v>
      </c>
      <c r="C182" s="852">
        <f t="shared" ref="C182:C187" si="15">SUM(F182:K182)</f>
        <v>1595258905</v>
      </c>
      <c r="D182" s="886">
        <f>C182-연결BS!E92-연결BS!E85</f>
        <v>0</v>
      </c>
      <c r="F182" s="916">
        <v>1595258905</v>
      </c>
      <c r="G182" s="916">
        <v>0</v>
      </c>
      <c r="H182" s="916">
        <f>ROUND(M182*P183,)</f>
        <v>0</v>
      </c>
      <c r="I182" s="916"/>
      <c r="J182" s="916"/>
      <c r="K182" s="916">
        <v>0</v>
      </c>
      <c r="M182" s="916">
        <v>0</v>
      </c>
      <c r="O182" s="1429" t="s">
        <v>2588</v>
      </c>
      <c r="P182" s="1426"/>
    </row>
    <row r="183" spans="2:16">
      <c r="B183" s="774" t="s">
        <v>1933</v>
      </c>
      <c r="C183" s="852">
        <f t="shared" si="15"/>
        <v>-9958487</v>
      </c>
      <c r="F183" s="916">
        <v>-9958487</v>
      </c>
      <c r="G183" s="916">
        <v>0</v>
      </c>
      <c r="H183" s="916">
        <f>ROUND(M183*$P$185,)</f>
        <v>0</v>
      </c>
      <c r="I183" s="916"/>
      <c r="J183" s="916"/>
      <c r="K183" s="916"/>
      <c r="M183" s="916"/>
      <c r="O183" s="1430" t="s">
        <v>2589</v>
      </c>
      <c r="P183" s="1427">
        <f>'12'!M97</f>
        <v>184.41</v>
      </c>
    </row>
    <row r="184" spans="2:16">
      <c r="B184" s="774" t="s">
        <v>179</v>
      </c>
      <c r="C184" s="852">
        <f t="shared" si="15"/>
        <v>27061673</v>
      </c>
      <c r="F184" s="916">
        <v>27061673</v>
      </c>
      <c r="G184" s="916">
        <v>0</v>
      </c>
      <c r="H184" s="916">
        <f>ROUND(M184*$P$185,)</f>
        <v>0</v>
      </c>
      <c r="I184" s="916"/>
      <c r="J184" s="916"/>
      <c r="K184" s="916">
        <v>0</v>
      </c>
      <c r="M184" s="916">
        <v>0</v>
      </c>
      <c r="O184" s="1430" t="s">
        <v>2590</v>
      </c>
      <c r="P184" s="1427">
        <f>'12'!M98</f>
        <v>196.6</v>
      </c>
    </row>
    <row r="185" spans="2:16" ht="17.25" thickBot="1">
      <c r="B185" s="774" t="s">
        <v>1934</v>
      </c>
      <c r="C185" s="852">
        <f t="shared" si="15"/>
        <v>-275936850</v>
      </c>
      <c r="F185" s="916">
        <v>-275936850</v>
      </c>
      <c r="G185" s="916">
        <v>0</v>
      </c>
      <c r="H185" s="916">
        <f>ROUND(M185*$P$185,)</f>
        <v>0</v>
      </c>
      <c r="I185" s="916"/>
      <c r="J185" s="916"/>
      <c r="K185" s="916"/>
      <c r="M185" s="916">
        <v>0</v>
      </c>
      <c r="O185" s="1431" t="s">
        <v>2591</v>
      </c>
      <c r="P185" s="1428">
        <f>'12'!M99</f>
        <v>189.66</v>
      </c>
    </row>
    <row r="186" spans="2:16">
      <c r="B186" s="774" t="s">
        <v>602</v>
      </c>
      <c r="C186" s="852">
        <f t="shared" si="15"/>
        <v>1097980327</v>
      </c>
      <c r="F186" s="1836">
        <v>0</v>
      </c>
      <c r="G186" s="1836">
        <v>1097980327</v>
      </c>
      <c r="H186" s="1836"/>
      <c r="I186" s="1836"/>
      <c r="J186" s="1836"/>
      <c r="K186" s="1836"/>
      <c r="M186" s="1836"/>
      <c r="O186" s="1405"/>
      <c r="P186" s="1123"/>
    </row>
    <row r="187" spans="2:16">
      <c r="B187" s="774" t="s">
        <v>2609</v>
      </c>
      <c r="C187" s="852">
        <f t="shared" si="15"/>
        <v>0</v>
      </c>
      <c r="F187" s="916">
        <v>0</v>
      </c>
      <c r="G187" s="916">
        <v>0</v>
      </c>
      <c r="H187" s="916">
        <f>H188-SUM(H182:H185)</f>
        <v>0</v>
      </c>
      <c r="I187" s="916"/>
      <c r="J187" s="916"/>
      <c r="K187" s="916"/>
      <c r="M187" s="916"/>
      <c r="N187" s="101"/>
      <c r="O187" s="1123"/>
    </row>
    <row r="188" spans="2:16">
      <c r="B188" s="774" t="s">
        <v>327</v>
      </c>
      <c r="C188" s="852">
        <f>SUM(C182:C187)</f>
        <v>2434405568</v>
      </c>
      <c r="D188" s="886">
        <f>C188-SUM(C189:C190)</f>
        <v>0</v>
      </c>
      <c r="F188" s="916">
        <v>1470216706</v>
      </c>
      <c r="G188" s="916">
        <v>0</v>
      </c>
      <c r="H188" s="916">
        <f>ROUND(M188*$P$184,)</f>
        <v>0</v>
      </c>
      <c r="I188" s="916"/>
      <c r="J188" s="916"/>
      <c r="K188" s="916"/>
      <c r="M188" s="916">
        <v>0</v>
      </c>
    </row>
    <row r="189" spans="2:16">
      <c r="B189" s="774" t="s">
        <v>347</v>
      </c>
      <c r="C189" s="852">
        <f>SUM(F189:K189)</f>
        <v>899145465</v>
      </c>
      <c r="D189" s="886" t="b">
        <f>C189=연결BS!D85</f>
        <v>1</v>
      </c>
      <c r="F189" s="916">
        <v>537067117</v>
      </c>
      <c r="G189" s="916">
        <v>362078348</v>
      </c>
      <c r="H189" s="916">
        <f>H188</f>
        <v>0</v>
      </c>
      <c r="I189" s="916"/>
      <c r="J189" s="916"/>
      <c r="K189" s="916"/>
      <c r="M189" s="916">
        <v>0</v>
      </c>
    </row>
    <row r="190" spans="2:16">
      <c r="B190" s="778" t="s">
        <v>348</v>
      </c>
      <c r="C190" s="852">
        <f>SUM(F190:K190)</f>
        <v>1535260103</v>
      </c>
      <c r="D190" s="418" t="b">
        <f>C190=연결BS!D92</f>
        <v>1</v>
      </c>
      <c r="F190" s="916">
        <v>799358124</v>
      </c>
      <c r="G190" s="916">
        <v>735901979</v>
      </c>
      <c r="H190" s="916"/>
      <c r="I190" s="916"/>
      <c r="J190" s="916"/>
      <c r="K190" s="916"/>
      <c r="M190" s="916"/>
    </row>
    <row r="191" spans="2:16">
      <c r="B191" s="418" t="s">
        <v>1935</v>
      </c>
    </row>
    <row r="193" spans="2:8">
      <c r="B193" s="418" t="s">
        <v>1936</v>
      </c>
    </row>
    <row r="194" spans="2:8">
      <c r="B194" s="876"/>
      <c r="E194" s="863" t="s">
        <v>1905</v>
      </c>
    </row>
    <row r="195" spans="2:8">
      <c r="B195" s="1366" t="s">
        <v>2913</v>
      </c>
      <c r="C195" s="1367" t="s">
        <v>1919</v>
      </c>
      <c r="D195" s="1367" t="s">
        <v>1937</v>
      </c>
      <c r="E195" s="1461" t="s">
        <v>1938</v>
      </c>
    </row>
    <row r="196" spans="2:8">
      <c r="B196" s="778" t="s">
        <v>1939</v>
      </c>
      <c r="C196" s="853">
        <f>'4'!D75</f>
        <v>982934580</v>
      </c>
      <c r="D196" s="853">
        <f>SUM('4'!E75:G75)</f>
        <v>1675480571</v>
      </c>
      <c r="E196" s="880">
        <f>C196+D196</f>
        <v>2658415151</v>
      </c>
      <c r="F196" s="418" t="s">
        <v>2242</v>
      </c>
    </row>
    <row r="197" spans="2:8">
      <c r="B197" s="851"/>
    </row>
    <row r="198" spans="2:8">
      <c r="B198" s="851"/>
      <c r="C198" s="886"/>
      <c r="D198" s="886"/>
      <c r="G198" s="886"/>
    </row>
    <row r="199" spans="2:8">
      <c r="B199" s="418" t="s">
        <v>1940</v>
      </c>
    </row>
    <row r="200" spans="2:8" ht="17.25" thickBot="1">
      <c r="B200" s="876"/>
      <c r="C200" s="863" t="s">
        <v>325</v>
      </c>
    </row>
    <row r="201" spans="2:8" ht="17.25" thickBot="1">
      <c r="B201" s="1367" t="s">
        <v>360</v>
      </c>
      <c r="C201" s="1367" t="str">
        <f>'13'!C40</f>
        <v>당기</v>
      </c>
      <c r="F201" s="1714" t="s">
        <v>3583</v>
      </c>
      <c r="G201" s="1716">
        <v>6709000</v>
      </c>
    </row>
    <row r="202" spans="2:8" ht="17.25" thickBot="1">
      <c r="B202" s="892" t="s">
        <v>1941</v>
      </c>
      <c r="C202" s="893"/>
      <c r="F202" s="1714" t="s">
        <v>3584</v>
      </c>
      <c r="G202" s="1716">
        <v>3318173</v>
      </c>
    </row>
    <row r="203" spans="2:8" ht="17.25" thickBot="1">
      <c r="B203" s="894" t="s">
        <v>1942</v>
      </c>
      <c r="C203" s="920">
        <f>E16</f>
        <v>268245539</v>
      </c>
      <c r="D203" s="418" t="b">
        <f>-C203='12'!G31</f>
        <v>1</v>
      </c>
    </row>
    <row r="204" spans="2:8" ht="17.25" thickBot="1">
      <c r="B204" s="894" t="s">
        <v>1943</v>
      </c>
      <c r="C204" s="1465">
        <f>SUM(G205,G201:G202)</f>
        <v>95367914</v>
      </c>
      <c r="D204" s="1464" t="s">
        <v>3580</v>
      </c>
      <c r="F204" s="1714" t="s">
        <v>3582</v>
      </c>
      <c r="G204" s="1715">
        <f>환율변동효과!B4</f>
        <v>189.66</v>
      </c>
    </row>
    <row r="205" spans="2:8" ht="17.25" thickBot="1">
      <c r="B205" s="894" t="s">
        <v>1944</v>
      </c>
      <c r="C205" s="1465">
        <f>G202</f>
        <v>3318173</v>
      </c>
      <c r="D205" s="1464" t="s">
        <v>2238</v>
      </c>
      <c r="F205" s="1714" t="s">
        <v>3581</v>
      </c>
      <c r="G205" s="1727">
        <f>ROUND(SUM(H214:H219,H231:H236)*G204,)</f>
        <v>85340741</v>
      </c>
    </row>
    <row r="206" spans="2:8">
      <c r="B206" s="892" t="s">
        <v>91</v>
      </c>
      <c r="C206" s="921"/>
    </row>
    <row r="207" spans="2:8">
      <c r="B207" s="895" t="s">
        <v>1945</v>
      </c>
      <c r="C207" s="922">
        <f>C184</f>
        <v>27061673</v>
      </c>
      <c r="F207" s="1718" t="s">
        <v>1437</v>
      </c>
      <c r="G207" s="1719" t="s">
        <v>3585</v>
      </c>
      <c r="H207" s="1497"/>
    </row>
    <row r="208" spans="2:8">
      <c r="F208" s="1720" t="s">
        <v>3586</v>
      </c>
      <c r="G208" s="1720" t="s">
        <v>3587</v>
      </c>
      <c r="H208" s="1497"/>
    </row>
    <row r="209" spans="2:8">
      <c r="F209" s="1721" t="s">
        <v>3588</v>
      </c>
      <c r="G209" s="1722">
        <v>24500</v>
      </c>
      <c r="H209" s="1722">
        <f>G209*12</f>
        <v>294000</v>
      </c>
    </row>
    <row r="210" spans="2:8">
      <c r="B210" s="1366" t="s">
        <v>257</v>
      </c>
      <c r="C210" s="1367" t="str">
        <f>'10'!C7</f>
        <v>당기말</v>
      </c>
      <c r="D210" s="1367" t="str">
        <f>'10'!E7</f>
        <v>전기말</v>
      </c>
      <c r="F210" s="1720"/>
      <c r="G210"/>
      <c r="H210" s="1497"/>
    </row>
    <row r="211" spans="2:8">
      <c r="B211" s="1273" t="s">
        <v>2841</v>
      </c>
      <c r="C211" s="785">
        <f>D22</f>
        <v>2164609531</v>
      </c>
      <c r="D211" s="1274">
        <f>D21</f>
        <v>1465196252</v>
      </c>
      <c r="F211" s="1720">
        <v>1</v>
      </c>
      <c r="G211" s="1720" t="s">
        <v>3589</v>
      </c>
      <c r="H211" s="1497">
        <v>19758</v>
      </c>
    </row>
    <row r="212" spans="2:8">
      <c r="B212" s="1273" t="s">
        <v>33</v>
      </c>
      <c r="C212" s="785">
        <f>C22</f>
        <v>153974125</v>
      </c>
      <c r="D212" s="1274">
        <f>C21</f>
        <v>173668631</v>
      </c>
      <c r="F212" s="1720">
        <v>2</v>
      </c>
      <c r="G212" s="1720" t="s">
        <v>3590</v>
      </c>
      <c r="H212" s="1497">
        <v>24500</v>
      </c>
    </row>
    <row r="213" spans="2:8">
      <c r="B213" s="867" t="s">
        <v>372</v>
      </c>
      <c r="C213" s="788">
        <f>SUM(C211:C212)</f>
        <v>2318583656</v>
      </c>
      <c r="D213" s="788">
        <f>SUM(D211:D212)</f>
        <v>1638864883</v>
      </c>
      <c r="F213" s="1720">
        <v>3</v>
      </c>
      <c r="G213" s="1720" t="s">
        <v>3591</v>
      </c>
      <c r="H213" s="1497">
        <v>24500</v>
      </c>
    </row>
    <row r="214" spans="2:8">
      <c r="C214" s="418" t="b">
        <f>C213='12'!E16</f>
        <v>1</v>
      </c>
      <c r="F214" s="1720">
        <v>4</v>
      </c>
      <c r="G214" s="1720" t="s">
        <v>3592</v>
      </c>
      <c r="H214" s="1728">
        <v>24500</v>
      </c>
    </row>
    <row r="215" spans="2:8">
      <c r="F215" s="1720">
        <v>5</v>
      </c>
      <c r="G215" s="1720" t="s">
        <v>3593</v>
      </c>
      <c r="H215" s="1728">
        <v>24500</v>
      </c>
    </row>
    <row r="216" spans="2:8">
      <c r="F216" s="1720">
        <v>6</v>
      </c>
      <c r="G216" s="1720" t="s">
        <v>3594</v>
      </c>
      <c r="H216" s="1728">
        <v>24500</v>
      </c>
    </row>
    <row r="217" spans="2:8">
      <c r="F217" s="1720">
        <v>7</v>
      </c>
      <c r="G217" s="1720" t="s">
        <v>3595</v>
      </c>
      <c r="H217" s="1728">
        <v>24500</v>
      </c>
    </row>
    <row r="218" spans="2:8">
      <c r="F218" s="1720">
        <v>8</v>
      </c>
      <c r="G218" s="1720" t="s">
        <v>3596</v>
      </c>
      <c r="H218" s="1728">
        <v>24500</v>
      </c>
    </row>
    <row r="219" spans="2:8">
      <c r="F219" s="1720">
        <v>9</v>
      </c>
      <c r="G219" s="1720" t="s">
        <v>3597</v>
      </c>
      <c r="H219" s="1728">
        <v>24500</v>
      </c>
    </row>
    <row r="220" spans="2:8">
      <c r="F220" s="1720">
        <v>10</v>
      </c>
      <c r="G220" s="1720" t="s">
        <v>3598</v>
      </c>
      <c r="H220" s="1497">
        <v>24500</v>
      </c>
    </row>
    <row r="221" spans="2:8">
      <c r="F221" s="1720">
        <v>11</v>
      </c>
      <c r="G221" s="1720" t="s">
        <v>3599</v>
      </c>
      <c r="H221" s="1497">
        <v>24500</v>
      </c>
    </row>
    <row r="222" spans="2:8" ht="17.25" thickBot="1">
      <c r="F222" s="1720">
        <v>12</v>
      </c>
      <c r="G222" s="1720" t="s">
        <v>3600</v>
      </c>
      <c r="H222" s="1497">
        <v>29242</v>
      </c>
    </row>
    <row r="223" spans="2:8" ht="17.25" thickTop="1">
      <c r="F223" s="1723"/>
      <c r="G223" s="1723"/>
      <c r="H223" s="1724">
        <f>SUM(H211:H222)</f>
        <v>294000</v>
      </c>
    </row>
    <row r="226" spans="6:8">
      <c r="F226" s="1721" t="s">
        <v>3588</v>
      </c>
      <c r="G226" s="1722">
        <v>50494.5</v>
      </c>
      <c r="H226" s="1722">
        <f>G226*12</f>
        <v>605934</v>
      </c>
    </row>
    <row r="227" spans="6:8">
      <c r="F227" s="1720"/>
      <c r="G227"/>
      <c r="H227" s="1497"/>
    </row>
    <row r="228" spans="6:8">
      <c r="F228" s="1720">
        <v>1</v>
      </c>
      <c r="G228" s="1720" t="s">
        <v>3589</v>
      </c>
      <c r="H228" s="1725">
        <v>40721.4</v>
      </c>
    </row>
    <row r="229" spans="6:8">
      <c r="F229" s="1720">
        <v>2</v>
      </c>
      <c r="G229" s="1720" t="s">
        <v>3590</v>
      </c>
      <c r="H229" s="1725">
        <v>50494.5</v>
      </c>
    </row>
    <row r="230" spans="6:8">
      <c r="F230" s="1720">
        <v>3</v>
      </c>
      <c r="G230" s="1720" t="s">
        <v>3591</v>
      </c>
      <c r="H230" s="1725">
        <v>50494.5</v>
      </c>
    </row>
    <row r="231" spans="6:8">
      <c r="F231" s="1720">
        <v>4</v>
      </c>
      <c r="G231" s="1720" t="s">
        <v>3592</v>
      </c>
      <c r="H231" s="1729">
        <v>50494.5</v>
      </c>
    </row>
    <row r="232" spans="6:8">
      <c r="F232" s="1720">
        <v>5</v>
      </c>
      <c r="G232" s="1720" t="s">
        <v>3593</v>
      </c>
      <c r="H232" s="1729">
        <v>50494.5</v>
      </c>
    </row>
    <row r="233" spans="6:8">
      <c r="F233" s="1720">
        <v>6</v>
      </c>
      <c r="G233" s="1720" t="s">
        <v>3594</v>
      </c>
      <c r="H233" s="1729">
        <v>50494.5</v>
      </c>
    </row>
    <row r="234" spans="6:8">
      <c r="F234" s="1720">
        <v>7</v>
      </c>
      <c r="G234" s="1720" t="s">
        <v>3595</v>
      </c>
      <c r="H234" s="1729">
        <v>50494.5</v>
      </c>
    </row>
    <row r="235" spans="6:8">
      <c r="F235" s="1720">
        <v>8</v>
      </c>
      <c r="G235" s="1720" t="s">
        <v>3596</v>
      </c>
      <c r="H235" s="1729">
        <v>50494.5</v>
      </c>
    </row>
    <row r="236" spans="6:8">
      <c r="F236" s="1720">
        <v>9</v>
      </c>
      <c r="G236" s="1720" t="s">
        <v>3597</v>
      </c>
      <c r="H236" s="1729">
        <v>50494.5</v>
      </c>
    </row>
    <row r="237" spans="6:8">
      <c r="F237" s="1720">
        <v>10</v>
      </c>
      <c r="G237" s="1720" t="s">
        <v>3598</v>
      </c>
      <c r="H237" s="1725">
        <v>50494.5</v>
      </c>
    </row>
    <row r="238" spans="6:8">
      <c r="F238" s="1720">
        <v>11</v>
      </c>
      <c r="G238" s="1720" t="s">
        <v>3599</v>
      </c>
      <c r="H238" s="1725">
        <v>50494.5</v>
      </c>
    </row>
    <row r="239" spans="6:8" ht="17.25" thickBot="1">
      <c r="F239" s="1720">
        <v>12</v>
      </c>
      <c r="G239" s="1720" t="s">
        <v>3600</v>
      </c>
      <c r="H239" s="1725">
        <v>60267.6</v>
      </c>
    </row>
    <row r="240" spans="6:8" ht="17.25" thickTop="1">
      <c r="F240" s="1723"/>
      <c r="G240" s="1723"/>
      <c r="H240" s="1726">
        <f>SUM(H228:H239)</f>
        <v>605934</v>
      </c>
    </row>
  </sheetData>
  <mergeCells count="20">
    <mergeCell ref="B58:E58"/>
    <mergeCell ref="B64:E64"/>
    <mergeCell ref="B77:E77"/>
    <mergeCell ref="B7:E7"/>
    <mergeCell ref="B20:E20"/>
    <mergeCell ref="B26:E26"/>
    <mergeCell ref="B39:E39"/>
    <mergeCell ref="B45:E45"/>
    <mergeCell ref="B159:E159"/>
    <mergeCell ref="G83:J83"/>
    <mergeCell ref="G102:J102"/>
    <mergeCell ref="G115:J115"/>
    <mergeCell ref="B134:E134"/>
    <mergeCell ref="B140:E140"/>
    <mergeCell ref="B153:E153"/>
    <mergeCell ref="B83:E83"/>
    <mergeCell ref="B96:E96"/>
    <mergeCell ref="B102:E102"/>
    <mergeCell ref="B115:E115"/>
    <mergeCell ref="B121:E121"/>
  </mergeCells>
  <phoneticPr fontId="3"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7" operator="containsText" id="{382D11B4-BE1B-4A0A-88F3-7AF1552CB459}">
            <xm:f>NOT(ISERROR(SEARCH("true",A1)))</xm:f>
            <xm:f>"true"</xm:f>
            <x14:dxf>
              <fill>
                <patternFill>
                  <bgColor theme="9" tint="0.79998168889431442"/>
                </patternFill>
              </fill>
            </x14:dxf>
          </x14:cfRule>
          <x14:cfRule type="containsText" priority="8" operator="containsText" id="{C268078C-E071-4835-A91D-C37B6F73DD45}">
            <xm:f>NOT(ISERROR(SEARCH("false",A1)))</xm:f>
            <xm:f>"false"</xm:f>
            <x14:dxf>
              <fill>
                <patternFill>
                  <bgColor rgb="FFC00000"/>
                </patternFill>
              </fill>
            </x14:dxf>
          </x14:cfRule>
          <xm:sqref>A1:XFD181 A182:M186 O182:XFD186 A187:XFD1048576</xm:sqref>
        </x14:conditionalFormatting>
      </x14:conditionalFormattings>
    </ext>
  </extLst>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codeName="Sheet63"/>
  <dimension ref="B2:I55"/>
  <sheetViews>
    <sheetView showGridLines="0" zoomScale="85" zoomScaleNormal="85" workbookViewId="0">
      <selection activeCell="B8" sqref="B8"/>
    </sheetView>
  </sheetViews>
  <sheetFormatPr defaultColWidth="9" defaultRowHeight="16.5" outlineLevelRow="1"/>
  <cols>
    <col min="1" max="1" width="2.375" style="418" customWidth="1"/>
    <col min="2" max="2" width="24.375" style="418" customWidth="1"/>
    <col min="3" max="8" width="23.875" style="418" customWidth="1"/>
    <col min="9" max="16384" width="9" style="418"/>
  </cols>
  <sheetData>
    <row r="2" spans="2:4">
      <c r="B2" s="478" t="s">
        <v>1946</v>
      </c>
      <c r="C2" s="917" t="s">
        <v>3844</v>
      </c>
    </row>
    <row r="4" spans="2:4">
      <c r="B4" s="418" t="s">
        <v>1947</v>
      </c>
    </row>
    <row r="5" spans="2:4">
      <c r="C5" s="863" t="s">
        <v>368</v>
      </c>
    </row>
    <row r="6" spans="2:4">
      <c r="B6" s="1367" t="s">
        <v>332</v>
      </c>
      <c r="C6" s="1367" t="str">
        <f>'19'!C201</f>
        <v>당기</v>
      </c>
    </row>
    <row r="7" spans="2:4">
      <c r="B7" s="774" t="s">
        <v>342</v>
      </c>
      <c r="C7" s="877">
        <v>1587206234</v>
      </c>
      <c r="D7" s="886" t="b">
        <f>C7=연결BS!E99</f>
        <v>1</v>
      </c>
    </row>
    <row r="8" spans="2:4">
      <c r="B8" s="774" t="s">
        <v>586</v>
      </c>
      <c r="C8" s="877">
        <v>167064834</v>
      </c>
    </row>
    <row r="9" spans="2:4">
      <c r="B9" s="774" t="s">
        <v>179</v>
      </c>
      <c r="C9" s="877">
        <v>20954556</v>
      </c>
    </row>
    <row r="10" spans="2:4">
      <c r="B10" s="774" t="s">
        <v>1948</v>
      </c>
      <c r="C10" s="877">
        <f>SUM(C11:C12)</f>
        <v>0</v>
      </c>
    </row>
    <row r="11" spans="2:4">
      <c r="B11" s="774" t="s">
        <v>1949</v>
      </c>
      <c r="C11" s="877">
        <v>0</v>
      </c>
    </row>
    <row r="12" spans="2:4">
      <c r="B12" s="774" t="s">
        <v>1950</v>
      </c>
      <c r="C12" s="877">
        <v>0</v>
      </c>
    </row>
    <row r="13" spans="2:4">
      <c r="B13" s="774" t="s">
        <v>1951</v>
      </c>
      <c r="C13" s="877">
        <v>-1064848974</v>
      </c>
    </row>
    <row r="14" spans="2:4">
      <c r="B14" s="778" t="s">
        <v>1952</v>
      </c>
      <c r="C14" s="878">
        <f>SUM(C7:C10,C13)</f>
        <v>710376650</v>
      </c>
      <c r="D14" s="886" t="b">
        <f>C14=연결BS!D99</f>
        <v>1</v>
      </c>
    </row>
    <row r="15" spans="2:4">
      <c r="B15" s="898"/>
      <c r="C15" s="899"/>
    </row>
    <row r="16" spans="2:4">
      <c r="B16" s="418" t="s">
        <v>1953</v>
      </c>
    </row>
    <row r="17" spans="2:4">
      <c r="C17" s="863" t="s">
        <v>368</v>
      </c>
    </row>
    <row r="18" spans="2:4">
      <c r="B18" s="1367" t="s">
        <v>257</v>
      </c>
      <c r="C18" s="1367" t="str">
        <f>C6</f>
        <v>당기</v>
      </c>
    </row>
    <row r="19" spans="2:4">
      <c r="B19" s="774" t="s">
        <v>586</v>
      </c>
      <c r="C19" s="877">
        <v>167064834</v>
      </c>
    </row>
    <row r="20" spans="2:4">
      <c r="B20" s="774" t="s">
        <v>1954</v>
      </c>
      <c r="C20" s="877">
        <v>20954556</v>
      </c>
    </row>
    <row r="21" spans="2:4">
      <c r="B21" s="867" t="s">
        <v>144</v>
      </c>
      <c r="C21" s="878">
        <f>SUM(C19:C20)</f>
        <v>188019390</v>
      </c>
      <c r="D21" s="418" t="b">
        <f>C21=C9+C8</f>
        <v>1</v>
      </c>
    </row>
    <row r="23" spans="2:4" hidden="1" outlineLevel="1">
      <c r="B23" s="418" t="s">
        <v>1955</v>
      </c>
    </row>
    <row r="24" spans="2:4" hidden="1" outlineLevel="1">
      <c r="C24" s="863" t="s">
        <v>368</v>
      </c>
    </row>
    <row r="25" spans="2:4" hidden="1" outlineLevel="1">
      <c r="B25" s="1367" t="s">
        <v>257</v>
      </c>
      <c r="C25" s="1367" t="str">
        <f>C6</f>
        <v>당기</v>
      </c>
    </row>
    <row r="26" spans="2:4" hidden="1" outlineLevel="1">
      <c r="B26" s="774" t="s">
        <v>1956</v>
      </c>
      <c r="C26" s="852">
        <f>-C10</f>
        <v>0</v>
      </c>
    </row>
    <row r="27" spans="2:4" hidden="1" outlineLevel="1">
      <c r="B27" s="774" t="s">
        <v>181</v>
      </c>
      <c r="C27" s="1641">
        <f>-ROUND(C26*0.22,)</f>
        <v>0</v>
      </c>
    </row>
    <row r="28" spans="2:4" hidden="1" outlineLevel="1">
      <c r="B28" s="778" t="s">
        <v>1957</v>
      </c>
      <c r="C28" s="853">
        <f>SUM(C26:C27)</f>
        <v>0</v>
      </c>
    </row>
    <row r="29" spans="2:4" hidden="1" outlineLevel="1"/>
    <row r="30" spans="2:4" hidden="1" outlineLevel="1">
      <c r="B30" s="418" t="s">
        <v>1958</v>
      </c>
    </row>
    <row r="31" spans="2:4" hidden="1" outlineLevel="1"/>
    <row r="32" spans="2:4" hidden="1" outlineLevel="1">
      <c r="B32" s="418" t="s">
        <v>1959</v>
      </c>
    </row>
    <row r="33" spans="2:4" hidden="1" outlineLevel="1">
      <c r="C33" s="863" t="s">
        <v>1960</v>
      </c>
    </row>
    <row r="34" spans="2:4" hidden="1" outlineLevel="1">
      <c r="B34" s="1367" t="s">
        <v>257</v>
      </c>
      <c r="C34" s="1367" t="s">
        <v>335</v>
      </c>
    </row>
    <row r="35" spans="2:4" hidden="1" outlineLevel="1">
      <c r="B35" s="774" t="s">
        <v>1961</v>
      </c>
      <c r="C35" s="896">
        <v>4.7100000000000003E-2</v>
      </c>
    </row>
    <row r="36" spans="2:4" hidden="1" outlineLevel="1">
      <c r="B36" s="778" t="s">
        <v>1962</v>
      </c>
      <c r="C36" s="897">
        <v>0.03</v>
      </c>
    </row>
    <row r="37" spans="2:4" hidden="1" outlineLevel="1">
      <c r="B37" s="851"/>
    </row>
    <row r="38" spans="2:4" hidden="1" outlineLevel="1">
      <c r="B38" s="418" t="s">
        <v>1963</v>
      </c>
    </row>
    <row r="39" spans="2:4" hidden="1" outlineLevel="1">
      <c r="B39" s="863" t="s">
        <v>1964</v>
      </c>
    </row>
    <row r="40" spans="2:4" hidden="1" outlineLevel="1">
      <c r="B40" s="873" t="s">
        <v>257</v>
      </c>
      <c r="C40" s="874" t="s">
        <v>573</v>
      </c>
      <c r="D40" s="875" t="s">
        <v>1965</v>
      </c>
    </row>
    <row r="41" spans="2:4" hidden="1" outlineLevel="1">
      <c r="B41" s="774" t="s">
        <v>1966</v>
      </c>
      <c r="C41" s="786"/>
      <c r="D41" s="787"/>
    </row>
    <row r="42" spans="2:4" hidden="1" outlineLevel="1">
      <c r="B42" s="774" t="s">
        <v>1967</v>
      </c>
      <c r="C42" s="1176">
        <v>1521614780</v>
      </c>
      <c r="D42" s="1190">
        <v>4.2000000000000003E-2</v>
      </c>
    </row>
    <row r="43" spans="2:4" hidden="1" outlineLevel="1">
      <c r="B43" s="774" t="s">
        <v>1968</v>
      </c>
      <c r="C43" s="1191">
        <v>1661917333</v>
      </c>
      <c r="D43" s="1190">
        <v>4.8000000000000001E-2</v>
      </c>
    </row>
    <row r="44" spans="2:4" hidden="1" outlineLevel="1">
      <c r="B44" s="774" t="s">
        <v>1969</v>
      </c>
      <c r="C44" s="852"/>
      <c r="D44" s="777"/>
    </row>
    <row r="45" spans="2:4" hidden="1" outlineLevel="1">
      <c r="B45" s="774" t="s">
        <v>1967</v>
      </c>
      <c r="C45" s="1191">
        <v>1664926336</v>
      </c>
      <c r="D45" s="1190">
        <v>0.05</v>
      </c>
    </row>
    <row r="46" spans="2:4" hidden="1" outlineLevel="1">
      <c r="B46" s="778" t="s">
        <v>1968</v>
      </c>
      <c r="C46" s="1191">
        <v>1518034855</v>
      </c>
      <c r="D46" s="1190">
        <v>4.3999999999999997E-2</v>
      </c>
    </row>
    <row r="47" spans="2:4" hidden="1" outlineLevel="1"/>
    <row r="48" spans="2:4" hidden="1" outlineLevel="1">
      <c r="B48" s="418" t="s">
        <v>2747</v>
      </c>
    </row>
    <row r="49" spans="2:9" hidden="1" outlineLevel="1"/>
    <row r="50" spans="2:9" hidden="1" outlineLevel="1">
      <c r="B50" s="1642" t="s">
        <v>257</v>
      </c>
      <c r="C50" s="1643" t="s">
        <v>3394</v>
      </c>
      <c r="D50" s="1643" t="s">
        <v>3395</v>
      </c>
      <c r="E50" s="1643" t="s">
        <v>3396</v>
      </c>
      <c r="F50" s="1643" t="s">
        <v>3397</v>
      </c>
      <c r="G50" s="1643"/>
      <c r="H50" s="1643" t="s">
        <v>2735</v>
      </c>
      <c r="I50" s="1644"/>
    </row>
    <row r="51" spans="2:9" hidden="1" outlineLevel="1">
      <c r="B51" s="1645" t="s">
        <v>3398</v>
      </c>
      <c r="C51" s="1645">
        <v>96104795</v>
      </c>
      <c r="D51" s="1645">
        <v>114323671</v>
      </c>
      <c r="E51" s="1645">
        <f>SUM(E52:E54)</f>
        <v>456238961</v>
      </c>
      <c r="F51" s="1645">
        <f>H51-SUM(C51:E51)</f>
        <v>5120179032</v>
      </c>
      <c r="G51" s="1645"/>
      <c r="H51" s="1645">
        <v>5786846459</v>
      </c>
      <c r="I51" s="889" t="s">
        <v>3399</v>
      </c>
    </row>
    <row r="52" spans="2:9" hidden="1" outlineLevel="1">
      <c r="E52" s="1176">
        <v>130660076</v>
      </c>
    </row>
    <row r="53" spans="2:9" hidden="1" outlineLevel="1">
      <c r="E53" s="1176">
        <v>147789084</v>
      </c>
    </row>
    <row r="54" spans="2:9" hidden="1" outlineLevel="1">
      <c r="E54" s="1176">
        <v>177789801</v>
      </c>
    </row>
    <row r="55" spans="2:9" collapsed="1"/>
  </sheetData>
  <phoneticPr fontId="3" type="noConversion"/>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containsText" priority="13" operator="containsText" id="{64BF9516-38B8-4FB5-AA54-FD424FBBE1AA}">
            <xm:f>NOT(ISERROR(SEARCH("TRUE",A1)))</xm:f>
            <xm:f>"TRUE"</xm:f>
            <x14:dxf>
              <fill>
                <patternFill>
                  <bgColor theme="9" tint="0.79998168889431442"/>
                </patternFill>
              </fill>
            </x14:dxf>
          </x14:cfRule>
          <x14:cfRule type="containsText" priority="14" operator="containsText" id="{C7788F2C-87B4-4CDF-80AA-4F167B2E9EEB}">
            <xm:f>NOT(ISERROR(SEARCH("FALSE",A1)))</xm:f>
            <xm:f>"FALSE"</xm:f>
            <x14:dxf>
              <fill>
                <patternFill>
                  <bgColor theme="5"/>
                </patternFill>
              </fill>
            </x14:dxf>
          </x14:cfRule>
          <xm:sqref>A1:XFD5 A6 D6:XFD6 A7:XFD17 A18 D18:XFD18 A19:XFD24 A25 D25:XFD25 A26:XFD33 A34 D34:XFD34</xm:sqref>
        </x14:conditionalFormatting>
        <x14:conditionalFormatting xmlns:xm="http://schemas.microsoft.com/office/excel/2006/main">
          <x14:cfRule type="containsText" priority="1" operator="containsText" id="{7E7C7A3B-8EBF-4498-ADF8-71BABEE305FE}">
            <xm:f>NOT(ISERROR(SEARCH("TRUE",A35)))</xm:f>
            <xm:f>"TRUE"</xm:f>
            <x14:dxf>
              <fill>
                <patternFill>
                  <bgColor theme="9" tint="0.79998168889431442"/>
                </patternFill>
              </fill>
            </x14:dxf>
          </x14:cfRule>
          <x14:cfRule type="containsText" priority="2" operator="containsText" id="{FD2BA0BD-A870-4E9F-B253-EDEAB44785E5}">
            <xm:f>NOT(ISERROR(SEARCH("FALSE",A35)))</xm:f>
            <xm:f>"FALSE"</xm:f>
            <x14:dxf>
              <fill>
                <patternFill>
                  <bgColor theme="5"/>
                </patternFill>
              </fill>
            </x14:dxf>
          </x14:cfRule>
          <xm:sqref>A35:XFD1048576</xm:sqref>
        </x14:conditionalFormatting>
        <x14:conditionalFormatting xmlns:xm="http://schemas.microsoft.com/office/excel/2006/main">
          <x14:cfRule type="containsText" priority="11" operator="containsText" id="{9BCDB3F7-E173-4F0A-9608-DC9BB81F4387}">
            <xm:f>NOT(ISERROR(SEARCH("true",B6)))</xm:f>
            <xm:f>"true"</xm:f>
            <x14:dxf>
              <fill>
                <patternFill>
                  <bgColor theme="9" tint="0.79998168889431442"/>
                </patternFill>
              </fill>
            </x14:dxf>
          </x14:cfRule>
          <x14:cfRule type="containsText" priority="12" operator="containsText" id="{2E840C0F-B43B-46D9-B018-B2332CC84D3F}">
            <xm:f>NOT(ISERROR(SEARCH("false",B6)))</xm:f>
            <xm:f>"false"</xm:f>
            <x14:dxf>
              <fill>
                <patternFill>
                  <bgColor rgb="FFC00000"/>
                </patternFill>
              </fill>
            </x14:dxf>
          </x14:cfRule>
          <xm:sqref>B6:C6</xm:sqref>
        </x14:conditionalFormatting>
        <x14:conditionalFormatting xmlns:xm="http://schemas.microsoft.com/office/excel/2006/main">
          <x14:cfRule type="containsText" priority="9" operator="containsText" id="{266974EA-9AC0-4FC9-85C2-E5433DCF3225}">
            <xm:f>NOT(ISERROR(SEARCH("true",B18)))</xm:f>
            <xm:f>"true"</xm:f>
            <x14:dxf>
              <fill>
                <patternFill>
                  <bgColor theme="9" tint="0.79998168889431442"/>
                </patternFill>
              </fill>
            </x14:dxf>
          </x14:cfRule>
          <x14:cfRule type="containsText" priority="10" operator="containsText" id="{3E643820-F1D9-4337-97E8-00B45EA6DDDA}">
            <xm:f>NOT(ISERROR(SEARCH("false",B18)))</xm:f>
            <xm:f>"false"</xm:f>
            <x14:dxf>
              <fill>
                <patternFill>
                  <bgColor rgb="FFC00000"/>
                </patternFill>
              </fill>
            </x14:dxf>
          </x14:cfRule>
          <xm:sqref>B18:C18</xm:sqref>
        </x14:conditionalFormatting>
        <x14:conditionalFormatting xmlns:xm="http://schemas.microsoft.com/office/excel/2006/main">
          <x14:cfRule type="containsText" priority="7" operator="containsText" id="{F69F6487-C1E0-4C42-A2D9-7B854D7570D7}">
            <xm:f>NOT(ISERROR(SEARCH("true",B25)))</xm:f>
            <xm:f>"true"</xm:f>
            <x14:dxf>
              <fill>
                <patternFill>
                  <bgColor theme="9" tint="0.79998168889431442"/>
                </patternFill>
              </fill>
            </x14:dxf>
          </x14:cfRule>
          <x14:cfRule type="containsText" priority="8" operator="containsText" id="{F26A1D1C-143B-4B9F-B681-889B46427680}">
            <xm:f>NOT(ISERROR(SEARCH("false",B25)))</xm:f>
            <xm:f>"false"</xm:f>
            <x14:dxf>
              <fill>
                <patternFill>
                  <bgColor rgb="FFC00000"/>
                </patternFill>
              </fill>
            </x14:dxf>
          </x14:cfRule>
          <xm:sqref>B25:C25</xm:sqref>
        </x14:conditionalFormatting>
        <x14:conditionalFormatting xmlns:xm="http://schemas.microsoft.com/office/excel/2006/main">
          <x14:cfRule type="containsText" priority="5" operator="containsText" id="{433FAE96-D1FA-4DCB-90E7-A465FD95CBE0}">
            <xm:f>NOT(ISERROR(SEARCH("true",B34)))</xm:f>
            <xm:f>"true"</xm:f>
            <x14:dxf>
              <fill>
                <patternFill>
                  <bgColor theme="9" tint="0.79998168889431442"/>
                </patternFill>
              </fill>
            </x14:dxf>
          </x14:cfRule>
          <x14:cfRule type="containsText" priority="6" operator="containsText" id="{F9DD55D5-59BC-4CB7-94E6-89334C251FC4}">
            <xm:f>NOT(ISERROR(SEARCH("false",B34)))</xm:f>
            <xm:f>"false"</xm:f>
            <x14:dxf>
              <fill>
                <patternFill>
                  <bgColor rgb="FFC00000"/>
                </patternFill>
              </fill>
            </x14:dxf>
          </x14:cfRule>
          <xm:sqref>B34:C34</xm:sqref>
        </x14:conditionalFormatting>
      </x14:conditionalFormattings>
    </ext>
  </extLst>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codeName="Sheet64"/>
  <dimension ref="B2:I124"/>
  <sheetViews>
    <sheetView showGridLines="0" zoomScale="85" zoomScaleNormal="85" workbookViewId="0">
      <selection activeCell="B8" sqref="B8"/>
    </sheetView>
  </sheetViews>
  <sheetFormatPr defaultColWidth="9" defaultRowHeight="16.5"/>
  <cols>
    <col min="1" max="1" width="9" style="889"/>
    <col min="2" max="2" width="45.875" style="889" customWidth="1"/>
    <col min="3" max="5" width="16" style="889" customWidth="1"/>
    <col min="6" max="16" width="14.5" style="889" customWidth="1"/>
    <col min="17" max="16384" width="9" style="889"/>
  </cols>
  <sheetData>
    <row r="2" spans="2:7">
      <c r="B2" s="860" t="s">
        <v>1970</v>
      </c>
      <c r="C2" s="418"/>
      <c r="D2" s="418"/>
      <c r="E2" s="418"/>
    </row>
    <row r="3" spans="2:7">
      <c r="B3" s="418"/>
      <c r="C3" s="418"/>
      <c r="D3" s="418"/>
      <c r="E3" s="418"/>
    </row>
    <row r="4" spans="2:7">
      <c r="B4" s="862" t="s">
        <v>1971</v>
      </c>
      <c r="C4" s="418"/>
      <c r="D4" s="418"/>
    </row>
    <row r="5" spans="2:7">
      <c r="B5" s="863" t="s">
        <v>368</v>
      </c>
      <c r="C5" s="418"/>
      <c r="D5" s="418"/>
    </row>
    <row r="6" spans="2:7">
      <c r="B6" s="783" t="s">
        <v>257</v>
      </c>
      <c r="C6" s="900" t="s">
        <v>328</v>
      </c>
      <c r="D6" s="418"/>
      <c r="E6" s="900" t="s">
        <v>403</v>
      </c>
      <c r="F6" s="900" t="s">
        <v>1402</v>
      </c>
      <c r="G6" s="900" t="s">
        <v>2748</v>
      </c>
    </row>
    <row r="7" spans="2:7">
      <c r="B7" s="774" t="s">
        <v>1972</v>
      </c>
      <c r="C7" s="852">
        <f>SUM(E7:G7)</f>
        <v>0</v>
      </c>
      <c r="D7" s="418"/>
      <c r="E7" s="877">
        <v>0</v>
      </c>
      <c r="F7" s="877"/>
      <c r="G7" s="877"/>
    </row>
    <row r="8" spans="2:7">
      <c r="B8" s="774" t="s">
        <v>1973</v>
      </c>
      <c r="C8" s="852">
        <f>SUM(E8:G8)</f>
        <v>-160846941</v>
      </c>
      <c r="D8" s="418"/>
      <c r="E8" s="852">
        <v>-165830830</v>
      </c>
      <c r="F8" s="852">
        <f>PL!K112</f>
        <v>0</v>
      </c>
      <c r="G8" s="852">
        <f>Tax!F186</f>
        <v>4983889</v>
      </c>
    </row>
    <row r="9" spans="2:7">
      <c r="B9" s="774" t="s">
        <v>1974</v>
      </c>
      <c r="C9" s="852">
        <f>SUM(E9:G9)</f>
        <v>-11319853</v>
      </c>
      <c r="D9" s="418"/>
      <c r="E9" s="877">
        <v>-11319853</v>
      </c>
      <c r="F9" s="877"/>
      <c r="G9" s="877"/>
    </row>
    <row r="10" spans="2:7">
      <c r="B10" s="778" t="s">
        <v>1975</v>
      </c>
      <c r="C10" s="878">
        <f>SUM(C7:C9)</f>
        <v>-172166794</v>
      </c>
      <c r="D10" s="886">
        <f>C10-연결PL!D100</f>
        <v>-177150683</v>
      </c>
      <c r="E10" s="878">
        <v>-2366665286</v>
      </c>
      <c r="F10" s="878">
        <f>SUM(F7:F9)</f>
        <v>0</v>
      </c>
      <c r="G10" s="878">
        <f>SUM(G7:G9)</f>
        <v>4983889</v>
      </c>
    </row>
    <row r="11" spans="2:7">
      <c r="B11" s="418"/>
      <c r="C11" s="418"/>
      <c r="D11" s="418"/>
    </row>
    <row r="12" spans="2:7">
      <c r="B12" s="889" t="s">
        <v>1976</v>
      </c>
      <c r="C12" s="418"/>
      <c r="D12" s="418"/>
      <c r="E12" s="418"/>
    </row>
    <row r="13" spans="2:7">
      <c r="B13" s="863" t="s">
        <v>368</v>
      </c>
      <c r="C13" s="418"/>
      <c r="D13" s="418"/>
      <c r="E13" s="418"/>
    </row>
    <row r="14" spans="2:7">
      <c r="B14" s="783" t="s">
        <v>257</v>
      </c>
      <c r="C14" s="900" t="s">
        <v>328</v>
      </c>
      <c r="D14" s="418"/>
    </row>
    <row r="15" spans="2:7">
      <c r="B15" s="774" t="s">
        <v>1487</v>
      </c>
      <c r="C15" s="852">
        <f>연결PL!D99</f>
        <v>-862570612</v>
      </c>
      <c r="D15" s="418"/>
    </row>
    <row r="16" spans="2:7">
      <c r="B16" s="774" t="s">
        <v>330</v>
      </c>
      <c r="C16" s="1192">
        <f>ROUND(C15*0.209,)</f>
        <v>-180277258</v>
      </c>
      <c r="D16" s="418"/>
    </row>
    <row r="17" spans="2:5">
      <c r="B17" s="774" t="s">
        <v>1977</v>
      </c>
      <c r="C17" s="852"/>
      <c r="D17" s="418"/>
    </row>
    <row r="18" spans="2:5">
      <c r="B18" s="774" t="s">
        <v>1978</v>
      </c>
      <c r="C18" s="852">
        <v>17322437</v>
      </c>
      <c r="D18" s="418" t="s">
        <v>2458</v>
      </c>
    </row>
    <row r="19" spans="2:5">
      <c r="B19" s="774" t="s">
        <v>1979</v>
      </c>
      <c r="C19" s="852">
        <v>-251281388</v>
      </c>
      <c r="D19" s="418" t="s">
        <v>2458</v>
      </c>
    </row>
    <row r="20" spans="2:5">
      <c r="B20" s="774" t="s">
        <v>1980</v>
      </c>
      <c r="C20" s="852">
        <f>E48-C48</f>
        <v>21007926076</v>
      </c>
      <c r="D20" s="418"/>
    </row>
    <row r="21" spans="2:5">
      <c r="B21" s="774" t="s">
        <v>331</v>
      </c>
      <c r="C21" s="852">
        <f>C22-SUM(C16:C20)</f>
        <v>-20765856661</v>
      </c>
      <c r="D21" s="418"/>
    </row>
    <row r="22" spans="2:5">
      <c r="B22" s="778" t="s">
        <v>1975</v>
      </c>
      <c r="C22" s="853">
        <f>C10</f>
        <v>-172166794</v>
      </c>
      <c r="D22" s="418"/>
    </row>
    <row r="23" spans="2:5">
      <c r="B23" s="418"/>
      <c r="C23" s="418"/>
      <c r="D23" s="418"/>
    </row>
    <row r="24" spans="2:5">
      <c r="B24" s="889" t="s">
        <v>1981</v>
      </c>
      <c r="C24" s="418"/>
      <c r="D24" s="418"/>
    </row>
    <row r="25" spans="2:5">
      <c r="B25" s="876"/>
      <c r="D25" s="418"/>
      <c r="E25" s="863" t="s">
        <v>1895</v>
      </c>
    </row>
    <row r="26" spans="2:5">
      <c r="B26" s="783" t="s">
        <v>257</v>
      </c>
      <c r="C26" s="870" t="s">
        <v>326</v>
      </c>
      <c r="D26" s="870" t="s">
        <v>376</v>
      </c>
      <c r="E26" s="871" t="s">
        <v>327</v>
      </c>
    </row>
    <row r="27" spans="2:5">
      <c r="B27" s="774" t="s">
        <v>336</v>
      </c>
      <c r="C27" s="852">
        <f t="shared" ref="C27:D39" si="0">SUM(C55,C77,C99)</f>
        <v>51130217</v>
      </c>
      <c r="D27" s="852">
        <f t="shared" si="0"/>
        <v>-3749020</v>
      </c>
      <c r="E27" s="879">
        <f>SUM(C27:D27)</f>
        <v>47381197</v>
      </c>
    </row>
    <row r="28" spans="2:5">
      <c r="B28" s="774" t="s">
        <v>15</v>
      </c>
      <c r="C28" s="852">
        <f t="shared" si="0"/>
        <v>0</v>
      </c>
      <c r="D28" s="852">
        <f t="shared" si="0"/>
        <v>0</v>
      </c>
      <c r="E28" s="879">
        <f t="shared" ref="E28:E46" si="1">SUM(C28:D28)</f>
        <v>0</v>
      </c>
    </row>
    <row r="29" spans="2:5">
      <c r="B29" s="774" t="s">
        <v>54</v>
      </c>
      <c r="C29" s="852">
        <f t="shared" si="0"/>
        <v>24419215</v>
      </c>
      <c r="D29" s="852">
        <f t="shared" si="0"/>
        <v>6778958</v>
      </c>
      <c r="E29" s="879">
        <f t="shared" si="1"/>
        <v>31198173</v>
      </c>
    </row>
    <row r="30" spans="2:5">
      <c r="B30" s="774" t="s">
        <v>1982</v>
      </c>
      <c r="C30" s="852">
        <f t="shared" si="0"/>
        <v>157498694</v>
      </c>
      <c r="D30" s="852">
        <f t="shared" si="0"/>
        <v>10146632</v>
      </c>
      <c r="E30" s="879">
        <f t="shared" si="1"/>
        <v>167645326</v>
      </c>
    </row>
    <row r="31" spans="2:5">
      <c r="B31" s="774" t="s">
        <v>885</v>
      </c>
      <c r="C31" s="852">
        <f t="shared" si="0"/>
        <v>283225270</v>
      </c>
      <c r="D31" s="852">
        <f t="shared" si="0"/>
        <v>65960101</v>
      </c>
      <c r="E31" s="879">
        <f t="shared" si="1"/>
        <v>349185371</v>
      </c>
    </row>
    <row r="32" spans="2:5">
      <c r="B32" s="774" t="s">
        <v>691</v>
      </c>
      <c r="C32" s="852">
        <f t="shared" si="0"/>
        <v>4093607</v>
      </c>
      <c r="D32" s="852">
        <f t="shared" si="0"/>
        <v>-278120</v>
      </c>
      <c r="E32" s="879">
        <f t="shared" si="1"/>
        <v>3815487</v>
      </c>
    </row>
    <row r="33" spans="2:8">
      <c r="B33" s="774" t="s">
        <v>904</v>
      </c>
      <c r="C33" s="852">
        <f t="shared" si="0"/>
        <v>57922348</v>
      </c>
      <c r="D33" s="852">
        <f t="shared" si="0"/>
        <v>82574694</v>
      </c>
      <c r="E33" s="879">
        <f t="shared" si="1"/>
        <v>140497042</v>
      </c>
    </row>
    <row r="34" spans="2:8">
      <c r="B34" s="774" t="s">
        <v>1983</v>
      </c>
      <c r="C34" s="852">
        <f t="shared" si="0"/>
        <v>0</v>
      </c>
      <c r="D34" s="852">
        <f t="shared" si="0"/>
        <v>0</v>
      </c>
      <c r="E34" s="879">
        <f t="shared" si="1"/>
        <v>0</v>
      </c>
    </row>
    <row r="35" spans="2:8">
      <c r="B35" s="774" t="s">
        <v>1366</v>
      </c>
      <c r="C35" s="852">
        <f t="shared" si="0"/>
        <v>13081617</v>
      </c>
      <c r="D35" s="852">
        <f t="shared" si="0"/>
        <v>-2324028</v>
      </c>
      <c r="E35" s="879">
        <f t="shared" si="1"/>
        <v>10757589</v>
      </c>
    </row>
    <row r="36" spans="2:8">
      <c r="B36" s="774" t="s">
        <v>1984</v>
      </c>
      <c r="C36" s="852">
        <f t="shared" si="0"/>
        <v>-340233214</v>
      </c>
      <c r="D36" s="852">
        <f t="shared" si="0"/>
        <v>-52395216</v>
      </c>
      <c r="E36" s="879">
        <f t="shared" si="1"/>
        <v>-392628430</v>
      </c>
    </row>
    <row r="37" spans="2:8">
      <c r="B37" s="774" t="s">
        <v>1985</v>
      </c>
      <c r="C37" s="852">
        <f t="shared" si="0"/>
        <v>213999734</v>
      </c>
      <c r="D37" s="852">
        <f t="shared" si="0"/>
        <v>-181921578</v>
      </c>
      <c r="E37" s="879">
        <f t="shared" si="1"/>
        <v>32078156</v>
      </c>
    </row>
    <row r="38" spans="2:8">
      <c r="B38" s="774" t="s">
        <v>590</v>
      </c>
      <c r="C38" s="852">
        <f t="shared" si="0"/>
        <v>109130112</v>
      </c>
      <c r="D38" s="852">
        <f t="shared" si="0"/>
        <v>241826847</v>
      </c>
      <c r="E38" s="879">
        <f t="shared" si="1"/>
        <v>350956959</v>
      </c>
    </row>
    <row r="39" spans="2:8">
      <c r="B39" s="774" t="s">
        <v>2663</v>
      </c>
      <c r="C39" s="852">
        <f t="shared" si="0"/>
        <v>35666599</v>
      </c>
      <c r="D39" s="852">
        <f t="shared" si="0"/>
        <v>2412767</v>
      </c>
      <c r="E39" s="879">
        <f t="shared" ref="E39" si="2">SUM(C39:D39)</f>
        <v>38079366</v>
      </c>
    </row>
    <row r="40" spans="2:8">
      <c r="B40" s="774" t="s">
        <v>2654</v>
      </c>
      <c r="C40" s="852">
        <f t="shared" ref="C40:D40" si="3">SUM(C68,C90,C112)</f>
        <v>0</v>
      </c>
      <c r="D40" s="852">
        <f t="shared" si="3"/>
        <v>7828017</v>
      </c>
      <c r="E40" s="879">
        <f t="shared" ref="E40:E42" si="4">SUM(C40:D40)</f>
        <v>7828017</v>
      </c>
    </row>
    <row r="41" spans="2:8">
      <c r="B41" s="774" t="s">
        <v>3379</v>
      </c>
      <c r="C41" s="852">
        <f t="shared" ref="C41:D41" si="5">SUM(C69,C91,C113)</f>
        <v>0</v>
      </c>
      <c r="D41" s="852">
        <f t="shared" si="5"/>
        <v>3644630</v>
      </c>
      <c r="E41" s="879">
        <f t="shared" si="4"/>
        <v>3644630</v>
      </c>
    </row>
    <row r="42" spans="2:8">
      <c r="B42" s="774" t="s">
        <v>3380</v>
      </c>
      <c r="C42" s="852">
        <f t="shared" ref="C42:D42" si="6">SUM(C70,C92,C114)</f>
        <v>0</v>
      </c>
      <c r="D42" s="852">
        <f t="shared" si="6"/>
        <v>37299261</v>
      </c>
      <c r="E42" s="879">
        <f t="shared" si="4"/>
        <v>37299261</v>
      </c>
    </row>
    <row r="43" spans="2:8">
      <c r="B43" s="774" t="s">
        <v>713</v>
      </c>
      <c r="C43" s="852">
        <f>SUM(C71,C93,C115)</f>
        <v>2043964222</v>
      </c>
      <c r="D43" s="852">
        <f>SUM(D71,D93,D115)</f>
        <v>20538840743</v>
      </c>
      <c r="E43" s="879">
        <f t="shared" si="1"/>
        <v>22582804965</v>
      </c>
    </row>
    <row r="44" spans="2:8">
      <c r="B44" s="957" t="s">
        <v>2853</v>
      </c>
      <c r="C44" s="852">
        <v>-8642206</v>
      </c>
      <c r="D44" s="852">
        <f>-Tax!F186</f>
        <v>-4983889</v>
      </c>
      <c r="E44" s="879">
        <f t="shared" si="1"/>
        <v>-13626095</v>
      </c>
    </row>
    <row r="45" spans="2:8">
      <c r="B45" s="907" t="s">
        <v>2756</v>
      </c>
      <c r="C45" s="852">
        <f>SUM(C27:C44)</f>
        <v>2645256215</v>
      </c>
      <c r="D45" s="852">
        <f t="shared" ref="D45:E45" si="7">SUM(D27:D44)</f>
        <v>20751660799</v>
      </c>
      <c r="E45" s="852">
        <f t="shared" si="7"/>
        <v>23396917014</v>
      </c>
    </row>
    <row r="46" spans="2:8">
      <c r="B46" s="774" t="s">
        <v>1986</v>
      </c>
      <c r="C46" s="852">
        <f>SUM(C72,C94,C116)</f>
        <v>1995306295</v>
      </c>
      <c r="D46" s="852">
        <f>SUM(D72,D94,D116)</f>
        <v>251281388</v>
      </c>
      <c r="E46" s="879">
        <f t="shared" si="1"/>
        <v>2246587683</v>
      </c>
      <c r="G46" s="1286" t="s">
        <v>2854</v>
      </c>
      <c r="H46" s="1286">
        <f>연결BS!D73</f>
        <v>2555104971</v>
      </c>
    </row>
    <row r="47" spans="2:8">
      <c r="B47" s="907" t="s">
        <v>259</v>
      </c>
      <c r="C47" s="1193">
        <f>SUM(C45:C46)</f>
        <v>4640562510</v>
      </c>
      <c r="D47" s="1193">
        <f t="shared" ref="D47:E47" si="8">SUM(D45:D46)</f>
        <v>21002942187</v>
      </c>
      <c r="E47" s="1193">
        <f t="shared" si="8"/>
        <v>25643504697</v>
      </c>
      <c r="G47" s="1286" t="s">
        <v>2439</v>
      </c>
      <c r="H47" s="1286">
        <f>연결BS!D93</f>
        <v>2462964628</v>
      </c>
    </row>
    <row r="48" spans="2:8">
      <c r="B48" s="1185" t="s">
        <v>2755</v>
      </c>
      <c r="C48" s="1639">
        <f>C47-C44-C50</f>
        <v>2094099745</v>
      </c>
      <c r="D48" s="1189">
        <f>E48-C48</f>
        <v>21007926076</v>
      </c>
      <c r="E48" s="1194">
        <f>E47-E44-E50</f>
        <v>23102025821</v>
      </c>
      <c r="G48" s="1286"/>
      <c r="H48" s="1286">
        <f>H46-H47</f>
        <v>92140343</v>
      </c>
    </row>
    <row r="49" spans="2:8">
      <c r="B49" s="1174" t="s">
        <v>142</v>
      </c>
      <c r="C49" s="1189">
        <v>2380631935</v>
      </c>
      <c r="D49" s="1189">
        <f>E49-C49</f>
        <v>-2288491592</v>
      </c>
      <c r="E49" s="1189">
        <f>연결BS!D73-연결BS!D93</f>
        <v>92140343</v>
      </c>
      <c r="G49" s="1286"/>
      <c r="H49" s="1286" t="b">
        <f>H48=E49</f>
        <v>1</v>
      </c>
    </row>
    <row r="50" spans="2:8">
      <c r="B50" s="1175" t="s">
        <v>2854</v>
      </c>
      <c r="C50" s="1189">
        <f>연결BS!E73</f>
        <v>2555104971</v>
      </c>
      <c r="D50" s="1189"/>
      <c r="E50" s="1189">
        <f>연결BS!D73</f>
        <v>2555104971</v>
      </c>
    </row>
    <row r="51" spans="2:8">
      <c r="B51" s="1175" t="s">
        <v>2439</v>
      </c>
      <c r="C51" s="1189">
        <f>-연결BS!E93</f>
        <v>-8355551</v>
      </c>
      <c r="D51" s="1189"/>
      <c r="E51" s="1189">
        <f>-연결BS!D93</f>
        <v>-2462964628</v>
      </c>
    </row>
    <row r="52" spans="2:8">
      <c r="B52" s="418"/>
      <c r="C52" s="886" t="b">
        <f>SUM(C50:C51)=C49</f>
        <v>0</v>
      </c>
      <c r="D52" s="886"/>
      <c r="E52" s="886" t="b">
        <f>SUM(E50:E51)=E49</f>
        <v>1</v>
      </c>
    </row>
    <row r="53" spans="2:8">
      <c r="B53" s="418" t="s">
        <v>403</v>
      </c>
      <c r="C53" s="418"/>
      <c r="D53" s="418"/>
      <c r="E53" s="418"/>
    </row>
    <row r="54" spans="2:8">
      <c r="B54" s="783" t="s">
        <v>257</v>
      </c>
      <c r="C54" s="870" t="s">
        <v>326</v>
      </c>
      <c r="D54" s="870" t="s">
        <v>376</v>
      </c>
      <c r="E54" s="871" t="s">
        <v>327</v>
      </c>
    </row>
    <row r="55" spans="2:8">
      <c r="B55" s="774" t="s">
        <v>336</v>
      </c>
      <c r="C55" s="852">
        <v>51130217</v>
      </c>
      <c r="D55" s="852">
        <v>-3749020</v>
      </c>
      <c r="E55" s="879">
        <v>47381197</v>
      </c>
    </row>
    <row r="56" spans="2:8">
      <c r="B56" s="774" t="s">
        <v>15</v>
      </c>
      <c r="C56" s="852">
        <v>0</v>
      </c>
      <c r="D56" s="852">
        <v>0</v>
      </c>
      <c r="E56" s="879">
        <v>0</v>
      </c>
    </row>
    <row r="57" spans="2:8">
      <c r="B57" s="774" t="s">
        <v>54</v>
      </c>
      <c r="C57" s="852">
        <v>24419215</v>
      </c>
      <c r="D57" s="852">
        <v>6778958</v>
      </c>
      <c r="E57" s="879">
        <v>31198173</v>
      </c>
    </row>
    <row r="58" spans="2:8">
      <c r="B58" s="774" t="s">
        <v>1982</v>
      </c>
      <c r="C58" s="852">
        <v>157498694</v>
      </c>
      <c r="D58" s="852">
        <v>10146632</v>
      </c>
      <c r="E58" s="879">
        <v>167645326</v>
      </c>
    </row>
    <row r="59" spans="2:8">
      <c r="B59" s="774" t="s">
        <v>885</v>
      </c>
      <c r="C59" s="852">
        <v>283225270</v>
      </c>
      <c r="D59" s="852">
        <v>65960101</v>
      </c>
      <c r="E59" s="879">
        <v>349185371</v>
      </c>
    </row>
    <row r="60" spans="2:8">
      <c r="B60" s="774" t="s">
        <v>691</v>
      </c>
      <c r="C60" s="852">
        <v>4093607</v>
      </c>
      <c r="D60" s="852">
        <v>-278120</v>
      </c>
      <c r="E60" s="879">
        <v>3815487</v>
      </c>
    </row>
    <row r="61" spans="2:8">
      <c r="B61" s="774" t="s">
        <v>904</v>
      </c>
      <c r="C61" s="852">
        <v>57922348</v>
      </c>
      <c r="D61" s="852">
        <v>82574694</v>
      </c>
      <c r="E61" s="879">
        <v>140497042</v>
      </c>
    </row>
    <row r="62" spans="2:8">
      <c r="B62" s="774" t="s">
        <v>1983</v>
      </c>
      <c r="C62" s="852">
        <v>0</v>
      </c>
      <c r="D62" s="852">
        <v>0</v>
      </c>
      <c r="E62" s="879">
        <v>0</v>
      </c>
    </row>
    <row r="63" spans="2:8">
      <c r="B63" s="774" t="s">
        <v>1366</v>
      </c>
      <c r="C63" s="852">
        <v>2324028</v>
      </c>
      <c r="D63" s="852">
        <v>-2324028</v>
      </c>
      <c r="E63" s="879">
        <v>0</v>
      </c>
    </row>
    <row r="64" spans="2:8">
      <c r="B64" s="774" t="s">
        <v>1984</v>
      </c>
      <c r="C64" s="852">
        <v>-258332549</v>
      </c>
      <c r="D64" s="852">
        <v>-134295881</v>
      </c>
      <c r="E64" s="879">
        <v>-392628430</v>
      </c>
    </row>
    <row r="65" spans="2:5">
      <c r="B65" s="774" t="s">
        <v>1985</v>
      </c>
      <c r="C65" s="852">
        <v>161686813</v>
      </c>
      <c r="D65" s="852">
        <v>-129608657</v>
      </c>
      <c r="E65" s="879">
        <v>32078156</v>
      </c>
    </row>
    <row r="66" spans="2:5">
      <c r="B66" s="774" t="s">
        <v>590</v>
      </c>
      <c r="C66" s="852">
        <v>96758701</v>
      </c>
      <c r="D66" s="852">
        <v>254198258</v>
      </c>
      <c r="E66" s="879">
        <v>350956959</v>
      </c>
    </row>
    <row r="67" spans="2:5">
      <c r="B67" s="774" t="s">
        <v>2663</v>
      </c>
      <c r="C67" s="852">
        <v>35666599</v>
      </c>
      <c r="D67" s="852">
        <v>2412767</v>
      </c>
      <c r="E67" s="879">
        <v>38079366</v>
      </c>
    </row>
    <row r="68" spans="2:5">
      <c r="B68" s="774" t="s">
        <v>2654</v>
      </c>
      <c r="C68" s="852">
        <v>0</v>
      </c>
      <c r="D68" s="852">
        <v>7828017</v>
      </c>
      <c r="E68" s="879">
        <v>7828017</v>
      </c>
    </row>
    <row r="69" spans="2:5">
      <c r="B69" s="774" t="s">
        <v>3379</v>
      </c>
      <c r="C69" s="852">
        <v>0</v>
      </c>
      <c r="D69" s="852">
        <v>3644630</v>
      </c>
      <c r="E69" s="879">
        <v>3644630</v>
      </c>
    </row>
    <row r="70" spans="2:5">
      <c r="B70" s="774" t="s">
        <v>3380</v>
      </c>
      <c r="C70" s="852">
        <v>0</v>
      </c>
      <c r="D70" s="852">
        <v>37299261</v>
      </c>
      <c r="E70" s="879">
        <v>37299261</v>
      </c>
    </row>
    <row r="71" spans="2:5">
      <c r="B71" s="774" t="s">
        <v>713</v>
      </c>
      <c r="C71" s="852">
        <v>1969723736</v>
      </c>
      <c r="D71" s="852">
        <v>-192350256</v>
      </c>
      <c r="E71" s="879">
        <v>1777373480</v>
      </c>
    </row>
    <row r="72" spans="2:5">
      <c r="B72" s="774" t="s">
        <v>1986</v>
      </c>
      <c r="C72" s="852">
        <v>1995306295</v>
      </c>
      <c r="D72" s="852">
        <v>251281388</v>
      </c>
      <c r="E72" s="879">
        <v>2246587683</v>
      </c>
    </row>
    <row r="73" spans="2:5">
      <c r="B73" s="867" t="s">
        <v>1987</v>
      </c>
      <c r="C73" s="853">
        <f>SUM(C55:C72)</f>
        <v>4581422974</v>
      </c>
      <c r="D73" s="853">
        <f t="shared" ref="D73:E73" si="9">SUM(D55:D72)</f>
        <v>259518744</v>
      </c>
      <c r="E73" s="853">
        <f t="shared" si="9"/>
        <v>4840941718</v>
      </c>
    </row>
    <row r="74" spans="2:5">
      <c r="B74" s="418"/>
      <c r="C74" s="418"/>
      <c r="D74" s="418"/>
      <c r="E74" s="418"/>
    </row>
    <row r="75" spans="2:5">
      <c r="B75" s="898" t="s">
        <v>1397</v>
      </c>
      <c r="C75" s="418"/>
      <c r="D75" s="418"/>
      <c r="E75" s="418"/>
    </row>
    <row r="76" spans="2:5">
      <c r="B76" s="783" t="s">
        <v>257</v>
      </c>
      <c r="C76" s="870" t="s">
        <v>326</v>
      </c>
      <c r="D76" s="870" t="s">
        <v>376</v>
      </c>
      <c r="E76" s="871" t="s">
        <v>327</v>
      </c>
    </row>
    <row r="77" spans="2:5">
      <c r="B77" s="774" t="s">
        <v>336</v>
      </c>
      <c r="C77" s="852"/>
      <c r="D77" s="852"/>
      <c r="E77" s="879">
        <f>SUM(C77:D77)</f>
        <v>0</v>
      </c>
    </row>
    <row r="78" spans="2:5">
      <c r="B78" s="774" t="s">
        <v>15</v>
      </c>
      <c r="C78" s="852"/>
      <c r="D78" s="852"/>
      <c r="E78" s="879">
        <f>SUM(C78:D78)</f>
        <v>0</v>
      </c>
    </row>
    <row r="79" spans="2:5">
      <c r="B79" s="774" t="s">
        <v>54</v>
      </c>
      <c r="C79" s="852"/>
      <c r="D79" s="852"/>
      <c r="E79" s="879">
        <f t="shared" ref="E79:E94" si="10">SUM(C79:D79)</f>
        <v>0</v>
      </c>
    </row>
    <row r="80" spans="2:5">
      <c r="B80" s="774" t="s">
        <v>1982</v>
      </c>
      <c r="C80" s="852"/>
      <c r="D80" s="852"/>
      <c r="E80" s="879">
        <f t="shared" si="10"/>
        <v>0</v>
      </c>
    </row>
    <row r="81" spans="2:5">
      <c r="B81" s="774" t="s">
        <v>885</v>
      </c>
      <c r="C81" s="852">
        <v>0</v>
      </c>
      <c r="D81" s="852">
        <v>0</v>
      </c>
      <c r="E81" s="879">
        <f t="shared" si="10"/>
        <v>0</v>
      </c>
    </row>
    <row r="82" spans="2:5">
      <c r="B82" s="774" t="s">
        <v>691</v>
      </c>
      <c r="C82" s="852"/>
      <c r="D82" s="852"/>
      <c r="E82" s="879">
        <f t="shared" si="10"/>
        <v>0</v>
      </c>
    </row>
    <row r="83" spans="2:5">
      <c r="B83" s="774" t="s">
        <v>904</v>
      </c>
      <c r="C83" s="852"/>
      <c r="D83" s="852"/>
      <c r="E83" s="879">
        <f t="shared" si="10"/>
        <v>0</v>
      </c>
    </row>
    <row r="84" spans="2:5">
      <c r="B84" s="774" t="s">
        <v>1983</v>
      </c>
      <c r="C84" s="852"/>
      <c r="D84" s="852"/>
      <c r="E84" s="879">
        <f t="shared" si="10"/>
        <v>0</v>
      </c>
    </row>
    <row r="85" spans="2:5">
      <c r="B85" s="774" t="s">
        <v>1366</v>
      </c>
      <c r="C85" s="852"/>
      <c r="D85" s="852"/>
      <c r="E85" s="879">
        <f t="shared" si="10"/>
        <v>0</v>
      </c>
    </row>
    <row r="86" spans="2:5">
      <c r="B86" s="774" t="s">
        <v>1984</v>
      </c>
      <c r="C86" s="852"/>
      <c r="D86" s="852"/>
      <c r="E86" s="879">
        <f t="shared" si="10"/>
        <v>0</v>
      </c>
    </row>
    <row r="87" spans="2:5">
      <c r="B87" s="774" t="s">
        <v>1985</v>
      </c>
      <c r="C87" s="852"/>
      <c r="D87" s="852"/>
      <c r="E87" s="879">
        <f t="shared" si="10"/>
        <v>0</v>
      </c>
    </row>
    <row r="88" spans="2:5">
      <c r="B88" s="774" t="s">
        <v>590</v>
      </c>
      <c r="C88" s="852"/>
      <c r="D88" s="852"/>
      <c r="E88" s="879">
        <f t="shared" si="10"/>
        <v>0</v>
      </c>
    </row>
    <row r="89" spans="2:5">
      <c r="B89" s="774" t="s">
        <v>2663</v>
      </c>
      <c r="C89" s="852"/>
      <c r="D89" s="852"/>
      <c r="E89" s="879"/>
    </row>
    <row r="90" spans="2:5">
      <c r="B90" s="774" t="s">
        <v>2654</v>
      </c>
      <c r="C90" s="852"/>
      <c r="D90" s="852"/>
      <c r="E90" s="879"/>
    </row>
    <row r="91" spans="2:5">
      <c r="B91" s="774" t="s">
        <v>3379</v>
      </c>
      <c r="C91" s="852"/>
      <c r="D91" s="852"/>
      <c r="E91" s="879"/>
    </row>
    <row r="92" spans="2:5">
      <c r="B92" s="774" t="s">
        <v>3380</v>
      </c>
      <c r="C92" s="852"/>
      <c r="D92" s="852"/>
      <c r="E92" s="879"/>
    </row>
    <row r="93" spans="2:5">
      <c r="B93" s="774" t="s">
        <v>713</v>
      </c>
      <c r="C93" s="852"/>
      <c r="D93" s="852"/>
      <c r="E93" s="879">
        <f t="shared" si="10"/>
        <v>0</v>
      </c>
    </row>
    <row r="94" spans="2:5">
      <c r="B94" s="774" t="s">
        <v>1986</v>
      </c>
      <c r="C94" s="852"/>
      <c r="D94" s="852"/>
      <c r="E94" s="879">
        <f t="shared" si="10"/>
        <v>0</v>
      </c>
    </row>
    <row r="95" spans="2:5">
      <c r="B95" s="867" t="s">
        <v>1987</v>
      </c>
      <c r="C95" s="853">
        <f>SUM(C77:C94)</f>
        <v>0</v>
      </c>
      <c r="D95" s="853">
        <f>SUM(D77:D94)</f>
        <v>0</v>
      </c>
      <c r="E95" s="853">
        <f>SUM(E77:E94)</f>
        <v>0</v>
      </c>
    </row>
    <row r="96" spans="2:5">
      <c r="B96" s="418"/>
      <c r="C96" s="418"/>
      <c r="D96" s="418"/>
      <c r="E96" s="418"/>
    </row>
    <row r="97" spans="2:9">
      <c r="B97" s="898" t="s">
        <v>2459</v>
      </c>
      <c r="C97" s="418"/>
      <c r="D97" s="418"/>
      <c r="E97" s="418"/>
    </row>
    <row r="98" spans="2:9">
      <c r="B98" s="783" t="s">
        <v>257</v>
      </c>
      <c r="C98" s="870" t="s">
        <v>326</v>
      </c>
      <c r="D98" s="870" t="s">
        <v>376</v>
      </c>
      <c r="E98" s="871" t="s">
        <v>327</v>
      </c>
    </row>
    <row r="99" spans="2:9">
      <c r="B99" s="774" t="s">
        <v>336</v>
      </c>
      <c r="C99" s="852"/>
      <c r="D99" s="852"/>
      <c r="E99" s="879">
        <f>SUM(C99:D99)</f>
        <v>0</v>
      </c>
    </row>
    <row r="100" spans="2:9">
      <c r="B100" s="774" t="s">
        <v>15</v>
      </c>
      <c r="C100" s="852"/>
      <c r="D100" s="852"/>
      <c r="E100" s="879">
        <f>SUM(C100:D100)</f>
        <v>0</v>
      </c>
    </row>
    <row r="101" spans="2:9">
      <c r="B101" s="774" t="s">
        <v>54</v>
      </c>
      <c r="C101" s="852"/>
      <c r="D101" s="852"/>
      <c r="E101" s="879">
        <f t="shared" ref="E101:E116" si="11">SUM(C101:D101)</f>
        <v>0</v>
      </c>
    </row>
    <row r="102" spans="2:9">
      <c r="B102" s="774" t="s">
        <v>1982</v>
      </c>
      <c r="C102" s="852"/>
      <c r="D102" s="852"/>
      <c r="E102" s="879">
        <f t="shared" si="11"/>
        <v>0</v>
      </c>
    </row>
    <row r="103" spans="2:9">
      <c r="B103" s="774" t="s">
        <v>885</v>
      </c>
      <c r="C103" s="852"/>
      <c r="D103" s="852"/>
      <c r="E103" s="879">
        <f t="shared" si="11"/>
        <v>0</v>
      </c>
    </row>
    <row r="104" spans="2:9">
      <c r="B104" s="774" t="s">
        <v>691</v>
      </c>
      <c r="C104" s="852"/>
      <c r="D104" s="852"/>
      <c r="E104" s="879">
        <f t="shared" si="11"/>
        <v>0</v>
      </c>
    </row>
    <row r="105" spans="2:9">
      <c r="B105" s="774" t="s">
        <v>904</v>
      </c>
      <c r="C105" s="852"/>
      <c r="D105" s="852"/>
      <c r="E105" s="879">
        <f t="shared" si="11"/>
        <v>0</v>
      </c>
    </row>
    <row r="106" spans="2:9">
      <c r="B106" s="774" t="s">
        <v>1983</v>
      </c>
      <c r="C106" s="852"/>
      <c r="D106" s="852"/>
      <c r="E106" s="879">
        <f t="shared" si="11"/>
        <v>0</v>
      </c>
    </row>
    <row r="107" spans="2:9">
      <c r="B107" s="774" t="s">
        <v>1366</v>
      </c>
      <c r="C107" s="852">
        <v>10757589</v>
      </c>
      <c r="D107" s="852"/>
      <c r="E107" s="879">
        <f t="shared" si="11"/>
        <v>10757589</v>
      </c>
    </row>
    <row r="108" spans="2:9">
      <c r="B108" s="774" t="s">
        <v>1984</v>
      </c>
      <c r="C108" s="852">
        <v>-81900665</v>
      </c>
      <c r="D108" s="852">
        <f>E108-C108</f>
        <v>81900665</v>
      </c>
      <c r="E108" s="879">
        <v>0</v>
      </c>
      <c r="G108" s="919" t="s">
        <v>2460</v>
      </c>
      <c r="H108" s="919">
        <f>연결BS!D60-연결BS!E60</f>
        <v>2751865436</v>
      </c>
      <c r="I108" s="889" t="s">
        <v>3393</v>
      </c>
    </row>
    <row r="109" spans="2:9">
      <c r="B109" s="774" t="s">
        <v>1985</v>
      </c>
      <c r="C109" s="852">
        <v>52312921</v>
      </c>
      <c r="D109" s="852">
        <f t="shared" ref="D109:D110" si="12">E109-C109</f>
        <v>-52312921</v>
      </c>
      <c r="E109" s="879">
        <v>0</v>
      </c>
      <c r="G109" s="919" t="s">
        <v>2461</v>
      </c>
      <c r="H109" s="919">
        <f>연결BS!D61-연결BS!E61</f>
        <v>-2072146663</v>
      </c>
      <c r="I109" s="889" t="s">
        <v>3392</v>
      </c>
    </row>
    <row r="110" spans="2:9">
      <c r="B110" s="774" t="s">
        <v>590</v>
      </c>
      <c r="C110" s="852">
        <v>12371411</v>
      </c>
      <c r="D110" s="852">
        <f t="shared" si="12"/>
        <v>-12371411</v>
      </c>
      <c r="E110" s="879">
        <v>0</v>
      </c>
      <c r="G110" s="919" t="s">
        <v>2462</v>
      </c>
      <c r="H110" s="919">
        <f>(연결BS!D92+연결BS!D85)-(연결BS!E92+연결BS!E85)</f>
        <v>839146663</v>
      </c>
      <c r="I110" s="889" t="s">
        <v>3392</v>
      </c>
    </row>
    <row r="111" spans="2:9">
      <c r="B111" s="774" t="s">
        <v>2663</v>
      </c>
      <c r="C111" s="852"/>
      <c r="D111" s="852"/>
      <c r="E111" s="879"/>
    </row>
    <row r="112" spans="2:9">
      <c r="B112" s="774" t="s">
        <v>2654</v>
      </c>
      <c r="C112" s="852"/>
      <c r="D112" s="852"/>
      <c r="E112" s="879"/>
    </row>
    <row r="113" spans="2:5">
      <c r="B113" s="774" t="s">
        <v>3379</v>
      </c>
      <c r="C113" s="852"/>
      <c r="D113" s="852"/>
      <c r="E113" s="879"/>
    </row>
    <row r="114" spans="2:5">
      <c r="B114" s="774" t="s">
        <v>3380</v>
      </c>
      <c r="C114" s="852"/>
      <c r="D114" s="852"/>
      <c r="E114" s="879"/>
    </row>
    <row r="115" spans="2:5">
      <c r="B115" s="774" t="s">
        <v>713</v>
      </c>
      <c r="C115" s="852">
        <v>74240486</v>
      </c>
      <c r="D115" s="852">
        <f>E115-C115</f>
        <v>20731190999</v>
      </c>
      <c r="E115" s="879">
        <f>ROUND(-SUM(BS!J149:N149)*22%,)</f>
        <v>20805431485</v>
      </c>
    </row>
    <row r="116" spans="2:5">
      <c r="B116" s="774" t="s">
        <v>1986</v>
      </c>
      <c r="C116" s="852"/>
      <c r="D116" s="852"/>
      <c r="E116" s="879">
        <f t="shared" si="11"/>
        <v>0</v>
      </c>
    </row>
    <row r="117" spans="2:5">
      <c r="B117" s="867" t="s">
        <v>1987</v>
      </c>
      <c r="C117" s="853">
        <f>SUM(C99:C116)</f>
        <v>67781742</v>
      </c>
      <c r="D117" s="853">
        <f t="shared" ref="D117:E117" si="13">SUM(D99:D116)</f>
        <v>20748407332</v>
      </c>
      <c r="E117" s="853">
        <f t="shared" si="13"/>
        <v>20816189074</v>
      </c>
    </row>
    <row r="118" spans="2:5">
      <c r="B118" s="418"/>
      <c r="C118" s="418"/>
      <c r="D118" s="418"/>
      <c r="E118" s="418"/>
    </row>
    <row r="119" spans="2:5">
      <c r="B119" s="418"/>
      <c r="C119" s="418"/>
      <c r="D119" s="418"/>
      <c r="E119" s="418"/>
    </row>
    <row r="120" spans="2:5">
      <c r="B120" s="418"/>
      <c r="C120" s="418"/>
      <c r="D120" s="418"/>
      <c r="E120" s="418"/>
    </row>
    <row r="121" spans="2:5">
      <c r="B121" s="889" t="s">
        <v>1988</v>
      </c>
      <c r="C121" s="917" t="s">
        <v>370</v>
      </c>
      <c r="D121" s="418"/>
      <c r="E121" s="418"/>
    </row>
    <row r="122" spans="2:5">
      <c r="C122" s="863" t="s">
        <v>1905</v>
      </c>
      <c r="D122" s="418"/>
    </row>
    <row r="123" spans="2:5">
      <c r="B123" s="783" t="s">
        <v>1989</v>
      </c>
      <c r="C123" s="870" t="s">
        <v>335</v>
      </c>
      <c r="D123" s="418"/>
    </row>
    <row r="124" spans="2:5">
      <c r="B124" s="867" t="s">
        <v>1990</v>
      </c>
      <c r="C124" s="853">
        <v>8078970362.9499998</v>
      </c>
      <c r="D124" s="418"/>
    </row>
  </sheetData>
  <phoneticPr fontId="3" type="noConversion"/>
  <pageMargins left="0.7" right="0.7" top="0.75" bottom="0.75" header="0.3" footer="0.3"/>
  <drawing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codeName="Sheet65"/>
  <dimension ref="A1:G43"/>
  <sheetViews>
    <sheetView showGridLines="0" zoomScale="85" zoomScaleNormal="85" workbookViewId="0">
      <selection activeCell="D29" sqref="D29:F33"/>
    </sheetView>
  </sheetViews>
  <sheetFormatPr defaultColWidth="9" defaultRowHeight="16.5"/>
  <cols>
    <col min="1" max="1" width="12.625" style="418" customWidth="1"/>
    <col min="2" max="2" width="25.625" style="418" customWidth="1"/>
    <col min="3" max="3" width="25.625" style="881" customWidth="1"/>
    <col min="4" max="5" width="19" style="881" customWidth="1"/>
    <col min="6" max="6" width="9" style="418"/>
    <col min="7" max="7" width="11.625" style="418" bestFit="1" customWidth="1"/>
    <col min="8" max="16384" width="9" style="418"/>
  </cols>
  <sheetData>
    <row r="1" spans="1:5">
      <c r="C1" s="418"/>
      <c r="D1" s="418"/>
      <c r="E1" s="418"/>
    </row>
    <row r="2" spans="1:5">
      <c r="B2" s="860" t="s">
        <v>1991</v>
      </c>
      <c r="C2" s="917"/>
      <c r="D2" s="418"/>
      <c r="E2" s="418"/>
    </row>
    <row r="3" spans="1:5">
      <c r="B3" s="861"/>
      <c r="C3" s="418"/>
      <c r="D3" s="418"/>
      <c r="E3" s="418"/>
    </row>
    <row r="4" spans="1:5">
      <c r="B4" s="862" t="s">
        <v>1992</v>
      </c>
      <c r="C4" s="418"/>
      <c r="D4" s="418"/>
      <c r="E4" s="418"/>
    </row>
    <row r="5" spans="1:5">
      <c r="C5" s="418"/>
      <c r="D5" s="418"/>
      <c r="E5" s="863" t="s">
        <v>368</v>
      </c>
    </row>
    <row r="6" spans="1:5" ht="13.5" customHeight="1">
      <c r="B6" s="2141" t="s">
        <v>257</v>
      </c>
      <c r="C6" s="2143" t="s">
        <v>1993</v>
      </c>
      <c r="D6" s="2144" t="str">
        <f>'5'!C8</f>
        <v>당기말</v>
      </c>
      <c r="E6" s="2145"/>
    </row>
    <row r="7" spans="1:5">
      <c r="B7" s="2142"/>
      <c r="C7" s="2114"/>
      <c r="D7" s="901" t="s">
        <v>1994</v>
      </c>
      <c r="E7" s="905" t="s">
        <v>1995</v>
      </c>
    </row>
    <row r="8" spans="1:5">
      <c r="A8" s="418" t="s">
        <v>3991</v>
      </c>
      <c r="B8" s="904" t="s">
        <v>1996</v>
      </c>
      <c r="C8" s="890" t="s">
        <v>574</v>
      </c>
      <c r="D8" s="852">
        <v>1820000000</v>
      </c>
      <c r="E8" s="920">
        <v>1820000000</v>
      </c>
    </row>
    <row r="9" spans="1:5">
      <c r="A9" s="418" t="s">
        <v>3991</v>
      </c>
      <c r="B9" s="904" t="s">
        <v>1996</v>
      </c>
      <c r="C9" s="890" t="s">
        <v>1917</v>
      </c>
      <c r="D9" s="852">
        <v>0</v>
      </c>
      <c r="E9" s="920">
        <v>0</v>
      </c>
    </row>
    <row r="10" spans="1:5">
      <c r="A10" s="418" t="s">
        <v>3991</v>
      </c>
      <c r="B10" s="904" t="s">
        <v>2715</v>
      </c>
      <c r="C10" s="890" t="s">
        <v>574</v>
      </c>
      <c r="D10" s="852">
        <v>2900000000</v>
      </c>
      <c r="E10" s="920">
        <v>2900000000</v>
      </c>
    </row>
    <row r="11" spans="1:5">
      <c r="A11" s="418" t="s">
        <v>3991</v>
      </c>
      <c r="B11" s="904" t="s">
        <v>2715</v>
      </c>
      <c r="C11" s="890" t="s">
        <v>574</v>
      </c>
      <c r="D11" s="852">
        <v>500000000</v>
      </c>
      <c r="E11" s="920">
        <v>500000000</v>
      </c>
    </row>
    <row r="12" spans="1:5" ht="13.5" customHeight="1">
      <c r="B12" s="2149" t="s">
        <v>144</v>
      </c>
      <c r="C12" s="2150"/>
      <c r="D12" s="1844">
        <f>SUM(D8:D11)</f>
        <v>5220000000</v>
      </c>
      <c r="E12" s="1844">
        <f>SUM(E8:E11)</f>
        <v>5220000000</v>
      </c>
    </row>
    <row r="13" spans="1:5">
      <c r="B13" s="861"/>
      <c r="C13" s="418"/>
      <c r="D13" s="418"/>
      <c r="E13" s="418" t="b">
        <f>E12='18'!C25</f>
        <v>1</v>
      </c>
    </row>
    <row r="14" spans="1:5">
      <c r="B14" s="862" t="s">
        <v>1997</v>
      </c>
      <c r="C14" s="418"/>
      <c r="D14" s="418"/>
      <c r="E14" s="418"/>
    </row>
    <row r="15" spans="1:5">
      <c r="C15" s="418"/>
      <c r="D15" s="418"/>
      <c r="E15" s="863" t="s">
        <v>368</v>
      </c>
    </row>
    <row r="16" spans="1:5">
      <c r="B16" s="2141" t="s">
        <v>1998</v>
      </c>
      <c r="C16" s="2143" t="s">
        <v>1999</v>
      </c>
      <c r="D16" s="2143" t="s">
        <v>2000</v>
      </c>
      <c r="E16" s="891" t="s">
        <v>2001</v>
      </c>
    </row>
    <row r="17" spans="1:7">
      <c r="B17" s="2142"/>
      <c r="C17" s="2114"/>
      <c r="D17" s="2114"/>
      <c r="E17" s="902" t="str">
        <f>D6</f>
        <v>당기말</v>
      </c>
    </row>
    <row r="18" spans="1:7">
      <c r="B18" s="894" t="s">
        <v>2002</v>
      </c>
      <c r="C18" s="890"/>
      <c r="D18" s="890"/>
      <c r="E18" s="903"/>
    </row>
    <row r="19" spans="1:7">
      <c r="A19" s="418" t="s">
        <v>3991</v>
      </c>
      <c r="B19" s="1555" t="s">
        <v>2982</v>
      </c>
      <c r="C19" s="1556" t="s">
        <v>2003</v>
      </c>
      <c r="D19" s="1556" t="s">
        <v>2004</v>
      </c>
      <c r="E19" s="1557">
        <v>0</v>
      </c>
    </row>
    <row r="20" spans="1:7">
      <c r="B20" s="1558" t="s">
        <v>2005</v>
      </c>
      <c r="C20" s="1556"/>
      <c r="D20" s="1556"/>
      <c r="E20" s="1557"/>
    </row>
    <row r="21" spans="1:7">
      <c r="A21" s="418" t="s">
        <v>3991</v>
      </c>
      <c r="B21" s="1555" t="s">
        <v>2006</v>
      </c>
      <c r="C21" s="1556" t="s">
        <v>2003</v>
      </c>
      <c r="D21" s="1556" t="s">
        <v>2004</v>
      </c>
      <c r="E21" s="1557">
        <v>0</v>
      </c>
    </row>
    <row r="22" spans="1:7">
      <c r="A22" s="418" t="s">
        <v>3991</v>
      </c>
      <c r="B22" s="1555" t="s">
        <v>2007</v>
      </c>
      <c r="C22" s="1556" t="s">
        <v>2008</v>
      </c>
      <c r="D22" s="1556" t="s">
        <v>2009</v>
      </c>
      <c r="E22" s="1557">
        <v>138000000</v>
      </c>
    </row>
    <row r="23" spans="1:7">
      <c r="B23" s="2146" t="s">
        <v>372</v>
      </c>
      <c r="C23" s="2147"/>
      <c r="D23" s="2148"/>
      <c r="E23" s="1559">
        <f>SUM(E19:E22)</f>
        <v>138000000</v>
      </c>
    </row>
    <row r="26" spans="1:7">
      <c r="B26" s="1501" t="s">
        <v>2937</v>
      </c>
      <c r="C26" s="1276"/>
      <c r="D26" s="1276"/>
      <c r="E26" s="1276"/>
      <c r="F26" s="1276"/>
      <c r="G26" s="1276"/>
    </row>
    <row r="27" spans="1:7">
      <c r="B27" s="1276"/>
      <c r="C27" s="1276"/>
      <c r="D27" s="1276"/>
      <c r="E27" s="1276"/>
      <c r="F27" s="1276"/>
      <c r="G27" s="1276"/>
    </row>
    <row r="28" spans="1:7">
      <c r="B28" s="1502" t="s">
        <v>2938</v>
      </c>
      <c r="C28" s="1502" t="s">
        <v>356</v>
      </c>
      <c r="D28" s="1502" t="s">
        <v>2939</v>
      </c>
      <c r="E28" s="1502" t="s">
        <v>2940</v>
      </c>
      <c r="F28" s="1502" t="s">
        <v>2905</v>
      </c>
      <c r="G28" s="1503" t="s">
        <v>2941</v>
      </c>
    </row>
    <row r="29" spans="1:7">
      <c r="A29" s="418" t="s">
        <v>403</v>
      </c>
      <c r="B29" s="1504" t="s">
        <v>2953</v>
      </c>
      <c r="C29" s="1505">
        <v>1115280040</v>
      </c>
      <c r="D29" s="2132">
        <v>4080000000</v>
      </c>
      <c r="E29" s="2135" t="s">
        <v>2714</v>
      </c>
      <c r="F29" s="2135" t="s">
        <v>2954</v>
      </c>
      <c r="G29" s="2138">
        <v>3400000000</v>
      </c>
    </row>
    <row r="30" spans="1:7">
      <c r="A30" s="418" t="s">
        <v>3991</v>
      </c>
      <c r="B30" s="1504" t="s">
        <v>2955</v>
      </c>
      <c r="C30" s="1505">
        <v>2770469046</v>
      </c>
      <c r="D30" s="2133"/>
      <c r="E30" s="2136"/>
      <c r="F30" s="2136"/>
      <c r="G30" s="2139"/>
    </row>
    <row r="31" spans="1:7">
      <c r="A31" s="418" t="s">
        <v>3991</v>
      </c>
      <c r="B31" s="1504" t="s">
        <v>34</v>
      </c>
      <c r="C31" s="1505">
        <v>1376213175</v>
      </c>
      <c r="D31" s="2134"/>
      <c r="E31" s="2137"/>
      <c r="F31" s="2137"/>
      <c r="G31" s="2140"/>
    </row>
    <row r="32" spans="1:7">
      <c r="A32" s="418" t="s">
        <v>3991</v>
      </c>
      <c r="B32" s="1504" t="s">
        <v>2942</v>
      </c>
      <c r="C32" s="1505">
        <v>204494</v>
      </c>
      <c r="D32" s="1505">
        <v>480000000</v>
      </c>
      <c r="E32" s="1504" t="s">
        <v>574</v>
      </c>
      <c r="F32" s="1504" t="s">
        <v>2943</v>
      </c>
      <c r="G32" s="1505">
        <v>400000000</v>
      </c>
    </row>
    <row r="33" spans="2:7">
      <c r="B33" s="1504" t="s">
        <v>2735</v>
      </c>
      <c r="C33" s="1505">
        <f>SUM(C29:C32)</f>
        <v>5262166755</v>
      </c>
      <c r="D33" s="1505">
        <f>SUM(D29:D32)</f>
        <v>4560000000</v>
      </c>
      <c r="E33" s="1506" t="s">
        <v>274</v>
      </c>
      <c r="F33" s="1506" t="s">
        <v>274</v>
      </c>
      <c r="G33" s="1505">
        <f>SUM(G29:G32)</f>
        <v>3800000000</v>
      </c>
    </row>
    <row r="36" spans="2:7">
      <c r="B36" s="418" t="s">
        <v>3997</v>
      </c>
      <c r="D36" s="418"/>
      <c r="E36" s="418"/>
    </row>
    <row r="37" spans="2:7">
      <c r="D37" s="418"/>
      <c r="E37" s="418"/>
    </row>
    <row r="38" spans="2:7">
      <c r="B38" s="418" t="s">
        <v>3998</v>
      </c>
      <c r="D38" s="418"/>
      <c r="E38" s="418"/>
    </row>
    <row r="39" spans="2:7">
      <c r="D39" s="418"/>
      <c r="E39" s="418"/>
    </row>
    <row r="40" spans="2:7">
      <c r="D40" s="418"/>
      <c r="E40" s="418"/>
    </row>
    <row r="41" spans="2:7">
      <c r="D41" s="418"/>
      <c r="E41" s="418"/>
    </row>
    <row r="42" spans="2:7">
      <c r="D42" s="418"/>
      <c r="E42" s="418"/>
    </row>
    <row r="43" spans="2:7">
      <c r="D43" s="418"/>
      <c r="E43" s="418"/>
    </row>
  </sheetData>
  <mergeCells count="12">
    <mergeCell ref="D29:D31"/>
    <mergeCell ref="E29:E31"/>
    <mergeCell ref="F29:F31"/>
    <mergeCell ref="G29:G31"/>
    <mergeCell ref="B6:B7"/>
    <mergeCell ref="C6:C7"/>
    <mergeCell ref="D6:E6"/>
    <mergeCell ref="B23:D23"/>
    <mergeCell ref="B12:C12"/>
    <mergeCell ref="B16:B17"/>
    <mergeCell ref="C16:C17"/>
    <mergeCell ref="D16:D17"/>
  </mergeCells>
  <phoneticPr fontId="3"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9" operator="containsText" id="{792FA45E-7564-44B5-A88E-01F216ECD2E6}">
            <xm:f>NOT(ISERROR(SEARCH("false",A1)))</xm:f>
            <xm:f>"false"</xm:f>
            <x14:dxf>
              <fill>
                <patternFill>
                  <bgColor rgb="FFFF0000"/>
                </patternFill>
              </fill>
            </x14:dxf>
          </x14:cfRule>
          <xm:sqref>A1:XFD25 A26:A33 H26:XFD33 A34:XFD1048576</xm:sqref>
        </x14:conditionalFormatting>
        <x14:conditionalFormatting xmlns:xm="http://schemas.microsoft.com/office/excel/2006/main">
          <x14:cfRule type="containsText" priority="3" operator="containsText" id="{FD4CCD47-BAEF-4A50-A44A-7115BBABC177}">
            <xm:f>NOT(ISERROR(SEARCH("FALSE",B30)))</xm:f>
            <xm:f>"FALSE"</xm:f>
            <x14:dxf>
              <fill>
                <patternFill>
                  <bgColor theme="5"/>
                </patternFill>
              </fill>
            </x14:dxf>
          </x14:cfRule>
          <x14:cfRule type="containsText" priority="4" operator="containsText" id="{84EB9820-90BC-4A3D-90DF-CFD7BDC3006C}">
            <xm:f>NOT(ISERROR(SEARCH("TRUE",B30)))</xm:f>
            <xm:f>"TRUE"</xm:f>
            <x14:dxf>
              <fill>
                <patternFill>
                  <bgColor theme="9" tint="0.79998168889431442"/>
                </patternFill>
              </fill>
            </x14:dxf>
          </x14:cfRule>
          <xm:sqref>B30:C31</xm:sqref>
        </x14:conditionalFormatting>
        <x14:conditionalFormatting xmlns:xm="http://schemas.microsoft.com/office/excel/2006/main">
          <x14:cfRule type="containsText" priority="7" operator="containsText" id="{2341FBBF-1EC5-4C4F-A0DD-0C344AD0FB1D}">
            <xm:f>NOT(ISERROR(SEARCH("FALSE",B32)))</xm:f>
            <xm:f>"FALSE"</xm:f>
            <x14:dxf>
              <fill>
                <patternFill>
                  <bgColor theme="5"/>
                </patternFill>
              </fill>
            </x14:dxf>
          </x14:cfRule>
          <x14:cfRule type="containsText" priority="8" operator="containsText" id="{79223AD0-03D4-48AC-ABBE-6A3197DCE515}">
            <xm:f>NOT(ISERROR(SEARCH("TRUE",B32)))</xm:f>
            <xm:f>"TRUE"</xm:f>
            <x14:dxf>
              <fill>
                <patternFill>
                  <bgColor theme="9" tint="0.79998168889431442"/>
                </patternFill>
              </fill>
            </x14:dxf>
          </x14:cfRule>
          <xm:sqref>B32:F32 B33:D33</xm:sqref>
        </x14:conditionalFormatting>
        <x14:conditionalFormatting xmlns:xm="http://schemas.microsoft.com/office/excel/2006/main">
          <x14:cfRule type="containsText" priority="1" operator="containsText" id="{37042B62-A06C-4E35-87B7-7996D15A9402}">
            <xm:f>NOT(ISERROR(SEARCH("FALSE",B26)))</xm:f>
            <xm:f>"FALSE"</xm:f>
            <x14:dxf>
              <fill>
                <patternFill>
                  <bgColor theme="5"/>
                </patternFill>
              </fill>
            </x14:dxf>
          </x14:cfRule>
          <x14:cfRule type="containsText" priority="2" operator="containsText" id="{B607A158-C09E-4718-9AF9-DA48045D995D}">
            <xm:f>NOT(ISERROR(SEARCH("TRUE",B26)))</xm:f>
            <xm:f>"TRUE"</xm:f>
            <x14:dxf>
              <fill>
                <patternFill>
                  <bgColor theme="9" tint="0.79998168889431442"/>
                </patternFill>
              </fill>
            </x14:dxf>
          </x14:cfRule>
          <xm:sqref>B26:G29</xm:sqref>
        </x14:conditionalFormatting>
        <x14:conditionalFormatting xmlns:xm="http://schemas.microsoft.com/office/excel/2006/main">
          <x14:cfRule type="containsText" priority="5" operator="containsText" id="{56549E12-A011-45DE-AA7A-78309D1532D8}">
            <xm:f>NOT(ISERROR(SEARCH("FALSE",G32)))</xm:f>
            <xm:f>"FALSE"</xm:f>
            <x14:dxf>
              <fill>
                <patternFill>
                  <bgColor theme="5"/>
                </patternFill>
              </fill>
            </x14:dxf>
          </x14:cfRule>
          <x14:cfRule type="containsText" priority="6" operator="containsText" id="{AF49DFB9-434A-4794-9AD0-9BA6F5236AFA}">
            <xm:f>NOT(ISERROR(SEARCH("TRUE",G32)))</xm:f>
            <xm:f>"TRUE"</xm:f>
            <x14:dxf>
              <fill>
                <patternFill>
                  <bgColor theme="9" tint="0.79998168889431442"/>
                </patternFill>
              </fill>
            </x14:dxf>
          </x14:cfRule>
          <xm:sqref>G32:G33</xm:sqref>
        </x14:conditionalFormatting>
      </x14:conditionalFormattings>
    </ext>
  </extLst>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codeName="Sheet66"/>
  <dimension ref="B2:H8"/>
  <sheetViews>
    <sheetView showGridLines="0" zoomScale="85" zoomScaleNormal="85" workbookViewId="0">
      <selection activeCell="E21" sqref="E21"/>
    </sheetView>
  </sheetViews>
  <sheetFormatPr defaultColWidth="9" defaultRowHeight="16.5"/>
  <cols>
    <col min="1" max="1" width="4" style="418" customWidth="1"/>
    <col min="2" max="2" width="23.875" style="418" customWidth="1"/>
    <col min="3" max="6" width="19.125" style="418" customWidth="1"/>
    <col min="7" max="16384" width="9" style="418"/>
  </cols>
  <sheetData>
    <row r="2" spans="2:8">
      <c r="B2" s="860" t="s">
        <v>2010</v>
      </c>
    </row>
    <row r="3" spans="2:8">
      <c r="B3" s="861"/>
    </row>
    <row r="5" spans="2:8">
      <c r="F5" s="863" t="s">
        <v>2011</v>
      </c>
    </row>
    <row r="6" spans="2:8">
      <c r="B6" s="783" t="s">
        <v>257</v>
      </c>
      <c r="C6" s="870" t="s">
        <v>382</v>
      </c>
      <c r="D6" s="870" t="s">
        <v>63</v>
      </c>
      <c r="E6" s="870" t="s">
        <v>65</v>
      </c>
      <c r="F6" s="871" t="s">
        <v>372</v>
      </c>
    </row>
    <row r="7" spans="2:8">
      <c r="B7" s="867" t="s">
        <v>335</v>
      </c>
      <c r="C7" s="853">
        <v>11382383</v>
      </c>
      <c r="D7" s="853">
        <f>연결BS!D105</f>
        <v>5691191500</v>
      </c>
      <c r="E7" s="853">
        <f>연결BS!D107</f>
        <v>45157382298</v>
      </c>
      <c r="F7" s="880">
        <f>SUM(D7:E7)</f>
        <v>50848573798</v>
      </c>
      <c r="G7" s="418" t="b">
        <f>F7=연결BS!D106+연결BS!D104</f>
        <v>1</v>
      </c>
      <c r="H7" s="909" t="b">
        <f>D7/C7=500</f>
        <v>1</v>
      </c>
    </row>
    <row r="8" spans="2:8">
      <c r="B8" s="418" t="s">
        <v>2012</v>
      </c>
    </row>
  </sheetData>
  <phoneticPr fontId="3"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 operator="containsText" id="{695F3DAB-B679-4A38-A9B1-65DA1083D110}">
            <xm:f>NOT(ISERROR(SEARCH("false",A1)))</xm:f>
            <xm:f>"false"</xm:f>
            <x14:dxf>
              <fill>
                <patternFill>
                  <bgColor rgb="FFC00000"/>
                </patternFill>
              </fill>
            </x14:dxf>
          </x14:cfRule>
          <x14:cfRule type="containsText" priority="2" operator="containsText" id="{5FB8A3DC-9EEE-4AEF-8F51-F430BBD896D3}">
            <xm:f>NOT(ISERROR(SEARCH("true",A1)))</xm:f>
            <xm:f>"true"</xm:f>
            <x14:dxf>
              <fill>
                <patternFill>
                  <bgColor theme="9" tint="0.79998168889431442"/>
                </patternFill>
              </fill>
            </x14:dxf>
          </x14:cfRule>
          <xm:sqref>A1:XFD1048576</xm:sqref>
        </x14:conditionalFormatting>
      </x14:conditionalFormattings>
    </ext>
  </extLst>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codeName="Sheet67"/>
  <dimension ref="B2:G38"/>
  <sheetViews>
    <sheetView showGridLines="0" zoomScale="85" zoomScaleNormal="85" workbookViewId="0">
      <selection activeCell="B8" sqref="B8"/>
    </sheetView>
  </sheetViews>
  <sheetFormatPr defaultColWidth="9" defaultRowHeight="16.5"/>
  <cols>
    <col min="1" max="1" width="2.875" style="418" customWidth="1"/>
    <col min="2" max="2" width="26.125" style="418" customWidth="1"/>
    <col min="3" max="4" width="26.125" style="881" customWidth="1"/>
    <col min="5" max="7" width="26.125" style="418" customWidth="1"/>
    <col min="8" max="8" width="14.5" style="418" customWidth="1"/>
    <col min="9" max="16384" width="9" style="418"/>
  </cols>
  <sheetData>
    <row r="2" spans="2:7">
      <c r="B2" s="860" t="s">
        <v>2013</v>
      </c>
      <c r="C2" s="917" t="s">
        <v>370</v>
      </c>
      <c r="D2" s="418"/>
    </row>
    <row r="3" spans="2:7">
      <c r="B3" s="861"/>
      <c r="C3" s="418"/>
      <c r="D3" s="418"/>
    </row>
    <row r="4" spans="2:7">
      <c r="B4" s="418" t="s">
        <v>2014</v>
      </c>
      <c r="C4" s="418"/>
      <c r="D4" s="418"/>
    </row>
    <row r="5" spans="2:7">
      <c r="B5" s="418" t="s">
        <v>2015</v>
      </c>
      <c r="C5" s="418"/>
      <c r="D5" s="418"/>
    </row>
    <row r="6" spans="2:7">
      <c r="C6" s="418"/>
      <c r="D6" s="418"/>
    </row>
    <row r="7" spans="2:7">
      <c r="B7" s="418" t="s">
        <v>2016</v>
      </c>
      <c r="C7" s="418"/>
      <c r="D7" s="418"/>
    </row>
    <row r="8" spans="2:7">
      <c r="B8" s="783" t="s">
        <v>379</v>
      </c>
      <c r="C8" s="870" t="s">
        <v>2017</v>
      </c>
      <c r="D8" s="870" t="s">
        <v>2018</v>
      </c>
      <c r="E8" s="870" t="s">
        <v>2019</v>
      </c>
      <c r="F8" s="870" t="s">
        <v>2020</v>
      </c>
      <c r="G8" s="871" t="s">
        <v>2021</v>
      </c>
    </row>
    <row r="9" spans="2:7">
      <c r="B9" s="866" t="s">
        <v>2022</v>
      </c>
      <c r="C9" s="890" t="s">
        <v>2023</v>
      </c>
      <c r="D9" s="890" t="s">
        <v>2023</v>
      </c>
      <c r="E9" s="890" t="s">
        <v>2023</v>
      </c>
      <c r="F9" s="890" t="s">
        <v>2023</v>
      </c>
      <c r="G9" s="777" t="s">
        <v>2023</v>
      </c>
    </row>
    <row r="10" spans="2:7">
      <c r="B10" s="866" t="s">
        <v>2024</v>
      </c>
      <c r="C10" s="890" t="s">
        <v>2025</v>
      </c>
      <c r="D10" s="890" t="s">
        <v>2026</v>
      </c>
      <c r="E10" s="890" t="s">
        <v>2027</v>
      </c>
      <c r="F10" s="890" t="s">
        <v>2028</v>
      </c>
      <c r="G10" s="777" t="s">
        <v>2029</v>
      </c>
    </row>
    <row r="11" spans="2:7">
      <c r="B11" s="866" t="s">
        <v>2030</v>
      </c>
      <c r="C11" s="890" t="s">
        <v>2031</v>
      </c>
      <c r="D11" s="890" t="s">
        <v>2032</v>
      </c>
      <c r="E11" s="890" t="s">
        <v>2033</v>
      </c>
      <c r="F11" s="890" t="s">
        <v>2034</v>
      </c>
      <c r="G11" s="777" t="s">
        <v>2035</v>
      </c>
    </row>
    <row r="12" spans="2:7">
      <c r="B12" s="866" t="s">
        <v>2036</v>
      </c>
      <c r="C12" s="890" t="s">
        <v>2037</v>
      </c>
      <c r="D12" s="890" t="s">
        <v>2038</v>
      </c>
      <c r="E12" s="890" t="s">
        <v>2039</v>
      </c>
      <c r="F12" s="890" t="s">
        <v>2040</v>
      </c>
      <c r="G12" s="777" t="s">
        <v>2041</v>
      </c>
    </row>
    <row r="13" spans="2:7">
      <c r="B13" s="866" t="s">
        <v>2042</v>
      </c>
      <c r="C13" s="890" t="s">
        <v>2043</v>
      </c>
      <c r="D13" s="890" t="s">
        <v>2026</v>
      </c>
      <c r="E13" s="890" t="s">
        <v>2027</v>
      </c>
      <c r="F13" s="890" t="s">
        <v>2028</v>
      </c>
      <c r="G13" s="777" t="s">
        <v>2029</v>
      </c>
    </row>
    <row r="14" spans="2:7">
      <c r="B14" s="866" t="s">
        <v>2044</v>
      </c>
      <c r="C14" s="890" t="s">
        <v>2045</v>
      </c>
      <c r="D14" s="890" t="s">
        <v>2046</v>
      </c>
      <c r="E14" s="890" t="s">
        <v>2047</v>
      </c>
      <c r="F14" s="890" t="s">
        <v>2048</v>
      </c>
      <c r="G14" s="777" t="s">
        <v>2029</v>
      </c>
    </row>
    <row r="15" spans="2:7">
      <c r="B15" s="866" t="s">
        <v>2049</v>
      </c>
      <c r="C15" s="890" t="s">
        <v>2050</v>
      </c>
      <c r="D15" s="890" t="s">
        <v>2051</v>
      </c>
      <c r="E15" s="890" t="s">
        <v>2052</v>
      </c>
      <c r="F15" s="890" t="s">
        <v>2053</v>
      </c>
      <c r="G15" s="777" t="s">
        <v>2051</v>
      </c>
    </row>
    <row r="16" spans="2:7">
      <c r="B16" s="867" t="s">
        <v>2054</v>
      </c>
      <c r="C16" s="780" t="s">
        <v>2055</v>
      </c>
      <c r="D16" s="780" t="s">
        <v>2055</v>
      </c>
      <c r="E16" s="780" t="s">
        <v>2055</v>
      </c>
      <c r="F16" s="780" t="s">
        <v>2055</v>
      </c>
      <c r="G16" s="781" t="s">
        <v>2055</v>
      </c>
    </row>
    <row r="17" spans="2:4">
      <c r="C17" s="418"/>
      <c r="D17" s="418"/>
    </row>
    <row r="18" spans="2:4">
      <c r="B18" s="418" t="s">
        <v>2056</v>
      </c>
      <c r="C18" s="418"/>
      <c r="D18" s="418"/>
    </row>
    <row r="19" spans="2:4">
      <c r="C19" s="863" t="s">
        <v>381</v>
      </c>
      <c r="D19" s="418"/>
    </row>
    <row r="20" spans="2:4">
      <c r="B20" s="2101" t="s">
        <v>257</v>
      </c>
      <c r="C20" s="870" t="s">
        <v>335</v>
      </c>
      <c r="D20" s="418"/>
    </row>
    <row r="21" spans="2:4">
      <c r="B21" s="2102"/>
      <c r="C21" s="784" t="s">
        <v>2057</v>
      </c>
      <c r="D21" s="418"/>
    </row>
    <row r="22" spans="2:4">
      <c r="B22" s="866" t="s">
        <v>326</v>
      </c>
      <c r="C22" s="785">
        <v>466460</v>
      </c>
      <c r="D22" s="418"/>
    </row>
    <row r="23" spans="2:4">
      <c r="B23" s="866" t="s">
        <v>2058</v>
      </c>
      <c r="C23" s="786" t="s">
        <v>274</v>
      </c>
      <c r="D23" s="418"/>
    </row>
    <row r="24" spans="2:4">
      <c r="B24" s="866" t="s">
        <v>2059</v>
      </c>
      <c r="C24" s="786" t="s">
        <v>274</v>
      </c>
      <c r="D24" s="418"/>
    </row>
    <row r="25" spans="2:4">
      <c r="B25" s="866" t="s">
        <v>2060</v>
      </c>
      <c r="C25" s="786" t="s">
        <v>274</v>
      </c>
      <c r="D25" s="418"/>
    </row>
    <row r="26" spans="2:4">
      <c r="B26" s="867" t="s">
        <v>327</v>
      </c>
      <c r="C26" s="788">
        <v>466460</v>
      </c>
      <c r="D26" s="418"/>
    </row>
    <row r="27" spans="2:4">
      <c r="B27" s="861"/>
      <c r="C27" s="418"/>
      <c r="D27" s="418"/>
    </row>
    <row r="28" spans="2:4">
      <c r="B28" s="418" t="s">
        <v>2061</v>
      </c>
      <c r="C28" s="418"/>
      <c r="D28" s="418"/>
    </row>
    <row r="29" spans="2:4">
      <c r="C29" s="863" t="s">
        <v>368</v>
      </c>
      <c r="D29" s="418"/>
    </row>
    <row r="30" spans="2:4">
      <c r="B30" s="783" t="s">
        <v>324</v>
      </c>
      <c r="C30" s="870" t="s">
        <v>328</v>
      </c>
      <c r="D30" s="418"/>
    </row>
    <row r="31" spans="2:4">
      <c r="B31" s="774" t="s">
        <v>2062</v>
      </c>
      <c r="C31" s="785">
        <v>292173459</v>
      </c>
      <c r="D31" s="418"/>
    </row>
    <row r="32" spans="2:4">
      <c r="B32" s="774" t="s">
        <v>2063</v>
      </c>
      <c r="C32" s="785">
        <v>266398256</v>
      </c>
      <c r="D32" s="418"/>
    </row>
    <row r="33" spans="2:4">
      <c r="B33" s="774" t="s">
        <v>2064</v>
      </c>
      <c r="C33" s="785">
        <v>20768099</v>
      </c>
      <c r="D33" s="418"/>
    </row>
    <row r="34" spans="2:4">
      <c r="B34" s="778" t="s">
        <v>2065</v>
      </c>
      <c r="C34" s="788">
        <v>5007104</v>
      </c>
      <c r="D34" s="418"/>
    </row>
    <row r="35" spans="2:4">
      <c r="B35" s="861"/>
      <c r="C35" s="418"/>
      <c r="D35" s="418"/>
    </row>
    <row r="36" spans="2:4">
      <c r="B36" s="418" t="s">
        <v>2066</v>
      </c>
      <c r="C36" s="418"/>
      <c r="D36" s="418"/>
    </row>
    <row r="37" spans="2:4">
      <c r="C37" s="418"/>
      <c r="D37" s="418"/>
    </row>
    <row r="38" spans="2:4">
      <c r="B38" s="418" t="s">
        <v>2067</v>
      </c>
      <c r="C38" s="418"/>
      <c r="D38" s="418"/>
    </row>
  </sheetData>
  <mergeCells count="1">
    <mergeCell ref="B20:B21"/>
  </mergeCells>
  <phoneticPr fontId="3" type="noConversion"/>
  <pageMargins left="0.7" right="0.7" top="0.75" bottom="0.75" header="0.3" footer="0.3"/>
  <drawing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codeName="Sheet68"/>
  <dimension ref="B2:D16"/>
  <sheetViews>
    <sheetView showGridLines="0" zoomScale="85" zoomScaleNormal="85" workbookViewId="0">
      <selection activeCell="C12" sqref="C12:C15"/>
    </sheetView>
  </sheetViews>
  <sheetFormatPr defaultColWidth="9" defaultRowHeight="16.5"/>
  <cols>
    <col min="1" max="1" width="4.875" style="418" customWidth="1"/>
    <col min="2" max="2" width="29.375" style="418" customWidth="1"/>
    <col min="3" max="3" width="29.375" style="881" customWidth="1"/>
    <col min="4" max="16384" width="9" style="418"/>
  </cols>
  <sheetData>
    <row r="2" spans="2:4">
      <c r="B2" s="860" t="s">
        <v>2068</v>
      </c>
      <c r="C2" s="418"/>
    </row>
    <row r="3" spans="2:4">
      <c r="B3" s="861"/>
      <c r="C3" s="418"/>
    </row>
    <row r="4" spans="2:4">
      <c r="B4" s="418" t="s">
        <v>2069</v>
      </c>
      <c r="C4" s="418"/>
    </row>
    <row r="5" spans="2:4">
      <c r="C5" s="863" t="s">
        <v>368</v>
      </c>
    </row>
    <row r="6" spans="2:4">
      <c r="B6" s="783" t="s">
        <v>257</v>
      </c>
      <c r="C6" s="870" t="str">
        <f>'6'!C20</f>
        <v>당기말</v>
      </c>
    </row>
    <row r="7" spans="2:4">
      <c r="B7" s="867" t="s">
        <v>2070</v>
      </c>
      <c r="C7" s="853">
        <f>연결BS!D112</f>
        <v>-9815637989</v>
      </c>
      <c r="D7" s="418" t="b">
        <f>C7=연결BS!D112</f>
        <v>1</v>
      </c>
    </row>
    <row r="8" spans="2:4">
      <c r="C8" s="418"/>
    </row>
    <row r="9" spans="2:4">
      <c r="B9" s="418" t="s">
        <v>2071</v>
      </c>
      <c r="C9" s="418"/>
    </row>
    <row r="10" spans="2:4">
      <c r="C10" s="863" t="s">
        <v>1888</v>
      </c>
    </row>
    <row r="11" spans="2:4">
      <c r="B11" s="783" t="s">
        <v>324</v>
      </c>
      <c r="C11" s="870" t="str">
        <f>'6'!C31</f>
        <v>당기</v>
      </c>
    </row>
    <row r="12" spans="2:4">
      <c r="B12" s="774" t="s">
        <v>2072</v>
      </c>
      <c r="C12" s="852">
        <f>연결BS!E112</f>
        <v>-8948083488</v>
      </c>
    </row>
    <row r="13" spans="2:4">
      <c r="B13" s="774" t="s">
        <v>902</v>
      </c>
      <c r="C13" s="852">
        <f>연결PL!D101</f>
        <v>-867554501</v>
      </c>
    </row>
    <row r="14" spans="2:4">
      <c r="B14" s="774" t="s">
        <v>333</v>
      </c>
      <c r="C14" s="852">
        <f>연결PL!D106</f>
        <v>0</v>
      </c>
    </row>
    <row r="15" spans="2:4">
      <c r="B15" s="778" t="s">
        <v>2073</v>
      </c>
      <c r="C15" s="853">
        <f>SUM(C12:C14)</f>
        <v>-9815637989</v>
      </c>
    </row>
    <row r="16" spans="2:4">
      <c r="C16" s="881" t="b">
        <f>C15=C7</f>
        <v>1</v>
      </c>
    </row>
  </sheetData>
  <phoneticPr fontId="3"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 operator="containsText" id="{EBADA8C8-0266-4C93-BAE5-55FE926DC108}">
            <xm:f>NOT(ISERROR(SEARCH("true",A1)))</xm:f>
            <xm:f>"true"</xm:f>
            <x14:dxf>
              <fill>
                <patternFill>
                  <bgColor theme="9" tint="0.79998168889431442"/>
                </patternFill>
              </fill>
            </x14:dxf>
          </x14:cfRule>
          <x14:cfRule type="containsText" priority="2" operator="containsText" id="{5A36ABF6-2A28-45A0-AC49-F91B7A629556}">
            <xm:f>NOT(ISERROR(SEARCH("false",A1)))</xm:f>
            <xm:f>"false"</xm:f>
            <x14:dxf>
              <fill>
                <patternFill>
                  <bgColor rgb="FFC00000"/>
                </patternFill>
              </fill>
            </x14:dxf>
          </x14:cfRule>
          <xm:sqref>A1:XFD1048576</xm:sqref>
        </x14:conditionalFormatting>
      </x14:conditionalFormattings>
    </ext>
  </extLst>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codeName="Sheet69"/>
  <dimension ref="B2:M54"/>
  <sheetViews>
    <sheetView showGridLines="0" topLeftCell="A22" zoomScale="85" zoomScaleNormal="85" workbookViewId="0">
      <selection activeCell="C44" sqref="C44"/>
    </sheetView>
  </sheetViews>
  <sheetFormatPr defaultColWidth="9" defaultRowHeight="16.5"/>
  <cols>
    <col min="1" max="1" width="5.5" style="418" customWidth="1"/>
    <col min="2" max="2" width="39.125" style="418" customWidth="1"/>
    <col min="3" max="7" width="19.625" style="881" customWidth="1"/>
    <col min="8" max="9" width="15.375" style="881" customWidth="1"/>
    <col min="10" max="11" width="11.875" style="418" customWidth="1"/>
    <col min="12" max="12" width="14.875" style="418" bestFit="1" customWidth="1"/>
    <col min="13" max="16384" width="9" style="418"/>
  </cols>
  <sheetData>
    <row r="2" spans="2:13">
      <c r="B2" s="418" t="s">
        <v>2946</v>
      </c>
      <c r="C2" s="418"/>
      <c r="D2" s="418"/>
      <c r="E2" s="418"/>
      <c r="F2" s="418"/>
      <c r="G2" s="418"/>
    </row>
    <row r="3" spans="2:13">
      <c r="C3" s="418"/>
      <c r="D3" s="418"/>
      <c r="E3" s="418"/>
      <c r="F3" s="418"/>
      <c r="G3" s="418"/>
    </row>
    <row r="4" spans="2:13">
      <c r="B4" s="418" t="s">
        <v>2074</v>
      </c>
      <c r="C4" s="418"/>
      <c r="D4" s="418"/>
      <c r="E4" s="418"/>
      <c r="F4" s="418"/>
      <c r="G4" s="418"/>
    </row>
    <row r="5" spans="2:13">
      <c r="C5" s="863" t="s">
        <v>368</v>
      </c>
      <c r="D5" s="418"/>
      <c r="E5" s="418"/>
      <c r="F5" s="418"/>
      <c r="G5" s="418"/>
    </row>
    <row r="6" spans="2:13">
      <c r="C6" s="863"/>
      <c r="D6" s="418"/>
      <c r="E6" s="418"/>
      <c r="F6" s="418"/>
      <c r="G6" s="418"/>
    </row>
    <row r="7" spans="2:13">
      <c r="B7" s="2151" t="s">
        <v>324</v>
      </c>
      <c r="C7" s="1567" t="str">
        <f>'29'!$C$8</f>
        <v>당기</v>
      </c>
      <c r="D7" s="1568"/>
      <c r="E7" s="1567" t="str">
        <f>'29'!$E$8</f>
        <v>전기</v>
      </c>
      <c r="F7" s="1567"/>
      <c r="G7" s="418"/>
      <c r="H7" s="418"/>
      <c r="I7" s="1567" t="s">
        <v>2986</v>
      </c>
      <c r="J7" s="1568"/>
      <c r="K7" s="1567" t="s">
        <v>3027</v>
      </c>
      <c r="L7" s="1567"/>
    </row>
    <row r="8" spans="2:13">
      <c r="B8" s="2152"/>
      <c r="C8" s="1569" t="s">
        <v>2628</v>
      </c>
      <c r="D8" s="1570" t="s">
        <v>2629</v>
      </c>
      <c r="E8" s="1569" t="s">
        <v>2628</v>
      </c>
      <c r="F8" s="1569" t="s">
        <v>2629</v>
      </c>
      <c r="G8" s="418"/>
      <c r="H8" s="418"/>
      <c r="I8" s="1569" t="s">
        <v>2628</v>
      </c>
      <c r="J8" s="1570" t="s">
        <v>2629</v>
      </c>
      <c r="K8" s="1569" t="s">
        <v>2628</v>
      </c>
      <c r="L8" s="1569" t="s">
        <v>2629</v>
      </c>
    </row>
    <row r="9" spans="2:13">
      <c r="B9" s="778" t="s">
        <v>2075</v>
      </c>
      <c r="C9" s="853">
        <f>D9-J9</f>
        <v>4518456853</v>
      </c>
      <c r="D9" s="853">
        <f>공시PL!F4</f>
        <v>8812244469</v>
      </c>
      <c r="E9" s="853">
        <f>공시PL!G4</f>
        <v>4268206262</v>
      </c>
      <c r="F9" s="853">
        <f>공시PL!H4</f>
        <v>9441165967</v>
      </c>
      <c r="G9" s="418"/>
      <c r="H9" s="418"/>
      <c r="I9" s="853">
        <v>0</v>
      </c>
      <c r="J9" s="853">
        <v>4293787616</v>
      </c>
      <c r="K9" s="853"/>
      <c r="L9" s="853"/>
      <c r="M9" s="881"/>
    </row>
    <row r="10" spans="2:13">
      <c r="C10" s="886">
        <f>공시PL!E4-C9</f>
        <v>0</v>
      </c>
      <c r="D10" s="418" t="b">
        <f>공시PL!F4=D9</f>
        <v>1</v>
      </c>
      <c r="E10" s="886" t="b">
        <f>공시PL!G4=E9</f>
        <v>1</v>
      </c>
      <c r="F10" s="418" t="b">
        <f>공시PL!H4=F9</f>
        <v>1</v>
      </c>
      <c r="G10" s="418"/>
      <c r="H10" s="418"/>
      <c r="I10" s="418"/>
    </row>
    <row r="11" spans="2:13">
      <c r="C11" s="418"/>
      <c r="D11" s="418"/>
      <c r="E11" s="418"/>
      <c r="F11" s="418"/>
      <c r="G11" s="418"/>
    </row>
    <row r="12" spans="2:13">
      <c r="C12" s="418"/>
      <c r="D12" s="418"/>
      <c r="E12" s="418"/>
      <c r="F12" s="418"/>
      <c r="G12" s="418"/>
    </row>
    <row r="13" spans="2:13">
      <c r="C13" s="418"/>
      <c r="D13" s="418"/>
      <c r="E13" s="418"/>
      <c r="F13" s="418"/>
      <c r="G13" s="418"/>
    </row>
    <row r="14" spans="2:13">
      <c r="B14" s="418" t="s">
        <v>2076</v>
      </c>
      <c r="C14" s="418"/>
      <c r="D14" s="418"/>
      <c r="E14" s="418"/>
      <c r="F14" s="418"/>
      <c r="G14" s="418"/>
    </row>
    <row r="15" spans="2:13">
      <c r="C15" s="418"/>
      <c r="D15" s="418"/>
      <c r="E15" s="418"/>
      <c r="F15" s="418"/>
      <c r="G15" s="418"/>
    </row>
    <row r="16" spans="2:13">
      <c r="B16" s="418" t="s">
        <v>2077</v>
      </c>
      <c r="C16" s="418"/>
      <c r="D16" s="418"/>
      <c r="E16" s="418"/>
      <c r="F16" s="418"/>
      <c r="G16" s="418"/>
    </row>
    <row r="17" spans="2:9">
      <c r="C17" s="418"/>
      <c r="D17" s="418"/>
      <c r="E17" s="418"/>
      <c r="F17" s="418"/>
      <c r="G17" s="863" t="s">
        <v>368</v>
      </c>
    </row>
    <row r="18" spans="2:9">
      <c r="B18" s="1357" t="s">
        <v>324</v>
      </c>
      <c r="C18" s="1358" t="s">
        <v>447</v>
      </c>
      <c r="D18" s="1358" t="s">
        <v>446</v>
      </c>
      <c r="E18" s="1358" t="s">
        <v>1383</v>
      </c>
      <c r="F18" s="1358" t="s">
        <v>1385</v>
      </c>
      <c r="G18" s="1359" t="s">
        <v>334</v>
      </c>
    </row>
    <row r="19" spans="2:9" ht="13.5" customHeight="1">
      <c r="B19" s="2129" t="s">
        <v>2078</v>
      </c>
      <c r="C19" s="2130"/>
      <c r="D19" s="2130"/>
      <c r="E19" s="2130"/>
      <c r="F19" s="2130"/>
      <c r="G19" s="2131"/>
    </row>
    <row r="20" spans="2:9">
      <c r="B20" s="778" t="s">
        <v>2079</v>
      </c>
      <c r="C20" s="853">
        <f>연결PL!D3+연결PL!D6</f>
        <v>1216333920</v>
      </c>
      <c r="D20" s="853">
        <f>연결PL!D4</f>
        <v>7595910549</v>
      </c>
      <c r="E20" s="853">
        <f>연결PL!D5</f>
        <v>0</v>
      </c>
      <c r="F20" s="853"/>
      <c r="G20" s="880">
        <f>SUM(C20:F20)</f>
        <v>8812244469</v>
      </c>
      <c r="H20" s="881" t="b">
        <f>G20=D9</f>
        <v>1</v>
      </c>
    </row>
    <row r="21" spans="2:9">
      <c r="B21" s="418" t="s">
        <v>2080</v>
      </c>
      <c r="C21" s="418"/>
      <c r="D21" s="418"/>
      <c r="E21" s="418"/>
      <c r="F21" s="418"/>
      <c r="G21" s="418"/>
    </row>
    <row r="22" spans="2:9">
      <c r="D22" s="881" t="b">
        <f>D20=연결PL!D4</f>
        <v>1</v>
      </c>
    </row>
    <row r="25" spans="2:9">
      <c r="B25" s="2153" t="s">
        <v>257</v>
      </c>
      <c r="C25" s="1646" t="str">
        <f>C7</f>
        <v>당기</v>
      </c>
      <c r="D25" s="1646"/>
      <c r="E25" s="1646" t="str">
        <f>E7</f>
        <v>전기</v>
      </c>
      <c r="F25" s="1646"/>
      <c r="H25" s="1826" t="s">
        <v>324</v>
      </c>
      <c r="I25" s="1827" t="s">
        <v>2911</v>
      </c>
    </row>
    <row r="26" spans="2:9">
      <c r="B26" s="2154"/>
      <c r="C26" s="1647" t="s">
        <v>2719</v>
      </c>
      <c r="D26" s="1647" t="s">
        <v>2720</v>
      </c>
      <c r="E26" s="1647" t="s">
        <v>2628</v>
      </c>
      <c r="F26" s="1647" t="s">
        <v>2629</v>
      </c>
      <c r="H26" s="1828" t="s">
        <v>2079</v>
      </c>
      <c r="I26" s="1832"/>
    </row>
    <row r="27" spans="2:9">
      <c r="B27" s="1635" t="s">
        <v>447</v>
      </c>
      <c r="C27" s="1648">
        <f>D27-I27</f>
        <v>563323372</v>
      </c>
      <c r="D27" s="1648">
        <f>C20</f>
        <v>1216333920</v>
      </c>
      <c r="E27" s="1649">
        <v>542082666</v>
      </c>
      <c r="F27" s="1649">
        <v>1093225625</v>
      </c>
      <c r="H27" s="1829" t="s">
        <v>3857</v>
      </c>
      <c r="I27" s="1825">
        <v>653010548</v>
      </c>
    </row>
    <row r="28" spans="2:9">
      <c r="B28" s="1370" t="s">
        <v>446</v>
      </c>
      <c r="C28" s="1648">
        <f>D28-I28</f>
        <v>3955133481</v>
      </c>
      <c r="D28" s="1648">
        <f>D20</f>
        <v>7595910549</v>
      </c>
      <c r="E28" s="1649">
        <v>3726123596</v>
      </c>
      <c r="F28" s="1649">
        <v>8347940342</v>
      </c>
      <c r="H28" s="1829" t="s">
        <v>3858</v>
      </c>
      <c r="I28" s="1825">
        <v>3640777068</v>
      </c>
    </row>
    <row r="29" spans="2:9">
      <c r="B29" s="1370" t="s">
        <v>1384</v>
      </c>
      <c r="C29" s="1648">
        <v>0</v>
      </c>
      <c r="D29" s="1648">
        <f>E20</f>
        <v>0</v>
      </c>
      <c r="E29" s="1649"/>
      <c r="F29" s="1649"/>
      <c r="H29" s="1830" t="s">
        <v>1938</v>
      </c>
      <c r="I29" s="1831">
        <v>4293787616</v>
      </c>
    </row>
    <row r="30" spans="2:9">
      <c r="B30" s="1650" t="s">
        <v>144</v>
      </c>
      <c r="C30" s="1648">
        <f>SUM(C27:C29)</f>
        <v>4518456853</v>
      </c>
      <c r="D30" s="1648">
        <f>SUM(D27:D29)</f>
        <v>8812244469</v>
      </c>
      <c r="E30" s="1648">
        <f>SUM(E27:E29)</f>
        <v>4268206262</v>
      </c>
      <c r="F30" s="1648">
        <f>SUM(F27:F29)</f>
        <v>9441165967</v>
      </c>
    </row>
    <row r="31" spans="2:9">
      <c r="C31" s="881" t="b">
        <f>C30=C9</f>
        <v>1</v>
      </c>
      <c r="D31" s="881" t="b">
        <f>D30=D9</f>
        <v>1</v>
      </c>
      <c r="E31" s="881" t="b">
        <f>E30=E9</f>
        <v>1</v>
      </c>
      <c r="F31" s="881" t="b">
        <f>F30=F9</f>
        <v>1</v>
      </c>
    </row>
    <row r="36" spans="2:13">
      <c r="B36" s="1276" t="s">
        <v>2843</v>
      </c>
      <c r="C36" s="1276"/>
      <c r="D36" s="1276"/>
    </row>
    <row r="37" spans="2:13">
      <c r="B37" s="1276"/>
      <c r="C37" s="1276"/>
      <c r="D37" s="1276"/>
      <c r="F37" s="1529"/>
      <c r="G37" s="1530" t="s">
        <v>2956</v>
      </c>
      <c r="H37" s="1530"/>
      <c r="I37" s="1530"/>
      <c r="J37" s="1530"/>
      <c r="K37" s="1531" t="s">
        <v>2957</v>
      </c>
    </row>
    <row r="38" spans="2:13">
      <c r="B38" s="1277" t="s">
        <v>2844</v>
      </c>
      <c r="C38" s="1277" t="str">
        <f>'6'!C7</f>
        <v>당기말</v>
      </c>
      <c r="D38" s="1277" t="str">
        <f>'6'!D7</f>
        <v>전기말</v>
      </c>
      <c r="F38" s="1532" t="s">
        <v>2958</v>
      </c>
      <c r="G38" s="1533"/>
      <c r="H38" s="1534" t="s">
        <v>3855</v>
      </c>
      <c r="I38" s="1534" t="s">
        <v>2959</v>
      </c>
      <c r="J38" s="1534" t="s">
        <v>2960</v>
      </c>
      <c r="K38" s="1534" t="s">
        <v>2984</v>
      </c>
    </row>
    <row r="39" spans="2:13">
      <c r="B39" s="1278" t="s">
        <v>2845</v>
      </c>
      <c r="C39" s="1278"/>
      <c r="D39" s="1278"/>
      <c r="F39" s="1535" t="s">
        <v>2961</v>
      </c>
      <c r="G39" s="1536" t="s">
        <v>2962</v>
      </c>
      <c r="H39" s="1537">
        <v>284922</v>
      </c>
      <c r="I39" s="1537">
        <v>739568</v>
      </c>
      <c r="J39" s="1537">
        <v>-691469</v>
      </c>
      <c r="K39" s="1537">
        <v>333021</v>
      </c>
    </row>
    <row r="40" spans="2:13">
      <c r="B40" s="1278" t="s">
        <v>2846</v>
      </c>
      <c r="C40" s="1278">
        <f>연결BS!D87</f>
        <v>7028604154</v>
      </c>
      <c r="D40" s="1278">
        <f>연결BS!E87</f>
        <v>2550767839</v>
      </c>
      <c r="F40" s="1535" t="s">
        <v>2963</v>
      </c>
      <c r="G40" s="1536" t="s">
        <v>2964</v>
      </c>
      <c r="H40" s="1537">
        <v>297843</v>
      </c>
      <c r="I40" s="1537">
        <v>302408</v>
      </c>
      <c r="J40" s="1537">
        <v>-599371</v>
      </c>
      <c r="K40" s="1537">
        <v>880</v>
      </c>
    </row>
    <row r="41" spans="2:13">
      <c r="B41" s="1276"/>
      <c r="C41" s="1276"/>
      <c r="D41" s="1276"/>
      <c r="F41" s="1535"/>
      <c r="G41" s="1536" t="s">
        <v>2965</v>
      </c>
      <c r="H41" s="1537">
        <v>582765</v>
      </c>
      <c r="I41" s="1537">
        <v>1041976</v>
      </c>
      <c r="J41" s="1537">
        <v>-1290840</v>
      </c>
      <c r="K41" s="1537">
        <v>333901</v>
      </c>
    </row>
    <row r="42" spans="2:13">
      <c r="B42" s="1279" t="s">
        <v>2844</v>
      </c>
      <c r="C42" s="1279" t="s">
        <v>328</v>
      </c>
      <c r="D42" s="1279" t="s">
        <v>329</v>
      </c>
      <c r="F42" s="1529"/>
      <c r="G42" s="1529"/>
      <c r="H42" s="1529"/>
      <c r="I42" s="1529"/>
      <c r="J42" s="1529"/>
      <c r="K42" s="1529"/>
    </row>
    <row r="43" spans="2:13">
      <c r="B43" s="1280" t="s">
        <v>2847</v>
      </c>
      <c r="C43" s="1280"/>
      <c r="D43" s="1280"/>
      <c r="F43" s="1529"/>
      <c r="G43" s="1529"/>
      <c r="H43" s="1529"/>
      <c r="I43" s="1529"/>
    </row>
    <row r="44" spans="2:13">
      <c r="B44" s="1280" t="s">
        <v>2848</v>
      </c>
      <c r="C44" s="1280">
        <f>-J47+G54</f>
        <v>642953277</v>
      </c>
      <c r="D44" s="1545">
        <v>764079351</v>
      </c>
      <c r="F44" s="1538" t="s">
        <v>2958</v>
      </c>
      <c r="G44" s="1539"/>
      <c r="H44" s="1534" t="s">
        <v>3855</v>
      </c>
      <c r="I44" s="1534" t="s">
        <v>2959</v>
      </c>
      <c r="J44" s="1534" t="s">
        <v>2960</v>
      </c>
      <c r="K44" s="1534" t="s">
        <v>2966</v>
      </c>
      <c r="L44" s="1534" t="s">
        <v>3856</v>
      </c>
    </row>
    <row r="45" spans="2:13">
      <c r="F45" s="1535" t="s">
        <v>2961</v>
      </c>
      <c r="G45" s="1540" t="s">
        <v>2962</v>
      </c>
      <c r="H45" s="1543">
        <f>ROUND(H39*$G$52,)</f>
        <v>52542466</v>
      </c>
      <c r="I45" s="1543">
        <f t="shared" ref="I45" si="0">ROUND(I39*$G$51,)</f>
        <v>140266467</v>
      </c>
      <c r="J45" s="1543">
        <f>ROUND(J39*$G$51,)</f>
        <v>-131144011</v>
      </c>
      <c r="K45" s="1543">
        <f>L45-SUM(H45:J45)</f>
        <v>3807007</v>
      </c>
      <c r="L45" s="1543">
        <f>ROUND(K39*$G$50,)</f>
        <v>65471929</v>
      </c>
      <c r="M45" s="418" t="b">
        <f>L45=SUM(H45:K45)</f>
        <v>1</v>
      </c>
    </row>
    <row r="46" spans="2:13">
      <c r="F46" s="1535" t="s">
        <v>2963</v>
      </c>
      <c r="G46" s="1540" t="s">
        <v>2964</v>
      </c>
      <c r="H46" s="1543">
        <f>ROUND(H40*$G$52,)</f>
        <v>54925228</v>
      </c>
      <c r="I46" s="1543">
        <f t="shared" ref="I46:J46" si="1">ROUND(I40*$G$51,)</f>
        <v>57354701</v>
      </c>
      <c r="J46" s="1543">
        <f t="shared" si="1"/>
        <v>-113676704</v>
      </c>
      <c r="K46" s="1543">
        <f>L46-SUM(H46:J46)</f>
        <v>1569783</v>
      </c>
      <c r="L46" s="1543">
        <f>ROUND(K40*$G$50,)</f>
        <v>173008</v>
      </c>
      <c r="M46" s="418" t="b">
        <f t="shared" ref="M46:M47" si="2">L46=SUM(H46:K46)</f>
        <v>1</v>
      </c>
    </row>
    <row r="47" spans="2:13">
      <c r="F47" s="1535"/>
      <c r="G47" s="1540" t="s">
        <v>2965</v>
      </c>
      <c r="H47" s="1543">
        <f t="shared" ref="H47:K47" si="3">SUM(H45:H46)</f>
        <v>107467694</v>
      </c>
      <c r="I47" s="1543">
        <f t="shared" si="3"/>
        <v>197621168</v>
      </c>
      <c r="J47" s="1543">
        <f t="shared" si="3"/>
        <v>-244820715</v>
      </c>
      <c r="K47" s="1543">
        <f t="shared" si="3"/>
        <v>5376790</v>
      </c>
      <c r="L47" s="1543">
        <f>SUM(L45:L46)</f>
        <v>65644937</v>
      </c>
      <c r="M47" s="418" t="b">
        <f t="shared" si="2"/>
        <v>1</v>
      </c>
    </row>
    <row r="48" spans="2:13">
      <c r="F48" s="418"/>
      <c r="G48" s="418"/>
      <c r="H48" s="418"/>
      <c r="I48" s="418"/>
      <c r="L48" s="886" t="b">
        <f>L47=(BS!J95+BS!K95)</f>
        <v>1</v>
      </c>
    </row>
    <row r="49" spans="6:9">
      <c r="F49" s="418"/>
      <c r="G49" s="418"/>
      <c r="H49" s="418"/>
      <c r="I49" s="418"/>
    </row>
    <row r="50" spans="6:9">
      <c r="F50" s="1535" t="s">
        <v>413</v>
      </c>
      <c r="G50" s="1541">
        <f>환율변동효과!B3</f>
        <v>196.6</v>
      </c>
    </row>
    <row r="51" spans="6:9">
      <c r="F51" s="1328" t="s">
        <v>414</v>
      </c>
      <c r="G51" s="1542">
        <f>환율변동효과!B4</f>
        <v>189.66</v>
      </c>
      <c r="H51" s="418"/>
      <c r="I51" s="418"/>
    </row>
    <row r="52" spans="6:9">
      <c r="F52" s="1328" t="s">
        <v>2967</v>
      </c>
      <c r="G52" s="1542">
        <f>환율변동효과!B7</f>
        <v>184.41</v>
      </c>
      <c r="H52" s="418"/>
      <c r="I52" s="418"/>
    </row>
    <row r="53" spans="6:9" ht="17.25" thickBot="1">
      <c r="F53" s="418"/>
      <c r="G53" s="418"/>
      <c r="H53" s="418"/>
      <c r="I53" s="418"/>
    </row>
    <row r="54" spans="6:9" ht="17.25" thickBot="1">
      <c r="F54" s="1544" t="s">
        <v>2968</v>
      </c>
      <c r="G54" s="1603">
        <v>398132562</v>
      </c>
    </row>
  </sheetData>
  <mergeCells count="3">
    <mergeCell ref="B19:G19"/>
    <mergeCell ref="B7:B8"/>
    <mergeCell ref="B25:B26"/>
  </mergeCells>
  <phoneticPr fontId="3"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25" operator="containsText" id="{A09367A5-F4DA-4FDD-AF77-E62203C35275}">
            <xm:f>NOT(ISERROR(SEARCH("TRUE",A1)))</xm:f>
            <xm:f>"TRUE"</xm:f>
            <x14:dxf>
              <fill>
                <patternFill>
                  <bgColor theme="9" tint="0.79998168889431442"/>
                </patternFill>
              </fill>
            </x14:dxf>
          </x14:cfRule>
          <xm:sqref>A25:A30 G25:G30 A32:XFD42 A43:I43 O43:XFD43 A44:J47 L44:XFD47 H47:L47 A50:G50 J50:XFD50 A51:XFD1048576 A1:XFD5 N6:XFD8 A7:A9 I7:L9 J9:XFD10 A10:F10 A11:XFD24 A31:G31 A48:XFD49 C7:F9</xm:sqref>
        </x14:conditionalFormatting>
        <x14:conditionalFormatting xmlns:xm="http://schemas.microsoft.com/office/excel/2006/main">
          <x14:cfRule type="containsText" priority="18" operator="containsText" id="{4FD4F18C-E985-4D23-BF30-F732ACE8E2E7}">
            <xm:f>NOT(ISERROR(SEARCH("FALSE",A6)))</xm:f>
            <xm:f>"FALSE"</xm:f>
            <x14:dxf>
              <fill>
                <patternFill>
                  <bgColor theme="5"/>
                </patternFill>
              </fill>
            </x14:dxf>
          </x14:cfRule>
          <x14:cfRule type="containsText" priority="19" operator="containsText" id="{8ECC1E4E-2F99-4477-9E42-4A65154F0416}">
            <xm:f>NOT(ISERROR(SEARCH("TRUE",A6)))</xm:f>
            <xm:f>"TRUE"</xm:f>
            <x14:dxf>
              <fill>
                <patternFill>
                  <bgColor theme="9" tint="0.79998168889431442"/>
                </patternFill>
              </fill>
            </x14:dxf>
          </x14:cfRule>
          <xm:sqref>A6:H6 N25:XFD31</xm:sqref>
        </x14:conditionalFormatting>
        <x14:conditionalFormatting xmlns:xm="http://schemas.microsoft.com/office/excel/2006/main">
          <x14:cfRule type="containsText" priority="5" operator="containsText" id="{12654D82-D620-4055-A291-50A909FBB19A}">
            <xm:f>NOT(ISERROR(SEARCH("FALSE",B7)))</xm:f>
            <xm:f>"FALSE"</xm:f>
            <x14:dxf>
              <fill>
                <patternFill>
                  <bgColor theme="5"/>
                </patternFill>
              </fill>
            </x14:dxf>
          </x14:cfRule>
          <x14:cfRule type="containsText" priority="6" operator="containsText" id="{B00A0570-2BAC-4FC8-9C5C-9D5F76839DAF}">
            <xm:f>NOT(ISERROR(SEARCH("TRUE",B7)))</xm:f>
            <xm:f>"TRUE"</xm:f>
            <x14:dxf>
              <fill>
                <patternFill>
                  <bgColor theme="9" tint="0.79998168889431442"/>
                </patternFill>
              </fill>
            </x14:dxf>
          </x14:cfRule>
          <xm:sqref>B7</xm:sqref>
        </x14:conditionalFormatting>
        <x14:conditionalFormatting xmlns:xm="http://schemas.microsoft.com/office/excel/2006/main">
          <x14:cfRule type="containsText" priority="7" operator="containsText" id="{2E32428D-463D-4E0D-AC2C-4C1C60B04886}">
            <xm:f>NOT(ISERROR(SEARCH("FALSE",B9)))</xm:f>
            <xm:f>"FALSE"</xm:f>
            <x14:dxf>
              <fill>
                <patternFill>
                  <bgColor theme="5"/>
                </patternFill>
              </fill>
            </x14:dxf>
          </x14:cfRule>
          <x14:cfRule type="containsText" priority="8" operator="containsText" id="{8A5EB8A1-ECF0-453E-A4F1-15339DF0D096}">
            <xm:f>NOT(ISERROR(SEARCH("TRUE",B9)))</xm:f>
            <xm:f>"TRUE"</xm:f>
            <x14:dxf>
              <fill>
                <patternFill>
                  <bgColor theme="9" tint="0.79998168889431442"/>
                </patternFill>
              </fill>
            </x14:dxf>
          </x14:cfRule>
          <xm:sqref>B9</xm:sqref>
        </x14:conditionalFormatting>
        <x14:conditionalFormatting xmlns:xm="http://schemas.microsoft.com/office/excel/2006/main">
          <x14:cfRule type="containsText" priority="3" operator="containsText" id="{F879227A-178B-4127-8948-12FEB53BDF36}">
            <xm:f>NOT(ISERROR(SEARCH("FALSE",B25)))</xm:f>
            <xm:f>"FALSE"</xm:f>
            <x14:dxf>
              <fill>
                <patternFill>
                  <bgColor theme="5"/>
                </patternFill>
              </fill>
            </x14:dxf>
          </x14:cfRule>
          <x14:cfRule type="containsText" priority="4" operator="containsText" id="{5ACFEE2F-E472-49B1-B9E1-FEA750A5A296}">
            <xm:f>NOT(ISERROR(SEARCH("TRUE",B25)))</xm:f>
            <xm:f>"TRUE"</xm:f>
            <x14:dxf>
              <fill>
                <patternFill>
                  <bgColor theme="9" tint="0.79998168889431442"/>
                </patternFill>
              </fill>
            </x14:dxf>
          </x14:cfRule>
          <xm:sqref>B25:F25 C26:F26</xm:sqref>
        </x14:conditionalFormatting>
        <x14:conditionalFormatting xmlns:xm="http://schemas.microsoft.com/office/excel/2006/main">
          <x14:cfRule type="containsText" priority="9" operator="containsText" id="{0851B8E3-0BC7-4A06-8B9C-0B2CA608555A}">
            <xm:f>NOT(ISERROR(SEARCH("FALSE",C7)))</xm:f>
            <xm:f>"FALSE"</xm:f>
            <x14:dxf>
              <fill>
                <patternFill>
                  <bgColor theme="5"/>
                </patternFill>
              </fill>
            </x14:dxf>
          </x14:cfRule>
          <x14:cfRule type="containsText" priority="10" operator="containsText" id="{AAF5AA11-3B55-40ED-914E-139FDCBDC37C}">
            <xm:f>NOT(ISERROR(SEARCH("TRUE",C7)))</xm:f>
            <xm:f>"TRUE"</xm:f>
            <x14:dxf>
              <fill>
                <patternFill>
                  <bgColor theme="9" tint="0.79998168889431442"/>
                </patternFill>
              </fill>
            </x14:dxf>
          </x14:cfRule>
          <x14:cfRule type="containsText" priority="15" operator="containsText" id="{2E98241D-F8C8-4D6A-8291-DF3EB38518FC}">
            <xm:f>NOT(ISERROR(SEARCH("FALSE",C7)))</xm:f>
            <xm:f>"FALSE"</xm:f>
            <x14:dxf>
              <fill>
                <patternFill>
                  <bgColor theme="5"/>
                </patternFill>
              </fill>
            </x14:dxf>
          </x14:cfRule>
          <xm:sqref>C7:F9</xm:sqref>
        </x14:conditionalFormatting>
        <x14:conditionalFormatting xmlns:xm="http://schemas.microsoft.com/office/excel/2006/main">
          <x14:cfRule type="containsText" priority="24" operator="containsText" id="{73CC5922-E4FB-4697-A3D4-BD40B4CC8C96}">
            <xm:f>NOT(ISERROR(SEARCH("FALSE",A25)))</xm:f>
            <xm:f>"FALSE"</xm:f>
            <x14:dxf>
              <fill>
                <patternFill>
                  <bgColor theme="5"/>
                </patternFill>
              </fill>
            </x14:dxf>
          </x14:cfRule>
          <xm:sqref>H47:L47 A25:A30 G25:G30 A32:XFD42 A43:I43 O43:XFD43 A50:G50 J50:XFD50 A51:XFD1048576</xm:sqref>
        </x14:conditionalFormatting>
        <x14:conditionalFormatting xmlns:xm="http://schemas.microsoft.com/office/excel/2006/main">
          <x14:cfRule type="containsText" priority="22" operator="containsText" id="{758A7EEC-33C7-4638-ACFA-52B4B2CA600A}">
            <xm:f>NOT(ISERROR(SEARCH("FALSE",A1)))</xm:f>
            <xm:f>"FALSE"</xm:f>
            <x14:dxf>
              <fill>
                <patternFill>
                  <bgColor theme="5"/>
                </patternFill>
              </fill>
            </x14:dxf>
          </x14:cfRule>
          <xm:sqref>I7:L9 J9:XFD10 A1:XFD5 N6:XFD8 A7:A9 A10:F10 A11:XFD24 A31:G31 A44:XFD49</xm:sqref>
        </x14:conditionalFormatting>
        <x14:conditionalFormatting xmlns:xm="http://schemas.microsoft.com/office/excel/2006/main">
          <x14:cfRule type="containsText" priority="16" operator="containsText" id="{8CCB15EC-5655-4683-8BC2-187D6FBAB442}">
            <xm:f>NOT(ISERROR(SEARCH("FALSE",I7)))</xm:f>
            <xm:f>"FALSE"</xm:f>
            <x14:dxf>
              <fill>
                <patternFill>
                  <bgColor theme="5"/>
                </patternFill>
              </fill>
            </x14:dxf>
          </x14:cfRule>
          <x14:cfRule type="containsText" priority="17" operator="containsText" id="{199E07F9-9958-4F21-87E8-FABEA442D328}">
            <xm:f>NOT(ISERROR(SEARCH("TRUE",I7)))</xm:f>
            <xm:f>"TRUE"</xm:f>
            <x14:dxf>
              <fill>
                <patternFill>
                  <bgColor theme="9" tint="0.79998168889431442"/>
                </patternFill>
              </fill>
            </x14:dxf>
          </x14:cfRule>
          <xm:sqref>I7:L9</xm:sqref>
        </x14:conditionalFormatting>
        <x14:conditionalFormatting xmlns:xm="http://schemas.microsoft.com/office/excel/2006/main">
          <x14:cfRule type="containsText" priority="23" operator="containsText" id="{7456401C-B993-4CC8-9848-CF6CEFA2C006}">
            <xm:f>NOT(ISERROR(SEARCH("TRUE",K44)))</xm:f>
            <xm:f>"TRUE"</xm:f>
            <x14:dxf>
              <fill>
                <patternFill>
                  <bgColor theme="9" tint="0.79998168889431442"/>
                </patternFill>
              </fill>
            </x14:dxf>
          </x14:cfRule>
          <xm:sqref>K44:K47</xm:sqref>
        </x14:conditionalFormatting>
      </x14:conditionalFormattings>
    </ext>
  </extLst>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codeName="Sheet70"/>
  <dimension ref="B2:P40"/>
  <sheetViews>
    <sheetView showGridLines="0" topLeftCell="A7" zoomScale="85" zoomScaleNormal="85" workbookViewId="0">
      <selection activeCell="M8" sqref="M8:N39"/>
    </sheetView>
  </sheetViews>
  <sheetFormatPr defaultColWidth="9" defaultRowHeight="16.5"/>
  <cols>
    <col min="1" max="1" width="1.125" style="418" customWidth="1"/>
    <col min="2" max="2" width="8.5" style="418" customWidth="1"/>
    <col min="3" max="5" width="27" style="418" customWidth="1"/>
    <col min="6" max="9" width="16.625" style="418" customWidth="1"/>
    <col min="10" max="10" width="18.5" style="418" customWidth="1"/>
    <col min="11" max="11" width="15.125" style="418" customWidth="1"/>
    <col min="12" max="12" width="10.625" style="418" bestFit="1" customWidth="1"/>
    <col min="13" max="13" width="11.625" style="418" bestFit="1" customWidth="1"/>
    <col min="14" max="16384" width="9" style="418"/>
  </cols>
  <sheetData>
    <row r="2" spans="2:16">
      <c r="C2" s="860" t="s">
        <v>2081</v>
      </c>
      <c r="D2" s="860"/>
    </row>
    <row r="3" spans="2:16">
      <c r="C3" s="861"/>
      <c r="D3" s="861"/>
    </row>
    <row r="4" spans="2:16">
      <c r="C4" s="418" t="s">
        <v>2082</v>
      </c>
    </row>
    <row r="5" spans="2:16">
      <c r="E5" s="863" t="s">
        <v>368</v>
      </c>
    </row>
    <row r="6" spans="2:16">
      <c r="C6" s="2155" t="s">
        <v>257</v>
      </c>
      <c r="D6" s="1523" t="str">
        <f>'26'!C7</f>
        <v>당기</v>
      </c>
      <c r="E6" s="1524"/>
      <c r="G6" s="478"/>
    </row>
    <row r="7" spans="2:16">
      <c r="C7" s="2156"/>
      <c r="D7" s="1521" t="s">
        <v>2950</v>
      </c>
      <c r="E7" s="1522" t="s">
        <v>2951</v>
      </c>
      <c r="G7" s="478"/>
      <c r="J7" s="418" t="s">
        <v>257</v>
      </c>
      <c r="K7" s="418" t="s">
        <v>2897</v>
      </c>
    </row>
    <row r="8" spans="2:16">
      <c r="B8" s="418" t="s">
        <v>751</v>
      </c>
      <c r="C8" s="894" t="s">
        <v>392</v>
      </c>
      <c r="D8" s="1525">
        <f>E8-K8</f>
        <v>632939108</v>
      </c>
      <c r="E8" s="910">
        <f>연결PL!D36</f>
        <v>1503402249</v>
      </c>
      <c r="G8" s="418">
        <f>SUMIFS(PL!$V:$V,PL!$H:$H,'27'!$B8)</f>
        <v>1503402249</v>
      </c>
      <c r="H8" s="886">
        <f>G8-E8</f>
        <v>0</v>
      </c>
      <c r="I8" s="418" t="b">
        <f>J8=C8</f>
        <v>1</v>
      </c>
      <c r="J8" s="418" t="s">
        <v>392</v>
      </c>
      <c r="K8" s="886">
        <v>870463141</v>
      </c>
      <c r="O8" s="434"/>
      <c r="P8" s="434"/>
    </row>
    <row r="9" spans="2:16">
      <c r="B9" s="418" t="s">
        <v>754</v>
      </c>
      <c r="C9" s="894" t="s">
        <v>178</v>
      </c>
      <c r="D9" s="1525">
        <f t="shared" ref="D9:D38" si="0">E9-K9</f>
        <v>55179648</v>
      </c>
      <c r="E9" s="910">
        <f>연결PL!D37</f>
        <v>110359296</v>
      </c>
      <c r="G9" s="418">
        <f>SUMIFS(PL!$V:$V,PL!$H:$H,'27'!$B9)</f>
        <v>110359296</v>
      </c>
      <c r="H9" s="886">
        <f t="shared" ref="H9:H38" si="1">G9-E9</f>
        <v>0</v>
      </c>
      <c r="I9" s="418" t="b">
        <f t="shared" ref="I9:I38" si="2">J9=C9</f>
        <v>1</v>
      </c>
      <c r="J9" s="418" t="s">
        <v>178</v>
      </c>
      <c r="K9" s="886">
        <v>55179648</v>
      </c>
      <c r="O9" s="434"/>
      <c r="P9" s="434"/>
    </row>
    <row r="10" spans="2:16">
      <c r="B10" s="418" t="s">
        <v>1391</v>
      </c>
      <c r="C10" s="894" t="s">
        <v>3458</v>
      </c>
      <c r="D10" s="1525">
        <f t="shared" si="0"/>
        <v>0</v>
      </c>
      <c r="E10" s="910">
        <f>연결PL!D38</f>
        <v>45930430</v>
      </c>
      <c r="G10" s="418">
        <f>SUMIFS(PL!$V:$V,PL!$H:$H,'27'!$B10)</f>
        <v>45930430</v>
      </c>
      <c r="H10" s="886">
        <f t="shared" si="1"/>
        <v>0</v>
      </c>
      <c r="I10" s="418" t="b">
        <f t="shared" si="2"/>
        <v>1</v>
      </c>
      <c r="J10" s="418" t="s">
        <v>3458</v>
      </c>
      <c r="K10" s="886">
        <v>45930430</v>
      </c>
      <c r="O10" s="434"/>
    </row>
    <row r="11" spans="2:16">
      <c r="B11" s="418" t="s">
        <v>755</v>
      </c>
      <c r="C11" s="894" t="s">
        <v>756</v>
      </c>
      <c r="D11" s="1525">
        <f t="shared" si="0"/>
        <v>0</v>
      </c>
      <c r="E11" s="910">
        <f>연결PL!D39</f>
        <v>0</v>
      </c>
      <c r="G11" s="418">
        <f>SUMIFS(PL!$V:$V,PL!$H:$H,'27'!$B11)</f>
        <v>0</v>
      </c>
      <c r="H11" s="886">
        <f t="shared" si="1"/>
        <v>0</v>
      </c>
      <c r="I11" s="418" t="b">
        <f t="shared" si="2"/>
        <v>1</v>
      </c>
      <c r="J11" s="418" t="s">
        <v>756</v>
      </c>
      <c r="K11" s="886">
        <v>0</v>
      </c>
    </row>
    <row r="12" spans="2:16">
      <c r="B12" s="418" t="s">
        <v>757</v>
      </c>
      <c r="C12" s="894" t="s">
        <v>393</v>
      </c>
      <c r="D12" s="1525">
        <f t="shared" si="0"/>
        <v>78868486</v>
      </c>
      <c r="E12" s="910">
        <f>연결PL!D40</f>
        <v>197164634</v>
      </c>
      <c r="G12" s="418">
        <f>SUMIFS(PL!$V:$V,PL!$H:$H,'27'!$B12)</f>
        <v>197164634</v>
      </c>
      <c r="H12" s="886">
        <f t="shared" si="1"/>
        <v>0</v>
      </c>
      <c r="I12" s="418" t="b">
        <f t="shared" si="2"/>
        <v>1</v>
      </c>
      <c r="J12" s="418" t="s">
        <v>393</v>
      </c>
      <c r="K12" s="886">
        <v>118296148</v>
      </c>
      <c r="O12" s="434"/>
      <c r="P12" s="434"/>
    </row>
    <row r="13" spans="2:16">
      <c r="B13" s="418" t="s">
        <v>758</v>
      </c>
      <c r="C13" s="894" t="s">
        <v>508</v>
      </c>
      <c r="D13" s="1525">
        <f t="shared" si="0"/>
        <v>59097008</v>
      </c>
      <c r="E13" s="910">
        <f>연결PL!D41</f>
        <v>231770961</v>
      </c>
      <c r="G13" s="418">
        <f>SUMIFS(PL!$V:$V,PL!$H:$H,'27'!$B13)</f>
        <v>231770961</v>
      </c>
      <c r="H13" s="886">
        <f t="shared" si="1"/>
        <v>0</v>
      </c>
      <c r="I13" s="418" t="b">
        <f t="shared" si="2"/>
        <v>1</v>
      </c>
      <c r="J13" s="418" t="s">
        <v>508</v>
      </c>
      <c r="K13" s="886">
        <v>172673953</v>
      </c>
      <c r="O13" s="434"/>
      <c r="P13" s="434"/>
    </row>
    <row r="14" spans="2:16">
      <c r="B14" s="418" t="s">
        <v>759</v>
      </c>
      <c r="C14" s="894" t="s">
        <v>511</v>
      </c>
      <c r="D14" s="1525">
        <f t="shared" si="0"/>
        <v>14098643</v>
      </c>
      <c r="E14" s="910">
        <f>연결PL!D42</f>
        <v>35747090</v>
      </c>
      <c r="G14" s="418">
        <f>SUMIFS(PL!$V:$V,PL!$H:$H,'27'!$B14)</f>
        <v>35747090</v>
      </c>
      <c r="H14" s="886">
        <f t="shared" si="1"/>
        <v>0</v>
      </c>
      <c r="I14" s="418" t="b">
        <f t="shared" si="2"/>
        <v>1</v>
      </c>
      <c r="J14" s="418" t="s">
        <v>511</v>
      </c>
      <c r="K14" s="886">
        <v>21648447</v>
      </c>
      <c r="O14" s="434"/>
      <c r="P14" s="434"/>
    </row>
    <row r="15" spans="2:16">
      <c r="B15" s="418" t="s">
        <v>760</v>
      </c>
      <c r="C15" s="894" t="s">
        <v>509</v>
      </c>
      <c r="D15" s="1525">
        <f t="shared" si="0"/>
        <v>6531445</v>
      </c>
      <c r="E15" s="910">
        <f>연결PL!D43</f>
        <v>13834390</v>
      </c>
      <c r="G15" s="418">
        <f>SUMIFS(PL!$V:$V,PL!$H:$H,'27'!$B15)</f>
        <v>13834390</v>
      </c>
      <c r="H15" s="886">
        <f t="shared" si="1"/>
        <v>0</v>
      </c>
      <c r="I15" s="418" t="b">
        <f t="shared" si="2"/>
        <v>1</v>
      </c>
      <c r="J15" s="418" t="s">
        <v>509</v>
      </c>
      <c r="K15" s="886">
        <v>7302945</v>
      </c>
      <c r="O15" s="434"/>
      <c r="P15" s="434"/>
    </row>
    <row r="16" spans="2:16">
      <c r="B16" s="418" t="s">
        <v>761</v>
      </c>
      <c r="C16" s="894" t="s">
        <v>515</v>
      </c>
      <c r="D16" s="1525">
        <f t="shared" si="0"/>
        <v>1775513</v>
      </c>
      <c r="E16" s="910">
        <f>연결PL!D44</f>
        <v>4711948</v>
      </c>
      <c r="G16" s="418">
        <f>SUMIFS(PL!$V:$V,PL!$H:$H,'27'!$B16)</f>
        <v>4711948</v>
      </c>
      <c r="H16" s="886">
        <f t="shared" si="1"/>
        <v>0</v>
      </c>
      <c r="I16" s="418" t="b">
        <f t="shared" si="2"/>
        <v>1</v>
      </c>
      <c r="J16" s="418" t="s">
        <v>515</v>
      </c>
      <c r="K16" s="886">
        <v>2936435</v>
      </c>
      <c r="O16" s="434"/>
      <c r="P16" s="434"/>
    </row>
    <row r="17" spans="2:16">
      <c r="B17" s="418">
        <v>81600</v>
      </c>
      <c r="C17" s="894" t="s">
        <v>731</v>
      </c>
      <c r="D17" s="1525">
        <f t="shared" si="0"/>
        <v>1556980</v>
      </c>
      <c r="E17" s="910">
        <f>연결PL!D45</f>
        <v>3879022</v>
      </c>
      <c r="G17" s="418">
        <f>SUMIFS(PL!$V:$V,PL!$H:$H,'27'!$B17)</f>
        <v>3879022</v>
      </c>
      <c r="H17" s="886">
        <f t="shared" si="1"/>
        <v>0</v>
      </c>
      <c r="I17" s="418" t="b">
        <f t="shared" si="2"/>
        <v>1</v>
      </c>
      <c r="J17" s="418" t="s">
        <v>731</v>
      </c>
      <c r="K17" s="886">
        <v>2322042</v>
      </c>
      <c r="O17" s="434"/>
      <c r="P17" s="434"/>
    </row>
    <row r="18" spans="2:16">
      <c r="B18" s="418" t="s">
        <v>762</v>
      </c>
      <c r="C18" s="894" t="s">
        <v>733</v>
      </c>
      <c r="D18" s="1525">
        <f t="shared" si="0"/>
        <v>1994701</v>
      </c>
      <c r="E18" s="910">
        <f>연결PL!D46</f>
        <v>8510049</v>
      </c>
      <c r="G18" s="418">
        <f>SUMIFS(PL!$V:$V,PL!$H:$H,'27'!$B18)</f>
        <v>8510049</v>
      </c>
      <c r="H18" s="886">
        <f t="shared" si="1"/>
        <v>0</v>
      </c>
      <c r="I18" s="418" t="b">
        <f t="shared" si="2"/>
        <v>1</v>
      </c>
      <c r="J18" s="418" t="s">
        <v>733</v>
      </c>
      <c r="K18" s="886">
        <v>6515348</v>
      </c>
      <c r="O18" s="434"/>
      <c r="P18" s="434"/>
    </row>
    <row r="19" spans="2:16">
      <c r="B19" s="418" t="s">
        <v>763</v>
      </c>
      <c r="C19" s="894" t="s">
        <v>176</v>
      </c>
      <c r="D19" s="1525">
        <f t="shared" si="0"/>
        <v>90292991</v>
      </c>
      <c r="E19" s="910">
        <f>연결PL!D47</f>
        <v>181372149</v>
      </c>
      <c r="G19" s="418">
        <f>SUMIFS(PL!$V:$V,PL!$H:$H,'27'!$B19)</f>
        <v>181372149</v>
      </c>
      <c r="H19" s="886">
        <f t="shared" si="1"/>
        <v>0</v>
      </c>
      <c r="I19" s="418" t="b">
        <f t="shared" si="2"/>
        <v>1</v>
      </c>
      <c r="J19" s="418" t="s">
        <v>176</v>
      </c>
      <c r="K19" s="886">
        <v>91079158</v>
      </c>
      <c r="O19" s="434"/>
      <c r="P19" s="434"/>
    </row>
    <row r="20" spans="2:16">
      <c r="B20" s="418" t="s">
        <v>764</v>
      </c>
      <c r="C20" s="894" t="s">
        <v>394</v>
      </c>
      <c r="D20" s="1525">
        <f t="shared" si="0"/>
        <v>47125017</v>
      </c>
      <c r="E20" s="910">
        <f>연결PL!D48</f>
        <v>89571233</v>
      </c>
      <c r="G20" s="418">
        <f>SUMIFS(PL!$V:$V,PL!$H:$H,'27'!$B20)</f>
        <v>89571233</v>
      </c>
      <c r="H20" s="886">
        <f t="shared" si="1"/>
        <v>0</v>
      </c>
      <c r="I20" s="418" t="b">
        <f t="shared" si="2"/>
        <v>1</v>
      </c>
      <c r="J20" s="418" t="s">
        <v>394</v>
      </c>
      <c r="K20" s="886">
        <v>42446216</v>
      </c>
      <c r="O20" s="434"/>
      <c r="P20" s="434"/>
    </row>
    <row r="21" spans="2:16">
      <c r="B21" s="418" t="s">
        <v>765</v>
      </c>
      <c r="C21" s="894" t="s">
        <v>390</v>
      </c>
      <c r="D21" s="1525">
        <f t="shared" si="0"/>
        <v>467086</v>
      </c>
      <c r="E21" s="910">
        <f>연결PL!D49</f>
        <v>2127578</v>
      </c>
      <c r="G21" s="418">
        <f>SUMIFS(PL!$V:$V,PL!$H:$H,'27'!$B21)</f>
        <v>2127578</v>
      </c>
      <c r="H21" s="886">
        <f t="shared" si="1"/>
        <v>0</v>
      </c>
      <c r="I21" s="418" t="b">
        <f t="shared" si="2"/>
        <v>1</v>
      </c>
      <c r="J21" s="418" t="s">
        <v>390</v>
      </c>
      <c r="K21" s="886">
        <v>1660492</v>
      </c>
      <c r="O21" s="434"/>
      <c r="P21" s="434"/>
    </row>
    <row r="22" spans="2:16">
      <c r="B22" s="418" t="s">
        <v>766</v>
      </c>
      <c r="C22" s="894" t="s">
        <v>510</v>
      </c>
      <c r="D22" s="1525">
        <f t="shared" si="0"/>
        <v>283125</v>
      </c>
      <c r="E22" s="910">
        <f>연결PL!D50</f>
        <v>4498285</v>
      </c>
      <c r="G22" s="418">
        <f>SUMIFS(PL!$V:$V,PL!$H:$H,'27'!$B22)</f>
        <v>4498285</v>
      </c>
      <c r="H22" s="886">
        <f t="shared" si="1"/>
        <v>0</v>
      </c>
      <c r="I22" s="418" t="b">
        <f t="shared" si="2"/>
        <v>1</v>
      </c>
      <c r="J22" s="418" t="s">
        <v>510</v>
      </c>
      <c r="K22" s="886">
        <v>4215160</v>
      </c>
      <c r="O22" s="434"/>
      <c r="P22" s="434"/>
    </row>
    <row r="23" spans="2:16">
      <c r="B23" s="418" t="s">
        <v>767</v>
      </c>
      <c r="C23" s="894" t="s">
        <v>512</v>
      </c>
      <c r="D23" s="1525">
        <f t="shared" si="0"/>
        <v>210000</v>
      </c>
      <c r="E23" s="910">
        <f>연결PL!D51</f>
        <v>720800</v>
      </c>
      <c r="G23" s="418">
        <f>SUMIFS(PL!$V:$V,PL!$H:$H,'27'!$B23)</f>
        <v>720800</v>
      </c>
      <c r="H23" s="886">
        <f t="shared" si="1"/>
        <v>0</v>
      </c>
      <c r="I23" s="418" t="b">
        <f t="shared" si="2"/>
        <v>1</v>
      </c>
      <c r="J23" s="418" t="s">
        <v>512</v>
      </c>
      <c r="K23" s="886">
        <v>510800</v>
      </c>
      <c r="O23" s="434"/>
      <c r="P23" s="434"/>
    </row>
    <row r="24" spans="2:16">
      <c r="B24" s="418" t="s">
        <v>768</v>
      </c>
      <c r="C24" s="894" t="s">
        <v>396</v>
      </c>
      <c r="D24" s="1525">
        <f t="shared" si="0"/>
        <v>188315462</v>
      </c>
      <c r="E24" s="910">
        <f>연결PL!D52</f>
        <v>364625079</v>
      </c>
      <c r="G24" s="418">
        <f>SUMIFS(PL!$V:$V,PL!$H:$H,'27'!$B24)</f>
        <v>364625079</v>
      </c>
      <c r="H24" s="886">
        <f t="shared" si="1"/>
        <v>0</v>
      </c>
      <c r="I24" s="418" t="b">
        <f t="shared" si="2"/>
        <v>1</v>
      </c>
      <c r="J24" s="418" t="s">
        <v>396</v>
      </c>
      <c r="K24" s="886">
        <v>176309617</v>
      </c>
      <c r="O24" s="434"/>
      <c r="P24" s="434"/>
    </row>
    <row r="25" spans="2:16">
      <c r="B25" s="418" t="s">
        <v>769</v>
      </c>
      <c r="C25" s="894" t="s">
        <v>388</v>
      </c>
      <c r="D25" s="1525">
        <f t="shared" si="0"/>
        <v>2246273</v>
      </c>
      <c r="E25" s="910">
        <f>연결PL!D53</f>
        <v>9018081</v>
      </c>
      <c r="G25" s="418">
        <f>SUMIFS(PL!$V:$V,PL!$H:$H,'27'!$B25)</f>
        <v>9018081</v>
      </c>
      <c r="H25" s="886">
        <f t="shared" si="1"/>
        <v>0</v>
      </c>
      <c r="I25" s="418" t="b">
        <f t="shared" si="2"/>
        <v>1</v>
      </c>
      <c r="J25" s="418" t="s">
        <v>388</v>
      </c>
      <c r="K25" s="886">
        <v>6771808</v>
      </c>
      <c r="O25" s="434"/>
      <c r="P25" s="434"/>
    </row>
    <row r="26" spans="2:16">
      <c r="B26" s="418" t="s">
        <v>770</v>
      </c>
      <c r="C26" s="894" t="s">
        <v>514</v>
      </c>
      <c r="D26" s="1525">
        <f t="shared" si="0"/>
        <v>646181</v>
      </c>
      <c r="E26" s="910">
        <f>연결PL!D54</f>
        <v>1066181</v>
      </c>
      <c r="G26" s="418">
        <f>SUMIFS(PL!$V:$V,PL!$H:$H,'27'!$B26)</f>
        <v>1066181</v>
      </c>
      <c r="H26" s="886">
        <f t="shared" si="1"/>
        <v>0</v>
      </c>
      <c r="I26" s="418" t="b">
        <f t="shared" si="2"/>
        <v>1</v>
      </c>
      <c r="J26" s="418" t="s">
        <v>514</v>
      </c>
      <c r="K26" s="886">
        <v>420000</v>
      </c>
      <c r="O26" s="434"/>
      <c r="P26" s="434"/>
    </row>
    <row r="27" spans="2:16">
      <c r="B27" s="418" t="s">
        <v>771</v>
      </c>
      <c r="C27" s="894" t="s">
        <v>513</v>
      </c>
      <c r="D27" s="1525">
        <f t="shared" si="0"/>
        <v>1259150</v>
      </c>
      <c r="E27" s="910">
        <f>연결PL!D55</f>
        <v>4820923</v>
      </c>
      <c r="G27" s="418">
        <f>SUMIFS(PL!$V:$V,PL!$H:$H,'27'!$B27)</f>
        <v>4820923</v>
      </c>
      <c r="H27" s="886">
        <f t="shared" si="1"/>
        <v>0</v>
      </c>
      <c r="I27" s="418" t="b">
        <f t="shared" si="2"/>
        <v>1</v>
      </c>
      <c r="J27" s="418" t="s">
        <v>513</v>
      </c>
      <c r="K27" s="886">
        <v>3561773</v>
      </c>
      <c r="O27" s="434"/>
      <c r="P27" s="434"/>
    </row>
    <row r="28" spans="2:16">
      <c r="B28" s="418" t="s">
        <v>772</v>
      </c>
      <c r="C28" s="894" t="s">
        <v>773</v>
      </c>
      <c r="D28" s="1525">
        <f t="shared" si="0"/>
        <v>0</v>
      </c>
      <c r="E28" s="910">
        <f>연결PL!D56</f>
        <v>0</v>
      </c>
      <c r="G28" s="418">
        <f>SUMIFS(PL!$V:$V,PL!$H:$H,'27'!$B28)</f>
        <v>0</v>
      </c>
      <c r="H28" s="886">
        <f t="shared" si="1"/>
        <v>0</v>
      </c>
      <c r="I28" s="418" t="b">
        <f t="shared" si="2"/>
        <v>1</v>
      </c>
      <c r="J28" s="418" t="s">
        <v>773</v>
      </c>
      <c r="K28" s="886">
        <v>0</v>
      </c>
    </row>
    <row r="29" spans="2:16">
      <c r="B29" s="418" t="s">
        <v>774</v>
      </c>
      <c r="C29" s="894" t="s">
        <v>742</v>
      </c>
      <c r="D29" s="1525">
        <f t="shared" si="0"/>
        <v>0</v>
      </c>
      <c r="E29" s="910">
        <f>연결PL!D57</f>
        <v>236327</v>
      </c>
      <c r="G29" s="418">
        <f>SUMIFS(PL!$V:$V,PL!$H:$H,'27'!$B29)</f>
        <v>236327</v>
      </c>
      <c r="H29" s="886">
        <f t="shared" si="1"/>
        <v>0</v>
      </c>
      <c r="I29" s="418" t="b">
        <f t="shared" si="2"/>
        <v>1</v>
      </c>
      <c r="J29" s="418" t="s">
        <v>742</v>
      </c>
      <c r="K29" s="886">
        <v>236327</v>
      </c>
      <c r="O29" s="434"/>
      <c r="P29" s="434"/>
    </row>
    <row r="30" spans="2:16">
      <c r="B30" s="418" t="s">
        <v>775</v>
      </c>
      <c r="C30" s="894" t="s">
        <v>387</v>
      </c>
      <c r="D30" s="1525">
        <f t="shared" si="0"/>
        <v>8468882</v>
      </c>
      <c r="E30" s="910">
        <f>연결PL!D58</f>
        <v>22041537</v>
      </c>
      <c r="G30" s="418">
        <f>SUMIFS(PL!$V:$V,PL!$H:$H,'27'!$B30)</f>
        <v>22041537</v>
      </c>
      <c r="H30" s="886">
        <f t="shared" si="1"/>
        <v>0</v>
      </c>
      <c r="I30" s="418" t="b">
        <f t="shared" si="2"/>
        <v>1</v>
      </c>
      <c r="J30" s="418" t="s">
        <v>387</v>
      </c>
      <c r="K30" s="886">
        <v>13572655</v>
      </c>
      <c r="O30" s="434"/>
      <c r="P30" s="434"/>
    </row>
    <row r="31" spans="2:16">
      <c r="B31" s="418" t="s">
        <v>776</v>
      </c>
      <c r="C31" s="894" t="s">
        <v>385</v>
      </c>
      <c r="D31" s="1525">
        <f t="shared" si="0"/>
        <v>891934511</v>
      </c>
      <c r="E31" s="910">
        <f>연결PL!D59</f>
        <v>1130490612</v>
      </c>
      <c r="G31" s="418">
        <f>SUMIFS(PL!$V:$V,PL!$H:$H,'27'!$B31)</f>
        <v>1130490612</v>
      </c>
      <c r="H31" s="886">
        <f t="shared" si="1"/>
        <v>0</v>
      </c>
      <c r="I31" s="418" t="b">
        <f t="shared" si="2"/>
        <v>1</v>
      </c>
      <c r="J31" s="418" t="s">
        <v>385</v>
      </c>
      <c r="K31" s="886">
        <v>238556101</v>
      </c>
      <c r="O31" s="434"/>
      <c r="P31" s="434"/>
    </row>
    <row r="32" spans="2:16">
      <c r="B32" s="418" t="s">
        <v>777</v>
      </c>
      <c r="C32" s="894" t="s">
        <v>386</v>
      </c>
      <c r="D32" s="1525">
        <f t="shared" si="0"/>
        <v>1022719372</v>
      </c>
      <c r="E32" s="910">
        <f>연결PL!D61</f>
        <v>1895901871</v>
      </c>
      <c r="G32" s="418">
        <f>SUMIFS(PL!$V:$V,PL!$H:$H,'27'!$B32)</f>
        <v>1895901871</v>
      </c>
      <c r="H32" s="886">
        <f t="shared" si="1"/>
        <v>0</v>
      </c>
      <c r="I32" s="418" t="b">
        <f t="shared" si="2"/>
        <v>1</v>
      </c>
      <c r="J32" s="418" t="s">
        <v>386</v>
      </c>
      <c r="K32" s="886">
        <v>873182499</v>
      </c>
      <c r="O32" s="434"/>
      <c r="P32" s="434"/>
    </row>
    <row r="33" spans="2:16">
      <c r="B33" s="418" t="s">
        <v>778</v>
      </c>
      <c r="C33" s="894" t="s">
        <v>3601</v>
      </c>
      <c r="D33" s="1525">
        <f t="shared" si="0"/>
        <v>-12815205</v>
      </c>
      <c r="E33" s="910">
        <f>연결PL!D62</f>
        <v>-83305712</v>
      </c>
      <c r="G33" s="418">
        <f>SUMIFS(PL!$V:$V,PL!$H:$H,'27'!$B33)</f>
        <v>-83305712</v>
      </c>
      <c r="H33" s="886">
        <f t="shared" si="1"/>
        <v>0</v>
      </c>
      <c r="I33" s="418" t="b">
        <f t="shared" si="2"/>
        <v>1</v>
      </c>
      <c r="J33" s="418" t="s">
        <v>3601</v>
      </c>
      <c r="K33" s="886">
        <v>-70490507</v>
      </c>
      <c r="O33" s="434"/>
      <c r="P33" s="434"/>
    </row>
    <row r="34" spans="2:16">
      <c r="B34" s="418" t="s">
        <v>779</v>
      </c>
      <c r="C34" s="894" t="s">
        <v>747</v>
      </c>
      <c r="D34" s="1525">
        <f t="shared" si="0"/>
        <v>18070362</v>
      </c>
      <c r="E34" s="910">
        <f>연결PL!D63</f>
        <v>38432994</v>
      </c>
      <c r="G34" s="418">
        <f>SUMIFS(PL!$V:$V,PL!$H:$H,'27'!$B34)</f>
        <v>38432994</v>
      </c>
      <c r="H34" s="886">
        <f t="shared" si="1"/>
        <v>0</v>
      </c>
      <c r="I34" s="418" t="b">
        <f t="shared" si="2"/>
        <v>1</v>
      </c>
      <c r="J34" s="418" t="s">
        <v>747</v>
      </c>
      <c r="K34" s="886">
        <v>20362632</v>
      </c>
      <c r="O34" s="434"/>
      <c r="P34" s="434"/>
    </row>
    <row r="35" spans="2:16">
      <c r="B35" s="418" t="s">
        <v>780</v>
      </c>
      <c r="C35" s="894" t="s">
        <v>781</v>
      </c>
      <c r="D35" s="1525">
        <f t="shared" si="0"/>
        <v>14034230</v>
      </c>
      <c r="E35" s="910">
        <f>연결PL!D64</f>
        <v>33162410</v>
      </c>
      <c r="G35" s="418">
        <f>SUMIFS(PL!$V:$V,PL!$H:$H,'27'!$B35)</f>
        <v>33162410</v>
      </c>
      <c r="H35" s="886">
        <f t="shared" si="1"/>
        <v>0</v>
      </c>
      <c r="I35" s="418" t="b">
        <f t="shared" si="2"/>
        <v>1</v>
      </c>
      <c r="J35" s="418" t="s">
        <v>781</v>
      </c>
      <c r="K35" s="886">
        <v>19128180</v>
      </c>
      <c r="O35" s="434"/>
      <c r="P35" s="434"/>
    </row>
    <row r="36" spans="2:16">
      <c r="B36" s="418" t="s">
        <v>782</v>
      </c>
      <c r="C36" s="894" t="s">
        <v>397</v>
      </c>
      <c r="D36" s="1525">
        <f t="shared" si="0"/>
        <v>20798145</v>
      </c>
      <c r="E36" s="910">
        <f>연결PL!D65</f>
        <v>96068802</v>
      </c>
      <c r="G36" s="418">
        <f>SUMIFS(PL!$V:$V,PL!$H:$H,'27'!$B36)</f>
        <v>96068802</v>
      </c>
      <c r="H36" s="886">
        <f t="shared" si="1"/>
        <v>0</v>
      </c>
      <c r="I36" s="418" t="b">
        <f t="shared" si="2"/>
        <v>1</v>
      </c>
      <c r="J36" s="418" t="s">
        <v>397</v>
      </c>
      <c r="K36" s="886">
        <v>75270657</v>
      </c>
      <c r="O36" s="434"/>
      <c r="P36" s="434"/>
    </row>
    <row r="37" spans="2:16">
      <c r="B37" s="418" t="s">
        <v>783</v>
      </c>
      <c r="C37" s="894" t="s">
        <v>749</v>
      </c>
      <c r="D37" s="1525">
        <f t="shared" si="0"/>
        <v>10772635</v>
      </c>
      <c r="E37" s="910">
        <f>연결PL!D66</f>
        <v>21529107</v>
      </c>
      <c r="G37" s="418">
        <f>SUMIFS(PL!$V:$V,PL!$H:$H,'27'!$B37)</f>
        <v>21529107</v>
      </c>
      <c r="H37" s="886">
        <f t="shared" si="1"/>
        <v>0</v>
      </c>
      <c r="I37" s="418" t="b">
        <f t="shared" si="2"/>
        <v>1</v>
      </c>
      <c r="J37" s="418" t="s">
        <v>749</v>
      </c>
      <c r="K37" s="886">
        <v>10756472</v>
      </c>
      <c r="O37" s="434"/>
      <c r="P37" s="434"/>
    </row>
    <row r="38" spans="2:16">
      <c r="B38" s="418" t="s">
        <v>786</v>
      </c>
      <c r="C38" s="894" t="s">
        <v>787</v>
      </c>
      <c r="D38" s="1525">
        <f t="shared" si="0"/>
        <v>690000</v>
      </c>
      <c r="E38" s="910">
        <f>연결PL!D67</f>
        <v>1380000</v>
      </c>
      <c r="G38" s="418">
        <f>SUMIFS(PL!$V:$V,PL!$H:$H,'27'!$B38)</f>
        <v>1380000</v>
      </c>
      <c r="H38" s="886">
        <f t="shared" si="1"/>
        <v>0</v>
      </c>
      <c r="I38" s="418" t="b">
        <f t="shared" si="2"/>
        <v>1</v>
      </c>
      <c r="J38" s="418" t="s">
        <v>787</v>
      </c>
      <c r="K38" s="886">
        <v>690000</v>
      </c>
      <c r="O38" s="434"/>
      <c r="P38" s="434"/>
    </row>
    <row r="39" spans="2:16">
      <c r="C39" s="895" t="s">
        <v>144</v>
      </c>
      <c r="D39" s="911">
        <f>SUM(D8:D38)</f>
        <v>3157559749</v>
      </c>
      <c r="E39" s="911">
        <f>SUM(E8:E38)</f>
        <v>5969068326</v>
      </c>
      <c r="G39" s="418">
        <f>SUM(G8:G38)</f>
        <v>5969068326</v>
      </c>
      <c r="J39" s="418" t="s">
        <v>144</v>
      </c>
      <c r="O39" s="434"/>
      <c r="P39" s="434"/>
    </row>
    <row r="40" spans="2:16">
      <c r="D40" s="418" t="b">
        <f>공시PL!E7=D39</f>
        <v>1</v>
      </c>
      <c r="E40" s="418" t="b">
        <f>공시PL!F7=E39</f>
        <v>1</v>
      </c>
      <c r="G40" s="418" t="b">
        <f>G39=공시PL!F7</f>
        <v>1</v>
      </c>
    </row>
  </sheetData>
  <mergeCells count="1">
    <mergeCell ref="C6:C7"/>
  </mergeCells>
  <phoneticPr fontId="3"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 operator="containsText" id="{5D0953FF-63C8-4962-A014-047C2AC595C3}">
            <xm:f>NOT(ISERROR(SEARCH("true",A1)))</xm:f>
            <xm:f>"true"</xm:f>
            <x14:dxf>
              <fill>
                <patternFill>
                  <bgColor theme="9" tint="0.79998168889431442"/>
                </patternFill>
              </fill>
            </x14:dxf>
          </x14:cfRule>
          <x14:cfRule type="containsText" priority="2" operator="containsText" id="{AE4F6FEF-3BC2-4124-9E83-7805222A81FF}">
            <xm:f>NOT(ISERROR(SEARCH("false",A1)))</xm:f>
            <xm:f>"false"</xm:f>
            <x14:dxf>
              <fill>
                <patternFill>
                  <bgColor rgb="FFC00000"/>
                </patternFill>
              </fill>
            </x14:dxf>
          </x14:cfRule>
          <xm:sqref>A1:XFD6 A7:B7 D7:XFD7 N7:P39 A8:M40 Q8:XFD40 A41:XFD1048576</xm:sqref>
        </x14:conditionalFormatting>
      </x14:conditionalFormattings>
    </ext>
  </extLst>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codeName="Sheet71"/>
  <dimension ref="B2:O44"/>
  <sheetViews>
    <sheetView showGridLines="0" topLeftCell="A2" zoomScale="85" zoomScaleNormal="85" workbookViewId="0">
      <selection activeCell="C8" sqref="C8:D20"/>
    </sheetView>
  </sheetViews>
  <sheetFormatPr defaultColWidth="9" defaultRowHeight="16.5"/>
  <cols>
    <col min="1" max="1" width="9" style="418"/>
    <col min="2" max="2" width="28" style="418" customWidth="1"/>
    <col min="3" max="9" width="16.625" style="418" customWidth="1"/>
    <col min="10" max="10" width="18.5" style="418" customWidth="1"/>
    <col min="11" max="11" width="15.125" style="418" customWidth="1"/>
    <col min="12" max="12" width="9" style="418"/>
    <col min="13" max="13" width="29.875" style="418" customWidth="1"/>
    <col min="14" max="16" width="12.25" style="418" bestFit="1" customWidth="1"/>
    <col min="17" max="16384" width="9" style="418"/>
  </cols>
  <sheetData>
    <row r="2" spans="2:15">
      <c r="B2" s="860" t="s">
        <v>2083</v>
      </c>
    </row>
    <row r="3" spans="2:15">
      <c r="B3" s="861"/>
    </row>
    <row r="4" spans="2:15" s="101" customFormat="1" ht="13.5">
      <c r="B4" s="101" t="s">
        <v>2084</v>
      </c>
    </row>
    <row r="5" spans="2:15" s="101" customFormat="1" ht="13.5">
      <c r="D5" s="1317" t="s">
        <v>368</v>
      </c>
    </row>
    <row r="6" spans="2:15" s="101" customFormat="1" ht="13.5">
      <c r="B6" s="2160" t="s">
        <v>257</v>
      </c>
      <c r="C6" s="1571" t="str">
        <f>'26'!$C$7</f>
        <v>당기</v>
      </c>
      <c r="D6" s="1571"/>
      <c r="E6" s="1572" t="str">
        <f>'26'!$E$7</f>
        <v>전기</v>
      </c>
      <c r="F6" s="1572"/>
    </row>
    <row r="7" spans="2:15" s="101" customFormat="1" ht="13.5">
      <c r="B7" s="2089"/>
      <c r="C7" s="1400" t="s">
        <v>2628</v>
      </c>
      <c r="D7" s="1400" t="s">
        <v>2629</v>
      </c>
      <c r="E7" s="1573" t="s">
        <v>2628</v>
      </c>
      <c r="F7" s="1573" t="s">
        <v>2629</v>
      </c>
      <c r="I7" s="1574" t="s">
        <v>257</v>
      </c>
      <c r="J7" s="1574" t="s">
        <v>2987</v>
      </c>
      <c r="K7" s="1574" t="s">
        <v>3027</v>
      </c>
      <c r="M7" s="1820"/>
      <c r="N7" s="1820"/>
      <c r="O7" s="1820"/>
    </row>
    <row r="8" spans="2:15" s="101" customFormat="1" ht="13.5">
      <c r="B8" s="1281" t="s">
        <v>260</v>
      </c>
      <c r="C8" s="1341">
        <f t="shared" ref="C8:C19" si="0">D8-J8</f>
        <v>-125720065</v>
      </c>
      <c r="D8" s="1341">
        <f t="shared" ref="D8:D19" si="1">K26</f>
        <v>119832703</v>
      </c>
      <c r="E8" s="1341">
        <v>-346343638</v>
      </c>
      <c r="F8" s="1341">
        <v>182813082</v>
      </c>
      <c r="G8" s="1118"/>
      <c r="I8" s="1575" t="s">
        <v>260</v>
      </c>
      <c r="J8" s="1576">
        <v>245552768</v>
      </c>
      <c r="K8" s="1576"/>
      <c r="M8" s="1821"/>
      <c r="N8" s="1822"/>
      <c r="O8" s="1822"/>
    </row>
    <row r="9" spans="2:15" s="101" customFormat="1" ht="13.5">
      <c r="B9" s="1281" t="s">
        <v>2085</v>
      </c>
      <c r="C9" s="1341">
        <f t="shared" si="0"/>
        <v>822112953</v>
      </c>
      <c r="D9" s="1341">
        <f t="shared" si="1"/>
        <v>1348231981</v>
      </c>
      <c r="E9" s="1341">
        <v>893385359</v>
      </c>
      <c r="F9" s="1341">
        <v>1644619309</v>
      </c>
      <c r="G9" s="1118"/>
      <c r="I9" s="1575" t="s">
        <v>2085</v>
      </c>
      <c r="J9" s="1576">
        <v>526119028</v>
      </c>
      <c r="K9" s="1576"/>
      <c r="M9" s="1821"/>
      <c r="N9" s="1822"/>
      <c r="O9" s="1822"/>
    </row>
    <row r="10" spans="2:15" s="101" customFormat="1" ht="13.5">
      <c r="B10" s="1281" t="s">
        <v>384</v>
      </c>
      <c r="C10" s="1341">
        <f t="shared" si="0"/>
        <v>1192028008</v>
      </c>
      <c r="D10" s="1341">
        <f t="shared" si="1"/>
        <v>2662503593</v>
      </c>
      <c r="E10" s="1341">
        <v>1371079099</v>
      </c>
      <c r="F10" s="1341">
        <v>2889453965</v>
      </c>
      <c r="G10" s="1118"/>
      <c r="I10" s="1575" t="s">
        <v>384</v>
      </c>
      <c r="J10" s="1576">
        <v>1470475585</v>
      </c>
      <c r="K10" s="1576"/>
      <c r="M10" s="1821"/>
      <c r="N10" s="1822"/>
      <c r="O10" s="1822"/>
    </row>
    <row r="11" spans="2:15" s="101" customFormat="1" ht="13.5">
      <c r="B11" s="1281" t="s">
        <v>393</v>
      </c>
      <c r="C11" s="1341">
        <f t="shared" si="0"/>
        <v>150839694</v>
      </c>
      <c r="D11" s="1341">
        <f t="shared" si="1"/>
        <v>342905888</v>
      </c>
      <c r="E11" s="1341">
        <v>189539123</v>
      </c>
      <c r="F11" s="1341">
        <v>333818376</v>
      </c>
      <c r="G11" s="1118"/>
      <c r="I11" s="1575" t="s">
        <v>393</v>
      </c>
      <c r="J11" s="1576">
        <v>192066194</v>
      </c>
      <c r="K11" s="1576"/>
      <c r="M11" s="1821"/>
      <c r="N11" s="1822"/>
      <c r="O11" s="1822"/>
    </row>
    <row r="12" spans="2:15" s="101" customFormat="1" ht="13.5">
      <c r="B12" s="1281" t="s">
        <v>508</v>
      </c>
      <c r="C12" s="1341">
        <f t="shared" si="0"/>
        <v>62933556</v>
      </c>
      <c r="D12" s="1341">
        <f t="shared" si="1"/>
        <v>240302028</v>
      </c>
      <c r="E12" s="1341">
        <v>149227083</v>
      </c>
      <c r="F12" s="1341">
        <v>296451693</v>
      </c>
      <c r="G12" s="1118"/>
      <c r="I12" s="1575" t="s">
        <v>508</v>
      </c>
      <c r="J12" s="1576">
        <v>177368472</v>
      </c>
      <c r="K12" s="1576"/>
      <c r="M12" s="1821"/>
      <c r="N12" s="1822"/>
      <c r="O12" s="1822"/>
    </row>
    <row r="13" spans="2:15" s="101" customFormat="1" ht="13.5">
      <c r="B13" s="1281" t="s">
        <v>2086</v>
      </c>
      <c r="C13" s="1341">
        <f t="shared" si="0"/>
        <v>322667709</v>
      </c>
      <c r="D13" s="1341">
        <f t="shared" si="1"/>
        <v>607191027</v>
      </c>
      <c r="E13" s="1341">
        <v>323183815</v>
      </c>
      <c r="F13" s="1341">
        <v>641798915</v>
      </c>
      <c r="G13" s="1118"/>
      <c r="I13" s="1575" t="s">
        <v>2086</v>
      </c>
      <c r="J13" s="1576">
        <v>284523318</v>
      </c>
      <c r="K13" s="1576"/>
      <c r="M13" s="1821"/>
      <c r="N13" s="1822"/>
      <c r="O13" s="1822"/>
    </row>
    <row r="14" spans="2:15" s="101" customFormat="1" ht="13.5">
      <c r="B14" s="1281" t="s">
        <v>2087</v>
      </c>
      <c r="C14" s="1341">
        <f t="shared" si="0"/>
        <v>74199310</v>
      </c>
      <c r="D14" s="1341">
        <f t="shared" si="1"/>
        <v>152649406</v>
      </c>
      <c r="E14" s="1341">
        <v>86416890</v>
      </c>
      <c r="F14" s="1341">
        <v>149658810</v>
      </c>
      <c r="G14" s="1118"/>
      <c r="I14" s="1575" t="s">
        <v>2087</v>
      </c>
      <c r="J14" s="1576">
        <v>78450096</v>
      </c>
      <c r="K14" s="1576"/>
      <c r="M14" s="1821"/>
      <c r="N14" s="1822"/>
      <c r="O14" s="1822"/>
    </row>
    <row r="15" spans="2:15" s="101" customFormat="1" ht="13.5">
      <c r="B15" s="1281" t="s">
        <v>385</v>
      </c>
      <c r="C15" s="1341">
        <f t="shared" si="0"/>
        <v>1088683018</v>
      </c>
      <c r="D15" s="1341">
        <f t="shared" si="1"/>
        <v>1491341498</v>
      </c>
      <c r="E15" s="1341">
        <v>328005859</v>
      </c>
      <c r="F15" s="1341">
        <v>615499435</v>
      </c>
      <c r="G15" s="1118"/>
      <c r="I15" s="1575" t="s">
        <v>385</v>
      </c>
      <c r="J15" s="1576">
        <v>402658480</v>
      </c>
      <c r="K15" s="1576"/>
      <c r="M15" s="1821"/>
      <c r="N15" s="1822"/>
      <c r="O15" s="1822"/>
    </row>
    <row r="16" spans="2:15" s="101" customFormat="1" ht="13.5">
      <c r="B16" s="1281" t="s">
        <v>397</v>
      </c>
      <c r="C16" s="1341">
        <f t="shared" si="0"/>
        <v>20798145</v>
      </c>
      <c r="D16" s="1341">
        <f t="shared" si="1"/>
        <v>96068802</v>
      </c>
      <c r="E16" s="1341">
        <v>60195265</v>
      </c>
      <c r="F16" s="1341">
        <v>109893893</v>
      </c>
      <c r="G16" s="1118"/>
      <c r="I16" s="1575" t="s">
        <v>397</v>
      </c>
      <c r="J16" s="1576">
        <v>75270657</v>
      </c>
      <c r="K16" s="1576"/>
      <c r="M16" s="1821"/>
      <c r="N16" s="1822"/>
      <c r="O16" s="1822"/>
    </row>
    <row r="17" spans="2:15" s="101" customFormat="1" ht="13.5">
      <c r="B17" s="1281" t="s">
        <v>388</v>
      </c>
      <c r="C17" s="1341">
        <f t="shared" si="0"/>
        <v>20143250</v>
      </c>
      <c r="D17" s="1341">
        <f t="shared" si="1"/>
        <v>46312245</v>
      </c>
      <c r="E17" s="1341">
        <v>22412848</v>
      </c>
      <c r="F17" s="1341">
        <v>47707009</v>
      </c>
      <c r="G17" s="1118"/>
      <c r="I17" s="1575" t="s">
        <v>388</v>
      </c>
      <c r="J17" s="1576">
        <v>26168995</v>
      </c>
      <c r="K17" s="1576"/>
      <c r="M17" s="1821"/>
      <c r="N17" s="1822"/>
      <c r="O17" s="1822"/>
    </row>
    <row r="18" spans="2:15" s="101" customFormat="1" ht="13.5">
      <c r="B18" s="1281" t="s">
        <v>386</v>
      </c>
      <c r="C18" s="1341">
        <f t="shared" si="0"/>
        <v>1022719372</v>
      </c>
      <c r="D18" s="1341">
        <f t="shared" si="1"/>
        <v>1895901871</v>
      </c>
      <c r="E18" s="1341">
        <v>464004783</v>
      </c>
      <c r="F18" s="1341">
        <v>869276111</v>
      </c>
      <c r="G18" s="1118"/>
      <c r="I18" s="1575" t="s">
        <v>386</v>
      </c>
      <c r="J18" s="1576">
        <v>873182499</v>
      </c>
      <c r="K18" s="1576"/>
      <c r="M18" s="1821"/>
      <c r="N18" s="1822"/>
      <c r="O18" s="1822"/>
    </row>
    <row r="19" spans="2:15" s="101" customFormat="1" ht="13.5">
      <c r="B19" s="1281" t="s">
        <v>88</v>
      </c>
      <c r="C19" s="1341">
        <f t="shared" si="0"/>
        <v>303196831</v>
      </c>
      <c r="D19" s="1341">
        <f t="shared" si="1"/>
        <v>600044905</v>
      </c>
      <c r="E19" s="1341">
        <v>323032636</v>
      </c>
      <c r="F19" s="1341">
        <v>563970143</v>
      </c>
      <c r="G19" s="1118"/>
      <c r="I19" s="1575" t="s">
        <v>88</v>
      </c>
      <c r="J19" s="1576">
        <v>296848074</v>
      </c>
      <c r="K19" s="1576"/>
      <c r="M19" s="1821"/>
      <c r="N19" s="1822"/>
      <c r="O19" s="1822"/>
    </row>
    <row r="20" spans="2:15" s="101" customFormat="1" ht="13.5">
      <c r="B20" s="1284" t="s">
        <v>2088</v>
      </c>
      <c r="C20" s="1455">
        <f>SUM(C8:C19)</f>
        <v>4954601781</v>
      </c>
      <c r="D20" s="1455">
        <f>SUM(D8:D19)</f>
        <v>9603285947</v>
      </c>
      <c r="E20" s="1455">
        <f>SUM(E8:E19)</f>
        <v>3864139122</v>
      </c>
      <c r="F20" s="1455">
        <f>SUM(F8:F19)</f>
        <v>8344960741</v>
      </c>
      <c r="G20" s="1118"/>
      <c r="I20" s="1575" t="s">
        <v>2088</v>
      </c>
      <c r="J20" s="1577">
        <v>4648684166</v>
      </c>
      <c r="K20" s="1577"/>
      <c r="M20" s="1821"/>
      <c r="N20" s="1822"/>
      <c r="O20" s="1822"/>
    </row>
    <row r="21" spans="2:15" s="101" customFormat="1" ht="13.5">
      <c r="C21" s="101" t="b">
        <f>C20=SUM(공시PL!E7,공시PL!E5)</f>
        <v>1</v>
      </c>
      <c r="D21" s="101" t="b">
        <f>D20=SUM(공시PL!F7,공시PL!F5)</f>
        <v>1</v>
      </c>
      <c r="E21" s="1127" t="b">
        <f>E20=SUM(공시PL!G7,공시PL!G5)</f>
        <v>1</v>
      </c>
      <c r="F21" s="101" t="b">
        <f>F20=SUM(공시PL!H7,공시PL!H5)</f>
        <v>1</v>
      </c>
    </row>
    <row r="22" spans="2:15" s="101" customFormat="1" ht="13.5"/>
    <row r="23" spans="2:15" s="101" customFormat="1" ht="13.5">
      <c r="C23" s="1454" t="s">
        <v>2233</v>
      </c>
    </row>
    <row r="24" spans="2:15" s="101" customFormat="1" ht="40.5">
      <c r="B24" s="2158" t="s">
        <v>146</v>
      </c>
      <c r="C24" s="1451" t="s">
        <v>1406</v>
      </c>
      <c r="D24" s="1451" t="s">
        <v>2230</v>
      </c>
      <c r="E24" s="1451" t="s">
        <v>829</v>
      </c>
      <c r="F24" s="1451" t="s">
        <v>1426</v>
      </c>
      <c r="G24" s="1451" t="s">
        <v>2231</v>
      </c>
      <c r="H24" s="1451" t="s">
        <v>2232</v>
      </c>
      <c r="I24" s="1817" t="s">
        <v>3412</v>
      </c>
      <c r="J24" s="1452" t="s">
        <v>2229</v>
      </c>
      <c r="K24" s="2157" t="s">
        <v>142</v>
      </c>
    </row>
    <row r="25" spans="2:15" s="101" customFormat="1" ht="13.5">
      <c r="B25" s="2159"/>
      <c r="C25" s="1453" t="s">
        <v>589</v>
      </c>
      <c r="D25" s="1453" t="s">
        <v>589</v>
      </c>
      <c r="E25" s="1453" t="s">
        <v>587</v>
      </c>
      <c r="F25" s="1453" t="s">
        <v>587</v>
      </c>
      <c r="G25" s="1453" t="s">
        <v>587</v>
      </c>
      <c r="H25" s="1453" t="s">
        <v>587</v>
      </c>
      <c r="I25" s="1818" t="s">
        <v>587</v>
      </c>
      <c r="J25" s="1453"/>
      <c r="K25" s="2157"/>
    </row>
    <row r="26" spans="2:15" s="101" customFormat="1" ht="13.5">
      <c r="B26" s="1446" t="s">
        <v>2916</v>
      </c>
      <c r="C26" s="1447">
        <v>119832703</v>
      </c>
      <c r="D26" s="1447">
        <f>SUMIF(PL!$AD$43:$AD$77,$B26,PL!$J$43:$J$77)</f>
        <v>0</v>
      </c>
      <c r="E26" s="1447">
        <f>SUMIF(PL!$AD$43:$AD$77,$B26,PL!$K$43:$K$77)</f>
        <v>0</v>
      </c>
      <c r="F26" s="1447">
        <f>SUMIF(PL!$AD$43:$AD$77,$B26,PL!$L$43:$L$77)</f>
        <v>0</v>
      </c>
      <c r="G26" s="1447">
        <f>SUMIF(PL!$AD$43:$AD$77,$B26,PL!$M$43:$M$77)</f>
        <v>0</v>
      </c>
      <c r="H26" s="1447">
        <f>SUMIF(PL!$AD$43:$AD$77,$B26,PL!$N$43:$N$77)</f>
        <v>0</v>
      </c>
      <c r="I26" s="1447">
        <f>SUMIF(PL!$AD$43:$AD$77,$B26,PL!$O$43:$O$77)</f>
        <v>0</v>
      </c>
      <c r="J26" s="1447">
        <f>SUMIF(PL!$AD$43:$AD$77,$B26,PL!$T$43:$T$77)+SUMIF(PL!$AD$43:$AD$77,$B26,PL!$W$43:$W$77)-SUMIF(PL!$AD$43:$AD$77,$B26,PL!$U$43:$U$77)-SUMIF(PL!$AD$43:$AD$77,$B26,PL!$X$43:$X$77)</f>
        <v>0</v>
      </c>
      <c r="K26" s="1447">
        <f>SUM(C26:J26)</f>
        <v>119832703</v>
      </c>
    </row>
    <row r="27" spans="2:15" s="101" customFormat="1" ht="13.5">
      <c r="B27" s="1446" t="s">
        <v>2917</v>
      </c>
      <c r="C27" s="1447">
        <v>1310647882</v>
      </c>
      <c r="D27" s="1447">
        <f>PL!J14</f>
        <v>0</v>
      </c>
      <c r="E27" s="1447">
        <f>PL!K14</f>
        <v>378103308</v>
      </c>
      <c r="F27" s="1447">
        <f>PL!L14</f>
        <v>24568846</v>
      </c>
      <c r="G27" s="1447">
        <f>PL!M14</f>
        <v>0</v>
      </c>
      <c r="H27" s="1447">
        <f>PL!N14</f>
        <v>0</v>
      </c>
      <c r="I27" s="1447">
        <f>PL!O14</f>
        <v>0</v>
      </c>
      <c r="J27" s="1447">
        <f>SUM(PL!T15:T41,PL!W15:W41)-SUM(PL!U15:U41,PL!X15:X41)</f>
        <v>-365088055</v>
      </c>
      <c r="K27" s="1447">
        <f t="shared" ref="K27:K37" si="2">SUM(C27:J27)</f>
        <v>1348231981</v>
      </c>
    </row>
    <row r="28" spans="2:15" s="101" customFormat="1" ht="13.5">
      <c r="B28" s="1446" t="s">
        <v>384</v>
      </c>
      <c r="C28" s="1447">
        <v>2351376569</v>
      </c>
      <c r="D28" s="1447">
        <f>SUMIF(PL!$AD$43:$AD$77,$B28,PL!$J$43:$J$77)</f>
        <v>0</v>
      </c>
      <c r="E28" s="1447">
        <f>SUMIF(PL!$AD$43:$AD$77,$B28,PL!$K$43:$K$77)</f>
        <v>271298424</v>
      </c>
      <c r="F28" s="1447">
        <f>SUMIF(PL!$AD$43:$AD$77,$B28,PL!$L$43:$L$77)</f>
        <v>39828600</v>
      </c>
      <c r="G28" s="1447">
        <f>SUMIF(PL!$AD$43:$AD$77,$B28,PL!$M$43:$M$77)</f>
        <v>0</v>
      </c>
      <c r="H28" s="1447">
        <f>SUMIF(PL!$AD$43:$AD$77,$B28,PL!$N$43:$N$77)</f>
        <v>0</v>
      </c>
      <c r="I28" s="1447">
        <f>SUMIF(PL!$AD$43:$AD$77,$B28,PL!$O$43:$O$77)</f>
        <v>0</v>
      </c>
      <c r="J28" s="1447">
        <f>SUMIF(PL!$AD$43:$AD$77,$B28,PL!$T$43:$T$77)+SUMIF(PL!$AD$43:$AD$77,$B28,PL!$W$43:$W$77)-SUMIF(PL!$AD$43:$AD$77,$B28,PL!$U$43:$U$77)-SUMIF(PL!$AD$43:$AD$77,$B28,PL!$X$43:$X$77)</f>
        <v>0</v>
      </c>
      <c r="K28" s="1447">
        <f t="shared" si="2"/>
        <v>2662503593</v>
      </c>
    </row>
    <row r="29" spans="2:15" s="101" customFormat="1" ht="13.5">
      <c r="B29" s="1446" t="s">
        <v>393</v>
      </c>
      <c r="C29" s="1447">
        <v>333460353</v>
      </c>
      <c r="D29" s="1447">
        <f>SUMIF(PL!$AD$43:$AD$77,$B29,PL!$J$43:$J$77)</f>
        <v>0</v>
      </c>
      <c r="E29" s="1447">
        <f>SUMIF(PL!$AD$43:$AD$77,$B29,PL!$K$43:$K$77)</f>
        <v>7738595</v>
      </c>
      <c r="F29" s="1447">
        <f>SUMIF(PL!$AD$43:$AD$77,$B29,PL!$L$43:$L$77)</f>
        <v>1706940</v>
      </c>
      <c r="G29" s="1447">
        <f>SUMIF(PL!$AD$43:$AD$77,$B29,PL!$M$43:$M$77)</f>
        <v>0</v>
      </c>
      <c r="H29" s="1447">
        <f>SUMIF(PL!$AD$43:$AD$77,$B29,PL!$N$43:$N$77)</f>
        <v>0</v>
      </c>
      <c r="I29" s="1447">
        <f>SUMIF(PL!$AD$43:$AD$77,$B29,PL!$O$43:$O$77)</f>
        <v>0</v>
      </c>
      <c r="J29" s="1447">
        <f>SUMIF(PL!$AD$43:$AD$77,$B29,PL!$T$43:$T$77)+SUMIF(PL!$AD$43:$AD$77,$B29,PL!$W$43:$W$77)-SUMIF(PL!$AD$43:$AD$77,$B29,PL!$U$43:$U$77)-SUMIF(PL!$AD$43:$AD$77,$B29,PL!$X$43:$X$77)</f>
        <v>0</v>
      </c>
      <c r="K29" s="1447">
        <f t="shared" si="2"/>
        <v>342905888</v>
      </c>
    </row>
    <row r="30" spans="2:15" s="101" customFormat="1" ht="13.5">
      <c r="B30" s="1446" t="s">
        <v>508</v>
      </c>
      <c r="C30" s="1447">
        <v>233343900</v>
      </c>
      <c r="D30" s="1447">
        <f>SUMIF(PL!$AD$43:$AD$77,$B30,PL!$J$43:$J$77)</f>
        <v>0</v>
      </c>
      <c r="E30" s="1447">
        <f>SUMIF(PL!$AD$43:$AD$77,$B30,PL!$K$43:$K$77)</f>
        <v>6958128</v>
      </c>
      <c r="F30" s="1447">
        <f>SUMIF(PL!$AD$43:$AD$77,$B30,PL!$L$43:$L$77)</f>
        <v>0</v>
      </c>
      <c r="G30" s="1447">
        <f>SUMIF(PL!$AD$43:$AD$77,$B30,PL!$M$43:$M$77)</f>
        <v>0</v>
      </c>
      <c r="H30" s="1447">
        <f>SUMIF(PL!$AD$43:$AD$77,$B30,PL!$N$43:$N$77)</f>
        <v>0</v>
      </c>
      <c r="I30" s="1447">
        <f>SUMIF(PL!$AD$43:$AD$77,$B30,PL!$O$43:$O$77)</f>
        <v>0</v>
      </c>
      <c r="J30" s="1447">
        <f>SUMIF(PL!$AD$43:$AD$77,$B30,PL!$T$43:$T$77)+SUMIF(PL!$AD$43:$AD$77,$B30,PL!$W$43:$W$77)-SUMIF(PL!$AD$43:$AD$77,$B30,PL!$U$43:$U$77)-SUMIF(PL!$AD$43:$AD$77,$B30,PL!$X$43:$X$77)</f>
        <v>0</v>
      </c>
      <c r="K30" s="1447">
        <f t="shared" si="2"/>
        <v>240302028</v>
      </c>
    </row>
    <row r="31" spans="2:15" s="101" customFormat="1" ht="13.5">
      <c r="B31" s="1446" t="s">
        <v>2086</v>
      </c>
      <c r="C31" s="1447">
        <v>545699219</v>
      </c>
      <c r="D31" s="1447">
        <f>SUMIF(PL!$AD$43:$AD$77,$B31,PL!$J$43:$J$77)</f>
        <v>0</v>
      </c>
      <c r="E31" s="1447">
        <f>SUMIF(PL!$AD$43:$AD$77,$B31,PL!$K$43:$K$77)</f>
        <v>4176323</v>
      </c>
      <c r="F31" s="1447">
        <f>SUMIF(PL!$AD$43:$AD$77,$B31,PL!$L$43:$L$77)</f>
        <v>56277298</v>
      </c>
      <c r="G31" s="1447">
        <f>SUMIF(PL!$AD$43:$AD$77,$B31,PL!$M$43:$M$77)</f>
        <v>0</v>
      </c>
      <c r="H31" s="1447">
        <f>SUMIF(PL!$AD$43:$AD$77,$B31,PL!$N$43:$N$77)</f>
        <v>0</v>
      </c>
      <c r="I31" s="1447">
        <f>SUMIF(PL!$AD$43:$AD$77,$B31,PL!$O$43:$O$77)</f>
        <v>0</v>
      </c>
      <c r="J31" s="1447">
        <f>SUMIF(PL!$AD$43:$AD$77,$B31,PL!$T$43:$T$77)+SUMIF(PL!$AD$43:$AD$77,$B31,PL!$W$43:$W$77)-SUMIF(PL!$AD$43:$AD$77,$B31,PL!$U$43:$U$77)-SUMIF(PL!$AD$43:$AD$77,$B31,PL!$X$43:$X$77)</f>
        <v>1038187</v>
      </c>
      <c r="K31" s="1447">
        <f t="shared" si="2"/>
        <v>607191027</v>
      </c>
    </row>
    <row r="32" spans="2:15" s="101" customFormat="1" ht="13.5">
      <c r="B32" s="1446" t="s">
        <v>2087</v>
      </c>
      <c r="C32" s="1447">
        <v>152649406</v>
      </c>
      <c r="D32" s="1447">
        <f>SUMIF(PL!$AD$43:$AD$77,$B32,PL!$J$43:$J$77)</f>
        <v>0</v>
      </c>
      <c r="E32" s="1447">
        <f>SUMIF(PL!$AD$43:$AD$77,$B32,PL!$K$43:$K$77)</f>
        <v>0</v>
      </c>
      <c r="F32" s="1447">
        <f>SUMIF(PL!$AD$43:$AD$77,$B32,PL!$L$43:$L$77)</f>
        <v>0</v>
      </c>
      <c r="G32" s="1447">
        <f>SUMIF(PL!$AD$43:$AD$77,$B32,PL!$M$43:$M$77)</f>
        <v>0</v>
      </c>
      <c r="H32" s="1447">
        <f>SUMIF(PL!$AD$43:$AD$77,$B32,PL!$N$43:$N$77)</f>
        <v>0</v>
      </c>
      <c r="I32" s="1447">
        <f>SUMIF(PL!$AD$43:$AD$77,$B32,PL!$O$43:$O$77)</f>
        <v>0</v>
      </c>
      <c r="J32" s="1447">
        <f>SUMIF(PL!$AD$43:$AD$77,$B32,PL!$T$43:$T$77)+SUMIF(PL!$AD$43:$AD$77,$B32,PL!$W$43:$W$77)-SUMIF(PL!$AD$43:$AD$77,$B32,PL!$U$43:$U$77)-SUMIF(PL!$AD$43:$AD$77,$B32,PL!$X$43:$X$77)</f>
        <v>0</v>
      </c>
      <c r="K32" s="1447">
        <f t="shared" si="2"/>
        <v>152649406</v>
      </c>
    </row>
    <row r="33" spans="2:11" s="101" customFormat="1" ht="13.5">
      <c r="B33" s="1446" t="s">
        <v>385</v>
      </c>
      <c r="C33" s="1447">
        <v>1442994362</v>
      </c>
      <c r="D33" s="1447">
        <f>SUMIF(PL!$AD$43:$AD$77,$B33,PL!$J$43:$J$77)</f>
        <v>0</v>
      </c>
      <c r="E33" s="1447">
        <f>SUMIF(PL!$AD$43:$AD$77,$B33,PL!$K$43:$K$77)</f>
        <v>12437835</v>
      </c>
      <c r="F33" s="1447">
        <f>SUMIF(PL!$AD$43:$AD$77,$B33,PL!$L$43:$L$77)</f>
        <v>11638076</v>
      </c>
      <c r="G33" s="1447">
        <f>SUMIF(PL!$AD$43:$AD$77,$B33,PL!$M$43:$M$77)</f>
        <v>15615220</v>
      </c>
      <c r="H33" s="1447">
        <f>SUMIF(PL!$AD$43:$AD$77,$B33,PL!$N$43:$N$77)</f>
        <v>8656005</v>
      </c>
      <c r="I33" s="1447">
        <f>SUMIF(PL!$AD$43:$AD$77,$B33,PL!$O$43:$O$77)</f>
        <v>0</v>
      </c>
      <c r="J33" s="1447">
        <f>SUMIF(PL!$AD$43:$AD$77,$B33,PL!$T$43:$T$77)+SUMIF(PL!$AD$43:$AD$77,$B33,PL!$W$43:$W$77)-SUMIF(PL!$AD$43:$AD$77,$B33,PL!$U$43:$U$77)-SUMIF(PL!$AD$43:$AD$77,$B33,PL!$X$43:$X$77)</f>
        <v>0</v>
      </c>
      <c r="K33" s="1447">
        <f t="shared" si="2"/>
        <v>1491341498</v>
      </c>
    </row>
    <row r="34" spans="2:11" s="101" customFormat="1" ht="13.5">
      <c r="B34" s="1446" t="s">
        <v>397</v>
      </c>
      <c r="C34" s="1447">
        <v>96068802</v>
      </c>
      <c r="D34" s="1447">
        <f>SUMIF(PL!$AD$43:$AD$77,$B34,PL!$J$43:$J$77)</f>
        <v>0</v>
      </c>
      <c r="E34" s="1447">
        <f>SUMIF(PL!$AD$43:$AD$77,$B34,PL!$K$43:$K$77)</f>
        <v>0</v>
      </c>
      <c r="F34" s="1447">
        <f>SUMIF(PL!$AD$43:$AD$77,$B34,PL!$L$43:$L$77)</f>
        <v>0</v>
      </c>
      <c r="G34" s="1447">
        <f>SUMIF(PL!$AD$43:$AD$77,$B34,PL!$M$43:$M$77)</f>
        <v>0</v>
      </c>
      <c r="H34" s="1447">
        <f>SUMIF(PL!$AD$43:$AD$77,$B34,PL!$N$43:$N$77)</f>
        <v>0</v>
      </c>
      <c r="I34" s="1447">
        <f>SUMIF(PL!$AD$43:$AD$77,$B34,PL!$O$43:$O$77)</f>
        <v>0</v>
      </c>
      <c r="J34" s="1447">
        <f>SUMIF(PL!$AD$43:$AD$77,$B34,PL!$T$43:$T$77)+SUMIF(PL!$AD$43:$AD$77,$B34,PL!$W$43:$W$77)-SUMIF(PL!$AD$43:$AD$77,$B34,PL!$U$43:$U$77)-SUMIF(PL!$AD$43:$AD$77,$B34,PL!$X$43:$X$77)</f>
        <v>0</v>
      </c>
      <c r="K34" s="1447">
        <f t="shared" si="2"/>
        <v>96068802</v>
      </c>
    </row>
    <row r="35" spans="2:11" s="101" customFormat="1" ht="13.5">
      <c r="B35" s="1446" t="s">
        <v>388</v>
      </c>
      <c r="C35" s="1447">
        <v>46312245</v>
      </c>
      <c r="D35" s="1447">
        <f>SUMIF(PL!$AD$43:$AD$77,$B35,PL!$J$43:$J$77)</f>
        <v>0</v>
      </c>
      <c r="E35" s="1447">
        <f>SUMIF(PL!$AD$43:$AD$77,$B35,PL!$K$43:$K$77)</f>
        <v>0</v>
      </c>
      <c r="F35" s="1447">
        <f>SUMIF(PL!$AD$43:$AD$77,$B35,PL!$L$43:$L$77)</f>
        <v>0</v>
      </c>
      <c r="G35" s="1447">
        <f>SUMIF(PL!$AD$43:$AD$77,$B35,PL!$M$43:$M$77)</f>
        <v>0</v>
      </c>
      <c r="H35" s="1447">
        <f>SUMIF(PL!$AD$43:$AD$77,$B35,PL!$N$43:$N$77)</f>
        <v>0</v>
      </c>
      <c r="I35" s="1447">
        <f>SUMIF(PL!$AD$43:$AD$77,$B35,PL!$O$43:$O$77)</f>
        <v>0</v>
      </c>
      <c r="J35" s="1447">
        <f>SUMIF(PL!$AD$43:$AD$77,$B35,PL!$T$43:$T$77)+SUMIF(PL!$AD$43:$AD$77,$B35,PL!$W$43:$W$77)-SUMIF(PL!$AD$43:$AD$77,$B35,PL!$U$43:$U$77)-SUMIF(PL!$AD$43:$AD$77,$B35,PL!$X$43:$X$77)</f>
        <v>0</v>
      </c>
      <c r="K35" s="1447">
        <f t="shared" si="2"/>
        <v>46312245</v>
      </c>
    </row>
    <row r="36" spans="2:11" s="101" customFormat="1" ht="13.5">
      <c r="B36" s="1446" t="s">
        <v>386</v>
      </c>
      <c r="C36" s="1447">
        <v>1875294553</v>
      </c>
      <c r="D36" s="1447">
        <f>SUMIF(PL!$AD$43:$AD$77,$B36,PL!$J$43:$J$77)</f>
        <v>0</v>
      </c>
      <c r="E36" s="1447">
        <f>SUMIF(PL!$AD$43:$AD$77,$B36,PL!$K$43:$K$77)</f>
        <v>20607318</v>
      </c>
      <c r="F36" s="1447">
        <f>SUMIF(PL!$AD$43:$AD$77,$B36,PL!$L$43:$L$77)</f>
        <v>0</v>
      </c>
      <c r="G36" s="1447">
        <f>SUMIF(PL!$AD$43:$AD$77,$B36,PL!$M$43:$M$77)</f>
        <v>0</v>
      </c>
      <c r="H36" s="1447">
        <f>SUMIF(PL!$AD$43:$AD$77,$B36,PL!$N$43:$N$77)</f>
        <v>0</v>
      </c>
      <c r="I36" s="1447">
        <f>SUMIF(PL!$AD$43:$AD$77,$B36,PL!$O$43:$O$77)</f>
        <v>0</v>
      </c>
      <c r="J36" s="1447">
        <f>SUMIF(PL!$AD$43:$AD$77,$B36,PL!$T$43:$T$77)+SUMIF(PL!$AD$43:$AD$77,$B36,PL!$W$43:$W$77)-SUMIF(PL!$AD$43:$AD$77,$B36,PL!$U$43:$U$77)-SUMIF(PL!$AD$43:$AD$77,$B36,PL!$X$43:$X$77)</f>
        <v>0</v>
      </c>
      <c r="K36" s="1447">
        <f t="shared" si="2"/>
        <v>1895901871</v>
      </c>
    </row>
    <row r="37" spans="2:11" s="101" customFormat="1" ht="13.5">
      <c r="B37" s="1446" t="s">
        <v>88</v>
      </c>
      <c r="C37" s="1447">
        <v>467304810</v>
      </c>
      <c r="D37" s="1447">
        <f>SUMIF(PL!$AD$43:$AD$77,$B37,PL!$J$43:$J$77)</f>
        <v>0</v>
      </c>
      <c r="E37" s="1447">
        <f>SUMIF(PL!$AD$43:$AD$77,$B37,PL!$K$43:$K$77)</f>
        <v>59737677</v>
      </c>
      <c r="F37" s="1447">
        <f>SUMIF(PL!$AD$43:$AD$77,$B37,PL!$L$43:$L$77)</f>
        <v>73416884</v>
      </c>
      <c r="G37" s="1447">
        <f>SUMIF(PL!$AD$43:$AD$77,$B37,PL!$M$43:$M$77)</f>
        <v>3829</v>
      </c>
      <c r="H37" s="1447">
        <f>SUMIF(PL!$AD$43:$AD$77,$B37,PL!$N$43:$N$77)</f>
        <v>0</v>
      </c>
      <c r="I37" s="1447">
        <f>SUMIF(PL!$AD$43:$AD$77,$B37,PL!$O$43:$O$77)</f>
        <v>0</v>
      </c>
      <c r="J37" s="1447">
        <f>SUMIF(PL!$AD$43:$AD$77,$B37,PL!$T$43:$T$77)+SUMIF(PL!$AD$43:$AD$77,$B37,PL!$W$43:$W$77)-SUMIF(PL!$AD$43:$AD$77,$B37,PL!$U$43:$U$77)-SUMIF(PL!$AD$43:$AD$77,$B37,PL!$X$43:$X$77)</f>
        <v>-418295</v>
      </c>
      <c r="K37" s="1447">
        <f t="shared" si="2"/>
        <v>600044905</v>
      </c>
    </row>
    <row r="38" spans="2:11" s="101" customFormat="1" ht="13.5">
      <c r="B38" s="1446" t="s">
        <v>391</v>
      </c>
      <c r="C38" s="1448">
        <f t="shared" ref="C38:K38" si="3">SUM(C26:C37)</f>
        <v>8974984804</v>
      </c>
      <c r="D38" s="1448">
        <f t="shared" si="3"/>
        <v>0</v>
      </c>
      <c r="E38" s="1448">
        <f t="shared" si="3"/>
        <v>761057608</v>
      </c>
      <c r="F38" s="1448">
        <f t="shared" si="3"/>
        <v>207436644</v>
      </c>
      <c r="G38" s="1448">
        <f t="shared" si="3"/>
        <v>15619049</v>
      </c>
      <c r="H38" s="1448">
        <f t="shared" si="3"/>
        <v>8656005</v>
      </c>
      <c r="I38" s="1819"/>
      <c r="J38" s="1448">
        <f t="shared" si="3"/>
        <v>-364468163</v>
      </c>
      <c r="K38" s="1448">
        <f t="shared" si="3"/>
        <v>9603285947</v>
      </c>
    </row>
    <row r="39" spans="2:11" s="101" customFormat="1" ht="13.5">
      <c r="C39" s="101" t="b">
        <f>C38=PL!I13+PL!I42</f>
        <v>1</v>
      </c>
      <c r="D39" s="101" t="b">
        <f>D38=PL!J13+PL!J42</f>
        <v>1</v>
      </c>
      <c r="E39" s="101" t="b">
        <f>E38=PL!K13+PL!K42</f>
        <v>1</v>
      </c>
      <c r="F39" s="101" t="b">
        <f>F38=PL!L13+PL!L42</f>
        <v>1</v>
      </c>
      <c r="G39" s="101" t="b">
        <f>G38=PL!M13+PL!M42</f>
        <v>1</v>
      </c>
      <c r="H39" s="101" t="b">
        <f>H38=PL!N13+PL!N42</f>
        <v>1</v>
      </c>
      <c r="I39" s="101" t="b">
        <f>I38=PL!O13+PL!O42</f>
        <v>1</v>
      </c>
    </row>
    <row r="40" spans="2:11" s="101" customFormat="1" ht="13.5"/>
    <row r="41" spans="2:11" s="101" customFormat="1" ht="13.5"/>
    <row r="42" spans="2:11" s="101" customFormat="1" ht="13.5"/>
    <row r="43" spans="2:11" s="101" customFormat="1" ht="13.5">
      <c r="C43" s="105"/>
    </row>
    <row r="44" spans="2:11">
      <c r="K44" s="881"/>
    </row>
  </sheetData>
  <mergeCells count="3">
    <mergeCell ref="K24:K25"/>
    <mergeCell ref="B24:B25"/>
    <mergeCell ref="B6:B7"/>
  </mergeCells>
  <phoneticPr fontId="3"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1" operator="containsText" id="{CCFF3E51-9937-4E9B-B468-E41DB473D050}">
            <xm:f>NOT(ISERROR(SEARCH("true",A1)))</xm:f>
            <xm:f>"true"</xm:f>
            <x14:dxf>
              <fill>
                <patternFill>
                  <bgColor theme="9" tint="0.79998168889431442"/>
                </patternFill>
              </fill>
            </x14:dxf>
          </x14:cfRule>
          <x14:cfRule type="containsText" priority="12" operator="containsText" id="{B14CCC03-CE79-41B6-8492-4EB3A796D760}">
            <xm:f>NOT(ISERROR(SEARCH("false",A1)))</xm:f>
            <xm:f>"false"</xm:f>
            <x14:dxf>
              <fill>
                <patternFill>
                  <bgColor rgb="FFC00000"/>
                </patternFill>
              </fill>
            </x14:dxf>
          </x14:cfRule>
          <xm:sqref>A1:XFD4 A5:B5 D5:I5 J5:XFD6 G6:I6 A6:A7 G7 L7:L20 P7:XFD20 A8:G20 I8:K20 A21:XFD1048576</xm:sqref>
        </x14:conditionalFormatting>
        <x14:conditionalFormatting xmlns:xm="http://schemas.microsoft.com/office/excel/2006/main">
          <x14:cfRule type="containsText" priority="5" operator="containsText" id="{2F76ABEA-FB88-4A0B-9474-590F46917081}">
            <xm:f>NOT(ISERROR(SEARCH("true",B6)))</xm:f>
            <xm:f>"true"</xm:f>
            <x14:dxf>
              <fill>
                <patternFill>
                  <bgColor theme="9" tint="0.79998168889431442"/>
                </patternFill>
              </fill>
            </x14:dxf>
          </x14:cfRule>
          <x14:cfRule type="containsText" priority="6" operator="containsText" id="{A3C42C31-90FB-4257-9008-CE8E1ACF948F}">
            <xm:f>NOT(ISERROR(SEARCH("false",B6)))</xm:f>
            <xm:f>"false"</xm:f>
            <x14:dxf>
              <fill>
                <patternFill>
                  <bgColor rgb="FFC00000"/>
                </patternFill>
              </fill>
            </x14:dxf>
          </x14:cfRule>
          <xm:sqref>B6</xm:sqref>
        </x14:conditionalFormatting>
        <x14:conditionalFormatting xmlns:xm="http://schemas.microsoft.com/office/excel/2006/main">
          <x14:cfRule type="containsText" priority="3" operator="containsText" id="{E6519039-1558-44FD-83B1-5F1A990F70E6}">
            <xm:f>NOT(ISERROR(SEARCH("true",C6)))</xm:f>
            <xm:f>"true"</xm:f>
            <x14:dxf>
              <fill>
                <patternFill>
                  <bgColor theme="9" tint="0.79998168889431442"/>
                </patternFill>
              </fill>
            </x14:dxf>
          </x14:cfRule>
          <x14:cfRule type="containsText" priority="4" operator="containsText" id="{208571B0-0DAD-483B-98E4-D4F6D00C58C2}">
            <xm:f>NOT(ISERROR(SEARCH("false",C6)))</xm:f>
            <xm:f>"false"</xm:f>
            <x14:dxf>
              <fill>
                <patternFill>
                  <bgColor rgb="FFC00000"/>
                </patternFill>
              </fill>
            </x14:dxf>
          </x14:cfRule>
          <xm:sqref>C6:D7</xm:sqref>
        </x14:conditionalFormatting>
        <x14:conditionalFormatting xmlns:xm="http://schemas.microsoft.com/office/excel/2006/main">
          <x14:cfRule type="containsText" priority="1" operator="containsText" id="{227086E6-1623-4153-810A-5A168808B70F}">
            <xm:f>NOT(ISERROR(SEARCH("FALSE",E6)))</xm:f>
            <xm:f>"FALSE"</xm:f>
            <x14:dxf>
              <fill>
                <patternFill>
                  <bgColor theme="5"/>
                </patternFill>
              </fill>
            </x14:dxf>
          </x14:cfRule>
          <x14:cfRule type="containsText" priority="2" operator="containsText" id="{E92DD6F1-893E-4FCB-90A7-374A2FA58D3D}">
            <xm:f>NOT(ISERROR(SEARCH("TRUE",E6)))</xm:f>
            <xm:f>"TRUE"</xm:f>
            <x14:dxf>
              <fill>
                <patternFill>
                  <bgColor theme="9" tint="0.79998168889431442"/>
                </patternFill>
              </fill>
            </x14:dxf>
          </x14:cfRule>
          <xm:sqref>E6:F7</xm:sqref>
        </x14:conditionalFormatting>
      </x14:conditionalFormattings>
    </ext>
  </extLst>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codeName="Sheet72"/>
  <dimension ref="A2:L32"/>
  <sheetViews>
    <sheetView showGridLines="0" zoomScale="85" zoomScaleNormal="85" workbookViewId="0">
      <selection activeCell="C31" sqref="C31:D31"/>
    </sheetView>
  </sheetViews>
  <sheetFormatPr defaultColWidth="9" defaultRowHeight="13.5"/>
  <cols>
    <col min="1" max="1" width="5.625" style="101" bestFit="1" customWidth="1"/>
    <col min="2" max="3" width="21.375" style="101" customWidth="1"/>
    <col min="4" max="4" width="16.875" style="101" customWidth="1"/>
    <col min="5" max="5" width="15.875" style="101" customWidth="1"/>
    <col min="6" max="6" width="17.125" style="101" customWidth="1"/>
    <col min="7" max="16384" width="9" style="101"/>
  </cols>
  <sheetData>
    <row r="2" spans="1:12">
      <c r="B2" s="101" t="s">
        <v>2089</v>
      </c>
    </row>
    <row r="4" spans="1:12">
      <c r="B4" s="101" t="s">
        <v>2090</v>
      </c>
    </row>
    <row r="6" spans="1:12">
      <c r="B6" s="1360" t="s">
        <v>2091</v>
      </c>
      <c r="C6" s="1360"/>
    </row>
    <row r="7" spans="1:12">
      <c r="D7" s="1317" t="s">
        <v>1874</v>
      </c>
    </row>
    <row r="8" spans="1:12">
      <c r="B8" s="2161" t="s">
        <v>257</v>
      </c>
      <c r="C8" s="1512" t="str">
        <f>'25'!C11</f>
        <v>당기</v>
      </c>
      <c r="D8" s="1513"/>
      <c r="E8" s="1512" t="s">
        <v>612</v>
      </c>
      <c r="F8" s="1513"/>
      <c r="H8" s="399"/>
    </row>
    <row r="9" spans="1:12">
      <c r="B9" s="2162"/>
      <c r="C9" s="1511" t="s">
        <v>2947</v>
      </c>
      <c r="D9" s="1511" t="s">
        <v>2948</v>
      </c>
      <c r="E9" s="1511" t="s">
        <v>2947</v>
      </c>
      <c r="F9" s="1511" t="s">
        <v>2948</v>
      </c>
      <c r="H9" s="399"/>
      <c r="J9" s="1560" t="s">
        <v>257</v>
      </c>
      <c r="K9" s="1560" t="s">
        <v>2911</v>
      </c>
      <c r="L9" s="1560" t="s">
        <v>3027</v>
      </c>
    </row>
    <row r="10" spans="1:12">
      <c r="A10" s="101" t="s">
        <v>789</v>
      </c>
      <c r="B10" s="1361" t="s">
        <v>790</v>
      </c>
      <c r="C10" s="1526">
        <f t="shared" ref="C10:C16" si="0">D10-K10</f>
        <v>0</v>
      </c>
      <c r="D10" s="1362">
        <f>SUMIFS(PL!$Y:$Y,PL!$H:$H,'29'!A10)</f>
        <v>0</v>
      </c>
      <c r="E10" s="1526">
        <v>0</v>
      </c>
      <c r="F10" s="1362">
        <v>0</v>
      </c>
      <c r="J10" s="1560" t="s">
        <v>790</v>
      </c>
      <c r="K10" s="1561"/>
      <c r="L10" s="1561"/>
    </row>
    <row r="11" spans="1:12">
      <c r="A11" s="101" t="s">
        <v>791</v>
      </c>
      <c r="B11" s="1363" t="s">
        <v>792</v>
      </c>
      <c r="C11" s="1526">
        <f t="shared" si="0"/>
        <v>0</v>
      </c>
      <c r="D11" s="1362">
        <f>SUMIFS(PL!$Y:$Y,PL!$H:$H,'29'!A11)</f>
        <v>0</v>
      </c>
      <c r="E11" s="1526">
        <v>0</v>
      </c>
      <c r="F11" s="1362">
        <v>0</v>
      </c>
      <c r="J11" s="1560" t="s">
        <v>792</v>
      </c>
      <c r="K11" s="1561"/>
      <c r="L11" s="1561"/>
    </row>
    <row r="12" spans="1:12">
      <c r="A12" s="101" t="s">
        <v>796</v>
      </c>
      <c r="B12" s="1363" t="s">
        <v>797</v>
      </c>
      <c r="C12" s="1526">
        <f t="shared" si="0"/>
        <v>0</v>
      </c>
      <c r="D12" s="1362">
        <f>SUMIFS(PL!$Y:$Y,PL!$H:$H,'29'!A12)</f>
        <v>0</v>
      </c>
      <c r="E12" s="1526">
        <v>0</v>
      </c>
      <c r="F12" s="1362">
        <v>0</v>
      </c>
      <c r="J12" s="1560" t="s">
        <v>797</v>
      </c>
      <c r="K12" s="1561"/>
      <c r="L12" s="1561"/>
    </row>
    <row r="13" spans="1:12">
      <c r="A13" s="101" t="s">
        <v>798</v>
      </c>
      <c r="B13" s="1363" t="s">
        <v>123</v>
      </c>
      <c r="C13" s="1526">
        <f t="shared" si="0"/>
        <v>37439517</v>
      </c>
      <c r="D13" s="1362">
        <f>SUMIFS(PL!$Y:$Y,PL!$H:$H,'29'!A13)</f>
        <v>37454272</v>
      </c>
      <c r="E13" s="1526">
        <v>179393</v>
      </c>
      <c r="F13" s="1362">
        <v>4202143</v>
      </c>
      <c r="J13" s="1560" t="s">
        <v>123</v>
      </c>
      <c r="K13" s="1561">
        <v>14755</v>
      </c>
      <c r="L13" s="1561"/>
    </row>
    <row r="14" spans="1:12">
      <c r="A14" s="101">
        <v>92100</v>
      </c>
      <c r="B14" s="1363" t="s">
        <v>122</v>
      </c>
      <c r="C14" s="1526">
        <f t="shared" si="0"/>
        <v>452135</v>
      </c>
      <c r="D14" s="1362">
        <f>SUMIFS(PL!$Y:$Y,PL!$H:$H,'29'!A14)</f>
        <v>1202135</v>
      </c>
      <c r="E14" s="1526">
        <v>255000</v>
      </c>
      <c r="F14" s="1362">
        <v>1054000</v>
      </c>
      <c r="J14" s="1560" t="s">
        <v>122</v>
      </c>
      <c r="K14" s="1561">
        <v>750000</v>
      </c>
      <c r="L14" s="1561"/>
    </row>
    <row r="15" spans="1:12">
      <c r="A15" s="101">
        <v>92200</v>
      </c>
      <c r="B15" s="1363" t="s">
        <v>2679</v>
      </c>
      <c r="C15" s="1526">
        <f t="shared" si="0"/>
        <v>2067945777</v>
      </c>
      <c r="D15" s="1362">
        <f>SUMIFS(PL!$Y:$Y,PL!$H:$H,'29'!A15)</f>
        <v>2067945777</v>
      </c>
      <c r="E15" s="1526">
        <v>0</v>
      </c>
      <c r="F15" s="1362">
        <v>0</v>
      </c>
      <c r="J15" s="1560" t="s">
        <v>2679</v>
      </c>
      <c r="K15" s="1561"/>
      <c r="L15" s="1561"/>
    </row>
    <row r="16" spans="1:12">
      <c r="A16" s="101" t="s">
        <v>2869</v>
      </c>
      <c r="B16" s="1363" t="s">
        <v>2762</v>
      </c>
      <c r="C16" s="1526">
        <f t="shared" si="0"/>
        <v>1500000</v>
      </c>
      <c r="D16" s="1362">
        <f>SUMIFS(PL!$Y:$Y,PL!$H:$H,'29'!A16)</f>
        <v>3000000</v>
      </c>
      <c r="E16" s="1526">
        <v>1500000</v>
      </c>
      <c r="F16" s="1362">
        <v>3000000</v>
      </c>
      <c r="J16" s="1560" t="s">
        <v>2762</v>
      </c>
      <c r="K16" s="1561">
        <v>1500000</v>
      </c>
      <c r="L16" s="1561"/>
    </row>
    <row r="17" spans="1:12">
      <c r="B17" s="1364" t="s">
        <v>144</v>
      </c>
      <c r="C17" s="1362">
        <f>SUM(C10:C16)</f>
        <v>2107337429</v>
      </c>
      <c r="D17" s="1362">
        <f>SUM(D10:D16)</f>
        <v>2109602184</v>
      </c>
      <c r="E17" s="1362">
        <f>SUM(E10:E16)</f>
        <v>1934393</v>
      </c>
      <c r="F17" s="1362">
        <f>SUM(F10:F16)</f>
        <v>8256143</v>
      </c>
      <c r="J17" s="1560"/>
      <c r="K17" s="1561"/>
      <c r="L17" s="1561"/>
    </row>
    <row r="18" spans="1:12">
      <c r="B18" s="1365"/>
      <c r="C18" s="1527" t="b">
        <f>C17=공시PL!E9</f>
        <v>1</v>
      </c>
      <c r="D18" s="1527" t="b">
        <f>D17=공시PL!F9</f>
        <v>1</v>
      </c>
      <c r="E18" s="1527" t="b">
        <f>E17=공시PL!G9</f>
        <v>1</v>
      </c>
      <c r="F18" s="1527" t="b">
        <f>F17=공시PL!H9</f>
        <v>1</v>
      </c>
      <c r="K18" s="1127"/>
    </row>
    <row r="19" spans="1:12">
      <c r="B19" s="1360" t="s">
        <v>2092</v>
      </c>
      <c r="C19" s="1360"/>
      <c r="E19" s="1360"/>
    </row>
    <row r="20" spans="1:12">
      <c r="D20" s="1317" t="s">
        <v>1874</v>
      </c>
      <c r="F20" s="1317" t="s">
        <v>1874</v>
      </c>
    </row>
    <row r="21" spans="1:12">
      <c r="B21" s="2161" t="s">
        <v>257</v>
      </c>
      <c r="C21" s="1512" t="str">
        <f>C8</f>
        <v>당기</v>
      </c>
      <c r="D21" s="1513"/>
      <c r="E21" s="1512" t="str">
        <f>E8</f>
        <v>전기</v>
      </c>
      <c r="F21" s="1513"/>
      <c r="H21" s="399"/>
    </row>
    <row r="22" spans="1:12">
      <c r="B22" s="2162"/>
      <c r="C22" s="1511" t="s">
        <v>2628</v>
      </c>
      <c r="D22" s="1511" t="s">
        <v>2629</v>
      </c>
      <c r="E22" s="1511" t="s">
        <v>2628</v>
      </c>
      <c r="F22" s="1511" t="s">
        <v>2629</v>
      </c>
      <c r="H22" s="399"/>
      <c r="J22" s="1560" t="s">
        <v>257</v>
      </c>
      <c r="K22" s="1560" t="s">
        <v>2911</v>
      </c>
      <c r="L22" s="1560" t="s">
        <v>3027</v>
      </c>
    </row>
    <row r="23" spans="1:12">
      <c r="A23" s="101" t="s">
        <v>800</v>
      </c>
      <c r="B23" s="1361" t="s">
        <v>129</v>
      </c>
      <c r="C23" s="1526">
        <f t="shared" ref="C23:C30" si="1">D23-K23</f>
        <v>4822402</v>
      </c>
      <c r="D23" s="1362">
        <f>SUMIFS(PL!$Y:$Y,PL!$H:$H,'29'!A23)</f>
        <v>4825402</v>
      </c>
      <c r="E23" s="1526">
        <v>3098042</v>
      </c>
      <c r="F23" s="1362">
        <v>3098042</v>
      </c>
      <c r="J23" s="1560" t="s">
        <v>129</v>
      </c>
      <c r="K23" s="1561">
        <v>3000</v>
      </c>
      <c r="L23" s="1561"/>
    </row>
    <row r="24" spans="1:12">
      <c r="A24" s="101" t="s">
        <v>804</v>
      </c>
      <c r="B24" s="1363" t="s">
        <v>128</v>
      </c>
      <c r="C24" s="1526">
        <f t="shared" si="1"/>
        <v>1484</v>
      </c>
      <c r="D24" s="1362">
        <f>SUMIFS(PL!$Y:$Y,PL!$H:$H,'29'!A24)</f>
        <v>132762</v>
      </c>
      <c r="E24" s="1526">
        <v>-2108</v>
      </c>
      <c r="F24" s="1362">
        <v>128604</v>
      </c>
      <c r="J24" s="1560" t="s">
        <v>128</v>
      </c>
      <c r="K24" s="1561">
        <v>131278</v>
      </c>
      <c r="L24" s="1561"/>
    </row>
    <row r="25" spans="1:12">
      <c r="A25" s="101" t="s">
        <v>806</v>
      </c>
      <c r="B25" s="1363" t="s">
        <v>807</v>
      </c>
      <c r="C25" s="1526">
        <f t="shared" si="1"/>
        <v>0</v>
      </c>
      <c r="D25" s="1362">
        <f>SUMIFS(PL!$Y:$Y,PL!$H:$H,'29'!A25)</f>
        <v>0</v>
      </c>
      <c r="E25" s="1526">
        <v>0</v>
      </c>
      <c r="F25" s="1362">
        <v>0</v>
      </c>
      <c r="J25" s="1560" t="s">
        <v>807</v>
      </c>
      <c r="K25" s="1561"/>
      <c r="L25" s="1561"/>
    </row>
    <row r="26" spans="1:12">
      <c r="A26" s="101" t="s">
        <v>808</v>
      </c>
      <c r="B26" s="1363" t="s">
        <v>809</v>
      </c>
      <c r="C26" s="1526">
        <f t="shared" si="1"/>
        <v>0</v>
      </c>
      <c r="D26" s="1362">
        <f>SUMIFS(PL!$Y:$Y,PL!$H:$H,'29'!A26)</f>
        <v>0</v>
      </c>
      <c r="E26" s="1526">
        <v>0</v>
      </c>
      <c r="F26" s="1362">
        <v>0</v>
      </c>
      <c r="J26" s="1560" t="s">
        <v>809</v>
      </c>
      <c r="K26" s="1561"/>
      <c r="L26" s="1561"/>
    </row>
    <row r="27" spans="1:12">
      <c r="A27" s="101" t="s">
        <v>810</v>
      </c>
      <c r="B27" s="1363" t="s">
        <v>130</v>
      </c>
      <c r="C27" s="1526">
        <f t="shared" si="1"/>
        <v>4398371</v>
      </c>
      <c r="D27" s="1362">
        <f>SUMIFS(PL!$Y:$Y,PL!$H:$H,'29'!A27)</f>
        <v>4530608</v>
      </c>
      <c r="E27" s="1526">
        <v>3433060</v>
      </c>
      <c r="F27" s="1362">
        <v>3860416</v>
      </c>
      <c r="J27" s="1560" t="s">
        <v>130</v>
      </c>
      <c r="K27" s="1561">
        <v>132237</v>
      </c>
      <c r="L27" s="1561"/>
    </row>
    <row r="28" spans="1:12">
      <c r="A28" s="101" t="s">
        <v>2666</v>
      </c>
      <c r="B28" s="1363" t="s">
        <v>2665</v>
      </c>
      <c r="C28" s="1526">
        <f t="shared" si="1"/>
        <v>0</v>
      </c>
      <c r="D28" s="1362">
        <f>SUMIFS(PL!$Y:$Y,PL!$H:$H,'29'!A28)</f>
        <v>0</v>
      </c>
      <c r="E28" s="1526">
        <v>0</v>
      </c>
      <c r="F28" s="1362">
        <v>0</v>
      </c>
      <c r="J28" s="1560" t="s">
        <v>2665</v>
      </c>
      <c r="K28" s="1561"/>
      <c r="L28" s="1561"/>
    </row>
    <row r="29" spans="1:12">
      <c r="A29" s="101" t="s">
        <v>2872</v>
      </c>
      <c r="B29" s="1363" t="s">
        <v>175</v>
      </c>
      <c r="C29" s="1526">
        <f t="shared" si="1"/>
        <v>0</v>
      </c>
      <c r="D29" s="1362">
        <f>SUMIFS(PL!$Y:$Y,PL!$H:$H,'29'!A29)</f>
        <v>0</v>
      </c>
      <c r="E29" s="1526">
        <v>0</v>
      </c>
      <c r="F29" s="1362">
        <v>0</v>
      </c>
      <c r="J29" s="1560" t="s">
        <v>175</v>
      </c>
      <c r="K29" s="1561"/>
      <c r="L29" s="1561"/>
    </row>
    <row r="30" spans="1:12">
      <c r="A30" s="101" t="s">
        <v>2660</v>
      </c>
      <c r="B30" s="1363" t="s">
        <v>2661</v>
      </c>
      <c r="C30" s="1526">
        <f t="shared" si="1"/>
        <v>0</v>
      </c>
      <c r="D30" s="1362">
        <f>SUMIFS(PL!$Y:$Y,PL!$H:$H,'29'!A30)</f>
        <v>0</v>
      </c>
      <c r="E30" s="1526">
        <v>0</v>
      </c>
      <c r="F30" s="1362">
        <v>0</v>
      </c>
      <c r="J30" s="1560" t="s">
        <v>2661</v>
      </c>
      <c r="K30" s="1561"/>
      <c r="L30" s="1561"/>
    </row>
    <row r="31" spans="1:12">
      <c r="B31" s="1364" t="s">
        <v>144</v>
      </c>
      <c r="C31" s="1362">
        <f>SUM(C23:C30)</f>
        <v>9222257</v>
      </c>
      <c r="D31" s="1362">
        <f>SUM(D23:D30)</f>
        <v>9488772</v>
      </c>
      <c r="E31" s="1362">
        <f>SUM(E23:E30)</f>
        <v>6528994</v>
      </c>
      <c r="F31" s="1362">
        <f>SUM(F23:F30)</f>
        <v>7087062</v>
      </c>
      <c r="J31" s="1560"/>
      <c r="K31" s="1561"/>
      <c r="L31" s="1561"/>
    </row>
    <row r="32" spans="1:12">
      <c r="C32" s="101" t="b">
        <f>C31=공시PL!E10</f>
        <v>1</v>
      </c>
      <c r="D32" s="101" t="b">
        <f>D31=공시PL!F10</f>
        <v>1</v>
      </c>
      <c r="E32" s="1127" t="b">
        <f>E31=공시PL!G10</f>
        <v>1</v>
      </c>
      <c r="F32" s="101" t="b">
        <f>F31=공시PL!H10</f>
        <v>1</v>
      </c>
    </row>
  </sheetData>
  <mergeCells count="2">
    <mergeCell ref="B8:B9"/>
    <mergeCell ref="B21:B22"/>
  </mergeCells>
  <phoneticPr fontId="3"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3" operator="containsText" id="{79A542E6-D00E-4134-A508-99977B193931}">
            <xm:f>NOT(ISERROR(SEARCH("true",A1)))</xm:f>
            <xm:f>"true"</xm:f>
            <x14:dxf>
              <fill>
                <patternFill>
                  <bgColor theme="9" tint="0.79998168889431442"/>
                </patternFill>
              </fill>
            </x14:dxf>
          </x14:cfRule>
          <x14:cfRule type="containsText" priority="4" operator="containsText" id="{30BEB7A3-98A2-4B48-A9AA-EC7D3825B167}">
            <xm:f>NOT(ISERROR(SEARCH("false",A1)))</xm:f>
            <xm:f>"false"</xm:f>
            <x14:dxf>
              <fill>
                <patternFill>
                  <bgColor rgb="FFC00000"/>
                </patternFill>
              </fill>
            </x14:dxf>
          </x14:cfRule>
          <xm:sqref>A1:XFD7 A8:D8 A9 C9:D9 A10:D20 B21 A21:A22 C21:D22 A23:D32 A33:XFD1048576</xm:sqref>
        </x14:conditionalFormatting>
        <x14:conditionalFormatting xmlns:xm="http://schemas.microsoft.com/office/excel/2006/main">
          <x14:cfRule type="containsText" priority="1" operator="containsText" id="{C05084C0-3C2B-4180-8E2F-4508F39386E6}">
            <xm:f>NOT(ISERROR(SEARCH("true",E8)))</xm:f>
            <xm:f>"true"</xm:f>
            <x14:dxf>
              <fill>
                <patternFill>
                  <bgColor theme="9" tint="0.79998168889431442"/>
                </patternFill>
              </fill>
            </x14:dxf>
          </x14:cfRule>
          <x14:cfRule type="containsText" priority="2" operator="containsText" id="{D8103C63-AD80-41AB-9DBC-34E0DBCF5213}">
            <xm:f>NOT(ISERROR(SEARCH("false",E8)))</xm:f>
            <xm:f>"false"</xm:f>
            <x14:dxf>
              <fill>
                <patternFill>
                  <bgColor rgb="FFC00000"/>
                </patternFill>
              </fill>
            </x14:dxf>
          </x14:cfRule>
          <xm:sqref>E8:XFD32</xm:sqref>
        </x14:conditionalFormatting>
      </x14:conditionalFormattings>
    </ext>
  </extLst>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codeName="Sheet73"/>
  <dimension ref="A2:J24"/>
  <sheetViews>
    <sheetView showGridLines="0" zoomScale="85" zoomScaleNormal="85" workbookViewId="0">
      <selection activeCell="C23" sqref="C23:D23"/>
    </sheetView>
  </sheetViews>
  <sheetFormatPr defaultColWidth="9" defaultRowHeight="16.5"/>
  <cols>
    <col min="1" max="1" width="2.875" style="418" customWidth="1"/>
    <col min="2" max="2" width="36" style="418" customWidth="1"/>
    <col min="3" max="8" width="15.875" style="418" customWidth="1"/>
    <col min="9" max="9" width="10.875" style="418" bestFit="1" customWidth="1"/>
    <col min="10" max="16384" width="9" style="418"/>
  </cols>
  <sheetData>
    <row r="2" spans="1:10">
      <c r="B2" s="418" t="s">
        <v>2093</v>
      </c>
    </row>
    <row r="4" spans="1:10">
      <c r="B4" s="418" t="s">
        <v>2094</v>
      </c>
    </row>
    <row r="6" spans="1:10">
      <c r="B6" s="418" t="s">
        <v>2095</v>
      </c>
    </row>
    <row r="7" spans="1:10">
      <c r="D7" s="863" t="s">
        <v>368</v>
      </c>
    </row>
    <row r="8" spans="1:10">
      <c r="B8" s="2161" t="s">
        <v>146</v>
      </c>
      <c r="C8" s="1512" t="str">
        <f>'29'!C8</f>
        <v>당기</v>
      </c>
      <c r="D8" s="1513"/>
      <c r="E8" s="1512" t="str">
        <f>'29'!E8</f>
        <v>전기</v>
      </c>
      <c r="F8" s="1513"/>
    </row>
    <row r="9" spans="1:10">
      <c r="B9" s="2162"/>
      <c r="C9" s="1511" t="s">
        <v>2947</v>
      </c>
      <c r="D9" s="1511" t="s">
        <v>2948</v>
      </c>
      <c r="E9" s="1511" t="s">
        <v>2947</v>
      </c>
      <c r="F9" s="1511" t="s">
        <v>2948</v>
      </c>
      <c r="H9" s="1562" t="s">
        <v>257</v>
      </c>
      <c r="I9" s="1562" t="s">
        <v>2911</v>
      </c>
      <c r="J9" s="1562" t="s">
        <v>3027</v>
      </c>
    </row>
    <row r="10" spans="1:10">
      <c r="A10" s="418" t="s">
        <v>793</v>
      </c>
      <c r="B10" s="774" t="s">
        <v>133</v>
      </c>
      <c r="C10" s="1528">
        <f>D10-I10</f>
        <v>10489056</v>
      </c>
      <c r="D10" s="877">
        <f>SUMIFS(PL!$Y:$Y,PL!$H:$H,'30'!$A10)</f>
        <v>22101454</v>
      </c>
      <c r="E10" s="877">
        <v>15868997</v>
      </c>
      <c r="F10" s="877">
        <v>28253274</v>
      </c>
      <c r="H10" s="1562" t="s">
        <v>133</v>
      </c>
      <c r="I10" s="1563">
        <v>11612398</v>
      </c>
      <c r="J10" s="1563"/>
    </row>
    <row r="11" spans="1:10">
      <c r="A11" s="418" t="s">
        <v>794</v>
      </c>
      <c r="B11" s="774" t="s">
        <v>120</v>
      </c>
      <c r="C11" s="1528">
        <f t="shared" ref="C11:C12" si="0">D11-I11</f>
        <v>60587275</v>
      </c>
      <c r="D11" s="877">
        <f>SUMIFS(PL!$Y:$Y,PL!$H:$H,'30'!$A11)</f>
        <v>109841433</v>
      </c>
      <c r="E11" s="877">
        <v>5352044</v>
      </c>
      <c r="F11" s="877">
        <v>20481765</v>
      </c>
      <c r="H11" s="1562" t="s">
        <v>120</v>
      </c>
      <c r="I11" s="1563">
        <v>49254158</v>
      </c>
      <c r="J11" s="1563"/>
    </row>
    <row r="12" spans="1:10">
      <c r="A12" s="418" t="s">
        <v>795</v>
      </c>
      <c r="B12" s="774" t="s">
        <v>121</v>
      </c>
      <c r="C12" s="1528">
        <f t="shared" si="0"/>
        <v>-482310</v>
      </c>
      <c r="D12" s="877">
        <f>SUMIFS(PL!$Y:$Y,PL!$H:$H,'30'!$A12)</f>
        <v>37603839</v>
      </c>
      <c r="E12" s="877">
        <v>-13497643</v>
      </c>
      <c r="F12" s="877">
        <v>3042</v>
      </c>
      <c r="H12" s="1562" t="s">
        <v>121</v>
      </c>
      <c r="I12" s="1563">
        <v>38086149</v>
      </c>
      <c r="J12" s="1563"/>
    </row>
    <row r="13" spans="1:10">
      <c r="B13" s="867" t="s">
        <v>144</v>
      </c>
      <c r="C13" s="878">
        <f>SUM(C10:C12)</f>
        <v>70594021</v>
      </c>
      <c r="D13" s="878">
        <f>SUM(D10:D12)</f>
        <v>169546726</v>
      </c>
      <c r="E13" s="878">
        <f>SUM(E10:E12)</f>
        <v>7723398</v>
      </c>
      <c r="F13" s="878">
        <f>SUM(F10:F12)</f>
        <v>48738081</v>
      </c>
      <c r="H13" s="1562"/>
      <c r="I13" s="1563"/>
      <c r="J13" s="1563"/>
    </row>
    <row r="14" spans="1:10">
      <c r="B14" s="861"/>
      <c r="C14" s="418" t="b">
        <f>C13=공시PL!E11</f>
        <v>1</v>
      </c>
      <c r="D14" s="418" t="b">
        <f>D13=공시PL!F11</f>
        <v>1</v>
      </c>
      <c r="E14" s="418" t="b">
        <f>E13=공시PL!G11</f>
        <v>1</v>
      </c>
      <c r="F14" s="418" t="b">
        <f>F13=공시PL!H11</f>
        <v>1</v>
      </c>
    </row>
    <row r="15" spans="1:10">
      <c r="B15" s="862" t="s">
        <v>2096</v>
      </c>
      <c r="C15" s="862"/>
      <c r="E15" s="862"/>
    </row>
    <row r="16" spans="1:10">
      <c r="D16" s="863" t="s">
        <v>368</v>
      </c>
      <c r="F16" s="863" t="s">
        <v>368</v>
      </c>
    </row>
    <row r="17" spans="1:10">
      <c r="B17" s="2161" t="s">
        <v>146</v>
      </c>
      <c r="C17" s="1512" t="str">
        <f>C8</f>
        <v>당기</v>
      </c>
      <c r="D17" s="1513"/>
      <c r="E17" s="1512" t="str">
        <f>E8</f>
        <v>전기</v>
      </c>
      <c r="F17" s="1513"/>
    </row>
    <row r="18" spans="1:10">
      <c r="B18" s="2162"/>
      <c r="C18" s="1511" t="s">
        <v>2947</v>
      </c>
      <c r="D18" s="1511" t="s">
        <v>2948</v>
      </c>
      <c r="E18" s="1511" t="s">
        <v>2947</v>
      </c>
      <c r="F18" s="1511" t="s">
        <v>2948</v>
      </c>
      <c r="H18" s="1562" t="s">
        <v>257</v>
      </c>
      <c r="I18" s="1562" t="s">
        <v>2911</v>
      </c>
      <c r="J18" s="1562" t="s">
        <v>3026</v>
      </c>
    </row>
    <row r="19" spans="1:10">
      <c r="A19" s="418" t="s">
        <v>802</v>
      </c>
      <c r="B19" s="774" t="s">
        <v>179</v>
      </c>
      <c r="C19" s="1528">
        <f t="shared" ref="C19:C22" si="1">D19-I19</f>
        <v>48478888</v>
      </c>
      <c r="D19" s="877">
        <f>SUMIFS(PL!$Y:$Y,PL!$H:$H,'30'!$A19)</f>
        <v>98954951</v>
      </c>
      <c r="E19" s="877">
        <v>24549739</v>
      </c>
      <c r="F19" s="877">
        <v>45786340</v>
      </c>
      <c r="H19" s="1562" t="s">
        <v>179</v>
      </c>
      <c r="I19" s="1563">
        <v>50476063</v>
      </c>
      <c r="J19" s="1563"/>
    </row>
    <row r="20" spans="1:10">
      <c r="A20" s="418" t="s">
        <v>803</v>
      </c>
      <c r="B20" s="774" t="s">
        <v>125</v>
      </c>
      <c r="C20" s="1528">
        <f t="shared" si="1"/>
        <v>165725819</v>
      </c>
      <c r="D20" s="877">
        <f>SUMIFS(PL!$Y:$Y,PL!$H:$H,'30'!$A20)</f>
        <v>174288542</v>
      </c>
      <c r="E20" s="877">
        <v>30113044</v>
      </c>
      <c r="F20" s="877">
        <v>41293761</v>
      </c>
      <c r="H20" s="1562" t="s">
        <v>125</v>
      </c>
      <c r="I20" s="1563">
        <v>8562723</v>
      </c>
      <c r="J20" s="1563"/>
    </row>
    <row r="21" spans="1:10">
      <c r="A21" s="418" t="s">
        <v>805</v>
      </c>
      <c r="B21" s="774" t="s">
        <v>127</v>
      </c>
      <c r="C21" s="1528">
        <f t="shared" si="1"/>
        <v>2</v>
      </c>
      <c r="D21" s="877">
        <f>SUMIFS(PL!$Y:$Y,PL!$H:$H,'30'!$A21)</f>
        <v>2</v>
      </c>
      <c r="E21" s="877">
        <v>57415404</v>
      </c>
      <c r="F21" s="877">
        <v>58201925</v>
      </c>
      <c r="H21" s="1562" t="s">
        <v>127</v>
      </c>
      <c r="I21" s="1563">
        <v>0</v>
      </c>
      <c r="J21" s="1563"/>
    </row>
    <row r="22" spans="1:10">
      <c r="A22" s="418" t="s">
        <v>2991</v>
      </c>
      <c r="B22" s="957" t="s">
        <v>2988</v>
      </c>
      <c r="C22" s="1528">
        <f t="shared" si="1"/>
        <v>0</v>
      </c>
      <c r="D22" s="877">
        <f>SUMIFS(PL!$Y:$Y,PL!$H:$H,'30'!$A22)</f>
        <v>0</v>
      </c>
      <c r="E22" s="943"/>
      <c r="F22" s="943">
        <v>0</v>
      </c>
      <c r="H22" s="1598"/>
      <c r="I22" s="1599"/>
      <c r="J22" s="1599"/>
    </row>
    <row r="23" spans="1:10">
      <c r="B23" s="867" t="s">
        <v>144</v>
      </c>
      <c r="C23" s="878">
        <f>SUM(C19:C22)</f>
        <v>214204709</v>
      </c>
      <c r="D23" s="878">
        <f>SUM(D19:D22)</f>
        <v>273243495</v>
      </c>
      <c r="E23" s="878">
        <f>SUM(E19:E22)</f>
        <v>112078187</v>
      </c>
      <c r="F23" s="878">
        <f>SUM(F19:F22)</f>
        <v>145282026</v>
      </c>
      <c r="H23" s="1562"/>
      <c r="I23" s="1563"/>
      <c r="J23" s="1563"/>
    </row>
    <row r="24" spans="1:10">
      <c r="C24" s="418" t="b">
        <f>C23=공시PL!E12</f>
        <v>1</v>
      </c>
      <c r="D24" s="418" t="b">
        <f>D23=공시PL!F12</f>
        <v>1</v>
      </c>
      <c r="E24" s="418" t="b">
        <f>E23=공시PL!G12</f>
        <v>1</v>
      </c>
      <c r="F24" s="418" t="b">
        <f>F23=공시PL!H12</f>
        <v>1</v>
      </c>
      <c r="I24" s="886"/>
    </row>
  </sheetData>
  <mergeCells count="2">
    <mergeCell ref="B8:B9"/>
    <mergeCell ref="B17:B18"/>
  </mergeCells>
  <phoneticPr fontId="3"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 operator="containsText" id="{75BE1A85-ACC9-4FD0-BBF9-8C0B969983C2}">
            <xm:f>NOT(ISERROR(SEARCH("false",A10)))</xm:f>
            <xm:f>"false"</xm:f>
            <x14:dxf>
              <fill>
                <patternFill>
                  <bgColor rgb="FFC00000"/>
                </patternFill>
              </fill>
            </x14:dxf>
          </x14:cfRule>
          <x14:cfRule type="containsText" priority="2" operator="containsText" id="{456E62BE-890B-449D-AAF0-1EF9E658E3E1}">
            <xm:f>NOT(ISERROR(SEARCH("true",A10)))</xm:f>
            <xm:f>"true"</xm:f>
            <x14:dxf>
              <fill>
                <patternFill>
                  <bgColor theme="9" tint="0.79998168889431442"/>
                </patternFill>
              </fill>
            </x14:dxf>
          </x14:cfRule>
          <xm:sqref>A10:F16</xm:sqref>
        </x14:conditionalFormatting>
        <x14:conditionalFormatting xmlns:xm="http://schemas.microsoft.com/office/excel/2006/main">
          <x14:cfRule type="containsText" priority="3" operator="containsText" id="{3210C0AB-C615-4D17-929D-2EB4C278F4FD}">
            <xm:f>NOT(ISERROR(SEARCH("false",A19)))</xm:f>
            <xm:f>"false"</xm:f>
            <x14:dxf>
              <fill>
                <patternFill>
                  <bgColor rgb="FFC00000"/>
                </patternFill>
              </fill>
            </x14:dxf>
          </x14:cfRule>
          <x14:cfRule type="containsText" priority="4" operator="containsText" id="{E87AAF73-C3AC-4257-B554-3E4DB106AA87}">
            <xm:f>NOT(ISERROR(SEARCH("true",A19)))</xm:f>
            <xm:f>"true"</xm:f>
            <x14:dxf>
              <fill>
                <patternFill>
                  <bgColor theme="9" tint="0.79998168889431442"/>
                </patternFill>
              </fill>
            </x14:dxf>
          </x14:cfRule>
          <xm:sqref>A19:F24</xm:sqref>
        </x14:conditionalFormatting>
        <x14:conditionalFormatting xmlns:xm="http://schemas.microsoft.com/office/excel/2006/main">
          <x14:cfRule type="containsText" priority="19" operator="containsText" id="{96955830-FA08-40D2-BDCD-B8F1BA3AA2AF}">
            <xm:f>NOT(ISERROR(SEARCH("false",A1)))</xm:f>
            <xm:f>"false"</xm:f>
            <x14:dxf>
              <fill>
                <patternFill>
                  <bgColor rgb="FFC00000"/>
                </patternFill>
              </fill>
            </x14:dxf>
          </x14:cfRule>
          <x14:cfRule type="containsText" priority="20" operator="containsText" id="{95BBFEB7-E254-4BBD-B42F-139B3AB86CFA}">
            <xm:f>NOT(ISERROR(SEARCH("true",A1)))</xm:f>
            <xm:f>"true"</xm:f>
            <x14:dxf>
              <fill>
                <patternFill>
                  <bgColor theme="9" tint="0.79998168889431442"/>
                </patternFill>
              </fill>
            </x14:dxf>
          </x14:cfRule>
          <xm:sqref>A1:XFD7 A8:A9 G8:XFD24 A17:A18 A25:XFD1048576</xm:sqref>
        </x14:conditionalFormatting>
        <x14:conditionalFormatting xmlns:xm="http://schemas.microsoft.com/office/excel/2006/main">
          <x14:cfRule type="containsText" priority="13" operator="containsText" id="{D761B9E2-60B8-4B5B-BF51-6FAC23D7275E}">
            <xm:f>NOT(ISERROR(SEARCH("true",B8)))</xm:f>
            <xm:f>"true"</xm:f>
            <x14:dxf>
              <fill>
                <patternFill>
                  <bgColor theme="9" tint="0.79998168889431442"/>
                </patternFill>
              </fill>
            </x14:dxf>
          </x14:cfRule>
          <x14:cfRule type="containsText" priority="14" operator="containsText" id="{B8633EAA-75A2-4FA5-9BC2-BD9305C5BB3A}">
            <xm:f>NOT(ISERROR(SEARCH("false",B8)))</xm:f>
            <xm:f>"false"</xm:f>
            <x14:dxf>
              <fill>
                <patternFill>
                  <bgColor rgb="FFC00000"/>
                </patternFill>
              </fill>
            </x14:dxf>
          </x14:cfRule>
          <xm:sqref>B8</xm:sqref>
        </x14:conditionalFormatting>
        <x14:conditionalFormatting xmlns:xm="http://schemas.microsoft.com/office/excel/2006/main">
          <x14:cfRule type="containsText" priority="11" operator="containsText" id="{76B5FE73-D81C-4CF7-90A5-5A0AB457178F}">
            <xm:f>NOT(ISERROR(SEARCH("true",B17)))</xm:f>
            <xm:f>"true"</xm:f>
            <x14:dxf>
              <fill>
                <patternFill>
                  <bgColor theme="9" tint="0.79998168889431442"/>
                </patternFill>
              </fill>
            </x14:dxf>
          </x14:cfRule>
          <x14:cfRule type="containsText" priority="12" operator="containsText" id="{03A696D3-13F8-415C-8275-0578EEC95CAC}">
            <xm:f>NOT(ISERROR(SEARCH("false",B17)))</xm:f>
            <xm:f>"false"</xm:f>
            <x14:dxf>
              <fill>
                <patternFill>
                  <bgColor rgb="FFC00000"/>
                </patternFill>
              </fill>
            </x14:dxf>
          </x14:cfRule>
          <xm:sqref>B17</xm:sqref>
        </x14:conditionalFormatting>
        <x14:conditionalFormatting xmlns:xm="http://schemas.microsoft.com/office/excel/2006/main">
          <x14:cfRule type="containsText" priority="15" operator="containsText" id="{CABDB6DF-7433-4996-B9AF-F011F5874F0F}">
            <xm:f>NOT(ISERROR(SEARCH("true",C8)))</xm:f>
            <xm:f>"true"</xm:f>
            <x14:dxf>
              <fill>
                <patternFill>
                  <bgColor theme="9" tint="0.79998168889431442"/>
                </patternFill>
              </fill>
            </x14:dxf>
          </x14:cfRule>
          <x14:cfRule type="containsText" priority="16" operator="containsText" id="{D057066F-AA69-42BE-9279-B4A078CD95D4}">
            <xm:f>NOT(ISERROR(SEARCH("false",C8)))</xm:f>
            <xm:f>"false"</xm:f>
            <x14:dxf>
              <fill>
                <patternFill>
                  <bgColor rgb="FFC00000"/>
                </patternFill>
              </fill>
            </x14:dxf>
          </x14:cfRule>
          <xm:sqref>C8:F9</xm:sqref>
        </x14:conditionalFormatting>
        <x14:conditionalFormatting xmlns:xm="http://schemas.microsoft.com/office/excel/2006/main">
          <x14:cfRule type="containsText" priority="7" operator="containsText" id="{54F9FC78-C09B-47B7-99A1-8A5830921C8B}">
            <xm:f>NOT(ISERROR(SEARCH("true",C17)))</xm:f>
            <xm:f>"true"</xm:f>
            <x14:dxf>
              <fill>
                <patternFill>
                  <bgColor theme="9" tint="0.79998168889431442"/>
                </patternFill>
              </fill>
            </x14:dxf>
          </x14:cfRule>
          <x14:cfRule type="containsText" priority="8" operator="containsText" id="{A6C60620-E365-4285-A28C-BC13117C608F}">
            <xm:f>NOT(ISERROR(SEARCH("false",C17)))</xm:f>
            <xm:f>"false"</xm:f>
            <x14:dxf>
              <fill>
                <patternFill>
                  <bgColor rgb="FFC00000"/>
                </patternFill>
              </fill>
            </x14:dxf>
          </x14:cfRule>
          <xm:sqref>C17:F18</xm:sqref>
        </x14:conditionalFormatting>
      </x14:conditionalFormattings>
    </ext>
  </extLst>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codeName="Sheet74"/>
  <dimension ref="B2:I65"/>
  <sheetViews>
    <sheetView showGridLines="0" zoomScale="85" zoomScaleNormal="85" workbookViewId="0">
      <selection activeCell="C9" sqref="C9"/>
    </sheetView>
  </sheetViews>
  <sheetFormatPr defaultColWidth="9" defaultRowHeight="16.5" outlineLevelRow="1"/>
  <cols>
    <col min="1" max="1" width="3.625" style="418" customWidth="1"/>
    <col min="2" max="2" width="21.375" style="418" customWidth="1"/>
    <col min="3" max="3" width="16.875" style="418" customWidth="1"/>
    <col min="4" max="6" width="17.125" style="418" customWidth="1"/>
    <col min="7" max="7" width="11.625" style="418" bestFit="1" customWidth="1"/>
    <col min="8" max="16384" width="9" style="418"/>
  </cols>
  <sheetData>
    <row r="2" spans="2:7">
      <c r="B2" s="478" t="s">
        <v>2097</v>
      </c>
    </row>
    <row r="4" spans="2:7" s="101" customFormat="1" ht="13.5">
      <c r="B4" s="101" t="s">
        <v>2098</v>
      </c>
    </row>
    <row r="5" spans="2:7" s="101" customFormat="1" ht="13.5"/>
    <row r="6" spans="2:7" s="101" customFormat="1" ht="13.5">
      <c r="B6" s="101" t="s">
        <v>2099</v>
      </c>
    </row>
    <row r="7" spans="2:7" s="101" customFormat="1" ht="13.5">
      <c r="C7" s="1317" t="s">
        <v>2100</v>
      </c>
    </row>
    <row r="8" spans="2:7" s="101" customFormat="1" ht="13.5">
      <c r="B8" s="2163" t="s">
        <v>257</v>
      </c>
      <c r="C8" s="1393" t="str">
        <f>'29'!C8</f>
        <v>당기</v>
      </c>
      <c r="D8" s="1394"/>
      <c r="E8" s="1393" t="s">
        <v>612</v>
      </c>
      <c r="F8" s="1394"/>
    </row>
    <row r="9" spans="2:7" s="101" customFormat="1" ht="13.5">
      <c r="B9" s="2164"/>
      <c r="C9" s="1395" t="s">
        <v>2628</v>
      </c>
      <c r="D9" s="1396" t="s">
        <v>2629</v>
      </c>
      <c r="E9" s="1396" t="s">
        <v>2628</v>
      </c>
      <c r="F9" s="1396" t="s">
        <v>2629</v>
      </c>
    </row>
    <row r="10" spans="2:7" s="101" customFormat="1" ht="13.5">
      <c r="B10" s="1281" t="s">
        <v>2101</v>
      </c>
      <c r="C10" s="1341">
        <f>공시PL!E17</f>
        <v>238552218</v>
      </c>
      <c r="D10" s="1341">
        <f>공시PL!F17</f>
        <v>-867554501</v>
      </c>
      <c r="E10" s="1341">
        <f>공시PL!G17</f>
        <v>298351479</v>
      </c>
      <c r="F10" s="1341">
        <f>공시PL!H17</f>
        <v>995935373</v>
      </c>
    </row>
    <row r="11" spans="2:7" s="101" customFormat="1" ht="13.5">
      <c r="B11" s="1281" t="s">
        <v>380</v>
      </c>
      <c r="C11" s="1341">
        <f>G25</f>
        <v>11382383</v>
      </c>
      <c r="D11" s="1341">
        <f>G36</f>
        <v>11382383</v>
      </c>
      <c r="E11" s="1341">
        <v>6285888</v>
      </c>
      <c r="F11" s="1341">
        <v>6270678</v>
      </c>
      <c r="G11" s="101" t="s">
        <v>2983</v>
      </c>
    </row>
    <row r="12" spans="2:7" s="101" customFormat="1" ht="13.5">
      <c r="B12" s="1284" t="s">
        <v>2102</v>
      </c>
      <c r="C12" s="1345">
        <f>ROUND(C10/C11,)</f>
        <v>21</v>
      </c>
      <c r="D12" s="1345">
        <f>ROUND(D10/D11,)</f>
        <v>-76</v>
      </c>
      <c r="E12" s="1508">
        <f>ROUND(E10/E11,)</f>
        <v>47</v>
      </c>
      <c r="F12" s="1508">
        <f>ROUND(F10/F11,)</f>
        <v>159</v>
      </c>
    </row>
    <row r="13" spans="2:7" s="101" customFormat="1" ht="13.5"/>
    <row r="14" spans="2:7" s="101" customFormat="1" ht="13.5">
      <c r="B14" s="101" t="s">
        <v>2103</v>
      </c>
    </row>
    <row r="15" spans="2:7" s="101" customFormat="1" ht="13.5"/>
    <row r="16" spans="2:7" s="101" customFormat="1" ht="13.5"/>
    <row r="17" spans="2:9" s="101" customFormat="1" ht="13.5" outlineLevel="1">
      <c r="B17" s="104" t="s">
        <v>2944</v>
      </c>
      <c r="C17" s="1373" t="s">
        <v>2904</v>
      </c>
      <c r="F17" s="1374">
        <v>46113</v>
      </c>
      <c r="G17" s="1374">
        <v>46203</v>
      </c>
    </row>
    <row r="18" spans="2:9" s="101" customFormat="1" ht="13.5" outlineLevel="1">
      <c r="B18" s="1507" t="s">
        <v>2905</v>
      </c>
      <c r="C18" s="1507" t="s">
        <v>2906</v>
      </c>
      <c r="D18" s="1507" t="s">
        <v>2907</v>
      </c>
      <c r="E18" s="1507" t="s">
        <v>383</v>
      </c>
      <c r="F18" s="1507" t="s">
        <v>2908</v>
      </c>
      <c r="G18" s="1507" t="s">
        <v>2909</v>
      </c>
    </row>
    <row r="19" spans="2:9" s="101" customFormat="1" ht="13.5" outlineLevel="1">
      <c r="B19" s="1375" t="s">
        <v>326</v>
      </c>
      <c r="C19" s="1376">
        <f>F17</f>
        <v>46113</v>
      </c>
      <c r="D19" s="1376">
        <f>$G$17</f>
        <v>46203</v>
      </c>
      <c r="E19" s="1377">
        <f>D19-C19+1</f>
        <v>91</v>
      </c>
      <c r="F19" s="1378">
        <f>F30</f>
        <v>11382383</v>
      </c>
      <c r="G19" s="1378">
        <f>F19*E19</f>
        <v>1035796853</v>
      </c>
    </row>
    <row r="20" spans="2:9" s="101" customFormat="1" ht="13.5" outlineLevel="1">
      <c r="B20" s="1375"/>
      <c r="C20" s="1376"/>
      <c r="D20" s="1376"/>
      <c r="E20" s="1377"/>
      <c r="F20" s="1378">
        <f>F31</f>
        <v>0</v>
      </c>
      <c r="G20" s="1378">
        <f t="shared" ref="G20:G21" si="0">F20*E20</f>
        <v>0</v>
      </c>
    </row>
    <row r="21" spans="2:9" s="101" customFormat="1" ht="13.5" outlineLevel="1">
      <c r="B21" s="1375"/>
      <c r="C21" s="1376"/>
      <c r="D21" s="1376"/>
      <c r="E21" s="1377"/>
      <c r="F21" s="1564">
        <f>F32</f>
        <v>0</v>
      </c>
      <c r="G21" s="1564">
        <f t="shared" si="0"/>
        <v>0</v>
      </c>
    </row>
    <row r="22" spans="2:9" s="101" customFormat="1" ht="13.5" outlineLevel="1">
      <c r="B22" s="1375"/>
      <c r="C22" s="1376"/>
      <c r="D22" s="1376"/>
      <c r="E22" s="1377"/>
      <c r="F22" s="1378"/>
      <c r="G22" s="1378"/>
    </row>
    <row r="23" spans="2:9" s="101" customFormat="1" ht="13.5" outlineLevel="1">
      <c r="B23" s="1375"/>
      <c r="C23" s="1376"/>
      <c r="D23" s="1376"/>
      <c r="E23" s="1377"/>
      <c r="F23" s="1378"/>
      <c r="G23" s="1378"/>
    </row>
    <row r="24" spans="2:9" s="101" customFormat="1" ht="13.5" outlineLevel="1">
      <c r="B24" s="2165" t="s">
        <v>1938</v>
      </c>
      <c r="C24" s="2166"/>
      <c r="D24" s="2167"/>
      <c r="E24" s="1377">
        <f>G17-F17+1</f>
        <v>91</v>
      </c>
      <c r="F24" s="1378">
        <f>SUM(F19:F23)</f>
        <v>11382383</v>
      </c>
      <c r="G24" s="1378">
        <f>SUM(G19:G23)</f>
        <v>1035796853</v>
      </c>
    </row>
    <row r="25" spans="2:9" s="101" customFormat="1" ht="13.5" outlineLevel="1">
      <c r="B25" s="2168" t="s">
        <v>380</v>
      </c>
      <c r="C25" s="2169"/>
      <c r="D25" s="2170"/>
      <c r="E25" s="1379"/>
      <c r="F25" s="1379" t="s">
        <v>2910</v>
      </c>
      <c r="G25" s="1380">
        <f>ROUND(G24/E24,)</f>
        <v>11382383</v>
      </c>
    </row>
    <row r="26" spans="2:9" s="101" customFormat="1" ht="13.5" outlineLevel="1"/>
    <row r="27" spans="2:9" s="101" customFormat="1" ht="13.5"/>
    <row r="28" spans="2:9" s="101" customFormat="1" ht="13.5">
      <c r="B28" s="104" t="s">
        <v>2903</v>
      </c>
      <c r="C28" s="1373" t="s">
        <v>2904</v>
      </c>
      <c r="F28" s="1374">
        <v>46023</v>
      </c>
      <c r="G28" s="1374">
        <v>46203</v>
      </c>
      <c r="I28" s="1330" t="s">
        <v>2912</v>
      </c>
    </row>
    <row r="29" spans="2:9" s="101" customFormat="1" ht="13.5">
      <c r="B29" s="1392" t="s">
        <v>2905</v>
      </c>
      <c r="C29" s="1392" t="s">
        <v>2906</v>
      </c>
      <c r="D29" s="1392" t="s">
        <v>2907</v>
      </c>
      <c r="E29" s="1392" t="s">
        <v>383</v>
      </c>
      <c r="F29" s="1392" t="s">
        <v>2908</v>
      </c>
      <c r="G29" s="1392" t="s">
        <v>2909</v>
      </c>
    </row>
    <row r="30" spans="2:9" s="101" customFormat="1" ht="13.5">
      <c r="B30" s="1375" t="s">
        <v>326</v>
      </c>
      <c r="C30" s="1376">
        <v>46023</v>
      </c>
      <c r="D30" s="1376">
        <v>46203</v>
      </c>
      <c r="E30" s="1377">
        <f>D30-C30+1</f>
        <v>181</v>
      </c>
      <c r="F30" s="1378">
        <v>11382383</v>
      </c>
      <c r="G30" s="1378">
        <f>F30*E30</f>
        <v>2060211323</v>
      </c>
    </row>
    <row r="31" spans="2:9" s="101" customFormat="1" ht="13.5">
      <c r="B31" s="1375"/>
      <c r="C31" s="1376"/>
      <c r="D31" s="1376"/>
      <c r="E31" s="1377"/>
      <c r="F31" s="1378"/>
      <c r="G31" s="1378"/>
    </row>
    <row r="32" spans="2:9" s="101" customFormat="1" ht="13.5">
      <c r="B32" s="1375"/>
      <c r="C32" s="1376"/>
      <c r="D32" s="1376"/>
      <c r="E32" s="1377"/>
      <c r="F32" s="1564"/>
      <c r="G32" s="1564"/>
    </row>
    <row r="33" spans="2:7" s="101" customFormat="1" ht="13.5">
      <c r="B33" s="1375"/>
      <c r="C33" s="1376"/>
      <c r="D33" s="1376"/>
      <c r="E33" s="1377"/>
      <c r="F33" s="1378"/>
      <c r="G33" s="1564"/>
    </row>
    <row r="34" spans="2:7" s="101" customFormat="1" ht="13.5">
      <c r="B34" s="1375"/>
      <c r="C34" s="1376"/>
      <c r="D34" s="1376"/>
      <c r="E34" s="1377"/>
      <c r="F34" s="1378"/>
      <c r="G34" s="1378"/>
    </row>
    <row r="35" spans="2:7" s="101" customFormat="1" ht="13.5">
      <c r="B35" s="2165" t="s">
        <v>1938</v>
      </c>
      <c r="C35" s="2166"/>
      <c r="D35" s="2167"/>
      <c r="E35" s="1377">
        <f>G28-F28+1</f>
        <v>181</v>
      </c>
      <c r="F35" s="1378">
        <f>SUM(F30:F34)</f>
        <v>11382383</v>
      </c>
      <c r="G35" s="1378">
        <f>SUM(G30:G34)</f>
        <v>2060211323</v>
      </c>
    </row>
    <row r="36" spans="2:7" s="101" customFormat="1" ht="13.5">
      <c r="B36" s="2168" t="s">
        <v>380</v>
      </c>
      <c r="C36" s="2169"/>
      <c r="D36" s="2170"/>
      <c r="E36" s="1379"/>
      <c r="F36" s="1379" t="s">
        <v>2910</v>
      </c>
      <c r="G36" s="1380">
        <f>ROUND(G35/E35,)</f>
        <v>11382383</v>
      </c>
    </row>
    <row r="37" spans="2:7" s="101" customFormat="1" ht="13.5">
      <c r="B37" s="102"/>
    </row>
    <row r="38" spans="2:7" s="101" customFormat="1" ht="13.5">
      <c r="B38" s="102"/>
    </row>
    <row r="39" spans="2:7" s="101" customFormat="1" ht="13.5">
      <c r="B39" s="101" t="s">
        <v>2104</v>
      </c>
    </row>
    <row r="40" spans="2:7" s="101" customFormat="1" ht="13.5"/>
    <row r="41" spans="2:7" s="101" customFormat="1" ht="13.5"/>
    <row r="42" spans="2:7" s="101" customFormat="1" ht="13.5">
      <c r="B42" s="2088" t="s">
        <v>257</v>
      </c>
      <c r="C42" s="1397" t="str">
        <f>C8</f>
        <v>당기</v>
      </c>
      <c r="D42" s="1398"/>
      <c r="E42" s="1397" t="str">
        <f>E8</f>
        <v>전기</v>
      </c>
      <c r="F42" s="1398"/>
    </row>
    <row r="43" spans="2:7" s="101" customFormat="1" ht="13.5">
      <c r="B43" s="2089"/>
      <c r="C43" s="1399" t="s">
        <v>2628</v>
      </c>
      <c r="D43" s="1400" t="s">
        <v>2629</v>
      </c>
      <c r="E43" s="1400" t="s">
        <v>2628</v>
      </c>
      <c r="F43" s="1400" t="s">
        <v>2629</v>
      </c>
    </row>
    <row r="44" spans="2:7" s="101" customFormat="1" ht="13.5">
      <c r="B44" s="1382" t="s">
        <v>2716</v>
      </c>
      <c r="C44" s="1383">
        <f>C54</f>
        <v>238552218</v>
      </c>
      <c r="D44" s="1383">
        <f>D10</f>
        <v>-867554501</v>
      </c>
      <c r="E44" s="1383">
        <f>E54</f>
        <v>298351479</v>
      </c>
      <c r="F44" s="1383">
        <f>F10</f>
        <v>995935373</v>
      </c>
    </row>
    <row r="45" spans="2:7" s="101" customFormat="1" ht="13.5">
      <c r="B45" s="1382" t="s">
        <v>2717</v>
      </c>
      <c r="C45" s="1384">
        <f>IF(C60="반희석",C55,C57)</f>
        <v>11382383</v>
      </c>
      <c r="D45" s="1384">
        <f>IF(D60="반희석",D55,D57)</f>
        <v>11382383</v>
      </c>
      <c r="E45" s="1384">
        <f>IF(E60="반희석",E55,E57)</f>
        <v>6285888</v>
      </c>
      <c r="F45" s="1384">
        <f>IF(F60="반희석",F55,F57)</f>
        <v>6365345.9560439559</v>
      </c>
    </row>
    <row r="46" spans="2:7" s="101" customFormat="1" ht="13.5">
      <c r="B46" s="1382" t="s">
        <v>2718</v>
      </c>
      <c r="C46" s="1385">
        <f>ROUND(C44/C45,)</f>
        <v>21</v>
      </c>
      <c r="D46" s="1385">
        <f>ROUND(D44/D45,)</f>
        <v>-76</v>
      </c>
      <c r="E46" s="1385">
        <f>ROUND(E44/E45,)</f>
        <v>47</v>
      </c>
      <c r="F46" s="1385">
        <f>ROUND(F44/F45,)</f>
        <v>156</v>
      </c>
    </row>
    <row r="47" spans="2:7" s="101" customFormat="1" ht="13.5">
      <c r="B47" s="97"/>
      <c r="C47" s="1386"/>
      <c r="D47" s="1386" t="b">
        <f>D46=D58</f>
        <v>1</v>
      </c>
      <c r="F47" s="1386" t="b">
        <f>F46=F58</f>
        <v>1</v>
      </c>
    </row>
    <row r="48" spans="2:7" s="101" customFormat="1" ht="13.5">
      <c r="B48" s="97"/>
      <c r="C48" s="1386"/>
      <c r="D48" s="1386"/>
    </row>
    <row r="49" spans="2:8" s="101" customFormat="1" ht="13.5">
      <c r="B49" s="97"/>
      <c r="C49" s="1386"/>
      <c r="D49" s="1386"/>
    </row>
    <row r="50" spans="2:8" s="101" customFormat="1" ht="13.5">
      <c r="C50" s="1381" t="str">
        <f>C42</f>
        <v>당기</v>
      </c>
      <c r="D50" s="1381"/>
      <c r="E50" s="1381" t="str">
        <f>E42</f>
        <v>전기</v>
      </c>
      <c r="F50" s="1381"/>
    </row>
    <row r="51" spans="2:8" s="101" customFormat="1" ht="13.5">
      <c r="B51" s="1387" t="s">
        <v>2913</v>
      </c>
      <c r="C51" s="1388" t="s">
        <v>2719</v>
      </c>
      <c r="D51" s="1388" t="s">
        <v>2720</v>
      </c>
      <c r="E51" s="1388" t="s">
        <v>2719</v>
      </c>
      <c r="F51" s="1388" t="s">
        <v>2720</v>
      </c>
    </row>
    <row r="52" spans="2:8" s="101" customFormat="1" ht="13.5">
      <c r="B52" s="1389" t="s">
        <v>902</v>
      </c>
      <c r="C52" s="1383">
        <f>C10</f>
        <v>238552218</v>
      </c>
      <c r="D52" s="1383">
        <f>D10</f>
        <v>-867554501</v>
      </c>
      <c r="E52" s="1383">
        <f>E10</f>
        <v>298351479</v>
      </c>
      <c r="F52" s="1383">
        <f>F10</f>
        <v>995935373</v>
      </c>
    </row>
    <row r="53" spans="2:8" s="101" customFormat="1" ht="13.5">
      <c r="B53" s="1389" t="s">
        <v>2721</v>
      </c>
      <c r="C53" s="1383"/>
      <c r="D53" s="1383"/>
      <c r="E53" s="1383"/>
      <c r="F53" s="1383"/>
    </row>
    <row r="54" spans="2:8" s="101" customFormat="1" ht="13.5">
      <c r="B54" s="1389" t="s">
        <v>2722</v>
      </c>
      <c r="C54" s="1383">
        <f>SUM(C52:C53)</f>
        <v>238552218</v>
      </c>
      <c r="D54" s="1383">
        <f>SUM(D52:D53)</f>
        <v>-867554501</v>
      </c>
      <c r="E54" s="1383">
        <f>SUM(E52:E53)</f>
        <v>298351479</v>
      </c>
      <c r="F54" s="1383">
        <f>SUM(F52:F53)</f>
        <v>995935373</v>
      </c>
    </row>
    <row r="55" spans="2:8" s="101" customFormat="1" ht="13.5">
      <c r="B55" s="1389" t="s">
        <v>380</v>
      </c>
      <c r="C55" s="1390">
        <f>C11</f>
        <v>11382383</v>
      </c>
      <c r="D55" s="1390">
        <f>D11</f>
        <v>11382383</v>
      </c>
      <c r="E55" s="1390">
        <f>E11</f>
        <v>6285888</v>
      </c>
      <c r="F55" s="1390">
        <f>F11</f>
        <v>6270678</v>
      </c>
    </row>
    <row r="56" spans="2:8" s="101" customFormat="1" ht="13.5">
      <c r="B56" s="1389" t="s">
        <v>2723</v>
      </c>
      <c r="C56" s="1390">
        <v>0</v>
      </c>
      <c r="D56" s="1390">
        <v>0</v>
      </c>
      <c r="E56" s="1390">
        <v>84726.912087912089</v>
      </c>
      <c r="F56" s="1390">
        <v>94667.956043956045</v>
      </c>
      <c r="H56" s="1330" t="s">
        <v>2912</v>
      </c>
    </row>
    <row r="57" spans="2:8" s="101" customFormat="1" ht="13.5">
      <c r="B57" s="1389" t="s">
        <v>2724</v>
      </c>
      <c r="C57" s="1390">
        <f>SUM(C55:C56)</f>
        <v>11382383</v>
      </c>
      <c r="D57" s="1390">
        <f>SUM(D55:D56)</f>
        <v>11382383</v>
      </c>
      <c r="E57" s="1390">
        <f>SUM(E55:E56)</f>
        <v>6370614.9120879117</v>
      </c>
      <c r="F57" s="1390">
        <f>SUM(F55:F56)</f>
        <v>6365345.9560439559</v>
      </c>
    </row>
    <row r="58" spans="2:8" s="101" customFormat="1" ht="13.5">
      <c r="B58" s="1391" t="s">
        <v>2725</v>
      </c>
      <c r="C58" s="1383">
        <f>ROUND(C54/C57,)</f>
        <v>21</v>
      </c>
      <c r="D58" s="1383">
        <f>ROUND(D54/D57,)</f>
        <v>-76</v>
      </c>
      <c r="E58" s="1383">
        <f>ROUND(E54/E57,)</f>
        <v>47</v>
      </c>
      <c r="F58" s="1383">
        <f>ROUND(F54/F57,)</f>
        <v>156</v>
      </c>
    </row>
    <row r="59" spans="2:8" s="101" customFormat="1" ht="14.25" thickBot="1"/>
    <row r="60" spans="2:8" s="101" customFormat="1" ht="14.25" thickBot="1">
      <c r="B60" s="1401" t="s">
        <v>2914</v>
      </c>
      <c r="C60" s="1402" t="str">
        <f>IF(C58&lt;C12,"ok","반희석")</f>
        <v>반희석</v>
      </c>
      <c r="D60" s="1402" t="str">
        <f>IF(D58&lt;D12,"ok","반희석")</f>
        <v>반희석</v>
      </c>
      <c r="E60" s="1402" t="str">
        <f>IF(E58&lt;E12,"ok","반희석")</f>
        <v>반희석</v>
      </c>
      <c r="F60" s="1403" t="str">
        <f>IF(F58&lt;F12,"ok","반희석")</f>
        <v>ok</v>
      </c>
    </row>
    <row r="61" spans="2:8" s="101" customFormat="1" ht="13.5"/>
    <row r="62" spans="2:8" s="101" customFormat="1" ht="13.5"/>
    <row r="63" spans="2:8" s="101" customFormat="1" ht="13.5"/>
    <row r="64" spans="2:8" s="101" customFormat="1" ht="13.5">
      <c r="C64" s="101" t="s">
        <v>3035</v>
      </c>
      <c r="D64" s="101">
        <f>D54/D57</f>
        <v>-76.219057204453577</v>
      </c>
    </row>
    <row r="65" spans="3:4" s="101" customFormat="1" ht="13.5">
      <c r="C65" s="101" t="s">
        <v>3036</v>
      </c>
      <c r="D65" s="101">
        <f>D10/D11</f>
        <v>-76.219057204453577</v>
      </c>
    </row>
  </sheetData>
  <mergeCells count="6">
    <mergeCell ref="B8:B9"/>
    <mergeCell ref="B42:B43"/>
    <mergeCell ref="B35:D35"/>
    <mergeCell ref="B36:D36"/>
    <mergeCell ref="B24:D24"/>
    <mergeCell ref="B25:D25"/>
  </mergeCells>
  <phoneticPr fontId="3"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21" operator="containsText" id="{71F03A47-48ED-41AB-833A-C8AF2D3767ED}">
            <xm:f>NOT(ISERROR(SEARCH("FALSE",B44)))</xm:f>
            <xm:f>"FALSE"</xm:f>
            <x14:dxf>
              <fill>
                <patternFill>
                  <bgColor theme="5"/>
                </patternFill>
              </fill>
            </x14:dxf>
          </x14:cfRule>
          <x14:cfRule type="containsText" priority="22" operator="containsText" id="{4B8A1588-FE75-4928-86C3-3C46B35B15AD}">
            <xm:f>NOT(ISERROR(SEARCH("TRUE",B44)))</xm:f>
            <xm:f>"TRUE"</xm:f>
            <x14:dxf>
              <fill>
                <patternFill>
                  <bgColor theme="9" tint="0.79998168889431442"/>
                </patternFill>
              </fill>
            </x14:dxf>
          </x14:cfRule>
          <xm:sqref>B44</xm:sqref>
        </x14:conditionalFormatting>
        <x14:conditionalFormatting xmlns:xm="http://schemas.microsoft.com/office/excel/2006/main">
          <x14:cfRule type="containsText" priority="6" operator="containsText" id="{FFA4EA87-3F89-4AD7-BBCB-0CB4837BE10D}">
            <xm:f>NOT(ISERROR(SEARCH("FALSE",B45)))</xm:f>
            <xm:f>"FALSE"</xm:f>
            <x14:dxf>
              <fill>
                <patternFill>
                  <bgColor theme="5"/>
                </patternFill>
              </fill>
            </x14:dxf>
          </x14:cfRule>
          <x14:cfRule type="containsText" priority="7" operator="containsText" id="{8245E416-A55B-4059-9874-9A9EDA1C4753}">
            <xm:f>NOT(ISERROR(SEARCH("TRUE",B45)))</xm:f>
            <xm:f>"TRUE"</xm:f>
            <x14:dxf>
              <fill>
                <patternFill>
                  <bgColor theme="9" tint="0.79998168889431442"/>
                </patternFill>
              </fill>
            </x14:dxf>
          </x14:cfRule>
          <xm:sqref>B45:D49</xm:sqref>
        </x14:conditionalFormatting>
        <x14:conditionalFormatting xmlns:xm="http://schemas.microsoft.com/office/excel/2006/main">
          <x14:cfRule type="containsText" priority="18" operator="containsText" id="{C8DF9756-FADE-4E95-A308-8110C14D09C4}">
            <xm:f>NOT(ISERROR(SEARCH("false",C44)))</xm:f>
            <xm:f>"false"</xm:f>
            <x14:dxf>
              <fill>
                <patternFill>
                  <bgColor rgb="FFFF0000"/>
                </patternFill>
              </fill>
            </x14:dxf>
          </x14:cfRule>
          <xm:sqref>C44:F44</xm:sqref>
        </x14:conditionalFormatting>
        <x14:conditionalFormatting xmlns:xm="http://schemas.microsoft.com/office/excel/2006/main">
          <x14:cfRule type="containsText" priority="16" operator="containsText" id="{C4420124-8F92-4C25-ACE7-F3A7EB9138EA}">
            <xm:f>NOT(ISERROR(SEARCH("FALSE",C50)))</xm:f>
            <xm:f>"FALSE"</xm:f>
            <x14:dxf>
              <fill>
                <patternFill>
                  <bgColor theme="5"/>
                </patternFill>
              </fill>
            </x14:dxf>
          </x14:cfRule>
          <x14:cfRule type="containsText" priority="17" operator="containsText" id="{939598E0-4DEE-40D5-A75C-5006CBB60B62}">
            <xm:f>NOT(ISERROR(SEARCH("TRUE",C50)))</xm:f>
            <xm:f>"TRUE"</xm:f>
            <x14:dxf>
              <fill>
                <patternFill>
                  <bgColor theme="9" tint="0.79998168889431442"/>
                </patternFill>
              </fill>
            </x14:dxf>
          </x14:cfRule>
          <xm:sqref>C50:F50</xm:sqref>
        </x14:conditionalFormatting>
        <x14:conditionalFormatting xmlns:xm="http://schemas.microsoft.com/office/excel/2006/main">
          <x14:cfRule type="containsText" priority="20" operator="containsText" id="{4630555F-E2D4-48B7-B45A-D569A7EC09F2}">
            <xm:f>NOT(ISERROR(SEARCH("false",C52)))</xm:f>
            <xm:f>"false"</xm:f>
            <x14:dxf>
              <fill>
                <patternFill>
                  <bgColor rgb="FFFF0000"/>
                </patternFill>
              </fill>
            </x14:dxf>
          </x14:cfRule>
          <xm:sqref>C52:F54 C58:F58</xm:sqref>
        </x14:conditionalFormatting>
        <x14:conditionalFormatting xmlns:xm="http://schemas.microsoft.com/office/excel/2006/main">
          <x14:cfRule type="containsText" priority="3" operator="containsText" id="{369EBDFE-865B-487F-B731-2CB1CCA2CD09}">
            <xm:f>NOT(ISERROR(SEARCH("FALSE",E12)))</xm:f>
            <xm:f>"FALSE"</xm:f>
            <x14:dxf>
              <fill>
                <patternFill>
                  <bgColor theme="5"/>
                </patternFill>
              </fill>
            </x14:dxf>
          </x14:cfRule>
          <x14:cfRule type="containsText" priority="4" operator="containsText" id="{9D9263D0-F07D-4B1D-A7E6-CE58F6161FE1}">
            <xm:f>NOT(ISERROR(SEARCH("TRUE",E12)))</xm:f>
            <xm:f>"TRUE"</xm:f>
            <x14:dxf>
              <fill>
                <patternFill>
                  <bgColor theme="9" tint="0.79998168889431442"/>
                </patternFill>
              </fill>
            </x14:dxf>
          </x14:cfRule>
          <xm:sqref>E12:F12</xm:sqref>
        </x14:conditionalFormatting>
        <x14:conditionalFormatting xmlns:xm="http://schemas.microsoft.com/office/excel/2006/main">
          <x14:cfRule type="containsText" priority="12" operator="containsText" id="{C576C0C4-53E4-4E1A-B5DB-D87ADD659A3C}">
            <xm:f>NOT(ISERROR(SEARCH("FALSE",E45)))</xm:f>
            <xm:f>"FALSE"</xm:f>
            <x14:dxf>
              <fill>
                <patternFill>
                  <bgColor theme="5"/>
                </patternFill>
              </fill>
            </x14:dxf>
          </x14:cfRule>
          <x14:cfRule type="containsText" priority="13" operator="containsText" id="{4D00CBAB-6AD3-4D2E-A96B-50CC34D1B526}">
            <xm:f>NOT(ISERROR(SEARCH("TRUE",E45)))</xm:f>
            <xm:f>"TRUE"</xm:f>
            <x14:dxf>
              <fill>
                <patternFill>
                  <bgColor theme="9" tint="0.79998168889431442"/>
                </patternFill>
              </fill>
            </x14:dxf>
          </x14:cfRule>
          <xm:sqref>E45:F46</xm:sqref>
        </x14:conditionalFormatting>
        <x14:conditionalFormatting xmlns:xm="http://schemas.microsoft.com/office/excel/2006/main">
          <x14:cfRule type="containsText" priority="10" operator="containsText" id="{7FA1A036-13D4-4AA8-A9FE-2665BB4686D9}">
            <xm:f>NOT(ISERROR(SEARCH("FALSE",F47)))</xm:f>
            <xm:f>"FALSE"</xm:f>
            <x14:dxf>
              <fill>
                <patternFill>
                  <bgColor theme="5"/>
                </patternFill>
              </fill>
            </x14:dxf>
          </x14:cfRule>
          <x14:cfRule type="containsText" priority="11" operator="containsText" id="{9F28B875-B182-499D-B46A-01EFEF675F35}">
            <xm:f>NOT(ISERROR(SEARCH("TRUE",F47)))</xm:f>
            <xm:f>"TRUE"</xm:f>
            <x14:dxf>
              <fill>
                <patternFill>
                  <bgColor theme="9" tint="0.79998168889431442"/>
                </patternFill>
              </fill>
            </x14:dxf>
          </x14:cfRule>
          <xm:sqref>F47</xm:sqref>
        </x14:conditionalFormatting>
        <x14:conditionalFormatting xmlns:xm="http://schemas.microsoft.com/office/excel/2006/main">
          <x14:cfRule type="containsText" priority="2" operator="containsText" id="{BF898E5D-D460-48F9-8B7E-E8B35C0AC54F}">
            <xm:f>NOT(ISERROR(SEARCH("false",F19)))</xm:f>
            <xm:f>"false"</xm:f>
            <x14:dxf>
              <fill>
                <patternFill>
                  <bgColor rgb="FFFF0000"/>
                </patternFill>
              </fill>
            </x14:dxf>
          </x14:cfRule>
          <xm:sqref>F19:G24</xm:sqref>
        </x14:conditionalFormatting>
        <x14:conditionalFormatting xmlns:xm="http://schemas.microsoft.com/office/excel/2006/main">
          <x14:cfRule type="containsText" priority="1" operator="containsText" id="{35C959A6-EDE0-4446-B613-2CF5EE07949F}">
            <xm:f>NOT(ISERROR(SEARCH("false",F30)))</xm:f>
            <xm:f>"false"</xm:f>
            <x14:dxf>
              <fill>
                <patternFill>
                  <bgColor rgb="FFFF0000"/>
                </patternFill>
              </fill>
            </x14:dxf>
          </x14:cfRule>
          <xm:sqref>F30:G35</xm:sqref>
        </x14:conditionalFormatting>
      </x14:conditionalFormattings>
    </ext>
  </extLst>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codeName="Sheet75"/>
  <dimension ref="B2:G54"/>
  <sheetViews>
    <sheetView showGridLines="0" zoomScale="85" zoomScaleNormal="85" workbookViewId="0">
      <selection activeCell="C31" sqref="C31"/>
    </sheetView>
  </sheetViews>
  <sheetFormatPr defaultColWidth="9" defaultRowHeight="16.5"/>
  <cols>
    <col min="1" max="1" width="3.875" style="418" customWidth="1"/>
    <col min="2" max="2" width="34.375" style="418" customWidth="1"/>
    <col min="3" max="3" width="18.5" style="881" customWidth="1"/>
    <col min="4" max="5" width="18.5" style="418" customWidth="1"/>
    <col min="6" max="7" width="13.625" style="418" bestFit="1" customWidth="1"/>
    <col min="8" max="8" width="16.875" style="418" customWidth="1"/>
    <col min="9" max="9" width="9" style="418"/>
    <col min="10" max="10" width="28.375" style="418" customWidth="1"/>
    <col min="11" max="11" width="14.875" style="418" bestFit="1" customWidth="1"/>
    <col min="12" max="12" width="13.75" style="418" bestFit="1" customWidth="1"/>
    <col min="13" max="16384" width="9" style="418"/>
  </cols>
  <sheetData>
    <row r="2" spans="2:4">
      <c r="B2" s="860" t="s">
        <v>2105</v>
      </c>
      <c r="C2" s="418"/>
    </row>
    <row r="3" spans="2:4">
      <c r="B3" s="861"/>
      <c r="C3" s="418"/>
    </row>
    <row r="4" spans="2:4">
      <c r="B4" s="862" t="s">
        <v>2106</v>
      </c>
      <c r="C4" s="418"/>
    </row>
    <row r="5" spans="2:4">
      <c r="C5" s="863" t="s">
        <v>1874</v>
      </c>
    </row>
    <row r="6" spans="2:4">
      <c r="B6" s="873" t="s">
        <v>257</v>
      </c>
      <c r="C6" s="874" t="str">
        <f>'31'!C42</f>
        <v>당기</v>
      </c>
      <c r="D6" s="874" t="str">
        <f>'31'!E42</f>
        <v>전기</v>
      </c>
    </row>
    <row r="7" spans="2:4">
      <c r="B7" s="774" t="s">
        <v>174</v>
      </c>
      <c r="C7" s="852">
        <f>SUMIF(연결CF!$B$6:$B$26,'32'!B7,연결CF!$C$6:$C$26)</f>
        <v>-83305712</v>
      </c>
      <c r="D7" s="852">
        <f>SUMIFS(연결CF!$D:$D,연결CF!$B:$B,'32'!B7)</f>
        <v>56559960</v>
      </c>
    </row>
    <row r="8" spans="2:4">
      <c r="B8" s="774" t="s">
        <v>2769</v>
      </c>
      <c r="C8" s="852">
        <f>SUMIF(연결CF!$B$6:$B$26,'32'!B8,연결CF!$C$6:$C$26)</f>
        <v>-3000000</v>
      </c>
      <c r="D8" s="852">
        <f>SUMIFS(연결CF!$D:$D,연결CF!$B:$B,'32'!B8)</f>
        <v>-3000000</v>
      </c>
    </row>
    <row r="9" spans="2:4">
      <c r="B9" s="774" t="s">
        <v>133</v>
      </c>
      <c r="C9" s="852">
        <f>SUMIF(연결CF!$B$6:$B$26,'32'!B9,연결CF!$C$6:$C$26)</f>
        <v>-22101454</v>
      </c>
      <c r="D9" s="852">
        <f>SUMIFS(연결CF!$D:$D,연결CF!$B:$B,'32'!B9)</f>
        <v>-28253274</v>
      </c>
    </row>
    <row r="10" spans="2:4">
      <c r="B10" s="774" t="s">
        <v>122</v>
      </c>
      <c r="C10" s="852">
        <f>SUMIF(연결CF!$B$6:$B$26,'32'!B10,연결CF!$C$6:$C$26)</f>
        <v>-1202135</v>
      </c>
      <c r="D10" s="852">
        <f>SUMIFS(연결CF!$D:$D,연결CF!$B:$B,'32'!B10)</f>
        <v>-1054000</v>
      </c>
    </row>
    <row r="11" spans="2:4">
      <c r="B11" s="774" t="s">
        <v>121</v>
      </c>
      <c r="C11" s="852">
        <f>SUMIF(연결CF!$B$6:$B$26,'32'!B11,연결CF!$C$6:$C$26)</f>
        <v>-37603839</v>
      </c>
      <c r="D11" s="852">
        <f>SUMIFS(연결CF!$D:$D,연결CF!$B:$B,'32'!B11)</f>
        <v>-3042</v>
      </c>
    </row>
    <row r="12" spans="2:4">
      <c r="B12" s="774" t="s">
        <v>363</v>
      </c>
      <c r="C12" s="852">
        <f>SUMIF(연결CF!$B$6:$B$26,'32'!B12,연결CF!$C$6:$C$26)</f>
        <v>131193174</v>
      </c>
      <c r="D12" s="852">
        <f>SUMIFS(연결CF!$D:$D,연결CF!$B:$B,'32'!B12)</f>
        <v>15216604</v>
      </c>
    </row>
    <row r="13" spans="2:4">
      <c r="B13" s="774" t="s">
        <v>178</v>
      </c>
      <c r="C13" s="852">
        <f>SUMIF(연결CF!$B$6:$B$26,'32'!B13,연결CF!$C$6:$C$26)</f>
        <v>188019390</v>
      </c>
      <c r="D13" s="852">
        <f>SUMIFS(연결CF!$D:$D,연결CF!$B:$B,'32'!B13)</f>
        <v>177665682</v>
      </c>
    </row>
    <row r="14" spans="2:4">
      <c r="B14" s="774" t="s">
        <v>756</v>
      </c>
      <c r="C14" s="852">
        <f>SUMIF(연결CF!$B$6:$B$26,'32'!B14,연결CF!$C$6:$C$26)</f>
        <v>0</v>
      </c>
      <c r="D14" s="852">
        <f>SUMIFS(연결CF!$D:$D,연결CF!$B:$B,'32'!B14)</f>
        <v>0</v>
      </c>
    </row>
    <row r="15" spans="2:4">
      <c r="B15" s="774" t="s">
        <v>179</v>
      </c>
      <c r="C15" s="852">
        <f>SUMIF(연결CF!$B$6:$B$26,'32'!B15,연결CF!$C$6:$C$26)</f>
        <v>98954951</v>
      </c>
      <c r="D15" s="852">
        <f>SUMIFS(연결CF!$D:$D,연결CF!$B:$B,'32'!B15)</f>
        <v>45786340</v>
      </c>
    </row>
    <row r="16" spans="2:4">
      <c r="B16" s="774" t="s">
        <v>176</v>
      </c>
      <c r="C16" s="852">
        <f>SUMIF(연결CF!$B$6:$B$26,'32'!B16,연결CF!$C$6:$C$26)</f>
        <v>585661920</v>
      </c>
      <c r="D16" s="852">
        <f>SUMIFS(연결CF!$D:$D,연결CF!$B:$B,'32'!B16)</f>
        <v>497372122</v>
      </c>
    </row>
    <row r="17" spans="2:5">
      <c r="B17" s="774" t="s">
        <v>177</v>
      </c>
      <c r="C17" s="852">
        <f>SUMIF(연결CF!$B$6:$B$26,'32'!B17,연결CF!$C$6:$C$26)</f>
        <v>21529107</v>
      </c>
      <c r="D17" s="852">
        <f>SUMIFS(연결CF!$D:$D,연결CF!$B:$B,'32'!B17)</f>
        <v>144426793</v>
      </c>
    </row>
    <row r="18" spans="2:5">
      <c r="B18" s="774" t="s">
        <v>129</v>
      </c>
      <c r="C18" s="852">
        <f>SUMIF(연결CF!$B$6:$B$26,'32'!B18,연결CF!$C$6:$C$26)</f>
        <v>4825402</v>
      </c>
      <c r="D18" s="852">
        <f>SUMIFS(연결CF!$D:$D,연결CF!$B:$B,'32'!B18)</f>
        <v>3098042</v>
      </c>
    </row>
    <row r="19" spans="2:5">
      <c r="B19" s="774" t="s">
        <v>127</v>
      </c>
      <c r="C19" s="852">
        <f>SUMIF(연결CF!$B$6:$B$26,'32'!B19,연결CF!$C$6:$C$26)</f>
        <v>2</v>
      </c>
      <c r="D19" s="852">
        <f>SUMIFS(연결CF!$D:$D,연결CF!$B:$B,'32'!B19)</f>
        <v>58201925</v>
      </c>
    </row>
    <row r="20" spans="2:5">
      <c r="B20" s="774" t="s">
        <v>1975</v>
      </c>
      <c r="C20" s="852">
        <f>연결CF!C19</f>
        <v>4983889</v>
      </c>
      <c r="D20" s="852">
        <f>연결CF!D19</f>
        <v>4894989</v>
      </c>
    </row>
    <row r="21" spans="2:5">
      <c r="B21" s="774" t="s">
        <v>3452</v>
      </c>
      <c r="C21" s="852">
        <f>연결CF!C25</f>
        <v>2067945777</v>
      </c>
      <c r="D21" s="852">
        <f>SUMIFS(연결CF!$D:$D,연결CF!$B:$B,'32'!B21)</f>
        <v>0</v>
      </c>
    </row>
    <row r="22" spans="2:5">
      <c r="B22" s="774" t="s">
        <v>393</v>
      </c>
      <c r="C22" s="852">
        <f>SUMIF(연결CF!$B$6:$B$26,'32'!B22,연결CF!$C$6:$C$26)</f>
        <v>37001898</v>
      </c>
      <c r="D22" s="852">
        <f>SUMIFS(연결CF!$D:$D,연결CF!$B:$B,'32'!B22)</f>
        <v>34571148</v>
      </c>
    </row>
    <row r="23" spans="2:5">
      <c r="B23" s="957" t="s">
        <v>2680</v>
      </c>
      <c r="C23" s="852">
        <f>SUMIF(연결CF!$B$6:$B$26,'32'!B23,연결CF!$C$6:$C$26)</f>
        <v>-2067945777</v>
      </c>
      <c r="D23" s="852">
        <f>SUMIFS(연결CF!$D:$D,연결CF!$B:$B,'32'!B23)</f>
        <v>0</v>
      </c>
    </row>
    <row r="24" spans="2:5">
      <c r="B24" s="957" t="s">
        <v>273</v>
      </c>
      <c r="C24" s="852">
        <f>SUMIF(연결CF!$B$6:$B$26,'32'!B24,연결CF!$C$6:$C$26)</f>
        <v>0</v>
      </c>
      <c r="D24" s="852">
        <f>SUMIFS(연결CF!$D:$D,연결CF!$B:$B,'32'!B24)</f>
        <v>0</v>
      </c>
    </row>
    <row r="25" spans="2:5">
      <c r="B25" s="957" t="s">
        <v>2930</v>
      </c>
      <c r="C25" s="852">
        <f>SUMIF(연결CF!$B$6:$B$26,'32'!B25,연결CF!$C$6:$C$26)</f>
        <v>-7948119</v>
      </c>
      <c r="D25" s="852">
        <f>SUMIFS(연결CF!$D:$D,연결CF!$B:$B,'32'!B25)</f>
        <v>-2653613</v>
      </c>
    </row>
    <row r="26" spans="2:5">
      <c r="B26" s="867" t="s">
        <v>144</v>
      </c>
      <c r="C26" s="853">
        <f>SUM(C7:C25)</f>
        <v>917008474</v>
      </c>
      <c r="D26" s="853">
        <f>SUM(D7:D25)</f>
        <v>1002829676</v>
      </c>
      <c r="E26" s="886"/>
    </row>
    <row r="27" spans="2:5">
      <c r="C27" s="886">
        <f>연결CF!C5-C26</f>
        <v>0</v>
      </c>
      <c r="D27" s="886">
        <f>연결CF!D5-D26</f>
        <v>0</v>
      </c>
    </row>
    <row r="28" spans="2:5">
      <c r="B28" s="862" t="s">
        <v>2107</v>
      </c>
      <c r="C28" s="418"/>
      <c r="D28" s="886"/>
    </row>
    <row r="29" spans="2:5">
      <c r="C29" s="863" t="s">
        <v>1874</v>
      </c>
      <c r="D29" s="886"/>
    </row>
    <row r="30" spans="2:5">
      <c r="B30" s="873" t="s">
        <v>257</v>
      </c>
      <c r="C30" s="874" t="str">
        <f>C6</f>
        <v>당기</v>
      </c>
      <c r="D30" s="874" t="str">
        <f>D6</f>
        <v>전기</v>
      </c>
    </row>
    <row r="31" spans="2:5">
      <c r="B31" s="774" t="s">
        <v>1803</v>
      </c>
      <c r="C31" s="852">
        <f>연결CF!C28</f>
        <v>502587042</v>
      </c>
      <c r="D31" s="852">
        <f>연결CF!D28</f>
        <v>-146111841</v>
      </c>
    </row>
    <row r="32" spans="2:5">
      <c r="B32" s="774" t="s">
        <v>1804</v>
      </c>
      <c r="C32" s="852">
        <f>연결CF!C29</f>
        <v>433657614</v>
      </c>
      <c r="D32" s="852">
        <f>연결CF!D29</f>
        <v>-140049917</v>
      </c>
    </row>
    <row r="33" spans="2:6">
      <c r="B33" s="774" t="s">
        <v>503</v>
      </c>
      <c r="C33" s="852">
        <f>연결CF!C30</f>
        <v>-326232101</v>
      </c>
      <c r="D33" s="852">
        <f>연결CF!D30</f>
        <v>77359122</v>
      </c>
    </row>
    <row r="34" spans="2:6">
      <c r="B34" s="774" t="s">
        <v>2108</v>
      </c>
      <c r="C34" s="852">
        <f>연결CF!C31</f>
        <v>1866250998</v>
      </c>
      <c r="D34" s="852">
        <f>연결CF!D31</f>
        <v>-456512459</v>
      </c>
    </row>
    <row r="35" spans="2:6">
      <c r="B35" s="774" t="s">
        <v>2109</v>
      </c>
      <c r="C35" s="852">
        <f>연결CF!C33</f>
        <v>-180207725</v>
      </c>
      <c r="D35" s="852">
        <f>연결CF!D33</f>
        <v>-27252178</v>
      </c>
    </row>
    <row r="36" spans="2:6">
      <c r="B36" s="774" t="s">
        <v>2110</v>
      </c>
      <c r="C36" s="852">
        <f>연결CF!C35</f>
        <v>-1064848974</v>
      </c>
      <c r="D36" s="852">
        <f>연결CF!D35</f>
        <v>-61814462</v>
      </c>
    </row>
    <row r="37" spans="2:6">
      <c r="B37" s="957" t="s">
        <v>2753</v>
      </c>
      <c r="C37" s="852">
        <f>연결CF!C34</f>
        <v>-4380000</v>
      </c>
      <c r="D37" s="852">
        <f>연결CF!D34</f>
        <v>0</v>
      </c>
    </row>
    <row r="38" spans="2:6">
      <c r="B38" s="867" t="s">
        <v>144</v>
      </c>
      <c r="C38" s="853">
        <f>SUM(C31:C37)</f>
        <v>1226826854</v>
      </c>
      <c r="D38" s="853">
        <f>SUM(D31:D37)</f>
        <v>-754381735</v>
      </c>
      <c r="E38" s="886"/>
    </row>
    <row r="39" spans="2:6">
      <c r="B39" s="861"/>
      <c r="C39" s="886" t="b">
        <f>연결CF!C27=C38</f>
        <v>1</v>
      </c>
      <c r="D39" s="886" t="b">
        <f>연결CF!D27=D38</f>
        <v>1</v>
      </c>
    </row>
    <row r="40" spans="2:6">
      <c r="B40" s="861"/>
      <c r="C40" s="418"/>
    </row>
    <row r="41" spans="2:6">
      <c r="B41" s="418" t="s">
        <v>2111</v>
      </c>
      <c r="C41" s="418"/>
    </row>
    <row r="42" spans="2:6">
      <c r="C42" s="863" t="s">
        <v>1874</v>
      </c>
    </row>
    <row r="43" spans="2:6">
      <c r="B43" s="873" t="s">
        <v>257</v>
      </c>
      <c r="C43" s="874" t="str">
        <f>C30</f>
        <v>당기</v>
      </c>
    </row>
    <row r="44" spans="2:6">
      <c r="B44" s="778" t="s">
        <v>3400</v>
      </c>
      <c r="C44" s="853">
        <v>0</v>
      </c>
    </row>
    <row r="45" spans="2:6">
      <c r="B45" s="778" t="s">
        <v>2952</v>
      </c>
      <c r="C45" s="853">
        <v>3105368861</v>
      </c>
    </row>
    <row r="47" spans="2:6">
      <c r="B47" s="418" t="s">
        <v>2836</v>
      </c>
    </row>
    <row r="48" spans="2:6">
      <c r="B48" s="1195" t="s">
        <v>257</v>
      </c>
      <c r="C48" s="1196" t="s">
        <v>326</v>
      </c>
      <c r="D48" s="1196" t="s">
        <v>2840</v>
      </c>
      <c r="E48" s="1196" t="s">
        <v>2837</v>
      </c>
      <c r="F48" s="1275" t="s">
        <v>327</v>
      </c>
    </row>
    <row r="49" spans="2:7">
      <c r="B49" s="1273" t="s">
        <v>50</v>
      </c>
      <c r="C49" s="852">
        <f>연결BS!E83</f>
        <v>1120000000</v>
      </c>
      <c r="D49" s="852">
        <f>연결CF!C56-연결CF!C60</f>
        <v>0</v>
      </c>
      <c r="E49" s="852">
        <v>0</v>
      </c>
      <c r="F49" s="879">
        <f>SUM(C49:E49)</f>
        <v>1120000000</v>
      </c>
      <c r="G49" s="418" t="b">
        <f>F49=연결BS!D83</f>
        <v>1</v>
      </c>
    </row>
    <row r="50" spans="2:7">
      <c r="B50" s="1273" t="s">
        <v>2838</v>
      </c>
      <c r="C50" s="852">
        <f>연결BS!E84</f>
        <v>83300000</v>
      </c>
      <c r="D50" s="852">
        <f>-연결CF!C62</f>
        <v>-83300000</v>
      </c>
      <c r="E50" s="852">
        <f>CF정산표!AF128-CF정산표!AC128</f>
        <v>0</v>
      </c>
      <c r="F50" s="879">
        <f>SUM(C50:E50)</f>
        <v>0</v>
      </c>
      <c r="G50" s="418" t="b">
        <f>F50=연결BS!D84</f>
        <v>1</v>
      </c>
    </row>
    <row r="51" spans="2:7">
      <c r="B51" s="1273" t="s">
        <v>57</v>
      </c>
      <c r="C51" s="852">
        <f>연결BS!E90</f>
        <v>4100000000</v>
      </c>
      <c r="D51" s="852">
        <f>연결CF!C57</f>
        <v>0</v>
      </c>
      <c r="E51" s="852">
        <f>-E50</f>
        <v>0</v>
      </c>
      <c r="F51" s="879">
        <f>SUM(C51:E51)</f>
        <v>4100000000</v>
      </c>
      <c r="G51" s="418" t="b">
        <f>F51=연결BS!D90</f>
        <v>1</v>
      </c>
    </row>
    <row r="52" spans="2:7">
      <c r="B52" s="1273" t="s">
        <v>694</v>
      </c>
      <c r="C52" s="852">
        <f>연결BS!E85</f>
        <v>545986082</v>
      </c>
      <c r="D52" s="852">
        <f>-CF정산표!W121</f>
        <v>0</v>
      </c>
      <c r="E52" s="852">
        <f>CF정산표!AF122+CF정산표!AF121</f>
        <v>0</v>
      </c>
      <c r="F52" s="879">
        <f>SUM(C52:E52)</f>
        <v>545986082</v>
      </c>
      <c r="G52" s="886">
        <f>F52-연결BS!D85</f>
        <v>-353159383</v>
      </c>
    </row>
    <row r="53" spans="2:7">
      <c r="B53" s="1273" t="s">
        <v>2839</v>
      </c>
      <c r="C53" s="852">
        <f>연결BS!E92</f>
        <v>1049272823</v>
      </c>
      <c r="D53" s="852">
        <f>-CF정산표!W136</f>
        <v>-275936850</v>
      </c>
      <c r="E53" s="852">
        <f>-CF정산표!AC137-CF정산표!AC138+CF정산표!AF136+CF정산표!AF137+CF정산표!K136</f>
        <v>26022151</v>
      </c>
      <c r="F53" s="879">
        <f>SUM(C53:E53)</f>
        <v>799358124</v>
      </c>
      <c r="G53" s="886">
        <f>F53-연결BS!D92</f>
        <v>-735901979</v>
      </c>
    </row>
    <row r="54" spans="2:7">
      <c r="B54" s="867" t="s">
        <v>144</v>
      </c>
      <c r="C54" s="853">
        <f>SUM(C49:C53)</f>
        <v>6898558905</v>
      </c>
      <c r="D54" s="853">
        <f t="shared" ref="D54" si="0">SUM(D49:D53)</f>
        <v>-359236850</v>
      </c>
      <c r="E54" s="853">
        <f>SUM(E49:E53)</f>
        <v>26022151</v>
      </c>
      <c r="F54" s="853">
        <f>SUM(F49:F53)</f>
        <v>6565344206</v>
      </c>
    </row>
  </sheetData>
  <phoneticPr fontId="3"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 operator="containsText" id="{08B00502-D0CC-494E-9376-5441D6597223}">
            <xm:f>NOT(ISERROR(SEARCH("true",A1)))</xm:f>
            <xm:f>"true"</xm:f>
            <x14:dxf>
              <fill>
                <patternFill>
                  <bgColor theme="9" tint="0.79998168889431442"/>
                </patternFill>
              </fill>
            </x14:dxf>
          </x14:cfRule>
          <x14:cfRule type="containsText" priority="2" operator="containsText" id="{7B5DA397-2A85-4BC5-8B54-41549E7491A1}">
            <xm:f>NOT(ISERROR(SEARCH("false",A1)))</xm:f>
            <xm:f>"false"</xm:f>
            <x14:dxf>
              <fill>
                <patternFill>
                  <bgColor rgb="FFC00000"/>
                </patternFill>
              </fill>
            </x14:dxf>
          </x14:cfRule>
          <xm:sqref>A1:XFD5 J1:L6 A6:I6 M6:XFD6 A7:E7 F7:XFD20 G7:G24 E8:E20 A8:D25 E21:I25 M21:XFD26 J21:L29 F24:G26 A26:I26 A27:XFD1048576</xm:sqref>
        </x14:conditionalFormatting>
      </x14:conditionalFormattings>
    </ext>
  </extLst>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codeName="Sheet76"/>
  <dimension ref="B2:L585"/>
  <sheetViews>
    <sheetView showGridLines="0" zoomScale="85" zoomScaleNormal="85" workbookViewId="0">
      <selection activeCell="C19" sqref="C19"/>
    </sheetView>
  </sheetViews>
  <sheetFormatPr defaultColWidth="9" defaultRowHeight="16.5"/>
  <cols>
    <col min="1" max="1" width="5" style="889" customWidth="1"/>
    <col min="2" max="2" width="31" style="889" customWidth="1"/>
    <col min="3" max="3" width="31.5" style="889" customWidth="1"/>
    <col min="4" max="4" width="17" style="889" customWidth="1"/>
    <col min="5" max="12" width="14" style="889" customWidth="1"/>
    <col min="13" max="16384" width="9" style="889"/>
  </cols>
  <sheetData>
    <row r="2" spans="2:4">
      <c r="B2" s="889" t="s">
        <v>2141</v>
      </c>
      <c r="C2" s="418"/>
    </row>
    <row r="3" spans="2:4">
      <c r="C3" s="418"/>
    </row>
    <row r="4" spans="2:4">
      <c r="B4" s="889" t="s">
        <v>2142</v>
      </c>
      <c r="C4" s="418"/>
    </row>
    <row r="5" spans="2:4">
      <c r="C5" s="418"/>
    </row>
    <row r="6" spans="2:4">
      <c r="B6" s="889" t="s">
        <v>2143</v>
      </c>
      <c r="C6" s="418"/>
    </row>
    <row r="7" spans="2:4">
      <c r="B7" s="863" t="s">
        <v>368</v>
      </c>
      <c r="C7" s="418"/>
    </row>
    <row r="8" spans="2:4">
      <c r="B8" s="855" t="s">
        <v>257</v>
      </c>
      <c r="C8" s="855" t="s">
        <v>328</v>
      </c>
    </row>
    <row r="9" spans="2:4">
      <c r="B9" s="906" t="s">
        <v>446</v>
      </c>
      <c r="C9" s="914">
        <f>연결PL!D4</f>
        <v>7595910549</v>
      </c>
    </row>
    <row r="10" spans="2:4">
      <c r="B10" s="906" t="s">
        <v>447</v>
      </c>
      <c r="C10" s="914">
        <f>연결PL!D3+연결PL!D6</f>
        <v>1216333920</v>
      </c>
      <c r="D10" s="889" t="s">
        <v>3007</v>
      </c>
    </row>
    <row r="11" spans="2:4">
      <c r="B11" s="906" t="s">
        <v>1383</v>
      </c>
      <c r="C11" s="914">
        <f>연결PL!D5</f>
        <v>0</v>
      </c>
    </row>
    <row r="12" spans="2:4">
      <c r="B12" s="906" t="s">
        <v>1385</v>
      </c>
      <c r="C12" s="914"/>
    </row>
    <row r="13" spans="2:4">
      <c r="B13" s="906" t="s">
        <v>144</v>
      </c>
      <c r="C13" s="914">
        <f>SUM(C9:C12)</f>
        <v>8812244469</v>
      </c>
      <c r="D13" s="889" t="b">
        <f>C13=연결PL!D2</f>
        <v>1</v>
      </c>
    </row>
    <row r="14" spans="2:4">
      <c r="B14" s="418"/>
      <c r="C14" s="418"/>
    </row>
    <row r="15" spans="2:4">
      <c r="B15" s="889" t="s">
        <v>2144</v>
      </c>
      <c r="C15" s="418"/>
    </row>
    <row r="16" spans="2:4">
      <c r="B16" s="863" t="s">
        <v>2145</v>
      </c>
      <c r="C16" s="418"/>
    </row>
    <row r="17" spans="2:12" ht="13.5" customHeight="1">
      <c r="B17" s="2171" t="s">
        <v>2146</v>
      </c>
      <c r="C17" s="1496" t="s">
        <v>2147</v>
      </c>
      <c r="F17" s="889" t="s">
        <v>2233</v>
      </c>
    </row>
    <row r="18" spans="2:12">
      <c r="B18" s="2171"/>
      <c r="C18" s="1496" t="s">
        <v>328</v>
      </c>
      <c r="E18" s="913"/>
      <c r="F18" s="913" t="s">
        <v>403</v>
      </c>
      <c r="G18" s="913" t="s">
        <v>1397</v>
      </c>
      <c r="H18" s="913" t="s">
        <v>1402</v>
      </c>
      <c r="I18" s="913" t="s">
        <v>1403</v>
      </c>
      <c r="J18" s="913" t="s">
        <v>1404</v>
      </c>
      <c r="K18" s="913" t="s">
        <v>1398</v>
      </c>
      <c r="L18" s="913" t="s">
        <v>2229</v>
      </c>
    </row>
    <row r="19" spans="2:12">
      <c r="B19" s="906" t="s">
        <v>2148</v>
      </c>
      <c r="C19" s="857">
        <f>SUM(F19:L19)</f>
        <v>2358445563</v>
      </c>
      <c r="E19" s="912" t="s">
        <v>2148</v>
      </c>
      <c r="F19" s="1627">
        <v>2358445563</v>
      </c>
      <c r="G19" s="857">
        <f>PL!J7</f>
        <v>0</v>
      </c>
      <c r="H19" s="857">
        <v>0</v>
      </c>
      <c r="I19" s="857">
        <v>0</v>
      </c>
      <c r="J19" s="857">
        <v>0</v>
      </c>
      <c r="K19" s="857">
        <v>0</v>
      </c>
      <c r="L19" s="857">
        <f>-SUM(RIT!J10:J13)</f>
        <v>0</v>
      </c>
    </row>
    <row r="20" spans="2:12">
      <c r="B20" s="906" t="s">
        <v>2149</v>
      </c>
      <c r="C20" s="857">
        <f>SUM(F20:L20)</f>
        <v>6453798906</v>
      </c>
      <c r="E20" s="912" t="s">
        <v>2149</v>
      </c>
      <c r="F20" s="1596">
        <v>5929725124</v>
      </c>
      <c r="G20" s="857">
        <v>0</v>
      </c>
      <c r="H20" s="857">
        <f>PL!K7</f>
        <v>807627666</v>
      </c>
      <c r="I20" s="857">
        <f>PL!L7</f>
        <v>110521930</v>
      </c>
      <c r="J20" s="857">
        <v>0</v>
      </c>
      <c r="K20" s="857">
        <v>0</v>
      </c>
      <c r="L20" s="857">
        <f>-SUM(RIT!J16:J32)+RIT!J26</f>
        <v>-394075814</v>
      </c>
    </row>
    <row r="21" spans="2:12">
      <c r="B21" s="906" t="s">
        <v>2150</v>
      </c>
      <c r="C21" s="857">
        <f>SUM(C19:C20)</f>
        <v>8812244469</v>
      </c>
      <c r="D21" s="889" t="b">
        <f>C21=C13</f>
        <v>1</v>
      </c>
      <c r="E21" s="919" t="s">
        <v>2228</v>
      </c>
      <c r="F21" s="919">
        <f>PL!I6</f>
        <v>8288170687</v>
      </c>
      <c r="G21" s="919">
        <f>PL!J6</f>
        <v>0</v>
      </c>
      <c r="H21" s="919">
        <f>PL!K6</f>
        <v>807627666</v>
      </c>
      <c r="I21" s="919">
        <f>PL!L6</f>
        <v>110521930</v>
      </c>
      <c r="J21" s="919">
        <f>PL!M6</f>
        <v>0</v>
      </c>
      <c r="K21" s="919">
        <f>PL!N6</f>
        <v>0</v>
      </c>
      <c r="L21" s="857">
        <f>-SUM(PL!Q8:Q12,PL!T8:T12,PL!W8:W12)+SUM(PL!R8:R12,PL!U8:U12,PL!X8:X12)</f>
        <v>-394075814</v>
      </c>
    </row>
    <row r="22" spans="2:12">
      <c r="B22" s="861"/>
      <c r="C22" s="418"/>
      <c r="E22" s="919"/>
      <c r="F22" s="919" t="b">
        <f t="shared" ref="F22:L22" si="0">F21=SUM(F19:F20)</f>
        <v>1</v>
      </c>
      <c r="G22" s="919" t="b">
        <f t="shared" si="0"/>
        <v>1</v>
      </c>
      <c r="H22" s="919" t="b">
        <f t="shared" si="0"/>
        <v>1</v>
      </c>
      <c r="I22" s="919" t="b">
        <f t="shared" si="0"/>
        <v>1</v>
      </c>
      <c r="J22" s="919" t="b">
        <f t="shared" si="0"/>
        <v>1</v>
      </c>
      <c r="K22" s="919" t="b">
        <f t="shared" si="0"/>
        <v>1</v>
      </c>
      <c r="L22" s="919" t="b">
        <f t="shared" si="0"/>
        <v>1</v>
      </c>
    </row>
    <row r="23" spans="2:12">
      <c r="B23" s="889" t="s">
        <v>2736</v>
      </c>
      <c r="C23" s="418"/>
    </row>
    <row r="25" spans="2:12">
      <c r="B25" s="1177" t="s">
        <v>2757</v>
      </c>
      <c r="C25" s="1177"/>
      <c r="D25" s="1177"/>
      <c r="E25" s="1177"/>
      <c r="F25" s="1177"/>
    </row>
    <row r="26" spans="2:12">
      <c r="B26" s="1178" t="s">
        <v>368</v>
      </c>
    </row>
    <row r="27" spans="2:12">
      <c r="B27" s="2172" t="s">
        <v>257</v>
      </c>
      <c r="C27" s="1179" t="s">
        <v>339</v>
      </c>
      <c r="D27" s="1180"/>
      <c r="E27" s="1179" t="s">
        <v>612</v>
      </c>
      <c r="F27" s="1180"/>
      <c r="H27" s="859"/>
      <c r="I27" s="1181"/>
      <c r="J27" s="1182"/>
    </row>
    <row r="28" spans="2:12">
      <c r="B28" s="2173"/>
      <c r="C28" s="1183" t="s">
        <v>234</v>
      </c>
      <c r="D28" s="1183" t="s">
        <v>2732</v>
      </c>
      <c r="E28" s="1183" t="s">
        <v>234</v>
      </c>
      <c r="F28" s="1183" t="s">
        <v>2732</v>
      </c>
      <c r="H28" s="859"/>
      <c r="I28" s="1181"/>
      <c r="J28" s="1182"/>
    </row>
    <row r="29" spans="2:12">
      <c r="B29" s="1184" t="s">
        <v>2733</v>
      </c>
      <c r="C29" s="1624"/>
      <c r="D29" s="1186">
        <f>C29/$C$31</f>
        <v>0</v>
      </c>
      <c r="E29" s="1187"/>
      <c r="F29" s="1186" t="e">
        <f>E29/$G$34</f>
        <v>#DIV/0!</v>
      </c>
      <c r="G29" s="1176"/>
    </row>
    <row r="30" spans="2:12">
      <c r="B30" s="1184" t="s">
        <v>2734</v>
      </c>
      <c r="C30" s="1185"/>
      <c r="D30" s="1186">
        <f t="shared" ref="D30:D31" si="1">C30/$C$31</f>
        <v>0</v>
      </c>
      <c r="E30" s="1187"/>
      <c r="F30" s="1186" t="e">
        <f>E30/$G$34</f>
        <v>#DIV/0!</v>
      </c>
      <c r="J30" s="1182"/>
    </row>
    <row r="31" spans="2:12">
      <c r="B31" s="1188" t="s">
        <v>2735</v>
      </c>
      <c r="C31" s="1185">
        <f>C13</f>
        <v>8812244469</v>
      </c>
      <c r="D31" s="1186">
        <f t="shared" si="1"/>
        <v>1</v>
      </c>
      <c r="E31" s="1185">
        <f>SUM(E29:E30)</f>
        <v>0</v>
      </c>
      <c r="F31" s="1186" t="e">
        <f>E31/$G$34</f>
        <v>#DIV/0!</v>
      </c>
      <c r="J31" s="1182"/>
    </row>
    <row r="33" spans="2:7" ht="17.25" thickBot="1">
      <c r="B33" s="889" t="s">
        <v>3376</v>
      </c>
      <c r="C33" s="1712" t="s">
        <v>3988</v>
      </c>
    </row>
    <row r="34" spans="2:7" ht="17.25" thickBot="1">
      <c r="B34" s="1620" t="s">
        <v>3037</v>
      </c>
      <c r="C34" s="1621" t="s">
        <v>573</v>
      </c>
      <c r="D34" s="1615" t="s">
        <v>3377</v>
      </c>
      <c r="F34" s="1625" t="s">
        <v>3378</v>
      </c>
      <c r="G34" s="1626"/>
    </row>
    <row r="35" spans="2:7">
      <c r="B35" s="1616" t="s">
        <v>3864</v>
      </c>
      <c r="C35" s="889">
        <v>740980900</v>
      </c>
      <c r="D35" s="1713">
        <f>C35/$C$13</f>
        <v>8.4085377182469986E-2</v>
      </c>
    </row>
    <row r="36" spans="2:7">
      <c r="B36" s="1616" t="s">
        <v>2731</v>
      </c>
      <c r="C36" s="889">
        <v>725428236</v>
      </c>
      <c r="D36" s="1623">
        <f>C36/$C$13</f>
        <v>8.2320484701932067E-2</v>
      </c>
    </row>
    <row r="37" spans="2:7">
      <c r="B37" s="1616" t="s">
        <v>3048</v>
      </c>
      <c r="C37" s="889">
        <v>517968000</v>
      </c>
      <c r="D37" s="1617"/>
    </row>
    <row r="38" spans="2:7">
      <c r="B38" s="1616" t="s">
        <v>3046</v>
      </c>
      <c r="C38" s="889">
        <v>384997800</v>
      </c>
      <c r="D38" s="1617"/>
    </row>
    <row r="39" spans="2:7">
      <c r="B39" s="1616" t="s">
        <v>829</v>
      </c>
      <c r="C39" s="889">
        <v>381451098</v>
      </c>
      <c r="D39" s="1617"/>
    </row>
    <row r="40" spans="2:7">
      <c r="B40" s="1616" t="s">
        <v>3039</v>
      </c>
      <c r="C40" s="889">
        <v>376942028</v>
      </c>
      <c r="D40" s="1617"/>
    </row>
    <row r="41" spans="2:7">
      <c r="B41" s="1616" t="s">
        <v>3038</v>
      </c>
      <c r="C41" s="889">
        <v>352591879</v>
      </c>
      <c r="D41" s="1617"/>
    </row>
    <row r="42" spans="2:7">
      <c r="B42" s="1616" t="s">
        <v>3865</v>
      </c>
      <c r="C42" s="889">
        <v>211288427</v>
      </c>
      <c r="D42" s="1617"/>
    </row>
    <row r="43" spans="2:7">
      <c r="B43" s="1616" t="s">
        <v>3045</v>
      </c>
      <c r="C43" s="889">
        <v>181660786</v>
      </c>
      <c r="D43" s="1617"/>
    </row>
    <row r="44" spans="2:7">
      <c r="B44" s="1616" t="s">
        <v>3053</v>
      </c>
      <c r="C44" s="889">
        <v>137365803</v>
      </c>
      <c r="D44" s="1617"/>
    </row>
    <row r="45" spans="2:7">
      <c r="B45" s="1616" t="s">
        <v>3093</v>
      </c>
      <c r="C45" s="889">
        <v>129335976</v>
      </c>
      <c r="D45" s="1617"/>
    </row>
    <row r="46" spans="2:7">
      <c r="B46" s="1616" t="s">
        <v>3049</v>
      </c>
      <c r="C46" s="889">
        <v>118983284</v>
      </c>
      <c r="D46" s="1617"/>
    </row>
    <row r="47" spans="2:7">
      <c r="B47" s="1616" t="s">
        <v>3498</v>
      </c>
      <c r="C47" s="889">
        <v>113432722</v>
      </c>
      <c r="D47" s="1617"/>
    </row>
    <row r="48" spans="2:7">
      <c r="B48" s="1616" t="s">
        <v>3083</v>
      </c>
      <c r="C48" s="889">
        <v>113413721</v>
      </c>
      <c r="D48" s="1617"/>
    </row>
    <row r="49" spans="2:4">
      <c r="B49" s="1616" t="s">
        <v>3042</v>
      </c>
      <c r="C49" s="889">
        <v>110000000</v>
      </c>
      <c r="D49" s="1617"/>
    </row>
    <row r="50" spans="2:4">
      <c r="B50" s="1616" t="s">
        <v>3040</v>
      </c>
      <c r="C50" s="889">
        <v>108471536</v>
      </c>
      <c r="D50" s="1617"/>
    </row>
    <row r="51" spans="2:4">
      <c r="B51" s="1616" t="s">
        <v>3496</v>
      </c>
      <c r="C51" s="889">
        <v>106926384</v>
      </c>
      <c r="D51" s="1617"/>
    </row>
    <row r="52" spans="2:4">
      <c r="B52" s="1616" t="s">
        <v>3041</v>
      </c>
      <c r="C52" s="889">
        <v>101832401</v>
      </c>
      <c r="D52" s="1617"/>
    </row>
    <row r="53" spans="2:4">
      <c r="B53" s="1616" t="s">
        <v>3494</v>
      </c>
      <c r="C53" s="889">
        <v>101826312</v>
      </c>
      <c r="D53" s="1617"/>
    </row>
    <row r="54" spans="2:4">
      <c r="B54" s="1616" t="s">
        <v>3075</v>
      </c>
      <c r="C54" s="889">
        <v>100800000</v>
      </c>
      <c r="D54" s="1617"/>
    </row>
    <row r="55" spans="2:4">
      <c r="B55" s="1616" t="s">
        <v>3044</v>
      </c>
      <c r="C55" s="889">
        <v>97422853</v>
      </c>
      <c r="D55" s="1617"/>
    </row>
    <row r="56" spans="2:4">
      <c r="B56" s="1616" t="s">
        <v>3866</v>
      </c>
      <c r="C56" s="889">
        <v>89286363</v>
      </c>
      <c r="D56" s="1617"/>
    </row>
    <row r="57" spans="2:4">
      <c r="B57" s="1616" t="s">
        <v>3495</v>
      </c>
      <c r="C57" s="889">
        <v>88299517</v>
      </c>
      <c r="D57" s="1617"/>
    </row>
    <row r="58" spans="2:4">
      <c r="B58" s="1616" t="s">
        <v>3043</v>
      </c>
      <c r="C58" s="889">
        <v>86531680</v>
      </c>
      <c r="D58" s="1617"/>
    </row>
    <row r="59" spans="2:4">
      <c r="B59" s="1616" t="s">
        <v>3867</v>
      </c>
      <c r="C59" s="889">
        <v>84000000</v>
      </c>
      <c r="D59" s="1617"/>
    </row>
    <row r="60" spans="2:4">
      <c r="B60" s="1616" t="s">
        <v>3868</v>
      </c>
      <c r="C60" s="889">
        <v>79611840</v>
      </c>
      <c r="D60" s="1617"/>
    </row>
    <row r="61" spans="2:4">
      <c r="B61" s="1616" t="s">
        <v>3079</v>
      </c>
      <c r="C61" s="889">
        <v>69624738</v>
      </c>
      <c r="D61" s="1617"/>
    </row>
    <row r="62" spans="2:4">
      <c r="B62" s="1616" t="s">
        <v>3054</v>
      </c>
      <c r="C62" s="889">
        <v>67386984</v>
      </c>
      <c r="D62" s="1617"/>
    </row>
    <row r="63" spans="2:4">
      <c r="B63" s="1616" t="s">
        <v>3065</v>
      </c>
      <c r="C63" s="889">
        <v>66416076</v>
      </c>
      <c r="D63" s="1617"/>
    </row>
    <row r="64" spans="2:4">
      <c r="B64" s="1616" t="s">
        <v>3869</v>
      </c>
      <c r="C64" s="889">
        <v>64504000</v>
      </c>
      <c r="D64" s="1617"/>
    </row>
    <row r="65" spans="2:4">
      <c r="B65" s="1616" t="s">
        <v>3089</v>
      </c>
      <c r="C65" s="889">
        <v>60542556</v>
      </c>
      <c r="D65" s="1617"/>
    </row>
    <row r="66" spans="2:4">
      <c r="B66" s="1616" t="s">
        <v>3047</v>
      </c>
      <c r="C66" s="889">
        <v>54336460</v>
      </c>
      <c r="D66" s="1617"/>
    </row>
    <row r="67" spans="2:4">
      <c r="B67" s="1616" t="s">
        <v>3870</v>
      </c>
      <c r="C67" s="889">
        <v>52820180</v>
      </c>
      <c r="D67" s="1617"/>
    </row>
    <row r="68" spans="2:4">
      <c r="B68" s="1616" t="s">
        <v>3061</v>
      </c>
      <c r="C68" s="889">
        <v>49796000</v>
      </c>
      <c r="D68" s="1617"/>
    </row>
    <row r="69" spans="2:4">
      <c r="B69" s="1616" t="s">
        <v>3082</v>
      </c>
      <c r="C69" s="889">
        <v>49200000</v>
      </c>
      <c r="D69" s="1617"/>
    </row>
    <row r="70" spans="2:4">
      <c r="B70" s="1616" t="s">
        <v>3051</v>
      </c>
      <c r="C70" s="889">
        <v>48340000</v>
      </c>
      <c r="D70" s="1617"/>
    </row>
    <row r="71" spans="2:4">
      <c r="B71" s="1616" t="s">
        <v>3058</v>
      </c>
      <c r="C71" s="889">
        <v>46585769</v>
      </c>
      <c r="D71" s="1617"/>
    </row>
    <row r="72" spans="2:4">
      <c r="B72" s="1616" t="s">
        <v>3871</v>
      </c>
      <c r="C72" s="889">
        <v>45454544</v>
      </c>
      <c r="D72" s="1617"/>
    </row>
    <row r="73" spans="2:4">
      <c r="B73" s="1616" t="s">
        <v>3090</v>
      </c>
      <c r="C73" s="889">
        <v>38627272</v>
      </c>
      <c r="D73" s="1617"/>
    </row>
    <row r="74" spans="2:4">
      <c r="B74" s="1616" t="s">
        <v>3501</v>
      </c>
      <c r="C74" s="889">
        <v>36575850</v>
      </c>
      <c r="D74" s="1617"/>
    </row>
    <row r="75" spans="2:4">
      <c r="B75" s="1616" t="s">
        <v>3062</v>
      </c>
      <c r="C75" s="889">
        <v>35920242</v>
      </c>
      <c r="D75" s="1617"/>
    </row>
    <row r="76" spans="2:4">
      <c r="B76" s="1616" t="s">
        <v>3070</v>
      </c>
      <c r="C76" s="889">
        <v>34670284</v>
      </c>
      <c r="D76" s="1617"/>
    </row>
    <row r="77" spans="2:4">
      <c r="B77" s="1616" t="s">
        <v>3497</v>
      </c>
      <c r="C77" s="889">
        <v>34412723</v>
      </c>
      <c r="D77" s="1617"/>
    </row>
    <row r="78" spans="2:4">
      <c r="B78" s="1616" t="s">
        <v>3066</v>
      </c>
      <c r="C78" s="889">
        <v>33717824</v>
      </c>
      <c r="D78" s="1617"/>
    </row>
    <row r="79" spans="2:4">
      <c r="B79" s="1616" t="s">
        <v>3086</v>
      </c>
      <c r="C79" s="889">
        <v>31824774</v>
      </c>
      <c r="D79" s="1617"/>
    </row>
    <row r="80" spans="2:4">
      <c r="B80" s="1616" t="s">
        <v>3057</v>
      </c>
      <c r="C80" s="889">
        <v>29589325</v>
      </c>
      <c r="D80" s="1617"/>
    </row>
    <row r="81" spans="2:4">
      <c r="B81" s="1616" t="s">
        <v>3106</v>
      </c>
      <c r="C81" s="889">
        <v>29161440</v>
      </c>
      <c r="D81" s="1617"/>
    </row>
    <row r="82" spans="2:4">
      <c r="B82" s="1616" t="s">
        <v>3073</v>
      </c>
      <c r="C82" s="889">
        <v>28986638</v>
      </c>
      <c r="D82" s="1617"/>
    </row>
    <row r="83" spans="2:4">
      <c r="B83" s="1616" t="s">
        <v>3060</v>
      </c>
      <c r="C83" s="889">
        <v>26893778</v>
      </c>
      <c r="D83" s="1617"/>
    </row>
    <row r="84" spans="2:4">
      <c r="B84" s="1616" t="s">
        <v>3069</v>
      </c>
      <c r="C84" s="889">
        <v>26482000</v>
      </c>
      <c r="D84" s="1617"/>
    </row>
    <row r="85" spans="2:4">
      <c r="B85" s="1616" t="s">
        <v>3872</v>
      </c>
      <c r="C85" s="889">
        <v>25936362</v>
      </c>
      <c r="D85" s="1617"/>
    </row>
    <row r="86" spans="2:4">
      <c r="B86" s="1616" t="s">
        <v>3067</v>
      </c>
      <c r="C86" s="889">
        <v>25710000</v>
      </c>
      <c r="D86" s="1617"/>
    </row>
    <row r="87" spans="2:4">
      <c r="B87" s="1616" t="s">
        <v>3076</v>
      </c>
      <c r="C87" s="889">
        <v>23636123</v>
      </c>
      <c r="D87" s="1617"/>
    </row>
    <row r="88" spans="2:4">
      <c r="B88" s="1616" t="s">
        <v>3072</v>
      </c>
      <c r="C88" s="889">
        <v>23445940</v>
      </c>
      <c r="D88" s="1617"/>
    </row>
    <row r="89" spans="2:4">
      <c r="B89" s="1616" t="s">
        <v>3081</v>
      </c>
      <c r="C89" s="889">
        <v>22805811</v>
      </c>
      <c r="D89" s="1617"/>
    </row>
    <row r="90" spans="2:4">
      <c r="B90" s="1616" t="s">
        <v>3077</v>
      </c>
      <c r="C90" s="889">
        <v>22419495</v>
      </c>
      <c r="D90" s="1617"/>
    </row>
    <row r="91" spans="2:4">
      <c r="B91" s="1616" t="s">
        <v>3068</v>
      </c>
      <c r="C91" s="889">
        <v>21548797</v>
      </c>
      <c r="D91" s="1617"/>
    </row>
    <row r="92" spans="2:4">
      <c r="B92" s="1616" t="s">
        <v>3192</v>
      </c>
      <c r="C92" s="889">
        <v>20520000</v>
      </c>
      <c r="D92" s="1617"/>
    </row>
    <row r="93" spans="2:4">
      <c r="B93" s="1616" t="s">
        <v>3873</v>
      </c>
      <c r="C93" s="889">
        <v>20347271</v>
      </c>
      <c r="D93" s="1617"/>
    </row>
    <row r="94" spans="2:4">
      <c r="B94" s="1616" t="s">
        <v>3178</v>
      </c>
      <c r="C94" s="889">
        <v>20250000</v>
      </c>
      <c r="D94" s="1617"/>
    </row>
    <row r="95" spans="2:4">
      <c r="B95" s="1616" t="s">
        <v>3055</v>
      </c>
      <c r="C95" s="889">
        <v>18780000</v>
      </c>
      <c r="D95" s="1617"/>
    </row>
    <row r="96" spans="2:4">
      <c r="B96" s="1616" t="s">
        <v>3111</v>
      </c>
      <c r="C96" s="889">
        <v>18360000</v>
      </c>
      <c r="D96" s="1617"/>
    </row>
    <row r="97" spans="2:4">
      <c r="B97" s="1616" t="s">
        <v>3499</v>
      </c>
      <c r="C97" s="889">
        <v>18000000</v>
      </c>
      <c r="D97" s="1617"/>
    </row>
    <row r="98" spans="2:4">
      <c r="B98" s="1616" t="s">
        <v>3113</v>
      </c>
      <c r="C98" s="889">
        <v>18000000</v>
      </c>
      <c r="D98" s="1617"/>
    </row>
    <row r="99" spans="2:4">
      <c r="B99" s="1616" t="s">
        <v>3500</v>
      </c>
      <c r="C99" s="889">
        <v>17673600</v>
      </c>
      <c r="D99" s="1617"/>
    </row>
    <row r="100" spans="2:4">
      <c r="B100" s="1616" t="s">
        <v>3059</v>
      </c>
      <c r="C100" s="889">
        <v>17545000</v>
      </c>
      <c r="D100" s="1617"/>
    </row>
    <row r="101" spans="2:4">
      <c r="B101" s="1616" t="s">
        <v>3084</v>
      </c>
      <c r="C101" s="889">
        <v>17300000</v>
      </c>
      <c r="D101" s="1617"/>
    </row>
    <row r="102" spans="2:4">
      <c r="B102" s="1616" t="s">
        <v>3087</v>
      </c>
      <c r="C102" s="889">
        <v>16899999</v>
      </c>
      <c r="D102" s="1617"/>
    </row>
    <row r="103" spans="2:4">
      <c r="B103" s="1616" t="s">
        <v>3110</v>
      </c>
      <c r="C103" s="889">
        <v>16800000</v>
      </c>
      <c r="D103" s="1617"/>
    </row>
    <row r="104" spans="2:4">
      <c r="B104" s="1616" t="s">
        <v>3099</v>
      </c>
      <c r="C104" s="889">
        <v>16580000</v>
      </c>
      <c r="D104" s="1617"/>
    </row>
    <row r="105" spans="2:4">
      <c r="B105" s="1616" t="s">
        <v>3874</v>
      </c>
      <c r="C105" s="889">
        <v>16574500</v>
      </c>
      <c r="D105" s="1617"/>
    </row>
    <row r="106" spans="2:4">
      <c r="B106" s="1616" t="s">
        <v>3257</v>
      </c>
      <c r="C106" s="889">
        <v>16211725</v>
      </c>
      <c r="D106" s="1617"/>
    </row>
    <row r="107" spans="2:4">
      <c r="B107" s="1616" t="s">
        <v>3101</v>
      </c>
      <c r="C107" s="889">
        <v>15884238</v>
      </c>
      <c r="D107" s="1617"/>
    </row>
    <row r="108" spans="2:4">
      <c r="B108" s="1616" t="s">
        <v>3239</v>
      </c>
      <c r="C108" s="889">
        <v>15160000</v>
      </c>
      <c r="D108" s="1617"/>
    </row>
    <row r="109" spans="2:4">
      <c r="B109" s="1616" t="s">
        <v>3064</v>
      </c>
      <c r="C109" s="889">
        <v>14902040</v>
      </c>
      <c r="D109" s="1617"/>
    </row>
    <row r="110" spans="2:4">
      <c r="B110" s="1616" t="s">
        <v>3527</v>
      </c>
      <c r="C110" s="889">
        <v>14500219</v>
      </c>
      <c r="D110" s="1617"/>
    </row>
    <row r="111" spans="2:4">
      <c r="B111" s="1616" t="s">
        <v>3136</v>
      </c>
      <c r="C111" s="889">
        <v>14322732</v>
      </c>
      <c r="D111" s="1617"/>
    </row>
    <row r="112" spans="2:4">
      <c r="B112" s="1616" t="s">
        <v>3085</v>
      </c>
      <c r="C112" s="889">
        <v>13450000</v>
      </c>
      <c r="D112" s="1617"/>
    </row>
    <row r="113" spans="2:4">
      <c r="B113" s="1616" t="s">
        <v>3875</v>
      </c>
      <c r="C113" s="889">
        <v>13433181</v>
      </c>
      <c r="D113" s="1617"/>
    </row>
    <row r="114" spans="2:4">
      <c r="B114" s="1616" t="s">
        <v>3507</v>
      </c>
      <c r="C114" s="889">
        <v>13238181</v>
      </c>
      <c r="D114" s="1617"/>
    </row>
    <row r="115" spans="2:4">
      <c r="B115" s="1616" t="s">
        <v>3074</v>
      </c>
      <c r="C115" s="889">
        <v>13230081</v>
      </c>
      <c r="D115" s="1617"/>
    </row>
    <row r="116" spans="2:4">
      <c r="B116" s="1616" t="s">
        <v>3159</v>
      </c>
      <c r="C116" s="889">
        <v>13194545</v>
      </c>
      <c r="D116" s="1617"/>
    </row>
    <row r="117" spans="2:4">
      <c r="B117" s="1616" t="s">
        <v>3180</v>
      </c>
      <c r="C117" s="889">
        <v>13120000</v>
      </c>
      <c r="D117" s="1617"/>
    </row>
    <row r="118" spans="2:4">
      <c r="B118" s="1616" t="s">
        <v>2117</v>
      </c>
      <c r="C118" s="889">
        <v>12660836</v>
      </c>
      <c r="D118" s="1617"/>
    </row>
    <row r="119" spans="2:4">
      <c r="B119" s="1616" t="s">
        <v>3876</v>
      </c>
      <c r="C119" s="889">
        <v>12454545</v>
      </c>
      <c r="D119" s="1617"/>
    </row>
    <row r="120" spans="2:4">
      <c r="B120" s="1616" t="s">
        <v>3877</v>
      </c>
      <c r="C120" s="889">
        <v>12454545</v>
      </c>
      <c r="D120" s="1617"/>
    </row>
    <row r="121" spans="2:4">
      <c r="B121" s="1616" t="s">
        <v>3878</v>
      </c>
      <c r="C121" s="889">
        <v>11961359</v>
      </c>
      <c r="D121" s="1617"/>
    </row>
    <row r="122" spans="2:4">
      <c r="B122" s="1616" t="s">
        <v>3879</v>
      </c>
      <c r="C122" s="889">
        <v>11909090</v>
      </c>
      <c r="D122" s="1617"/>
    </row>
    <row r="123" spans="2:4">
      <c r="B123" s="1616" t="s">
        <v>3105</v>
      </c>
      <c r="C123" s="889">
        <v>11710000</v>
      </c>
      <c r="D123" s="1617"/>
    </row>
    <row r="124" spans="2:4">
      <c r="B124" s="1616" t="s">
        <v>3880</v>
      </c>
      <c r="C124" s="889">
        <v>11209090</v>
      </c>
      <c r="D124" s="1617"/>
    </row>
    <row r="125" spans="2:4">
      <c r="B125" s="1616" t="s">
        <v>3141</v>
      </c>
      <c r="C125" s="889">
        <v>11046817</v>
      </c>
      <c r="D125" s="1617"/>
    </row>
    <row r="126" spans="2:4">
      <c r="B126" s="1616" t="s">
        <v>3512</v>
      </c>
      <c r="C126" s="889">
        <v>10255916</v>
      </c>
      <c r="D126" s="1617"/>
    </row>
    <row r="127" spans="2:4">
      <c r="B127" s="1616" t="s">
        <v>3120</v>
      </c>
      <c r="C127" s="889">
        <v>10060000</v>
      </c>
      <c r="D127" s="1617"/>
    </row>
    <row r="128" spans="2:4">
      <c r="B128" s="1616" t="s">
        <v>3881</v>
      </c>
      <c r="C128" s="889">
        <v>10013570</v>
      </c>
      <c r="D128" s="1617"/>
    </row>
    <row r="129" spans="2:4">
      <c r="B129" s="1616" t="s">
        <v>3502</v>
      </c>
      <c r="C129" s="889">
        <v>9791303</v>
      </c>
      <c r="D129" s="1617"/>
    </row>
    <row r="130" spans="2:4">
      <c r="B130" s="1616" t="s">
        <v>3155</v>
      </c>
      <c r="C130" s="889">
        <v>9000000</v>
      </c>
      <c r="D130" s="1617"/>
    </row>
    <row r="131" spans="2:4">
      <c r="B131" s="1616" t="s">
        <v>3503</v>
      </c>
      <c r="C131" s="889">
        <v>9000000</v>
      </c>
      <c r="D131" s="1617"/>
    </row>
    <row r="132" spans="2:4">
      <c r="B132" s="1616" t="s">
        <v>3112</v>
      </c>
      <c r="C132" s="889">
        <v>9000000</v>
      </c>
      <c r="D132" s="1617"/>
    </row>
    <row r="133" spans="2:4">
      <c r="B133" s="1616" t="s">
        <v>3109</v>
      </c>
      <c r="C133" s="889">
        <v>8954946</v>
      </c>
      <c r="D133" s="1617"/>
    </row>
    <row r="134" spans="2:4">
      <c r="B134" s="1616" t="s">
        <v>3504</v>
      </c>
      <c r="C134" s="889">
        <v>8917450</v>
      </c>
      <c r="D134" s="1617"/>
    </row>
    <row r="135" spans="2:4">
      <c r="B135" s="1616" t="s">
        <v>3882</v>
      </c>
      <c r="C135" s="889">
        <v>8700000</v>
      </c>
      <c r="D135" s="1617"/>
    </row>
    <row r="136" spans="2:4">
      <c r="B136" s="1616" t="s">
        <v>3056</v>
      </c>
      <c r="C136" s="889">
        <v>8575194</v>
      </c>
      <c r="D136" s="1617"/>
    </row>
    <row r="137" spans="2:4">
      <c r="B137" s="1616" t="s">
        <v>3063</v>
      </c>
      <c r="C137" s="889">
        <v>8300000</v>
      </c>
      <c r="D137" s="1617"/>
    </row>
    <row r="138" spans="2:4">
      <c r="B138" s="1616" t="s">
        <v>3095</v>
      </c>
      <c r="C138" s="889">
        <v>8250000</v>
      </c>
      <c r="D138" s="1617"/>
    </row>
    <row r="139" spans="2:4">
      <c r="B139" s="1616" t="s">
        <v>3505</v>
      </c>
      <c r="C139" s="889">
        <v>8207010</v>
      </c>
      <c r="D139" s="1617"/>
    </row>
    <row r="140" spans="2:4">
      <c r="B140" s="1616" t="s">
        <v>3883</v>
      </c>
      <c r="C140" s="889">
        <v>7970000</v>
      </c>
      <c r="D140" s="1617"/>
    </row>
    <row r="141" spans="2:4">
      <c r="B141" s="1616" t="s">
        <v>3122</v>
      </c>
      <c r="C141" s="889">
        <v>7957853</v>
      </c>
      <c r="D141" s="1617"/>
    </row>
    <row r="142" spans="2:4">
      <c r="B142" s="1616" t="s">
        <v>3091</v>
      </c>
      <c r="C142" s="889">
        <v>7887045</v>
      </c>
      <c r="D142" s="1617"/>
    </row>
    <row r="143" spans="2:4">
      <c r="B143" s="1616" t="s">
        <v>3184</v>
      </c>
      <c r="C143" s="889">
        <v>7871181</v>
      </c>
      <c r="D143" s="1617"/>
    </row>
    <row r="144" spans="2:4">
      <c r="B144" s="1616" t="s">
        <v>3232</v>
      </c>
      <c r="C144" s="889">
        <v>7834545</v>
      </c>
      <c r="D144" s="1617"/>
    </row>
    <row r="145" spans="2:4">
      <c r="B145" s="1616" t="s">
        <v>3165</v>
      </c>
      <c r="C145" s="889">
        <v>7824545</v>
      </c>
      <c r="D145" s="1617"/>
    </row>
    <row r="146" spans="2:4">
      <c r="B146" s="1616" t="s">
        <v>3157</v>
      </c>
      <c r="C146" s="889">
        <v>7800000</v>
      </c>
      <c r="D146" s="1617"/>
    </row>
    <row r="147" spans="2:4">
      <c r="B147" s="1616" t="s">
        <v>3108</v>
      </c>
      <c r="C147" s="889">
        <v>7702774</v>
      </c>
      <c r="D147" s="1617"/>
    </row>
    <row r="148" spans="2:4">
      <c r="B148" s="1616" t="s">
        <v>3234</v>
      </c>
      <c r="C148" s="889">
        <v>7553462</v>
      </c>
      <c r="D148" s="1617"/>
    </row>
    <row r="149" spans="2:4">
      <c r="B149" s="1616" t="s">
        <v>3884</v>
      </c>
      <c r="C149" s="889">
        <v>7549068</v>
      </c>
      <c r="D149" s="1617"/>
    </row>
    <row r="150" spans="2:4">
      <c r="B150" s="1616" t="s">
        <v>3554</v>
      </c>
      <c r="C150" s="889">
        <v>7354000</v>
      </c>
      <c r="D150" s="1617"/>
    </row>
    <row r="151" spans="2:4">
      <c r="B151" s="1616" t="s">
        <v>3514</v>
      </c>
      <c r="C151" s="889">
        <v>7200000</v>
      </c>
      <c r="D151" s="1617"/>
    </row>
    <row r="152" spans="2:4">
      <c r="B152" s="1616" t="s">
        <v>3506</v>
      </c>
      <c r="C152" s="889">
        <v>7200000</v>
      </c>
      <c r="D152" s="1617"/>
    </row>
    <row r="153" spans="2:4">
      <c r="B153" s="1616" t="s">
        <v>3080</v>
      </c>
      <c r="C153" s="889">
        <v>7144528</v>
      </c>
      <c r="D153" s="1617"/>
    </row>
    <row r="154" spans="2:4">
      <c r="B154" s="1616" t="s">
        <v>3175</v>
      </c>
      <c r="C154" s="889">
        <v>7100000</v>
      </c>
      <c r="D154" s="1617"/>
    </row>
    <row r="155" spans="2:4">
      <c r="B155" s="1616" t="s">
        <v>3172</v>
      </c>
      <c r="C155" s="889">
        <v>7100000</v>
      </c>
      <c r="D155" s="1617"/>
    </row>
    <row r="156" spans="2:4">
      <c r="B156" s="1616" t="s">
        <v>3116</v>
      </c>
      <c r="C156" s="889">
        <v>7076800</v>
      </c>
      <c r="D156" s="1617"/>
    </row>
    <row r="157" spans="2:4">
      <c r="B157" s="1616" t="s">
        <v>3508</v>
      </c>
      <c r="C157" s="889">
        <v>7043360</v>
      </c>
      <c r="D157" s="1617"/>
    </row>
    <row r="158" spans="2:4">
      <c r="B158" s="1616" t="s">
        <v>3098</v>
      </c>
      <c r="C158" s="889">
        <v>7000000</v>
      </c>
      <c r="D158" s="1617"/>
    </row>
    <row r="159" spans="2:4">
      <c r="B159" s="1616" t="s">
        <v>3885</v>
      </c>
      <c r="C159" s="889">
        <v>7000000</v>
      </c>
      <c r="D159" s="1617"/>
    </row>
    <row r="160" spans="2:4">
      <c r="B160" s="1616" t="s">
        <v>3886</v>
      </c>
      <c r="C160" s="889">
        <v>6990400</v>
      </c>
      <c r="D160" s="1617"/>
    </row>
    <row r="161" spans="2:4">
      <c r="B161" s="1616" t="s">
        <v>3161</v>
      </c>
      <c r="C161" s="889">
        <v>6600000</v>
      </c>
      <c r="D161" s="1617"/>
    </row>
    <row r="162" spans="2:4">
      <c r="B162" s="1616" t="s">
        <v>3150</v>
      </c>
      <c r="C162" s="889">
        <v>6584000</v>
      </c>
      <c r="D162" s="1617"/>
    </row>
    <row r="163" spans="2:4">
      <c r="B163" s="1616" t="s">
        <v>3103</v>
      </c>
      <c r="C163" s="889">
        <v>6560000</v>
      </c>
      <c r="D163" s="1617"/>
    </row>
    <row r="164" spans="2:4">
      <c r="B164" s="1616" t="s">
        <v>3887</v>
      </c>
      <c r="C164" s="889">
        <v>6500000</v>
      </c>
      <c r="D164" s="1617"/>
    </row>
    <row r="165" spans="2:4">
      <c r="B165" s="1616" t="s">
        <v>3888</v>
      </c>
      <c r="C165" s="889">
        <v>6500000</v>
      </c>
      <c r="D165" s="1617"/>
    </row>
    <row r="166" spans="2:4">
      <c r="B166" s="1616" t="s">
        <v>3889</v>
      </c>
      <c r="C166" s="889">
        <v>6500000</v>
      </c>
      <c r="D166" s="1617"/>
    </row>
    <row r="167" spans="2:4">
      <c r="B167" s="1616" t="s">
        <v>3890</v>
      </c>
      <c r="C167" s="889">
        <v>6075000</v>
      </c>
      <c r="D167" s="1617"/>
    </row>
    <row r="168" spans="2:4">
      <c r="B168" s="1616" t="s">
        <v>3140</v>
      </c>
      <c r="C168" s="889">
        <v>6000000</v>
      </c>
      <c r="D168" s="1617"/>
    </row>
    <row r="169" spans="2:4">
      <c r="B169" s="1616" t="s">
        <v>3509</v>
      </c>
      <c r="C169" s="889">
        <v>6000000</v>
      </c>
      <c r="D169" s="1617"/>
    </row>
    <row r="170" spans="2:4">
      <c r="B170" s="1616" t="s">
        <v>3510</v>
      </c>
      <c r="C170" s="889">
        <v>5881154</v>
      </c>
      <c r="D170" s="1617"/>
    </row>
    <row r="171" spans="2:4">
      <c r="B171" s="1616" t="s">
        <v>3071</v>
      </c>
      <c r="C171" s="889">
        <v>5758181</v>
      </c>
      <c r="D171" s="1617"/>
    </row>
    <row r="172" spans="2:4">
      <c r="B172" s="1616" t="s">
        <v>3891</v>
      </c>
      <c r="C172" s="889">
        <v>5718181</v>
      </c>
      <c r="D172" s="1617"/>
    </row>
    <row r="173" spans="2:4">
      <c r="B173" s="1616" t="s">
        <v>3126</v>
      </c>
      <c r="C173" s="889">
        <v>5594545</v>
      </c>
      <c r="D173" s="1617"/>
    </row>
    <row r="174" spans="2:4">
      <c r="B174" s="1616" t="s">
        <v>3104</v>
      </c>
      <c r="C174" s="889">
        <v>5546000</v>
      </c>
      <c r="D174" s="1617"/>
    </row>
    <row r="175" spans="2:4">
      <c r="B175" s="1616" t="s">
        <v>3275</v>
      </c>
      <c r="C175" s="889">
        <v>5400000</v>
      </c>
      <c r="D175" s="1617"/>
    </row>
    <row r="176" spans="2:4">
      <c r="B176" s="1616" t="s">
        <v>3156</v>
      </c>
      <c r="C176" s="889">
        <v>5400000</v>
      </c>
      <c r="D176" s="1617"/>
    </row>
    <row r="177" spans="2:4">
      <c r="B177" s="1616" t="s">
        <v>3127</v>
      </c>
      <c r="C177" s="889">
        <v>5400000</v>
      </c>
      <c r="D177" s="1617"/>
    </row>
    <row r="178" spans="2:4">
      <c r="B178" s="1616" t="s">
        <v>3211</v>
      </c>
      <c r="C178" s="889">
        <v>5340000</v>
      </c>
      <c r="D178" s="1617"/>
    </row>
    <row r="179" spans="2:4">
      <c r="B179" s="1616" t="s">
        <v>3187</v>
      </c>
      <c r="C179" s="889">
        <v>5300000</v>
      </c>
      <c r="D179" s="1617"/>
    </row>
    <row r="180" spans="2:4">
      <c r="B180" s="1616" t="s">
        <v>3892</v>
      </c>
      <c r="C180" s="889">
        <v>5294880</v>
      </c>
      <c r="D180" s="1617"/>
    </row>
    <row r="181" spans="2:4">
      <c r="B181" s="1616" t="s">
        <v>3097</v>
      </c>
      <c r="C181" s="889">
        <v>5265883</v>
      </c>
      <c r="D181" s="1617"/>
    </row>
    <row r="182" spans="2:4">
      <c r="B182" s="1616" t="s">
        <v>3517</v>
      </c>
      <c r="C182" s="889">
        <v>5080000</v>
      </c>
      <c r="D182" s="1617"/>
    </row>
    <row r="183" spans="2:4">
      <c r="B183" s="1616" t="s">
        <v>3142</v>
      </c>
      <c r="C183" s="889">
        <v>5000000</v>
      </c>
      <c r="D183" s="1617"/>
    </row>
    <row r="184" spans="2:4">
      <c r="B184" s="1616" t="s">
        <v>3511</v>
      </c>
      <c r="C184" s="889">
        <v>5000000</v>
      </c>
      <c r="D184" s="1617"/>
    </row>
    <row r="185" spans="2:4">
      <c r="B185" s="1616" t="s">
        <v>3893</v>
      </c>
      <c r="C185" s="889">
        <v>4963636</v>
      </c>
      <c r="D185" s="1617"/>
    </row>
    <row r="186" spans="2:4">
      <c r="B186" s="1616" t="s">
        <v>3276</v>
      </c>
      <c r="C186" s="889">
        <v>4954546</v>
      </c>
      <c r="D186" s="1617"/>
    </row>
    <row r="187" spans="2:4">
      <c r="B187" s="1616" t="s">
        <v>3245</v>
      </c>
      <c r="C187" s="889">
        <v>4894545</v>
      </c>
      <c r="D187" s="1617"/>
    </row>
    <row r="188" spans="2:4">
      <c r="B188" s="1616" t="s">
        <v>3198</v>
      </c>
      <c r="C188" s="889">
        <v>4882500</v>
      </c>
      <c r="D188" s="1617"/>
    </row>
    <row r="189" spans="2:4">
      <c r="B189" s="1616" t="s">
        <v>3202</v>
      </c>
      <c r="C189" s="889">
        <v>4860000</v>
      </c>
      <c r="D189" s="1617"/>
    </row>
    <row r="190" spans="2:4">
      <c r="B190" s="1616" t="s">
        <v>3515</v>
      </c>
      <c r="C190" s="889">
        <v>4819100</v>
      </c>
      <c r="D190" s="1617"/>
    </row>
    <row r="191" spans="2:4">
      <c r="B191" s="1616" t="s">
        <v>3107</v>
      </c>
      <c r="C191" s="889">
        <v>4560000</v>
      </c>
      <c r="D191" s="1617"/>
    </row>
    <row r="192" spans="2:4">
      <c r="B192" s="1616" t="s">
        <v>3169</v>
      </c>
      <c r="C192" s="889">
        <v>4509090</v>
      </c>
      <c r="D192" s="1617"/>
    </row>
    <row r="193" spans="2:4">
      <c r="B193" s="1616" t="s">
        <v>3894</v>
      </c>
      <c r="C193" s="889">
        <v>4509090</v>
      </c>
      <c r="D193" s="1617"/>
    </row>
    <row r="194" spans="2:4">
      <c r="B194" s="1616" t="s">
        <v>3171</v>
      </c>
      <c r="C194" s="889">
        <v>4448770</v>
      </c>
      <c r="D194" s="1617"/>
    </row>
    <row r="195" spans="2:4">
      <c r="B195" s="1616" t="s">
        <v>3139</v>
      </c>
      <c r="C195" s="889">
        <v>4361000</v>
      </c>
      <c r="D195" s="1617"/>
    </row>
    <row r="196" spans="2:4">
      <c r="B196" s="1616" t="s">
        <v>3231</v>
      </c>
      <c r="C196" s="889">
        <v>4335030</v>
      </c>
      <c r="D196" s="1617"/>
    </row>
    <row r="197" spans="2:4">
      <c r="B197" s="1616" t="s">
        <v>3138</v>
      </c>
      <c r="C197" s="889">
        <v>4238000</v>
      </c>
      <c r="D197" s="1617"/>
    </row>
    <row r="198" spans="2:4">
      <c r="B198" s="1616" t="s">
        <v>3895</v>
      </c>
      <c r="C198" s="889">
        <v>4200000</v>
      </c>
      <c r="D198" s="1617"/>
    </row>
    <row r="199" spans="2:4">
      <c r="B199" s="1616" t="s">
        <v>3896</v>
      </c>
      <c r="C199" s="889">
        <v>4193460</v>
      </c>
      <c r="D199" s="1617"/>
    </row>
    <row r="200" spans="2:4">
      <c r="B200" s="1616" t="s">
        <v>3115</v>
      </c>
      <c r="C200" s="889">
        <v>4101117</v>
      </c>
      <c r="D200" s="1617"/>
    </row>
    <row r="201" spans="2:4">
      <c r="B201" s="1616" t="s">
        <v>3094</v>
      </c>
      <c r="C201" s="889">
        <v>4100000</v>
      </c>
      <c r="D201" s="1617"/>
    </row>
    <row r="202" spans="2:4">
      <c r="B202" s="1616" t="s">
        <v>3897</v>
      </c>
      <c r="C202" s="889">
        <v>4063636</v>
      </c>
      <c r="D202" s="1617"/>
    </row>
    <row r="203" spans="2:4">
      <c r="B203" s="1616" t="s">
        <v>3898</v>
      </c>
      <c r="C203" s="889">
        <v>4063635</v>
      </c>
      <c r="D203" s="1617"/>
    </row>
    <row r="204" spans="2:4">
      <c r="B204" s="1616" t="s">
        <v>3518</v>
      </c>
      <c r="C204" s="889">
        <v>4030000</v>
      </c>
      <c r="D204" s="1617"/>
    </row>
    <row r="205" spans="2:4">
      <c r="B205" s="1616" t="s">
        <v>3899</v>
      </c>
      <c r="C205" s="889">
        <v>4012426</v>
      </c>
      <c r="D205" s="1617"/>
    </row>
    <row r="206" spans="2:4">
      <c r="B206" s="1616" t="s">
        <v>3374</v>
      </c>
      <c r="C206" s="889">
        <v>3788942</v>
      </c>
      <c r="D206" s="1617"/>
    </row>
    <row r="207" spans="2:4">
      <c r="B207" s="1616" t="s">
        <v>3125</v>
      </c>
      <c r="C207" s="889">
        <v>3754545</v>
      </c>
      <c r="D207" s="1617"/>
    </row>
    <row r="208" spans="2:4">
      <c r="B208" s="1616" t="s">
        <v>3900</v>
      </c>
      <c r="C208" s="889">
        <v>3600000</v>
      </c>
      <c r="D208" s="1617"/>
    </row>
    <row r="209" spans="2:4">
      <c r="B209" s="1616" t="s">
        <v>3133</v>
      </c>
      <c r="C209" s="889">
        <v>3600000</v>
      </c>
      <c r="D209" s="1617"/>
    </row>
    <row r="210" spans="2:4">
      <c r="B210" s="1616" t="s">
        <v>3132</v>
      </c>
      <c r="C210" s="889">
        <v>3600000</v>
      </c>
      <c r="D210" s="1617"/>
    </row>
    <row r="211" spans="2:4">
      <c r="B211" s="1616" t="s">
        <v>3121</v>
      </c>
      <c r="C211" s="889">
        <v>3600000</v>
      </c>
      <c r="D211" s="1617"/>
    </row>
    <row r="212" spans="2:4">
      <c r="B212" s="1616" t="s">
        <v>3130</v>
      </c>
      <c r="C212" s="889">
        <v>3590000</v>
      </c>
      <c r="D212" s="1617"/>
    </row>
    <row r="213" spans="2:4">
      <c r="B213" s="1616" t="s">
        <v>3179</v>
      </c>
      <c r="C213" s="889">
        <v>3583636</v>
      </c>
      <c r="D213" s="1617"/>
    </row>
    <row r="214" spans="2:4">
      <c r="B214" s="1616" t="s">
        <v>3050</v>
      </c>
      <c r="C214" s="889">
        <v>3375000</v>
      </c>
      <c r="D214" s="1617"/>
    </row>
    <row r="215" spans="2:4">
      <c r="B215" s="1616" t="s">
        <v>3242</v>
      </c>
      <c r="C215" s="889">
        <v>3340000</v>
      </c>
      <c r="D215" s="1617"/>
    </row>
    <row r="216" spans="2:4">
      <c r="B216" s="1616" t="s">
        <v>3137</v>
      </c>
      <c r="C216" s="889">
        <v>3314545</v>
      </c>
      <c r="D216" s="1617"/>
    </row>
    <row r="217" spans="2:4">
      <c r="B217" s="1616" t="s">
        <v>3174</v>
      </c>
      <c r="C217" s="889">
        <v>3200000</v>
      </c>
      <c r="D217" s="1617"/>
    </row>
    <row r="218" spans="2:4">
      <c r="B218" s="1616" t="s">
        <v>3274</v>
      </c>
      <c r="C218" s="889">
        <v>3200000</v>
      </c>
      <c r="D218" s="1617"/>
    </row>
    <row r="219" spans="2:4">
      <c r="B219" s="1616" t="s">
        <v>3144</v>
      </c>
      <c r="C219" s="889">
        <v>3200000</v>
      </c>
      <c r="D219" s="1617"/>
    </row>
    <row r="220" spans="2:4">
      <c r="B220" s="1616" t="s">
        <v>3513</v>
      </c>
      <c r="C220" s="889">
        <v>3171081</v>
      </c>
      <c r="D220" s="1617"/>
    </row>
    <row r="221" spans="2:4">
      <c r="B221" s="1616" t="s">
        <v>3205</v>
      </c>
      <c r="C221" s="889">
        <v>3142267</v>
      </c>
      <c r="D221" s="1617"/>
    </row>
    <row r="222" spans="2:4">
      <c r="B222" s="1616" t="s">
        <v>3216</v>
      </c>
      <c r="C222" s="889">
        <v>3128000</v>
      </c>
      <c r="D222" s="1617"/>
    </row>
    <row r="223" spans="2:4">
      <c r="B223" s="1616" t="s">
        <v>3203</v>
      </c>
      <c r="C223" s="889">
        <v>3117552</v>
      </c>
      <c r="D223" s="1617"/>
    </row>
    <row r="224" spans="2:4">
      <c r="B224" s="1616" t="s">
        <v>3236</v>
      </c>
      <c r="C224" s="889">
        <v>3097440</v>
      </c>
      <c r="D224" s="1617"/>
    </row>
    <row r="225" spans="2:4">
      <c r="B225" s="1616" t="s">
        <v>3160</v>
      </c>
      <c r="C225" s="889">
        <v>3066801</v>
      </c>
      <c r="D225" s="1617"/>
    </row>
    <row r="226" spans="2:4">
      <c r="B226" s="1616" t="s">
        <v>3143</v>
      </c>
      <c r="C226" s="889">
        <v>3060000</v>
      </c>
      <c r="D226" s="1617"/>
    </row>
    <row r="227" spans="2:4">
      <c r="B227" s="1616" t="s">
        <v>3102</v>
      </c>
      <c r="C227" s="889">
        <v>3000000</v>
      </c>
      <c r="D227" s="1617"/>
    </row>
    <row r="228" spans="2:4">
      <c r="B228" s="1616" t="s">
        <v>3522</v>
      </c>
      <c r="C228" s="889">
        <v>3000000</v>
      </c>
      <c r="D228" s="1617"/>
    </row>
    <row r="229" spans="2:4">
      <c r="B229" s="1616" t="s">
        <v>3516</v>
      </c>
      <c r="C229" s="889">
        <v>3000000</v>
      </c>
      <c r="D229" s="1617"/>
    </row>
    <row r="230" spans="2:4">
      <c r="B230" s="1616" t="s">
        <v>3145</v>
      </c>
      <c r="C230" s="889">
        <v>3000000</v>
      </c>
      <c r="D230" s="1617"/>
    </row>
    <row r="231" spans="2:4">
      <c r="B231" s="1616" t="s">
        <v>3214</v>
      </c>
      <c r="C231" s="889">
        <v>3000000</v>
      </c>
      <c r="D231" s="1617"/>
    </row>
    <row r="232" spans="2:4">
      <c r="B232" s="1616" t="s">
        <v>3147</v>
      </c>
      <c r="C232" s="889">
        <v>2945981</v>
      </c>
      <c r="D232" s="1617"/>
    </row>
    <row r="233" spans="2:4">
      <c r="B233" s="1616" t="s">
        <v>3199</v>
      </c>
      <c r="C233" s="889">
        <v>2940000</v>
      </c>
      <c r="D233" s="1617"/>
    </row>
    <row r="234" spans="2:4">
      <c r="B234" s="1616" t="s">
        <v>3901</v>
      </c>
      <c r="C234" s="889">
        <v>2930512</v>
      </c>
      <c r="D234" s="1617"/>
    </row>
    <row r="235" spans="2:4">
      <c r="B235" s="1616" t="s">
        <v>3212</v>
      </c>
      <c r="C235" s="889">
        <v>2900000</v>
      </c>
      <c r="D235" s="1617"/>
    </row>
    <row r="236" spans="2:4">
      <c r="B236" s="1616" t="s">
        <v>3193</v>
      </c>
      <c r="C236" s="889">
        <v>2880000</v>
      </c>
      <c r="D236" s="1617"/>
    </row>
    <row r="237" spans="2:4">
      <c r="B237" s="1616" t="s">
        <v>3148</v>
      </c>
      <c r="C237" s="889">
        <v>2860000</v>
      </c>
      <c r="D237" s="1617"/>
    </row>
    <row r="238" spans="2:4">
      <c r="B238" s="1616" t="s">
        <v>3166</v>
      </c>
      <c r="C238" s="889">
        <v>2850000</v>
      </c>
      <c r="D238" s="1617"/>
    </row>
    <row r="239" spans="2:4">
      <c r="B239" s="1616" t="s">
        <v>3227</v>
      </c>
      <c r="C239" s="889">
        <v>2800000</v>
      </c>
      <c r="D239" s="1617"/>
    </row>
    <row r="240" spans="2:4">
      <c r="B240" s="1616" t="s">
        <v>3223</v>
      </c>
      <c r="C240" s="889">
        <v>2800000</v>
      </c>
      <c r="D240" s="1617"/>
    </row>
    <row r="241" spans="2:4">
      <c r="B241" s="1616" t="s">
        <v>3902</v>
      </c>
      <c r="C241" s="889">
        <v>2800000</v>
      </c>
      <c r="D241" s="1617"/>
    </row>
    <row r="242" spans="2:4">
      <c r="B242" s="1616" t="s">
        <v>3903</v>
      </c>
      <c r="C242" s="889">
        <v>2760000</v>
      </c>
      <c r="D242" s="1617"/>
    </row>
    <row r="243" spans="2:4">
      <c r="B243" s="1616" t="s">
        <v>3904</v>
      </c>
      <c r="C243" s="889">
        <v>2709090</v>
      </c>
      <c r="D243" s="1617"/>
    </row>
    <row r="244" spans="2:4">
      <c r="B244" s="1616" t="s">
        <v>3154</v>
      </c>
      <c r="C244" s="889">
        <v>2600000</v>
      </c>
      <c r="D244" s="1617"/>
    </row>
    <row r="245" spans="2:4">
      <c r="B245" s="1616" t="s">
        <v>3207</v>
      </c>
      <c r="C245" s="889">
        <v>2545452</v>
      </c>
      <c r="D245" s="1617"/>
    </row>
    <row r="246" spans="2:4">
      <c r="B246" s="1616" t="s">
        <v>3338</v>
      </c>
      <c r="C246" s="889">
        <v>2500000</v>
      </c>
      <c r="D246" s="1617"/>
    </row>
    <row r="247" spans="2:4">
      <c r="B247" s="1616" t="s">
        <v>3281</v>
      </c>
      <c r="C247" s="889">
        <v>2500000</v>
      </c>
      <c r="D247" s="1617"/>
    </row>
    <row r="248" spans="2:4">
      <c r="B248" s="1616" t="s">
        <v>3519</v>
      </c>
      <c r="C248" s="889">
        <v>2427372</v>
      </c>
      <c r="D248" s="1617"/>
    </row>
    <row r="249" spans="2:4">
      <c r="B249" s="1616" t="s">
        <v>3114</v>
      </c>
      <c r="C249" s="889">
        <v>2400000</v>
      </c>
      <c r="D249" s="1617"/>
    </row>
    <row r="250" spans="2:4">
      <c r="B250" s="1616" t="s">
        <v>3151</v>
      </c>
      <c r="C250" s="889">
        <v>2400000</v>
      </c>
      <c r="D250" s="1617"/>
    </row>
    <row r="251" spans="2:4">
      <c r="B251" s="1616" t="s">
        <v>3520</v>
      </c>
      <c r="C251" s="889">
        <v>2400000</v>
      </c>
      <c r="D251" s="1617"/>
    </row>
    <row r="252" spans="2:4">
      <c r="B252" s="1616" t="s">
        <v>3370</v>
      </c>
      <c r="C252" s="889">
        <v>2400000</v>
      </c>
      <c r="D252" s="1617"/>
    </row>
    <row r="253" spans="2:4">
      <c r="B253" s="1616" t="s">
        <v>3153</v>
      </c>
      <c r="C253" s="889">
        <v>2400000</v>
      </c>
      <c r="D253" s="1617"/>
    </row>
    <row r="254" spans="2:4">
      <c r="B254" s="1616" t="s">
        <v>3117</v>
      </c>
      <c r="C254" s="889">
        <v>2390000</v>
      </c>
      <c r="D254" s="1617"/>
    </row>
    <row r="255" spans="2:4">
      <c r="B255" s="1616" t="s">
        <v>3521</v>
      </c>
      <c r="C255" s="889">
        <v>2378455</v>
      </c>
      <c r="D255" s="1617"/>
    </row>
    <row r="256" spans="2:4">
      <c r="B256" s="1616" t="s">
        <v>3201</v>
      </c>
      <c r="C256" s="889">
        <v>2350000</v>
      </c>
      <c r="D256" s="1617"/>
    </row>
    <row r="257" spans="2:4">
      <c r="B257" s="1616" t="s">
        <v>3331</v>
      </c>
      <c r="C257" s="889">
        <v>2285760</v>
      </c>
      <c r="D257" s="1617"/>
    </row>
    <row r="258" spans="2:4">
      <c r="B258" s="1616" t="s">
        <v>3293</v>
      </c>
      <c r="C258" s="889">
        <v>2280000</v>
      </c>
      <c r="D258" s="1617"/>
    </row>
    <row r="259" spans="2:4">
      <c r="B259" s="1616" t="s">
        <v>3905</v>
      </c>
      <c r="C259" s="889">
        <v>2254545</v>
      </c>
      <c r="D259" s="1617"/>
    </row>
    <row r="260" spans="2:4">
      <c r="B260" s="1616" t="s">
        <v>3270</v>
      </c>
      <c r="C260" s="889">
        <v>2240000</v>
      </c>
      <c r="D260" s="1617"/>
    </row>
    <row r="261" spans="2:4">
      <c r="B261" s="1616" t="s">
        <v>3906</v>
      </c>
      <c r="C261" s="889">
        <v>2219490</v>
      </c>
      <c r="D261" s="1617"/>
    </row>
    <row r="262" spans="2:4">
      <c r="B262" s="1616" t="s">
        <v>3164</v>
      </c>
      <c r="C262" s="889">
        <v>2197500</v>
      </c>
      <c r="D262" s="1617"/>
    </row>
    <row r="263" spans="2:4">
      <c r="B263" s="1616" t="s">
        <v>3544</v>
      </c>
      <c r="C263" s="889">
        <v>2175000</v>
      </c>
      <c r="D263" s="1617"/>
    </row>
    <row r="264" spans="2:4">
      <c r="B264" s="1616" t="s">
        <v>3096</v>
      </c>
      <c r="C264" s="889">
        <v>2144181</v>
      </c>
      <c r="D264" s="1617"/>
    </row>
    <row r="265" spans="2:4">
      <c r="B265" s="1616" t="s">
        <v>3282</v>
      </c>
      <c r="C265" s="889">
        <v>2120000</v>
      </c>
      <c r="D265" s="1617"/>
    </row>
    <row r="266" spans="2:4">
      <c r="B266" s="1616" t="s">
        <v>3197</v>
      </c>
      <c r="C266" s="889">
        <v>2100000</v>
      </c>
      <c r="D266" s="1617"/>
    </row>
    <row r="267" spans="2:4">
      <c r="B267" s="1616" t="s">
        <v>3244</v>
      </c>
      <c r="C267" s="889">
        <v>2100000</v>
      </c>
      <c r="D267" s="1617"/>
    </row>
    <row r="268" spans="2:4">
      <c r="B268" s="1616" t="s">
        <v>3907</v>
      </c>
      <c r="C268" s="889">
        <v>2100000</v>
      </c>
      <c r="D268" s="1617"/>
    </row>
    <row r="269" spans="2:4">
      <c r="B269" s="1616" t="s">
        <v>3263</v>
      </c>
      <c r="C269" s="889">
        <v>2080000</v>
      </c>
      <c r="D269" s="1617"/>
    </row>
    <row r="270" spans="2:4">
      <c r="B270" s="1616" t="s">
        <v>3237</v>
      </c>
      <c r="C270" s="889">
        <v>2025000</v>
      </c>
      <c r="D270" s="1617"/>
    </row>
    <row r="271" spans="2:4">
      <c r="B271" s="1616" t="s">
        <v>3538</v>
      </c>
      <c r="C271" s="889">
        <v>2000000</v>
      </c>
      <c r="D271" s="1617"/>
    </row>
    <row r="272" spans="2:4">
      <c r="B272" s="1616" t="s">
        <v>3324</v>
      </c>
      <c r="C272" s="889">
        <v>1940000</v>
      </c>
      <c r="D272" s="1617"/>
    </row>
    <row r="273" spans="2:4">
      <c r="B273" s="1616" t="s">
        <v>3249</v>
      </c>
      <c r="C273" s="889">
        <v>1920000</v>
      </c>
      <c r="D273" s="1617"/>
    </row>
    <row r="274" spans="2:4">
      <c r="B274" s="1616" t="s">
        <v>3196</v>
      </c>
      <c r="C274" s="889">
        <v>1920000</v>
      </c>
      <c r="D274" s="1617"/>
    </row>
    <row r="275" spans="2:4">
      <c r="B275" s="1616" t="s">
        <v>3314</v>
      </c>
      <c r="C275" s="889">
        <v>1840000</v>
      </c>
      <c r="D275" s="1617"/>
    </row>
    <row r="276" spans="2:4">
      <c r="B276" s="1616" t="s">
        <v>3524</v>
      </c>
      <c r="C276" s="889">
        <v>1800000</v>
      </c>
      <c r="D276" s="1617"/>
    </row>
    <row r="277" spans="2:4">
      <c r="B277" s="1616" t="s">
        <v>3224</v>
      </c>
      <c r="C277" s="889">
        <v>1800000</v>
      </c>
      <c r="D277" s="1617"/>
    </row>
    <row r="278" spans="2:4">
      <c r="B278" s="1616" t="s">
        <v>3271</v>
      </c>
      <c r="C278" s="889">
        <v>1800000</v>
      </c>
      <c r="D278" s="1617"/>
    </row>
    <row r="279" spans="2:4">
      <c r="B279" s="1616" t="s">
        <v>3238</v>
      </c>
      <c r="C279" s="889">
        <v>1800000</v>
      </c>
      <c r="D279" s="1617"/>
    </row>
    <row r="280" spans="2:4">
      <c r="B280" s="1616" t="s">
        <v>3273</v>
      </c>
      <c r="C280" s="889">
        <v>1800000</v>
      </c>
      <c r="D280" s="1617"/>
    </row>
    <row r="281" spans="2:4">
      <c r="B281" s="1616" t="s">
        <v>3225</v>
      </c>
      <c r="C281" s="889">
        <v>1800000</v>
      </c>
      <c r="D281" s="1617"/>
    </row>
    <row r="282" spans="2:4">
      <c r="B282" s="1616" t="s">
        <v>3523</v>
      </c>
      <c r="C282" s="889">
        <v>1800000</v>
      </c>
      <c r="D282" s="1617"/>
    </row>
    <row r="283" spans="2:4">
      <c r="B283" s="1616" t="s">
        <v>3189</v>
      </c>
      <c r="C283" s="889">
        <v>1800000</v>
      </c>
      <c r="D283" s="1617"/>
    </row>
    <row r="284" spans="2:4">
      <c r="B284" s="1616" t="s">
        <v>3240</v>
      </c>
      <c r="C284" s="889">
        <v>1800000</v>
      </c>
      <c r="D284" s="1617"/>
    </row>
    <row r="285" spans="2:4">
      <c r="B285" s="1616" t="s">
        <v>3188</v>
      </c>
      <c r="C285" s="889">
        <v>1800000</v>
      </c>
      <c r="D285" s="1617"/>
    </row>
    <row r="286" spans="2:4">
      <c r="B286" s="1616" t="s">
        <v>3181</v>
      </c>
      <c r="C286" s="889">
        <v>1800000</v>
      </c>
      <c r="D286" s="1617"/>
    </row>
    <row r="287" spans="2:4">
      <c r="B287" s="1616" t="s">
        <v>3158</v>
      </c>
      <c r="C287" s="889">
        <v>1800000</v>
      </c>
      <c r="D287" s="1617"/>
    </row>
    <row r="288" spans="2:4">
      <c r="B288" s="1616" t="s">
        <v>3272</v>
      </c>
      <c r="C288" s="889">
        <v>1800000</v>
      </c>
      <c r="D288" s="1617"/>
    </row>
    <row r="289" spans="2:4">
      <c r="B289" s="1616" t="s">
        <v>3347</v>
      </c>
      <c r="C289" s="889">
        <v>1770000</v>
      </c>
      <c r="D289" s="1617"/>
    </row>
    <row r="290" spans="2:4">
      <c r="B290" s="1616" t="s">
        <v>3266</v>
      </c>
      <c r="C290" s="889">
        <v>1702600</v>
      </c>
      <c r="D290" s="1617"/>
    </row>
    <row r="291" spans="2:4">
      <c r="B291" s="1616" t="s">
        <v>3526</v>
      </c>
      <c r="C291" s="889">
        <v>1700000</v>
      </c>
      <c r="D291" s="1617"/>
    </row>
    <row r="292" spans="2:4">
      <c r="B292" s="1616" t="s">
        <v>3337</v>
      </c>
      <c r="C292" s="889">
        <v>1700000</v>
      </c>
      <c r="D292" s="1617"/>
    </row>
    <row r="293" spans="2:4">
      <c r="B293" s="1616" t="s">
        <v>3088</v>
      </c>
      <c r="C293" s="889">
        <v>1675584</v>
      </c>
      <c r="D293" s="1617"/>
    </row>
    <row r="294" spans="2:4">
      <c r="B294" s="1616" t="s">
        <v>3186</v>
      </c>
      <c r="C294" s="889">
        <v>1630000</v>
      </c>
      <c r="D294" s="1617"/>
    </row>
    <row r="295" spans="2:4">
      <c r="B295" s="1616" t="s">
        <v>3908</v>
      </c>
      <c r="C295" s="889">
        <v>1620000</v>
      </c>
      <c r="D295" s="1617"/>
    </row>
    <row r="296" spans="2:4">
      <c r="B296" s="1616" t="s">
        <v>3248</v>
      </c>
      <c r="C296" s="889">
        <v>1610000</v>
      </c>
      <c r="D296" s="1617"/>
    </row>
    <row r="297" spans="2:4">
      <c r="B297" s="1616" t="s">
        <v>3529</v>
      </c>
      <c r="C297" s="889">
        <v>1595000</v>
      </c>
      <c r="D297" s="1617"/>
    </row>
    <row r="298" spans="2:4">
      <c r="B298" s="1616" t="s">
        <v>3528</v>
      </c>
      <c r="C298" s="889">
        <v>1560000</v>
      </c>
      <c r="D298" s="1617"/>
    </row>
    <row r="299" spans="2:4">
      <c r="B299" s="1616" t="s">
        <v>3310</v>
      </c>
      <c r="C299" s="889">
        <v>1545000</v>
      </c>
      <c r="D299" s="1617"/>
    </row>
    <row r="300" spans="2:4">
      <c r="B300" s="1616" t="s">
        <v>3909</v>
      </c>
      <c r="C300" s="889">
        <v>1540000</v>
      </c>
      <c r="D300" s="1617"/>
    </row>
    <row r="301" spans="2:4">
      <c r="B301" s="1616" t="s">
        <v>3185</v>
      </c>
      <c r="C301" s="889">
        <v>1527264</v>
      </c>
      <c r="D301" s="1617"/>
    </row>
    <row r="302" spans="2:4">
      <c r="B302" s="1616" t="s">
        <v>3235</v>
      </c>
      <c r="C302" s="889">
        <v>1522500</v>
      </c>
      <c r="D302" s="1617"/>
    </row>
    <row r="303" spans="2:4">
      <c r="B303" s="1616" t="s">
        <v>3295</v>
      </c>
      <c r="C303" s="889">
        <v>1520000</v>
      </c>
      <c r="D303" s="1617"/>
    </row>
    <row r="304" spans="2:4">
      <c r="B304" s="1616" t="s">
        <v>3910</v>
      </c>
      <c r="C304" s="889">
        <v>1514545</v>
      </c>
      <c r="D304" s="1617"/>
    </row>
    <row r="305" spans="2:4">
      <c r="B305" s="1616" t="s">
        <v>3200</v>
      </c>
      <c r="C305" s="889">
        <v>1501256</v>
      </c>
      <c r="D305" s="1617"/>
    </row>
    <row r="306" spans="2:4">
      <c r="B306" s="1616" t="s">
        <v>3167</v>
      </c>
      <c r="C306" s="889">
        <v>1500000</v>
      </c>
      <c r="D306" s="1617"/>
    </row>
    <row r="307" spans="2:4">
      <c r="B307" s="1616" t="s">
        <v>3911</v>
      </c>
      <c r="C307" s="889">
        <v>1500000</v>
      </c>
      <c r="D307" s="1617"/>
    </row>
    <row r="308" spans="2:4">
      <c r="B308" s="1616" t="s">
        <v>3152</v>
      </c>
      <c r="C308" s="889">
        <v>1460000</v>
      </c>
      <c r="D308" s="1617"/>
    </row>
    <row r="309" spans="2:4">
      <c r="B309" s="1616" t="s">
        <v>3283</v>
      </c>
      <c r="C309" s="889">
        <v>1460000</v>
      </c>
      <c r="D309" s="1617"/>
    </row>
    <row r="310" spans="2:4">
      <c r="B310" s="1616" t="s">
        <v>3221</v>
      </c>
      <c r="C310" s="889">
        <v>1450000</v>
      </c>
      <c r="D310" s="1617"/>
    </row>
    <row r="311" spans="2:4">
      <c r="B311" s="1616" t="s">
        <v>3912</v>
      </c>
      <c r="C311" s="889">
        <v>1440000</v>
      </c>
      <c r="D311" s="1617"/>
    </row>
    <row r="312" spans="2:4">
      <c r="B312" s="1616" t="s">
        <v>3913</v>
      </c>
      <c r="C312" s="889">
        <v>1435000</v>
      </c>
      <c r="D312" s="1617"/>
    </row>
    <row r="313" spans="2:4">
      <c r="B313" s="1616" t="s">
        <v>3542</v>
      </c>
      <c r="C313" s="889">
        <v>1400000</v>
      </c>
      <c r="D313" s="1617"/>
    </row>
    <row r="314" spans="2:4">
      <c r="B314" s="1616" t="s">
        <v>3322</v>
      </c>
      <c r="C314" s="889">
        <v>1400000</v>
      </c>
      <c r="D314" s="1617"/>
    </row>
    <row r="315" spans="2:4">
      <c r="B315" s="1616" t="s">
        <v>3170</v>
      </c>
      <c r="C315" s="889">
        <v>1400000</v>
      </c>
      <c r="D315" s="1617"/>
    </row>
    <row r="316" spans="2:4">
      <c r="B316" s="1616" t="s">
        <v>3134</v>
      </c>
      <c r="C316" s="889">
        <v>1400000</v>
      </c>
      <c r="D316" s="1617"/>
    </row>
    <row r="317" spans="2:4">
      <c r="B317" s="1616" t="s">
        <v>3258</v>
      </c>
      <c r="C317" s="889">
        <v>1400000</v>
      </c>
      <c r="D317" s="1617"/>
    </row>
    <row r="318" spans="2:4">
      <c r="B318" s="1616" t="s">
        <v>3914</v>
      </c>
      <c r="C318" s="889">
        <v>1354550</v>
      </c>
      <c r="D318" s="1617"/>
    </row>
    <row r="319" spans="2:4">
      <c r="B319" s="1616" t="s">
        <v>3525</v>
      </c>
      <c r="C319" s="889">
        <v>1354545</v>
      </c>
      <c r="D319" s="1617"/>
    </row>
    <row r="320" spans="2:4">
      <c r="B320" s="1616" t="s">
        <v>3915</v>
      </c>
      <c r="C320" s="889">
        <v>1354545</v>
      </c>
      <c r="D320" s="1617"/>
    </row>
    <row r="321" spans="2:4">
      <c r="B321" s="1616" t="s">
        <v>3916</v>
      </c>
      <c r="C321" s="889">
        <v>1354545</v>
      </c>
      <c r="D321" s="1617"/>
    </row>
    <row r="322" spans="2:4">
      <c r="B322" s="1616" t="s">
        <v>3917</v>
      </c>
      <c r="C322" s="889">
        <v>1354545</v>
      </c>
      <c r="D322" s="1617"/>
    </row>
    <row r="323" spans="2:4">
      <c r="B323" s="1616" t="s">
        <v>3918</v>
      </c>
      <c r="C323" s="889">
        <v>1354545</v>
      </c>
      <c r="D323" s="1617"/>
    </row>
    <row r="324" spans="2:4">
      <c r="B324" s="1616" t="s">
        <v>3919</v>
      </c>
      <c r="C324" s="889">
        <v>1354545</v>
      </c>
      <c r="D324" s="1617"/>
    </row>
    <row r="325" spans="2:4">
      <c r="B325" s="1616" t="s">
        <v>3920</v>
      </c>
      <c r="C325" s="889">
        <v>1354545</v>
      </c>
      <c r="D325" s="1617"/>
    </row>
    <row r="326" spans="2:4">
      <c r="B326" s="1616" t="s">
        <v>3921</v>
      </c>
      <c r="C326" s="889">
        <v>1354545</v>
      </c>
      <c r="D326" s="1617"/>
    </row>
    <row r="327" spans="2:4">
      <c r="B327" s="1616" t="s">
        <v>3922</v>
      </c>
      <c r="C327" s="889">
        <v>1354545</v>
      </c>
      <c r="D327" s="1617"/>
    </row>
    <row r="328" spans="2:4">
      <c r="B328" s="1616" t="s">
        <v>3262</v>
      </c>
      <c r="C328" s="889">
        <v>1350000</v>
      </c>
      <c r="D328" s="1617"/>
    </row>
    <row r="329" spans="2:4">
      <c r="B329" s="1616" t="s">
        <v>3220</v>
      </c>
      <c r="C329" s="889">
        <v>1320000</v>
      </c>
      <c r="D329" s="1617"/>
    </row>
    <row r="330" spans="2:4">
      <c r="B330" s="1616" t="s">
        <v>3343</v>
      </c>
      <c r="C330" s="889">
        <v>1291894</v>
      </c>
      <c r="D330" s="1617"/>
    </row>
    <row r="331" spans="2:4">
      <c r="B331" s="1616" t="s">
        <v>3530</v>
      </c>
      <c r="C331" s="889">
        <v>1280000</v>
      </c>
      <c r="D331" s="1617"/>
    </row>
    <row r="332" spans="2:4">
      <c r="B332" s="1616" t="s">
        <v>3206</v>
      </c>
      <c r="C332" s="889">
        <v>1280000</v>
      </c>
      <c r="D332" s="1617"/>
    </row>
    <row r="333" spans="2:4">
      <c r="B333" s="1616" t="s">
        <v>3531</v>
      </c>
      <c r="C333" s="889">
        <v>1250000</v>
      </c>
      <c r="D333" s="1617"/>
    </row>
    <row r="334" spans="2:4">
      <c r="B334" s="1616" t="s">
        <v>3327</v>
      </c>
      <c r="C334" s="889">
        <v>1245000</v>
      </c>
      <c r="D334" s="1617"/>
    </row>
    <row r="335" spans="2:4">
      <c r="B335" s="1616" t="s">
        <v>3923</v>
      </c>
      <c r="C335" s="889">
        <v>1236233</v>
      </c>
      <c r="D335" s="1617"/>
    </row>
    <row r="336" spans="2:4">
      <c r="B336" s="1616" t="s">
        <v>3146</v>
      </c>
      <c r="C336" s="889">
        <v>1222545</v>
      </c>
      <c r="D336" s="1617"/>
    </row>
    <row r="337" spans="2:4">
      <c r="B337" s="1616" t="s">
        <v>3532</v>
      </c>
      <c r="C337" s="889">
        <v>1215000</v>
      </c>
      <c r="D337" s="1617"/>
    </row>
    <row r="338" spans="2:4">
      <c r="B338" s="1616" t="s">
        <v>3924</v>
      </c>
      <c r="C338" s="889">
        <v>1215000</v>
      </c>
      <c r="D338" s="1617"/>
    </row>
    <row r="339" spans="2:4">
      <c r="B339" s="1616" t="s">
        <v>3243</v>
      </c>
      <c r="C339" s="889">
        <v>1200000</v>
      </c>
      <c r="D339" s="1617"/>
    </row>
    <row r="340" spans="2:4">
      <c r="B340" s="1616" t="s">
        <v>3209</v>
      </c>
      <c r="C340" s="889">
        <v>1200000</v>
      </c>
      <c r="D340" s="1617"/>
    </row>
    <row r="341" spans="2:4">
      <c r="B341" s="1616" t="s">
        <v>3533</v>
      </c>
      <c r="C341" s="889">
        <v>1200000</v>
      </c>
      <c r="D341" s="1617"/>
    </row>
    <row r="342" spans="2:4">
      <c r="B342" s="1616" t="s">
        <v>3307</v>
      </c>
      <c r="C342" s="889">
        <v>1200000</v>
      </c>
      <c r="D342" s="1617"/>
    </row>
    <row r="343" spans="2:4">
      <c r="B343" s="1616" t="s">
        <v>3233</v>
      </c>
      <c r="C343" s="889">
        <v>1200000</v>
      </c>
      <c r="D343" s="1617"/>
    </row>
    <row r="344" spans="2:4">
      <c r="B344" s="1616" t="s">
        <v>3534</v>
      </c>
      <c r="C344" s="889">
        <v>1200000</v>
      </c>
      <c r="D344" s="1617"/>
    </row>
    <row r="345" spans="2:4">
      <c r="B345" s="1616" t="s">
        <v>3301</v>
      </c>
      <c r="C345" s="889">
        <v>1200000</v>
      </c>
      <c r="D345" s="1617"/>
    </row>
    <row r="346" spans="2:4">
      <c r="B346" s="1616" t="s">
        <v>3284</v>
      </c>
      <c r="C346" s="889">
        <v>1200000</v>
      </c>
      <c r="D346" s="1617"/>
    </row>
    <row r="347" spans="2:4">
      <c r="B347" s="1616" t="s">
        <v>3222</v>
      </c>
      <c r="C347" s="889">
        <v>1200000</v>
      </c>
      <c r="D347" s="1617"/>
    </row>
    <row r="348" spans="2:4">
      <c r="B348" s="1616" t="s">
        <v>3536</v>
      </c>
      <c r="C348" s="889">
        <v>1200000</v>
      </c>
      <c r="D348" s="1617"/>
    </row>
    <row r="349" spans="2:4">
      <c r="B349" s="1616" t="s">
        <v>3535</v>
      </c>
      <c r="C349" s="889">
        <v>1200000</v>
      </c>
      <c r="D349" s="1617"/>
    </row>
    <row r="350" spans="2:4">
      <c r="B350" s="1616" t="s">
        <v>3297</v>
      </c>
      <c r="C350" s="889">
        <v>1198702</v>
      </c>
      <c r="D350" s="1617"/>
    </row>
    <row r="351" spans="2:4">
      <c r="B351" s="1616" t="s">
        <v>3230</v>
      </c>
      <c r="C351" s="889">
        <v>1150000</v>
      </c>
      <c r="D351" s="1617"/>
    </row>
    <row r="352" spans="2:4">
      <c r="B352" s="1616" t="s">
        <v>3537</v>
      </c>
      <c r="C352" s="889">
        <v>1150000</v>
      </c>
      <c r="D352" s="1617"/>
    </row>
    <row r="353" spans="2:4">
      <c r="B353" s="1616" t="s">
        <v>3124</v>
      </c>
      <c r="C353" s="889">
        <v>1127000</v>
      </c>
      <c r="D353" s="1617"/>
    </row>
    <row r="354" spans="2:4">
      <c r="B354" s="1616" t="s">
        <v>3925</v>
      </c>
      <c r="C354" s="889">
        <v>1122000</v>
      </c>
      <c r="D354" s="1617"/>
    </row>
    <row r="355" spans="2:4">
      <c r="B355" s="1616" t="s">
        <v>3259</v>
      </c>
      <c r="C355" s="889">
        <v>1120000</v>
      </c>
      <c r="D355" s="1617"/>
    </row>
    <row r="356" spans="2:4">
      <c r="B356" s="1616" t="s">
        <v>3305</v>
      </c>
      <c r="C356" s="889">
        <v>1090909</v>
      </c>
      <c r="D356" s="1617"/>
    </row>
    <row r="357" spans="2:4">
      <c r="B357" s="1616" t="s">
        <v>3210</v>
      </c>
      <c r="C357" s="889">
        <v>1080000</v>
      </c>
      <c r="D357" s="1617"/>
    </row>
    <row r="358" spans="2:4">
      <c r="B358" s="1616" t="s">
        <v>3306</v>
      </c>
      <c r="C358" s="889">
        <v>1075989</v>
      </c>
      <c r="D358" s="1617"/>
    </row>
    <row r="359" spans="2:4">
      <c r="B359" s="1616" t="s">
        <v>3129</v>
      </c>
      <c r="C359" s="889">
        <v>1060866</v>
      </c>
      <c r="D359" s="1617"/>
    </row>
    <row r="360" spans="2:4">
      <c r="B360" s="1616" t="s">
        <v>3191</v>
      </c>
      <c r="C360" s="889">
        <v>1060000</v>
      </c>
      <c r="D360" s="1617"/>
    </row>
    <row r="361" spans="2:4">
      <c r="B361" s="1616" t="s">
        <v>3215</v>
      </c>
      <c r="C361" s="889">
        <v>1050000</v>
      </c>
      <c r="D361" s="1617"/>
    </row>
    <row r="362" spans="2:4">
      <c r="B362" s="1616" t="s">
        <v>3149</v>
      </c>
      <c r="C362" s="889">
        <v>1021993</v>
      </c>
      <c r="D362" s="1617"/>
    </row>
    <row r="363" spans="2:4">
      <c r="B363" s="1616" t="s">
        <v>3226</v>
      </c>
      <c r="C363" s="889">
        <v>1000000</v>
      </c>
      <c r="D363" s="1617"/>
    </row>
    <row r="364" spans="2:4">
      <c r="B364" s="1616" t="s">
        <v>3309</v>
      </c>
      <c r="C364" s="889">
        <v>1000000</v>
      </c>
      <c r="D364" s="1617"/>
    </row>
    <row r="365" spans="2:4">
      <c r="B365" s="1616" t="s">
        <v>3539</v>
      </c>
      <c r="C365" s="889">
        <v>1000000</v>
      </c>
      <c r="D365" s="1617"/>
    </row>
    <row r="366" spans="2:4">
      <c r="B366" s="1616" t="s">
        <v>3318</v>
      </c>
      <c r="C366" s="889">
        <v>1000000</v>
      </c>
      <c r="D366" s="1617"/>
    </row>
    <row r="367" spans="2:4">
      <c r="B367" s="1616" t="s">
        <v>3285</v>
      </c>
      <c r="C367" s="889">
        <v>998181</v>
      </c>
      <c r="D367" s="1617"/>
    </row>
    <row r="368" spans="2:4">
      <c r="B368" s="1616" t="s">
        <v>3277</v>
      </c>
      <c r="C368" s="889">
        <v>971825</v>
      </c>
      <c r="D368" s="1617"/>
    </row>
    <row r="369" spans="2:4">
      <c r="B369" s="1616" t="s">
        <v>3286</v>
      </c>
      <c r="C369" s="889">
        <v>960000</v>
      </c>
      <c r="D369" s="1617"/>
    </row>
    <row r="370" spans="2:4">
      <c r="B370" s="1616" t="s">
        <v>3267</v>
      </c>
      <c r="C370" s="889">
        <v>960000</v>
      </c>
      <c r="D370" s="1617"/>
    </row>
    <row r="371" spans="2:4">
      <c r="B371" s="1616" t="s">
        <v>3540</v>
      </c>
      <c r="C371" s="889">
        <v>950000</v>
      </c>
      <c r="D371" s="1617"/>
    </row>
    <row r="372" spans="2:4">
      <c r="B372" s="1616" t="s">
        <v>3260</v>
      </c>
      <c r="C372" s="889">
        <v>950000</v>
      </c>
      <c r="D372" s="1617"/>
    </row>
    <row r="373" spans="2:4">
      <c r="B373" s="1616" t="s">
        <v>3926</v>
      </c>
      <c r="C373" s="889">
        <v>932170</v>
      </c>
      <c r="D373" s="1617"/>
    </row>
    <row r="374" spans="2:4">
      <c r="B374" s="1616" t="s">
        <v>3541</v>
      </c>
      <c r="C374" s="889">
        <v>900000</v>
      </c>
      <c r="D374" s="1617"/>
    </row>
    <row r="375" spans="2:4">
      <c r="B375" s="1616" t="s">
        <v>3313</v>
      </c>
      <c r="C375" s="889">
        <v>900000</v>
      </c>
      <c r="D375" s="1617"/>
    </row>
    <row r="376" spans="2:4">
      <c r="B376" s="1616" t="s">
        <v>3291</v>
      </c>
      <c r="C376" s="889">
        <v>900000</v>
      </c>
      <c r="D376" s="1617"/>
    </row>
    <row r="377" spans="2:4">
      <c r="B377" s="1616" t="s">
        <v>3927</v>
      </c>
      <c r="C377" s="889">
        <v>900000</v>
      </c>
      <c r="D377" s="1617"/>
    </row>
    <row r="378" spans="2:4">
      <c r="B378" s="1616" t="s">
        <v>3928</v>
      </c>
      <c r="C378" s="889">
        <v>840000</v>
      </c>
      <c r="D378" s="1617"/>
    </row>
    <row r="379" spans="2:4">
      <c r="B379" s="1616" t="s">
        <v>3287</v>
      </c>
      <c r="C379" s="889">
        <v>810000</v>
      </c>
      <c r="D379" s="1617"/>
    </row>
    <row r="380" spans="2:4">
      <c r="B380" s="1616" t="s">
        <v>3118</v>
      </c>
      <c r="C380" s="889">
        <v>810000</v>
      </c>
      <c r="D380" s="1617"/>
    </row>
    <row r="381" spans="2:4">
      <c r="B381" s="1616" t="s">
        <v>3543</v>
      </c>
      <c r="C381" s="889">
        <v>800000</v>
      </c>
      <c r="D381" s="1617"/>
    </row>
    <row r="382" spans="2:4">
      <c r="B382" s="1616" t="s">
        <v>3551</v>
      </c>
      <c r="C382" s="889">
        <v>800000</v>
      </c>
      <c r="D382" s="1617"/>
    </row>
    <row r="383" spans="2:4">
      <c r="B383" s="1616" t="s">
        <v>3299</v>
      </c>
      <c r="C383" s="889">
        <v>800000</v>
      </c>
      <c r="D383" s="1617"/>
    </row>
    <row r="384" spans="2:4">
      <c r="B384" s="1616" t="s">
        <v>3929</v>
      </c>
      <c r="C384" s="889">
        <v>800000</v>
      </c>
      <c r="D384" s="1617"/>
    </row>
    <row r="385" spans="2:4">
      <c r="B385" s="1616" t="s">
        <v>3930</v>
      </c>
      <c r="C385" s="889">
        <v>787020</v>
      </c>
      <c r="D385" s="1617"/>
    </row>
    <row r="386" spans="2:4">
      <c r="B386" s="1616" t="s">
        <v>3352</v>
      </c>
      <c r="C386" s="889">
        <v>784000</v>
      </c>
      <c r="D386" s="1617"/>
    </row>
    <row r="387" spans="2:4">
      <c r="B387" s="1616" t="s">
        <v>3219</v>
      </c>
      <c r="C387" s="889">
        <v>780000</v>
      </c>
      <c r="D387" s="1617"/>
    </row>
    <row r="388" spans="2:4">
      <c r="B388" s="1616" t="s">
        <v>3194</v>
      </c>
      <c r="C388" s="889">
        <v>780000</v>
      </c>
      <c r="D388" s="1617"/>
    </row>
    <row r="389" spans="2:4">
      <c r="B389" s="1616" t="s">
        <v>3326</v>
      </c>
      <c r="C389" s="889">
        <v>770000</v>
      </c>
      <c r="D389" s="1617"/>
    </row>
    <row r="390" spans="2:4">
      <c r="B390" s="1616" t="s">
        <v>3162</v>
      </c>
      <c r="C390" s="889">
        <v>750000</v>
      </c>
      <c r="D390" s="1617"/>
    </row>
    <row r="391" spans="2:4">
      <c r="B391" s="1616" t="s">
        <v>3344</v>
      </c>
      <c r="C391" s="889">
        <v>750000</v>
      </c>
      <c r="D391" s="1617"/>
    </row>
    <row r="392" spans="2:4">
      <c r="B392" s="1616" t="s">
        <v>3931</v>
      </c>
      <c r="C392" s="889">
        <v>750000</v>
      </c>
      <c r="D392" s="1617"/>
    </row>
    <row r="393" spans="2:4">
      <c r="B393" s="1616" t="s">
        <v>3100</v>
      </c>
      <c r="C393" s="889">
        <v>720000</v>
      </c>
      <c r="D393" s="1617"/>
    </row>
    <row r="394" spans="2:4">
      <c r="B394" s="1616" t="s">
        <v>3290</v>
      </c>
      <c r="C394" s="889">
        <v>700000</v>
      </c>
      <c r="D394" s="1617"/>
    </row>
    <row r="395" spans="2:4">
      <c r="B395" s="1616" t="s">
        <v>3288</v>
      </c>
      <c r="C395" s="889">
        <v>700000</v>
      </c>
      <c r="D395" s="1617"/>
    </row>
    <row r="396" spans="2:4">
      <c r="B396" s="1616" t="s">
        <v>3932</v>
      </c>
      <c r="C396" s="889">
        <v>700000</v>
      </c>
      <c r="D396" s="1617"/>
    </row>
    <row r="397" spans="2:4">
      <c r="B397" s="1616" t="s">
        <v>3933</v>
      </c>
      <c r="C397" s="889">
        <v>700000</v>
      </c>
      <c r="D397" s="1617"/>
    </row>
    <row r="398" spans="2:4">
      <c r="B398" s="1616" t="s">
        <v>3190</v>
      </c>
      <c r="C398" s="889">
        <v>694840</v>
      </c>
      <c r="D398" s="1617"/>
    </row>
    <row r="399" spans="2:4">
      <c r="B399" s="1616" t="s">
        <v>3292</v>
      </c>
      <c r="C399" s="889">
        <v>690000</v>
      </c>
      <c r="D399" s="1617"/>
    </row>
    <row r="400" spans="2:4">
      <c r="B400" s="1616" t="s">
        <v>3177</v>
      </c>
      <c r="C400" s="889">
        <v>658537</v>
      </c>
      <c r="D400" s="1617"/>
    </row>
    <row r="401" spans="2:4">
      <c r="B401" s="1616" t="s">
        <v>3934</v>
      </c>
      <c r="C401" s="889">
        <v>655000</v>
      </c>
      <c r="D401" s="1617"/>
    </row>
    <row r="402" spans="2:4">
      <c r="B402" s="1616" t="s">
        <v>3278</v>
      </c>
      <c r="C402" s="889">
        <v>650000</v>
      </c>
      <c r="D402" s="1617"/>
    </row>
    <row r="403" spans="2:4">
      <c r="B403" s="1616" t="s">
        <v>3279</v>
      </c>
      <c r="C403" s="889">
        <v>650000</v>
      </c>
      <c r="D403" s="1617"/>
    </row>
    <row r="404" spans="2:4">
      <c r="B404" s="1616" t="s">
        <v>3935</v>
      </c>
      <c r="C404" s="889">
        <v>640000</v>
      </c>
      <c r="D404" s="1617"/>
    </row>
    <row r="405" spans="2:4">
      <c r="B405" s="1616" t="s">
        <v>3356</v>
      </c>
      <c r="C405" s="889">
        <v>635000</v>
      </c>
      <c r="D405" s="1617"/>
    </row>
    <row r="406" spans="2:4">
      <c r="B406" s="1616" t="s">
        <v>3128</v>
      </c>
      <c r="C406" s="889">
        <v>600000</v>
      </c>
      <c r="D406" s="1617"/>
    </row>
    <row r="407" spans="2:4">
      <c r="B407" s="1616" t="s">
        <v>3312</v>
      </c>
      <c r="C407" s="889">
        <v>600000</v>
      </c>
      <c r="D407" s="1617"/>
    </row>
    <row r="408" spans="2:4">
      <c r="B408" s="1616" t="s">
        <v>3936</v>
      </c>
      <c r="C408" s="889">
        <v>600000</v>
      </c>
      <c r="D408" s="1617"/>
    </row>
    <row r="409" spans="2:4">
      <c r="B409" s="1616" t="s">
        <v>3246</v>
      </c>
      <c r="C409" s="889">
        <v>570000</v>
      </c>
      <c r="D409" s="1617"/>
    </row>
    <row r="410" spans="2:4">
      <c r="B410" s="1616" t="s">
        <v>3937</v>
      </c>
      <c r="C410" s="889">
        <v>567500</v>
      </c>
      <c r="D410" s="1617"/>
    </row>
    <row r="411" spans="2:4">
      <c r="B411" s="1616" t="s">
        <v>3545</v>
      </c>
      <c r="C411" s="889">
        <v>560000</v>
      </c>
      <c r="D411" s="1617"/>
    </row>
    <row r="412" spans="2:4">
      <c r="B412" s="1616" t="s">
        <v>3261</v>
      </c>
      <c r="C412" s="889">
        <v>556000</v>
      </c>
      <c r="D412" s="1617"/>
    </row>
    <row r="413" spans="2:4">
      <c r="B413" s="1616" t="s">
        <v>3546</v>
      </c>
      <c r="C413" s="889">
        <v>550000</v>
      </c>
      <c r="D413" s="1617"/>
    </row>
    <row r="414" spans="2:4">
      <c r="B414" s="1616" t="s">
        <v>3264</v>
      </c>
      <c r="C414" s="889">
        <v>540000</v>
      </c>
      <c r="D414" s="1617"/>
    </row>
    <row r="415" spans="2:4">
      <c r="B415" s="1616" t="s">
        <v>3336</v>
      </c>
      <c r="C415" s="889">
        <v>520000</v>
      </c>
      <c r="D415" s="1617"/>
    </row>
    <row r="416" spans="2:4">
      <c r="B416" s="1616" t="s">
        <v>3176</v>
      </c>
      <c r="C416" s="889">
        <v>520000</v>
      </c>
      <c r="D416" s="1617"/>
    </row>
    <row r="417" spans="2:4">
      <c r="B417" s="1616" t="s">
        <v>3559</v>
      </c>
      <c r="C417" s="889">
        <v>520000</v>
      </c>
      <c r="D417" s="1617"/>
    </row>
    <row r="418" spans="2:4">
      <c r="B418" s="1616" t="s">
        <v>3247</v>
      </c>
      <c r="C418" s="889">
        <v>500000</v>
      </c>
      <c r="D418" s="1617"/>
    </row>
    <row r="419" spans="2:4">
      <c r="B419" s="1616" t="s">
        <v>3300</v>
      </c>
      <c r="C419" s="889">
        <v>500000</v>
      </c>
      <c r="D419" s="1617"/>
    </row>
    <row r="420" spans="2:4">
      <c r="B420" s="1616" t="s">
        <v>3204</v>
      </c>
      <c r="C420" s="889">
        <v>500000</v>
      </c>
      <c r="D420" s="1617"/>
    </row>
    <row r="421" spans="2:4">
      <c r="B421" s="1616" t="s">
        <v>3325</v>
      </c>
      <c r="C421" s="889">
        <v>500000</v>
      </c>
      <c r="D421" s="1617"/>
    </row>
    <row r="422" spans="2:4">
      <c r="B422" s="1616" t="s">
        <v>3311</v>
      </c>
      <c r="C422" s="889">
        <v>500000</v>
      </c>
      <c r="D422" s="1617"/>
    </row>
    <row r="423" spans="2:4">
      <c r="B423" s="1616" t="s">
        <v>3265</v>
      </c>
      <c r="C423" s="889">
        <v>500000</v>
      </c>
      <c r="D423" s="1617"/>
    </row>
    <row r="424" spans="2:4">
      <c r="B424" s="1616" t="s">
        <v>3547</v>
      </c>
      <c r="C424" s="889">
        <v>500000</v>
      </c>
      <c r="D424" s="1617"/>
    </row>
    <row r="425" spans="2:4">
      <c r="B425" s="1616" t="s">
        <v>3163</v>
      </c>
      <c r="C425" s="889">
        <v>500000</v>
      </c>
      <c r="D425" s="1617"/>
    </row>
    <row r="426" spans="2:4">
      <c r="B426" s="1616" t="s">
        <v>3938</v>
      </c>
      <c r="C426" s="889">
        <v>500000</v>
      </c>
      <c r="D426" s="1617"/>
    </row>
    <row r="427" spans="2:4">
      <c r="B427" s="1616" t="s">
        <v>3939</v>
      </c>
      <c r="C427" s="889">
        <v>500000</v>
      </c>
      <c r="D427" s="1617"/>
    </row>
    <row r="428" spans="2:4">
      <c r="B428" s="1616" t="s">
        <v>3940</v>
      </c>
      <c r="C428" s="889">
        <v>500000</v>
      </c>
      <c r="D428" s="1617"/>
    </row>
    <row r="429" spans="2:4">
      <c r="B429" s="1616" t="s">
        <v>3941</v>
      </c>
      <c r="C429" s="889">
        <v>500000</v>
      </c>
      <c r="D429" s="1617"/>
    </row>
    <row r="430" spans="2:4">
      <c r="B430" s="1616" t="s">
        <v>3942</v>
      </c>
      <c r="C430" s="889">
        <v>482000</v>
      </c>
      <c r="D430" s="1617"/>
    </row>
    <row r="431" spans="2:4">
      <c r="B431" s="1616" t="s">
        <v>3549</v>
      </c>
      <c r="C431" s="889">
        <v>480000</v>
      </c>
      <c r="D431" s="1617"/>
    </row>
    <row r="432" spans="2:4">
      <c r="B432" s="1616" t="s">
        <v>3548</v>
      </c>
      <c r="C432" s="889">
        <v>480000</v>
      </c>
      <c r="D432" s="1617"/>
    </row>
    <row r="433" spans="2:4">
      <c r="B433" s="1616" t="s">
        <v>3340</v>
      </c>
      <c r="C433" s="889">
        <v>480000</v>
      </c>
      <c r="D433" s="1617"/>
    </row>
    <row r="434" spans="2:4">
      <c r="B434" s="1616" t="s">
        <v>3943</v>
      </c>
      <c r="C434" s="889">
        <v>471331</v>
      </c>
      <c r="D434" s="1617"/>
    </row>
    <row r="435" spans="2:4">
      <c r="B435" s="1616" t="s">
        <v>3944</v>
      </c>
      <c r="C435" s="889">
        <v>465000</v>
      </c>
      <c r="D435" s="1617"/>
    </row>
    <row r="436" spans="2:4">
      <c r="B436" s="1616" t="s">
        <v>3334</v>
      </c>
      <c r="C436" s="889">
        <v>460000</v>
      </c>
      <c r="D436" s="1617"/>
    </row>
    <row r="437" spans="2:4">
      <c r="B437" s="1616" t="s">
        <v>3241</v>
      </c>
      <c r="C437" s="889">
        <v>460000</v>
      </c>
      <c r="D437" s="1617"/>
    </row>
    <row r="438" spans="2:4">
      <c r="B438" s="1616" t="s">
        <v>3550</v>
      </c>
      <c r="C438" s="889">
        <v>450000</v>
      </c>
      <c r="D438" s="1617"/>
    </row>
    <row r="439" spans="2:4">
      <c r="B439" s="1616" t="s">
        <v>3330</v>
      </c>
      <c r="C439" s="889">
        <v>450000</v>
      </c>
      <c r="D439" s="1617"/>
    </row>
    <row r="440" spans="2:4">
      <c r="B440" s="1616" t="s">
        <v>3078</v>
      </c>
      <c r="C440" s="889">
        <v>450000</v>
      </c>
      <c r="D440" s="1617"/>
    </row>
    <row r="441" spans="2:4">
      <c r="B441" s="1616" t="s">
        <v>3945</v>
      </c>
      <c r="C441" s="889">
        <v>450000</v>
      </c>
      <c r="D441" s="1617"/>
    </row>
    <row r="442" spans="2:4">
      <c r="B442" s="1616" t="s">
        <v>3946</v>
      </c>
      <c r="C442" s="889">
        <v>450000</v>
      </c>
      <c r="D442" s="1617"/>
    </row>
    <row r="443" spans="2:4">
      <c r="B443" s="1616" t="s">
        <v>3296</v>
      </c>
      <c r="C443" s="889">
        <v>425000</v>
      </c>
      <c r="D443" s="1617"/>
    </row>
    <row r="444" spans="2:4">
      <c r="B444" s="1616" t="s">
        <v>3304</v>
      </c>
      <c r="C444" s="889">
        <v>420000</v>
      </c>
      <c r="D444" s="1617"/>
    </row>
    <row r="445" spans="2:4">
      <c r="B445" s="1616" t="s">
        <v>3329</v>
      </c>
      <c r="C445" s="889">
        <v>400000</v>
      </c>
      <c r="D445" s="1617"/>
    </row>
    <row r="446" spans="2:4">
      <c r="B446" s="1616" t="s">
        <v>3302</v>
      </c>
      <c r="C446" s="889">
        <v>400000</v>
      </c>
      <c r="D446" s="1617"/>
    </row>
    <row r="447" spans="2:4">
      <c r="B447" s="1616" t="s">
        <v>3168</v>
      </c>
      <c r="C447" s="889">
        <v>400000</v>
      </c>
      <c r="D447" s="1617"/>
    </row>
    <row r="448" spans="2:4">
      <c r="B448" s="1616" t="s">
        <v>3317</v>
      </c>
      <c r="C448" s="889">
        <v>400000</v>
      </c>
      <c r="D448" s="1617"/>
    </row>
    <row r="449" spans="2:4">
      <c r="B449" s="1616" t="s">
        <v>3345</v>
      </c>
      <c r="C449" s="889">
        <v>400000</v>
      </c>
      <c r="D449" s="1617"/>
    </row>
    <row r="450" spans="2:4">
      <c r="B450" s="1616" t="s">
        <v>3339</v>
      </c>
      <c r="C450" s="889">
        <v>390000</v>
      </c>
      <c r="D450" s="1617"/>
    </row>
    <row r="451" spans="2:4">
      <c r="B451" s="1616" t="s">
        <v>3228</v>
      </c>
      <c r="C451" s="889">
        <v>390000</v>
      </c>
      <c r="D451" s="1617"/>
    </row>
    <row r="452" spans="2:4">
      <c r="B452" s="1616" t="s">
        <v>3269</v>
      </c>
      <c r="C452" s="889">
        <v>388177</v>
      </c>
      <c r="D452" s="1617"/>
    </row>
    <row r="453" spans="2:4">
      <c r="B453" s="1616" t="s">
        <v>3346</v>
      </c>
      <c r="C453" s="889">
        <v>385000</v>
      </c>
      <c r="D453" s="1617"/>
    </row>
    <row r="454" spans="2:4">
      <c r="B454" s="1616" t="s">
        <v>3303</v>
      </c>
      <c r="C454" s="889">
        <v>380000</v>
      </c>
      <c r="D454" s="1617"/>
    </row>
    <row r="455" spans="2:4">
      <c r="B455" s="1616" t="s">
        <v>3320</v>
      </c>
      <c r="C455" s="889">
        <v>380000</v>
      </c>
      <c r="D455" s="1617"/>
    </row>
    <row r="456" spans="2:4">
      <c r="B456" s="1616" t="s">
        <v>3052</v>
      </c>
      <c r="C456" s="889">
        <v>380000</v>
      </c>
      <c r="D456" s="1617"/>
    </row>
    <row r="457" spans="2:4">
      <c r="B457" s="1616" t="s">
        <v>3328</v>
      </c>
      <c r="C457" s="889">
        <v>360000</v>
      </c>
      <c r="D457" s="1617"/>
    </row>
    <row r="458" spans="2:4">
      <c r="B458" s="1616" t="s">
        <v>3253</v>
      </c>
      <c r="C458" s="889">
        <v>360000</v>
      </c>
      <c r="D458" s="1617"/>
    </row>
    <row r="459" spans="2:4">
      <c r="B459" s="1616" t="s">
        <v>3254</v>
      </c>
      <c r="C459" s="889">
        <v>360000</v>
      </c>
      <c r="D459" s="1617"/>
    </row>
    <row r="460" spans="2:4">
      <c r="B460" s="1837" t="s">
        <v>3323</v>
      </c>
      <c r="C460" s="889">
        <v>350000</v>
      </c>
      <c r="D460" s="1617"/>
    </row>
    <row r="461" spans="2:4">
      <c r="B461" s="1837" t="s">
        <v>3947</v>
      </c>
      <c r="C461" s="889">
        <v>350000</v>
      </c>
      <c r="D461" s="1617"/>
    </row>
    <row r="462" spans="2:4">
      <c r="B462" s="1837" t="s">
        <v>3250</v>
      </c>
      <c r="C462" s="889">
        <v>340000</v>
      </c>
      <c r="D462" s="1617"/>
    </row>
    <row r="463" spans="2:4">
      <c r="B463" s="1837" t="s">
        <v>3948</v>
      </c>
      <c r="C463" s="889">
        <v>337500</v>
      </c>
      <c r="D463" s="1617"/>
    </row>
    <row r="464" spans="2:4">
      <c r="B464" s="1837" t="s">
        <v>3360</v>
      </c>
      <c r="C464" s="889">
        <v>320000</v>
      </c>
      <c r="D464" s="1617"/>
    </row>
    <row r="465" spans="2:4">
      <c r="B465" s="1837" t="s">
        <v>3135</v>
      </c>
      <c r="C465" s="889">
        <v>320000</v>
      </c>
      <c r="D465" s="1617"/>
    </row>
    <row r="466" spans="2:4">
      <c r="B466" s="1837" t="s">
        <v>3353</v>
      </c>
      <c r="C466" s="889">
        <v>320000</v>
      </c>
      <c r="D466" s="1617"/>
    </row>
    <row r="467" spans="2:4">
      <c r="B467" s="1837" t="s">
        <v>3315</v>
      </c>
      <c r="C467" s="889">
        <v>320000</v>
      </c>
      <c r="D467" s="1617"/>
    </row>
    <row r="468" spans="2:4">
      <c r="B468" s="1837" t="s">
        <v>3949</v>
      </c>
      <c r="C468" s="889">
        <v>320000</v>
      </c>
      <c r="D468" s="1617"/>
    </row>
    <row r="469" spans="2:4">
      <c r="B469" s="1837" t="s">
        <v>3950</v>
      </c>
      <c r="C469" s="889">
        <v>320000</v>
      </c>
      <c r="D469" s="1617"/>
    </row>
    <row r="470" spans="2:4">
      <c r="B470" s="1837" t="s">
        <v>3332</v>
      </c>
      <c r="C470" s="889">
        <v>300000</v>
      </c>
      <c r="D470" s="1617"/>
    </row>
    <row r="471" spans="2:4">
      <c r="B471" s="1837" t="s">
        <v>3182</v>
      </c>
      <c r="C471" s="889">
        <v>300000</v>
      </c>
      <c r="D471" s="1617"/>
    </row>
    <row r="472" spans="2:4">
      <c r="B472" s="1837" t="s">
        <v>3357</v>
      </c>
      <c r="C472" s="889">
        <v>300000</v>
      </c>
      <c r="D472" s="1617"/>
    </row>
    <row r="473" spans="2:4">
      <c r="B473" s="1837" t="s">
        <v>3256</v>
      </c>
      <c r="C473" s="889">
        <v>300000</v>
      </c>
      <c r="D473" s="1617"/>
    </row>
    <row r="474" spans="2:4">
      <c r="B474" s="1837" t="s">
        <v>3358</v>
      </c>
      <c r="C474" s="889">
        <v>300000</v>
      </c>
      <c r="D474" s="1617"/>
    </row>
    <row r="475" spans="2:4">
      <c r="B475" s="1837" t="s">
        <v>3951</v>
      </c>
      <c r="C475" s="889">
        <v>300000</v>
      </c>
      <c r="D475" s="1617"/>
    </row>
    <row r="476" spans="2:4">
      <c r="B476" s="1837" t="s">
        <v>3552</v>
      </c>
      <c r="C476" s="889">
        <v>285000</v>
      </c>
      <c r="D476" s="1617"/>
    </row>
    <row r="477" spans="2:4">
      <c r="B477" s="1837" t="s">
        <v>3952</v>
      </c>
      <c r="C477" s="889">
        <v>280000</v>
      </c>
      <c r="D477" s="1617"/>
    </row>
    <row r="478" spans="2:4">
      <c r="B478" s="1837" t="s">
        <v>3953</v>
      </c>
      <c r="C478" s="889">
        <v>272727</v>
      </c>
      <c r="D478" s="1617"/>
    </row>
    <row r="479" spans="2:4">
      <c r="B479" s="1837" t="s">
        <v>3553</v>
      </c>
      <c r="C479" s="889">
        <v>270000</v>
      </c>
      <c r="D479" s="1617"/>
    </row>
    <row r="480" spans="2:4">
      <c r="B480" s="1837" t="s">
        <v>3954</v>
      </c>
      <c r="C480" s="889">
        <v>265000</v>
      </c>
      <c r="D480" s="1617"/>
    </row>
    <row r="481" spans="2:4">
      <c r="B481" s="1837" t="s">
        <v>3183</v>
      </c>
      <c r="C481" s="889">
        <v>260000</v>
      </c>
      <c r="D481" s="1617"/>
    </row>
    <row r="482" spans="2:4">
      <c r="B482" s="1837" t="s">
        <v>3555</v>
      </c>
      <c r="C482" s="889">
        <v>250000</v>
      </c>
      <c r="D482" s="1617"/>
    </row>
    <row r="483" spans="2:4">
      <c r="B483" s="1837" t="s">
        <v>3556</v>
      </c>
      <c r="C483" s="889">
        <v>250000</v>
      </c>
      <c r="D483" s="1617"/>
    </row>
    <row r="484" spans="2:4">
      <c r="B484" s="1837" t="s">
        <v>3955</v>
      </c>
      <c r="C484" s="889">
        <v>250000</v>
      </c>
      <c r="D484" s="1617"/>
    </row>
    <row r="485" spans="2:4">
      <c r="B485" s="1837" t="s">
        <v>3557</v>
      </c>
      <c r="C485" s="889">
        <v>240000</v>
      </c>
      <c r="D485" s="1617"/>
    </row>
    <row r="486" spans="2:4">
      <c r="B486" s="1837" t="s">
        <v>3558</v>
      </c>
      <c r="C486" s="889">
        <v>240000</v>
      </c>
      <c r="D486" s="1617"/>
    </row>
    <row r="487" spans="2:4">
      <c r="B487" s="1837" t="s">
        <v>3321</v>
      </c>
      <c r="C487" s="889">
        <v>230000</v>
      </c>
      <c r="D487" s="1617"/>
    </row>
    <row r="488" spans="2:4">
      <c r="B488" s="1837" t="s">
        <v>3298</v>
      </c>
      <c r="C488" s="889">
        <v>211000</v>
      </c>
      <c r="D488" s="1617"/>
    </row>
    <row r="489" spans="2:4">
      <c r="B489" s="1837" t="s">
        <v>3350</v>
      </c>
      <c r="C489" s="889">
        <v>210000</v>
      </c>
      <c r="D489" s="1617"/>
    </row>
    <row r="490" spans="2:4">
      <c r="B490" s="1837" t="s">
        <v>3956</v>
      </c>
      <c r="C490" s="889">
        <v>210000</v>
      </c>
      <c r="D490" s="1617"/>
    </row>
    <row r="491" spans="2:4">
      <c r="B491" s="1837" t="s">
        <v>3349</v>
      </c>
      <c r="C491" s="889">
        <v>202135</v>
      </c>
      <c r="D491" s="1617"/>
    </row>
    <row r="492" spans="2:4">
      <c r="B492" s="1837" t="s">
        <v>3561</v>
      </c>
      <c r="C492" s="889">
        <v>200000</v>
      </c>
      <c r="D492" s="1617"/>
    </row>
    <row r="493" spans="2:4">
      <c r="B493" s="1837" t="s">
        <v>3560</v>
      </c>
      <c r="C493" s="889">
        <v>200000</v>
      </c>
      <c r="D493" s="1617"/>
    </row>
    <row r="494" spans="2:4">
      <c r="B494" s="1837" t="s">
        <v>3369</v>
      </c>
      <c r="C494" s="889">
        <v>200000</v>
      </c>
      <c r="D494" s="1617"/>
    </row>
    <row r="495" spans="2:4">
      <c r="B495" s="1837" t="s">
        <v>3217</v>
      </c>
      <c r="C495" s="889">
        <v>200000</v>
      </c>
      <c r="D495" s="1617"/>
    </row>
    <row r="496" spans="2:4">
      <c r="B496" s="1837" t="s">
        <v>3359</v>
      </c>
      <c r="C496" s="889">
        <v>200000</v>
      </c>
      <c r="D496" s="1617"/>
    </row>
    <row r="497" spans="2:4">
      <c r="B497" s="1837" t="s">
        <v>3208</v>
      </c>
      <c r="C497" s="889">
        <v>200000</v>
      </c>
      <c r="D497" s="1617"/>
    </row>
    <row r="498" spans="2:4">
      <c r="B498" s="1837" t="s">
        <v>3335</v>
      </c>
      <c r="C498" s="889">
        <v>200000</v>
      </c>
      <c r="D498" s="1617"/>
    </row>
    <row r="499" spans="2:4">
      <c r="B499" s="1837" t="s">
        <v>3368</v>
      </c>
      <c r="C499" s="889">
        <v>200000</v>
      </c>
      <c r="D499" s="1617"/>
    </row>
    <row r="500" spans="2:4">
      <c r="B500" s="1837" t="s">
        <v>3366</v>
      </c>
      <c r="C500" s="889">
        <v>200000</v>
      </c>
      <c r="D500" s="1617"/>
    </row>
    <row r="501" spans="2:4">
      <c r="B501" s="1837" t="s">
        <v>3131</v>
      </c>
      <c r="C501" s="889">
        <v>200000</v>
      </c>
      <c r="D501" s="1617"/>
    </row>
    <row r="502" spans="2:4">
      <c r="B502" s="1837" t="s">
        <v>3119</v>
      </c>
      <c r="C502" s="889">
        <v>200000</v>
      </c>
      <c r="D502" s="1617"/>
    </row>
    <row r="503" spans="2:4">
      <c r="B503" s="1837" t="s">
        <v>3123</v>
      </c>
      <c r="C503" s="889">
        <v>200000</v>
      </c>
      <c r="D503" s="1617"/>
    </row>
    <row r="504" spans="2:4">
      <c r="B504" s="1837" t="s">
        <v>3316</v>
      </c>
      <c r="C504" s="889">
        <v>200000</v>
      </c>
      <c r="D504" s="1617"/>
    </row>
    <row r="505" spans="2:4">
      <c r="B505" s="1837" t="s">
        <v>3957</v>
      </c>
      <c r="C505" s="889">
        <v>200000</v>
      </c>
      <c r="D505" s="1617"/>
    </row>
    <row r="506" spans="2:4">
      <c r="B506" s="1837" t="s">
        <v>3958</v>
      </c>
      <c r="C506" s="889">
        <v>200000</v>
      </c>
      <c r="D506" s="1617"/>
    </row>
    <row r="507" spans="2:4">
      <c r="B507" s="1837" t="s">
        <v>3375</v>
      </c>
      <c r="C507" s="889">
        <v>186000</v>
      </c>
      <c r="D507" s="1617"/>
    </row>
    <row r="508" spans="2:4">
      <c r="B508" s="1837" t="s">
        <v>3195</v>
      </c>
      <c r="C508" s="889">
        <v>180000</v>
      </c>
      <c r="D508" s="1617"/>
    </row>
    <row r="509" spans="2:4">
      <c r="B509" s="1837" t="s">
        <v>3255</v>
      </c>
      <c r="C509" s="889">
        <v>180000</v>
      </c>
      <c r="D509" s="1617"/>
    </row>
    <row r="510" spans="2:4">
      <c r="B510" s="1837" t="s">
        <v>3251</v>
      </c>
      <c r="C510" s="889">
        <v>180000</v>
      </c>
      <c r="D510" s="1617"/>
    </row>
    <row r="511" spans="2:4">
      <c r="B511" s="1837" t="s">
        <v>3342</v>
      </c>
      <c r="C511" s="889">
        <v>180000</v>
      </c>
      <c r="D511" s="1617"/>
    </row>
    <row r="512" spans="2:4">
      <c r="B512" s="1837" t="s">
        <v>3562</v>
      </c>
      <c r="C512" s="889">
        <v>180000</v>
      </c>
      <c r="D512" s="1617"/>
    </row>
    <row r="513" spans="2:4">
      <c r="B513" s="1837" t="s">
        <v>3959</v>
      </c>
      <c r="C513" s="889">
        <v>180000</v>
      </c>
      <c r="D513" s="1617"/>
    </row>
    <row r="514" spans="2:4">
      <c r="B514" s="1837" t="s">
        <v>3960</v>
      </c>
      <c r="C514" s="889">
        <v>180000</v>
      </c>
      <c r="D514" s="1617"/>
    </row>
    <row r="515" spans="2:4">
      <c r="B515" s="1837" t="s">
        <v>3574</v>
      </c>
      <c r="C515" s="889">
        <v>175000</v>
      </c>
      <c r="D515" s="1617"/>
    </row>
    <row r="516" spans="2:4">
      <c r="B516" s="1837" t="s">
        <v>3362</v>
      </c>
      <c r="C516" s="889">
        <v>174000</v>
      </c>
      <c r="D516" s="1617"/>
    </row>
    <row r="517" spans="2:4">
      <c r="B517" s="1837" t="s">
        <v>3961</v>
      </c>
      <c r="C517" s="889">
        <v>173600</v>
      </c>
      <c r="D517" s="1617"/>
    </row>
    <row r="518" spans="2:4">
      <c r="B518" s="1837" t="s">
        <v>3563</v>
      </c>
      <c r="C518" s="889">
        <v>170000</v>
      </c>
      <c r="D518" s="1617"/>
    </row>
    <row r="519" spans="2:4">
      <c r="B519" s="1837" t="s">
        <v>3333</v>
      </c>
      <c r="C519" s="889">
        <v>160000</v>
      </c>
      <c r="D519" s="1617"/>
    </row>
    <row r="520" spans="2:4">
      <c r="B520" s="1837" t="s">
        <v>3173</v>
      </c>
      <c r="C520" s="889">
        <v>160000</v>
      </c>
      <c r="D520" s="1617"/>
    </row>
    <row r="521" spans="2:4">
      <c r="B521" s="1837" t="s">
        <v>3962</v>
      </c>
      <c r="C521" s="889">
        <v>160000</v>
      </c>
      <c r="D521" s="1617"/>
    </row>
    <row r="522" spans="2:4">
      <c r="B522" s="1837" t="s">
        <v>3963</v>
      </c>
      <c r="C522" s="889">
        <v>160000</v>
      </c>
      <c r="D522" s="1617"/>
    </row>
    <row r="523" spans="2:4">
      <c r="B523" s="1837" t="s">
        <v>3964</v>
      </c>
      <c r="C523" s="889">
        <v>160000</v>
      </c>
      <c r="D523" s="1617"/>
    </row>
    <row r="524" spans="2:4">
      <c r="B524" s="1837" t="s">
        <v>3965</v>
      </c>
      <c r="C524" s="889">
        <v>160000</v>
      </c>
      <c r="D524" s="1617"/>
    </row>
    <row r="525" spans="2:4">
      <c r="B525" s="1837" t="s">
        <v>3966</v>
      </c>
      <c r="C525" s="889">
        <v>160000</v>
      </c>
      <c r="D525" s="1617"/>
    </row>
    <row r="526" spans="2:4">
      <c r="B526" s="1837" t="s">
        <v>3967</v>
      </c>
      <c r="C526" s="889">
        <v>160000</v>
      </c>
      <c r="D526" s="1617"/>
    </row>
    <row r="527" spans="2:4">
      <c r="B527" s="1837" t="s">
        <v>3968</v>
      </c>
      <c r="C527" s="889">
        <v>160000</v>
      </c>
      <c r="D527" s="1617"/>
    </row>
    <row r="528" spans="2:4">
      <c r="B528" s="1837" t="s">
        <v>3280</v>
      </c>
      <c r="C528" s="889">
        <v>150000</v>
      </c>
      <c r="D528" s="1617"/>
    </row>
    <row r="529" spans="2:4">
      <c r="B529" s="1837" t="s">
        <v>3565</v>
      </c>
      <c r="C529" s="889">
        <v>150000</v>
      </c>
      <c r="D529" s="1617"/>
    </row>
    <row r="530" spans="2:4">
      <c r="B530" s="1837" t="s">
        <v>3564</v>
      </c>
      <c r="C530" s="889">
        <v>150000</v>
      </c>
      <c r="D530" s="1617"/>
    </row>
    <row r="531" spans="2:4">
      <c r="B531" s="1837" t="s">
        <v>3268</v>
      </c>
      <c r="C531" s="889">
        <v>150000</v>
      </c>
      <c r="D531" s="1617"/>
    </row>
    <row r="532" spans="2:4">
      <c r="B532" s="1837" t="s">
        <v>3969</v>
      </c>
      <c r="C532" s="889">
        <v>150000</v>
      </c>
      <c r="D532" s="1617"/>
    </row>
    <row r="533" spans="2:4">
      <c r="B533" s="1837" t="s">
        <v>3566</v>
      </c>
      <c r="C533" s="889">
        <v>140000</v>
      </c>
      <c r="D533" s="1617"/>
    </row>
    <row r="534" spans="2:4">
      <c r="B534" s="1837" t="s">
        <v>3355</v>
      </c>
      <c r="C534" s="889">
        <v>140000</v>
      </c>
      <c r="D534" s="1617"/>
    </row>
    <row r="535" spans="2:4">
      <c r="B535" s="1837" t="s">
        <v>3252</v>
      </c>
      <c r="C535" s="889">
        <v>140000</v>
      </c>
      <c r="D535" s="1617"/>
    </row>
    <row r="536" spans="2:4">
      <c r="B536" s="1837" t="s">
        <v>3363</v>
      </c>
      <c r="C536" s="889">
        <v>140000</v>
      </c>
      <c r="D536" s="1617"/>
    </row>
    <row r="537" spans="2:4">
      <c r="B537" s="1837" t="s">
        <v>3970</v>
      </c>
      <c r="C537" s="889">
        <v>140000</v>
      </c>
      <c r="D537" s="1617"/>
    </row>
    <row r="538" spans="2:4">
      <c r="B538" s="1837" t="s">
        <v>3971</v>
      </c>
      <c r="C538" s="889">
        <v>140000</v>
      </c>
      <c r="D538" s="1617"/>
    </row>
    <row r="539" spans="2:4">
      <c r="B539" s="1837" t="s">
        <v>3567</v>
      </c>
      <c r="C539" s="889">
        <v>132000</v>
      </c>
      <c r="D539" s="1617"/>
    </row>
    <row r="540" spans="2:4">
      <c r="B540" s="1837" t="s">
        <v>3365</v>
      </c>
      <c r="C540" s="889">
        <v>120000</v>
      </c>
      <c r="D540" s="1617"/>
    </row>
    <row r="541" spans="2:4">
      <c r="B541" s="1837" t="s">
        <v>3218</v>
      </c>
      <c r="C541" s="889">
        <v>120000</v>
      </c>
      <c r="D541" s="1617"/>
    </row>
    <row r="542" spans="2:4">
      <c r="B542" s="1837" t="s">
        <v>3361</v>
      </c>
      <c r="C542" s="889">
        <v>120000</v>
      </c>
      <c r="D542" s="1617"/>
    </row>
    <row r="543" spans="2:4">
      <c r="B543" s="1837" t="s">
        <v>3972</v>
      </c>
      <c r="C543" s="889">
        <v>120000</v>
      </c>
      <c r="D543" s="1617"/>
    </row>
    <row r="544" spans="2:4">
      <c r="B544" s="1837" t="s">
        <v>3973</v>
      </c>
      <c r="C544" s="889">
        <v>120000</v>
      </c>
      <c r="D544" s="1617"/>
    </row>
    <row r="545" spans="2:4">
      <c r="B545" s="1837" t="s">
        <v>3974</v>
      </c>
      <c r="C545" s="889">
        <v>115910</v>
      </c>
      <c r="D545" s="1617"/>
    </row>
    <row r="546" spans="2:4">
      <c r="B546" s="1837" t="s">
        <v>2120</v>
      </c>
      <c r="C546" s="889">
        <v>110000</v>
      </c>
      <c r="D546" s="1617"/>
    </row>
    <row r="547" spans="2:4">
      <c r="B547" s="1837" t="s">
        <v>3341</v>
      </c>
      <c r="C547" s="889">
        <v>110000</v>
      </c>
      <c r="D547" s="1617"/>
    </row>
    <row r="548" spans="2:4">
      <c r="B548" s="1837" t="s">
        <v>3354</v>
      </c>
      <c r="C548" s="889">
        <v>110000</v>
      </c>
      <c r="D548" s="1617"/>
    </row>
    <row r="549" spans="2:4">
      <c r="B549" s="1837" t="s">
        <v>3569</v>
      </c>
      <c r="C549" s="889">
        <v>105000</v>
      </c>
      <c r="D549" s="1617"/>
    </row>
    <row r="550" spans="2:4">
      <c r="B550" s="1837" t="s">
        <v>3308</v>
      </c>
      <c r="C550" s="889">
        <v>100000</v>
      </c>
      <c r="D550" s="1617"/>
    </row>
    <row r="551" spans="2:4">
      <c r="B551" s="1837" t="s">
        <v>3570</v>
      </c>
      <c r="C551" s="889">
        <v>100000</v>
      </c>
      <c r="D551" s="1617"/>
    </row>
    <row r="552" spans="2:4">
      <c r="B552" s="1837" t="s">
        <v>3213</v>
      </c>
      <c r="C552" s="889">
        <v>100000</v>
      </c>
      <c r="D552" s="1617"/>
    </row>
    <row r="553" spans="2:4">
      <c r="B553" s="1837" t="s">
        <v>3294</v>
      </c>
      <c r="C553" s="889">
        <v>100000</v>
      </c>
      <c r="D553" s="1617"/>
    </row>
    <row r="554" spans="2:4">
      <c r="B554" s="1837" t="s">
        <v>3572</v>
      </c>
      <c r="C554" s="889">
        <v>100000</v>
      </c>
      <c r="D554" s="1617"/>
    </row>
    <row r="555" spans="2:4">
      <c r="B555" s="1837" t="s">
        <v>3571</v>
      </c>
      <c r="C555" s="889">
        <v>100000</v>
      </c>
      <c r="D555" s="1617"/>
    </row>
    <row r="556" spans="2:4">
      <c r="B556" s="1837" t="s">
        <v>3975</v>
      </c>
      <c r="C556" s="889">
        <v>100000</v>
      </c>
      <c r="D556" s="1617"/>
    </row>
    <row r="557" spans="2:4">
      <c r="B557" s="1837" t="s">
        <v>3976</v>
      </c>
      <c r="C557" s="889">
        <v>100000</v>
      </c>
      <c r="D557" s="1617"/>
    </row>
    <row r="558" spans="2:4">
      <c r="B558" s="1837" t="s">
        <v>3977</v>
      </c>
      <c r="C558" s="889">
        <v>100000</v>
      </c>
      <c r="D558" s="1617"/>
    </row>
    <row r="559" spans="2:4">
      <c r="B559" s="1837" t="s">
        <v>3573</v>
      </c>
      <c r="C559" s="889">
        <v>96000</v>
      </c>
      <c r="D559" s="1617"/>
    </row>
    <row r="560" spans="2:4">
      <c r="B560" s="1837" t="s">
        <v>3348</v>
      </c>
      <c r="C560" s="889">
        <v>81730</v>
      </c>
      <c r="D560" s="1617"/>
    </row>
    <row r="561" spans="2:4">
      <c r="B561" s="1837" t="s">
        <v>3351</v>
      </c>
      <c r="C561" s="889">
        <v>80000</v>
      </c>
      <c r="D561" s="1617"/>
    </row>
    <row r="562" spans="2:4">
      <c r="B562" s="1837" t="s">
        <v>3364</v>
      </c>
      <c r="C562" s="889">
        <v>70000</v>
      </c>
      <c r="D562" s="1617"/>
    </row>
    <row r="563" spans="2:4">
      <c r="B563" s="1837" t="s">
        <v>3978</v>
      </c>
      <c r="C563" s="889">
        <v>70000</v>
      </c>
      <c r="D563" s="1617"/>
    </row>
    <row r="564" spans="2:4">
      <c r="B564" s="1837" t="s">
        <v>3979</v>
      </c>
      <c r="C564" s="889">
        <v>60000</v>
      </c>
      <c r="D564" s="1617"/>
    </row>
    <row r="565" spans="2:4">
      <c r="B565" s="1837" t="s">
        <v>3575</v>
      </c>
      <c r="C565" s="889">
        <v>60000</v>
      </c>
      <c r="D565" s="1617"/>
    </row>
    <row r="566" spans="2:4">
      <c r="B566" s="1837" t="s">
        <v>3980</v>
      </c>
      <c r="C566" s="889">
        <v>60000</v>
      </c>
      <c r="D566" s="1617"/>
    </row>
    <row r="567" spans="2:4">
      <c r="B567" s="1837" t="s">
        <v>3371</v>
      </c>
      <c r="C567" s="889">
        <v>50000</v>
      </c>
      <c r="D567" s="1617"/>
    </row>
    <row r="568" spans="2:4">
      <c r="B568" s="1837" t="s">
        <v>3981</v>
      </c>
      <c r="C568" s="889">
        <v>50000</v>
      </c>
      <c r="D568" s="1617"/>
    </row>
    <row r="569" spans="2:4">
      <c r="B569" s="1837" t="s">
        <v>3982</v>
      </c>
      <c r="C569" s="889">
        <v>50000</v>
      </c>
      <c r="D569" s="1617"/>
    </row>
    <row r="570" spans="2:4">
      <c r="B570" s="1837" t="s">
        <v>3983</v>
      </c>
      <c r="C570" s="889">
        <v>50000</v>
      </c>
      <c r="D570" s="1617"/>
    </row>
    <row r="571" spans="2:4">
      <c r="B571" s="1837" t="s">
        <v>3984</v>
      </c>
      <c r="C571" s="889">
        <v>50000</v>
      </c>
      <c r="D571" s="1617"/>
    </row>
    <row r="572" spans="2:4">
      <c r="B572" s="1837" t="s">
        <v>3289</v>
      </c>
      <c r="C572" s="889">
        <v>45000</v>
      </c>
      <c r="D572" s="1617"/>
    </row>
    <row r="573" spans="2:4">
      <c r="B573" s="1837" t="s">
        <v>3576</v>
      </c>
      <c r="C573" s="889">
        <v>40000</v>
      </c>
      <c r="D573" s="1617"/>
    </row>
    <row r="574" spans="2:4">
      <c r="B574" s="1837" t="s">
        <v>3577</v>
      </c>
      <c r="C574" s="889">
        <v>40000</v>
      </c>
      <c r="D574" s="1617"/>
    </row>
    <row r="575" spans="2:4">
      <c r="B575" s="1837" t="s">
        <v>3367</v>
      </c>
      <c r="C575" s="889">
        <v>40000</v>
      </c>
      <c r="D575" s="1617"/>
    </row>
    <row r="576" spans="2:4">
      <c r="B576" s="1837" t="s">
        <v>3372</v>
      </c>
      <c r="C576" s="889">
        <v>30000</v>
      </c>
      <c r="D576" s="1617"/>
    </row>
    <row r="577" spans="2:4">
      <c r="B577" s="1837" t="s">
        <v>3578</v>
      </c>
      <c r="C577" s="889">
        <v>25542</v>
      </c>
      <c r="D577" s="1617"/>
    </row>
    <row r="578" spans="2:4">
      <c r="B578" s="1837" t="s">
        <v>3229</v>
      </c>
      <c r="C578" s="889">
        <v>25000</v>
      </c>
      <c r="D578" s="1617"/>
    </row>
    <row r="579" spans="2:4">
      <c r="B579" s="1837" t="s">
        <v>3319</v>
      </c>
      <c r="C579" s="889">
        <v>24000</v>
      </c>
      <c r="D579" s="1617"/>
    </row>
    <row r="580" spans="2:4">
      <c r="B580" s="1837" t="s">
        <v>3568</v>
      </c>
      <c r="C580" s="889">
        <v>0</v>
      </c>
      <c r="D580" s="1617"/>
    </row>
    <row r="581" spans="2:4">
      <c r="B581" s="1837" t="s">
        <v>3985</v>
      </c>
      <c r="C581" s="889">
        <v>0</v>
      </c>
      <c r="D581" s="1617"/>
    </row>
    <row r="582" spans="2:4">
      <c r="B582" s="1837" t="s">
        <v>3986</v>
      </c>
      <c r="C582" s="889">
        <v>0</v>
      </c>
      <c r="D582" s="1617"/>
    </row>
    <row r="583" spans="2:4">
      <c r="B583" s="1837" t="s">
        <v>3373</v>
      </c>
      <c r="C583" s="889">
        <v>-25000</v>
      </c>
      <c r="D583" s="1617"/>
    </row>
    <row r="584" spans="2:4">
      <c r="B584" s="1837" t="s">
        <v>3987</v>
      </c>
      <c r="C584" s="889">
        <v>-60000</v>
      </c>
      <c r="D584" s="1617"/>
    </row>
    <row r="585" spans="2:4" ht="17.25" thickBot="1">
      <c r="B585" s="1618" t="s">
        <v>3092</v>
      </c>
      <c r="C585" s="1622">
        <v>-9156000</v>
      </c>
      <c r="D585" s="1619"/>
    </row>
  </sheetData>
  <mergeCells count="2">
    <mergeCell ref="B17:B18"/>
    <mergeCell ref="B27:B28"/>
  </mergeCells>
  <phoneticPr fontId="3"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 operator="containsText" id="{1E167728-B120-4E2A-BAE7-26BFCD6ABB4E}">
            <xm:f>NOT(ISERROR(SEARCH("FALSE",A1)))</xm:f>
            <xm:f>"FALSE"</xm:f>
            <x14:dxf>
              <fill>
                <patternFill>
                  <bgColor theme="5"/>
                </patternFill>
              </fill>
            </x14:dxf>
          </x14:cfRule>
          <x14:cfRule type="containsText" priority="2" operator="containsText" id="{D6010C97-2E4E-4C34-AE27-326402148429}">
            <xm:f>NOT(ISERROR(SEARCH("TRUE",A1)))</xm:f>
            <xm:f>"TRUE"</xm:f>
            <x14:dxf>
              <fill>
                <patternFill>
                  <bgColor theme="9" tint="0.79998168889431442"/>
                </patternFill>
              </fill>
            </x14:dxf>
          </x14:cfRule>
          <xm:sqref>A1:XFD28 A29:G29 I29:XFD29 A30:XFD32 A33:E33 H33:XFD33 A34:XFD1048576</xm:sqref>
        </x14:conditionalFormatting>
      </x14:conditionalFormattings>
    </ext>
  </extLst>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codeName="Sheet77"/>
  <dimension ref="A2:G89"/>
  <sheetViews>
    <sheetView showGridLines="0" zoomScale="85" zoomScaleNormal="85" workbookViewId="0">
      <selection activeCell="C11" sqref="C11"/>
    </sheetView>
  </sheetViews>
  <sheetFormatPr defaultColWidth="9" defaultRowHeight="16.5"/>
  <cols>
    <col min="1" max="1" width="16.75" style="889" customWidth="1"/>
    <col min="2" max="5" width="33.625" style="889" customWidth="1"/>
    <col min="6" max="6" width="16.375" style="889" customWidth="1"/>
    <col min="7" max="7" width="13.625" style="889" bestFit="1" customWidth="1"/>
    <col min="8" max="16384" width="9" style="889"/>
  </cols>
  <sheetData>
    <row r="2" spans="2:5">
      <c r="B2" s="860" t="s">
        <v>2112</v>
      </c>
      <c r="C2" s="917" t="s">
        <v>2244</v>
      </c>
      <c r="D2" s="418"/>
      <c r="E2" s="418"/>
    </row>
    <row r="3" spans="2:5">
      <c r="B3" s="861"/>
      <c r="C3" s="418"/>
      <c r="D3" s="418"/>
      <c r="E3" s="418"/>
    </row>
    <row r="4" spans="2:5">
      <c r="B4" s="862" t="s">
        <v>2113</v>
      </c>
      <c r="C4" s="418"/>
      <c r="D4" s="418"/>
      <c r="E4" s="418"/>
    </row>
    <row r="5" spans="2:5">
      <c r="B5" s="783" t="s">
        <v>257</v>
      </c>
      <c r="C5" s="1846" t="s">
        <v>3999</v>
      </c>
      <c r="D5" s="1847" t="s">
        <v>340</v>
      </c>
      <c r="E5" s="1848" t="s">
        <v>4000</v>
      </c>
    </row>
    <row r="6" spans="2:5">
      <c r="B6" s="1849" t="s">
        <v>4001</v>
      </c>
      <c r="C6" s="1850" t="s">
        <v>4002</v>
      </c>
      <c r="D6" s="1850" t="s">
        <v>4002</v>
      </c>
      <c r="E6" s="1851" t="s">
        <v>4001</v>
      </c>
    </row>
    <row r="7" spans="2:5">
      <c r="B7" s="1849" t="s">
        <v>4003</v>
      </c>
      <c r="C7" s="1850" t="s">
        <v>3874</v>
      </c>
      <c r="D7" s="1850" t="s">
        <v>3874</v>
      </c>
      <c r="E7" s="1851" t="s">
        <v>4004</v>
      </c>
    </row>
    <row r="8" spans="2:5">
      <c r="B8" s="1849" t="s">
        <v>2114</v>
      </c>
      <c r="C8" s="1850" t="s">
        <v>3478</v>
      </c>
      <c r="D8" s="1850" t="s">
        <v>4005</v>
      </c>
      <c r="E8" s="1851" t="s">
        <v>2115</v>
      </c>
    </row>
    <row r="9" spans="2:5">
      <c r="B9" s="1852" t="s">
        <v>337</v>
      </c>
      <c r="C9" s="1850" t="s">
        <v>2117</v>
      </c>
      <c r="D9" s="1850" t="s">
        <v>2117</v>
      </c>
      <c r="E9" s="1851" t="s">
        <v>2118</v>
      </c>
    </row>
    <row r="10" spans="2:5">
      <c r="B10" s="1853" t="s">
        <v>2116</v>
      </c>
      <c r="C10" s="1850" t="s">
        <v>4006</v>
      </c>
      <c r="D10" s="1850" t="s">
        <v>4006</v>
      </c>
      <c r="E10" s="1851" t="s">
        <v>2119</v>
      </c>
    </row>
    <row r="11" spans="2:5">
      <c r="B11" s="1854"/>
      <c r="C11" s="1855" t="s">
        <v>2120</v>
      </c>
      <c r="D11" s="1855" t="s">
        <v>2120</v>
      </c>
      <c r="E11" s="1856" t="s">
        <v>4007</v>
      </c>
    </row>
    <row r="12" spans="2:5">
      <c r="B12" s="862"/>
      <c r="C12" s="418"/>
      <c r="D12" s="418"/>
      <c r="E12" s="418"/>
    </row>
    <row r="13" spans="2:5">
      <c r="B13" s="862"/>
      <c r="C13" s="418"/>
      <c r="D13" s="418"/>
      <c r="E13" s="418"/>
    </row>
    <row r="14" spans="2:5">
      <c r="B14" s="862" t="s">
        <v>2121</v>
      </c>
      <c r="C14" s="418"/>
      <c r="D14" s="418"/>
      <c r="E14" s="418"/>
    </row>
    <row r="15" spans="2:5">
      <c r="C15" s="418"/>
      <c r="D15" s="418"/>
      <c r="E15" s="863" t="s">
        <v>368</v>
      </c>
    </row>
    <row r="16" spans="2:5" ht="13.5" customHeight="1">
      <c r="B16" s="2101" t="s">
        <v>257</v>
      </c>
      <c r="C16" s="2113" t="s">
        <v>351</v>
      </c>
      <c r="D16" s="2115" t="s">
        <v>328</v>
      </c>
      <c r="E16" s="2116"/>
    </row>
    <row r="17" spans="1:5">
      <c r="B17" s="2102"/>
      <c r="C17" s="2114"/>
      <c r="D17" s="784" t="s">
        <v>118</v>
      </c>
      <c r="E17" s="784" t="s">
        <v>87</v>
      </c>
    </row>
    <row r="18" spans="1:5">
      <c r="A18" s="889" t="s">
        <v>3991</v>
      </c>
      <c r="B18" s="866" t="s">
        <v>4003</v>
      </c>
      <c r="C18" s="890" t="s">
        <v>3874</v>
      </c>
      <c r="D18" s="852">
        <v>16574500</v>
      </c>
      <c r="E18" s="852" t="s">
        <v>274</v>
      </c>
    </row>
    <row r="19" spans="1:5">
      <c r="A19" s="889" t="s">
        <v>3991</v>
      </c>
      <c r="B19" s="2178" t="s">
        <v>2122</v>
      </c>
      <c r="C19" s="1857" t="s">
        <v>2120</v>
      </c>
      <c r="D19" s="1862">
        <v>110000</v>
      </c>
      <c r="E19" s="1863">
        <v>0</v>
      </c>
    </row>
    <row r="20" spans="1:5">
      <c r="A20" s="889" t="s">
        <v>3991</v>
      </c>
      <c r="B20" s="2106"/>
      <c r="C20" s="884" t="s">
        <v>4008</v>
      </c>
      <c r="D20" s="853">
        <v>0</v>
      </c>
      <c r="E20" s="880">
        <v>11889</v>
      </c>
    </row>
    <row r="21" spans="1:5" ht="13.5" customHeight="1">
      <c r="B21" s="2174" t="s">
        <v>144</v>
      </c>
      <c r="C21" s="2175"/>
      <c r="D21" s="853">
        <f>SUM(D18:D20)</f>
        <v>16684500</v>
      </c>
      <c r="E21" s="853">
        <f>SUM(E18:E20)</f>
        <v>11889</v>
      </c>
    </row>
    <row r="22" spans="1:5">
      <c r="B22" s="861"/>
      <c r="C22" s="418"/>
      <c r="D22" s="418"/>
      <c r="E22" s="418"/>
    </row>
    <row r="23" spans="1:5">
      <c r="B23" s="862" t="s">
        <v>2123</v>
      </c>
      <c r="C23" s="418"/>
      <c r="D23" s="418"/>
      <c r="E23" s="418"/>
    </row>
    <row r="24" spans="1:5">
      <c r="C24" s="418"/>
      <c r="D24" s="418"/>
      <c r="E24" s="863" t="s">
        <v>368</v>
      </c>
    </row>
    <row r="25" spans="1:5" ht="13.5" customHeight="1">
      <c r="B25" s="2066" t="s">
        <v>257</v>
      </c>
      <c r="C25" s="2064" t="s">
        <v>351</v>
      </c>
      <c r="D25" s="2176" t="s">
        <v>328</v>
      </c>
      <c r="E25" s="2177"/>
    </row>
    <row r="26" spans="1:5">
      <c r="B26" s="2067"/>
      <c r="C26" s="2065"/>
      <c r="D26" s="864" t="s">
        <v>2124</v>
      </c>
      <c r="E26" s="864" t="s">
        <v>88</v>
      </c>
    </row>
    <row r="27" spans="1:5">
      <c r="A27" s="889" t="s">
        <v>3991</v>
      </c>
      <c r="B27" s="866" t="s">
        <v>4003</v>
      </c>
      <c r="C27" s="890" t="s">
        <v>3874</v>
      </c>
      <c r="D27" s="852" t="s">
        <v>274</v>
      </c>
      <c r="E27" s="852">
        <v>1880000</v>
      </c>
    </row>
    <row r="28" spans="1:5">
      <c r="A28" s="889" t="s">
        <v>3991</v>
      </c>
      <c r="B28" s="866" t="s">
        <v>2122</v>
      </c>
      <c r="C28" s="890" t="s">
        <v>2120</v>
      </c>
      <c r="D28" s="852">
        <v>0</v>
      </c>
      <c r="E28" s="852">
        <v>0</v>
      </c>
    </row>
    <row r="29" spans="1:5" ht="13.5" customHeight="1">
      <c r="B29" s="2174" t="s">
        <v>144</v>
      </c>
      <c r="C29" s="2175"/>
      <c r="D29" s="853">
        <f>SUM(D27:D28)</f>
        <v>0</v>
      </c>
      <c r="E29" s="853">
        <f>SUM(E27:E28)</f>
        <v>1880000</v>
      </c>
    </row>
    <row r="30" spans="1:5">
      <c r="B30" s="418"/>
      <c r="C30" s="418"/>
      <c r="D30" s="418"/>
      <c r="E30" s="418"/>
    </row>
    <row r="31" spans="1:5">
      <c r="B31" s="889" t="s">
        <v>2125</v>
      </c>
      <c r="C31" s="418"/>
      <c r="D31" s="418"/>
      <c r="E31" s="418"/>
    </row>
    <row r="32" spans="1:5">
      <c r="B32" s="862" t="s">
        <v>2126</v>
      </c>
      <c r="C32" s="418"/>
      <c r="D32" s="418"/>
      <c r="E32" s="418"/>
    </row>
    <row r="33" spans="1:5">
      <c r="C33" s="418"/>
      <c r="D33" s="418"/>
      <c r="E33" s="863" t="s">
        <v>368</v>
      </c>
    </row>
    <row r="34" spans="1:5" ht="13.5" customHeight="1">
      <c r="B34" s="2066" t="s">
        <v>257</v>
      </c>
      <c r="C34" s="2064" t="s">
        <v>351</v>
      </c>
      <c r="D34" s="2176" t="s">
        <v>328</v>
      </c>
      <c r="E34" s="2177"/>
    </row>
    <row r="35" spans="1:5">
      <c r="B35" s="2067"/>
      <c r="C35" s="2065"/>
      <c r="D35" s="864" t="s">
        <v>10</v>
      </c>
      <c r="E35" s="864" t="s">
        <v>399</v>
      </c>
    </row>
    <row r="36" spans="1:5">
      <c r="A36" s="889" t="s">
        <v>403</v>
      </c>
      <c r="B36" s="866" t="s">
        <v>4003</v>
      </c>
      <c r="C36" s="890" t="s">
        <v>3874</v>
      </c>
      <c r="D36" s="852">
        <v>0</v>
      </c>
      <c r="E36" s="852">
        <v>6000000</v>
      </c>
    </row>
    <row r="37" spans="1:5">
      <c r="A37" s="889" t="s">
        <v>3412</v>
      </c>
      <c r="B37" s="866" t="s">
        <v>2122</v>
      </c>
      <c r="C37" s="890" t="s">
        <v>4014</v>
      </c>
      <c r="D37" s="852">
        <v>0</v>
      </c>
      <c r="E37" s="852">
        <v>1253346150</v>
      </c>
    </row>
    <row r="38" spans="1:5" ht="13.5" customHeight="1">
      <c r="B38" s="2174" t="s">
        <v>144</v>
      </c>
      <c r="C38" s="2175"/>
      <c r="D38" s="853">
        <f>D37</f>
        <v>0</v>
      </c>
      <c r="E38" s="853">
        <f>SUM(E36:E37)</f>
        <v>1259346150</v>
      </c>
    </row>
    <row r="39" spans="1:5">
      <c r="B39" s="418"/>
      <c r="C39" s="418"/>
      <c r="D39" s="418"/>
      <c r="E39" s="418"/>
    </row>
    <row r="40" spans="1:5">
      <c r="B40" s="862" t="s">
        <v>2127</v>
      </c>
      <c r="C40" s="418"/>
      <c r="D40" s="418"/>
      <c r="E40" s="418"/>
    </row>
    <row r="41" spans="1:5">
      <c r="C41" s="418"/>
      <c r="D41" s="418"/>
      <c r="E41" s="863" t="s">
        <v>368</v>
      </c>
    </row>
    <row r="42" spans="1:5" ht="13.5" customHeight="1">
      <c r="B42" s="2066" t="s">
        <v>257</v>
      </c>
      <c r="C42" s="2064" t="s">
        <v>351</v>
      </c>
      <c r="D42" s="2176" t="s">
        <v>328</v>
      </c>
      <c r="E42" s="2177"/>
    </row>
    <row r="43" spans="1:5">
      <c r="B43" s="2067"/>
      <c r="C43" s="2065"/>
      <c r="D43" s="864" t="s">
        <v>48</v>
      </c>
      <c r="E43" s="864" t="s">
        <v>400</v>
      </c>
    </row>
    <row r="44" spans="1:5">
      <c r="A44" s="889" t="s">
        <v>403</v>
      </c>
      <c r="B44" s="866" t="s">
        <v>4003</v>
      </c>
      <c r="C44" s="865" t="s">
        <v>3874</v>
      </c>
      <c r="D44" s="852">
        <v>0</v>
      </c>
      <c r="E44" s="852">
        <v>2068000</v>
      </c>
    </row>
    <row r="45" spans="1:5">
      <c r="A45" s="889" t="s">
        <v>3992</v>
      </c>
      <c r="B45" s="866" t="s">
        <v>2122</v>
      </c>
      <c r="C45" s="865" t="s">
        <v>4015</v>
      </c>
      <c r="D45" s="852">
        <v>0</v>
      </c>
      <c r="E45" s="852">
        <v>3818120937</v>
      </c>
    </row>
    <row r="46" spans="1:5" ht="13.5" customHeight="1">
      <c r="B46" s="2174" t="s">
        <v>144</v>
      </c>
      <c r="C46" s="2175"/>
      <c r="D46" s="853">
        <f>D45</f>
        <v>0</v>
      </c>
      <c r="E46" s="853">
        <f>SUM(E44:E45)</f>
        <v>3820188937</v>
      </c>
    </row>
    <row r="47" spans="1:5">
      <c r="B47" s="861"/>
      <c r="C47" s="418"/>
      <c r="D47" s="418"/>
      <c r="E47" s="418"/>
    </row>
    <row r="48" spans="1:5">
      <c r="B48" s="889" t="s">
        <v>2128</v>
      </c>
      <c r="C48" s="418"/>
      <c r="D48" s="418"/>
      <c r="E48" s="418"/>
    </row>
    <row r="49" spans="2:7">
      <c r="B49" s="1858" t="s">
        <v>257</v>
      </c>
      <c r="C49" s="1845" t="s">
        <v>326</v>
      </c>
      <c r="D49" s="1845" t="s">
        <v>2219</v>
      </c>
      <c r="E49" s="1845" t="s">
        <v>4009</v>
      </c>
      <c r="F49" s="1845" t="s">
        <v>602</v>
      </c>
      <c r="G49" s="1859" t="s">
        <v>327</v>
      </c>
    </row>
    <row r="50" spans="2:7">
      <c r="B50" s="867" t="s">
        <v>4010</v>
      </c>
      <c r="C50" s="853">
        <v>1250001</v>
      </c>
      <c r="D50" s="853">
        <v>0</v>
      </c>
      <c r="E50" s="853">
        <v>1250001</v>
      </c>
      <c r="F50" s="853">
        <v>1189000000</v>
      </c>
      <c r="G50" s="880">
        <f>C50+D50-E50+F50</f>
        <v>1189000000</v>
      </c>
    </row>
    <row r="51" spans="2:7">
      <c r="C51" s="418"/>
      <c r="D51" s="418"/>
      <c r="E51" s="418"/>
    </row>
    <row r="52" spans="2:7">
      <c r="B52" s="889" t="s">
        <v>2129</v>
      </c>
      <c r="C52" s="418"/>
      <c r="D52" s="418"/>
      <c r="E52" s="418"/>
    </row>
    <row r="53" spans="2:7">
      <c r="B53" s="889" t="s">
        <v>2130</v>
      </c>
      <c r="C53" s="418"/>
      <c r="D53" s="418"/>
      <c r="E53" s="418"/>
    </row>
    <row r="54" spans="2:7">
      <c r="C54" s="418"/>
      <c r="D54" s="863" t="s">
        <v>1874</v>
      </c>
      <c r="E54" s="418"/>
    </row>
    <row r="55" spans="2:7">
      <c r="B55" s="783" t="s">
        <v>2131</v>
      </c>
      <c r="C55" s="870" t="s">
        <v>2132</v>
      </c>
      <c r="D55" s="871" t="s">
        <v>2133</v>
      </c>
      <c r="E55" s="418"/>
    </row>
    <row r="56" spans="2:7">
      <c r="B56" s="867" t="s">
        <v>4011</v>
      </c>
      <c r="C56" s="908" t="s">
        <v>2135</v>
      </c>
      <c r="D56" s="880">
        <v>840000000</v>
      </c>
      <c r="E56" s="418"/>
    </row>
    <row r="57" spans="2:7">
      <c r="B57" s="861"/>
      <c r="C57" s="418"/>
      <c r="D57" s="418"/>
      <c r="E57" s="418"/>
    </row>
    <row r="58" spans="2:7">
      <c r="B58" s="889" t="s">
        <v>2136</v>
      </c>
      <c r="D58" s="418"/>
      <c r="E58" s="418"/>
    </row>
    <row r="59" spans="2:7">
      <c r="B59" s="889" t="s">
        <v>2137</v>
      </c>
      <c r="C59" s="418"/>
      <c r="D59" s="418"/>
      <c r="E59" s="418"/>
    </row>
    <row r="60" spans="2:7">
      <c r="C60" s="863" t="s">
        <v>1874</v>
      </c>
      <c r="D60" s="418"/>
    </row>
    <row r="61" spans="2:7">
      <c r="B61" s="783" t="s">
        <v>2138</v>
      </c>
      <c r="C61" s="900" t="s">
        <v>328</v>
      </c>
      <c r="D61" s="418"/>
    </row>
    <row r="62" spans="2:7">
      <c r="B62" s="774" t="s">
        <v>2139</v>
      </c>
      <c r="C62" s="877">
        <f>C69+C76+C86</f>
        <v>524343152</v>
      </c>
      <c r="D62" s="1651" t="s">
        <v>3401</v>
      </c>
    </row>
    <row r="63" spans="2:7">
      <c r="B63" s="774" t="s">
        <v>178</v>
      </c>
      <c r="C63" s="877">
        <f t="shared" ref="C63:C64" si="0">C70+C77+C87</f>
        <v>78262824</v>
      </c>
      <c r="D63" s="418"/>
    </row>
    <row r="64" spans="2:7">
      <c r="B64" s="774" t="s">
        <v>2140</v>
      </c>
      <c r="C64" s="877">
        <f t="shared" si="0"/>
        <v>0</v>
      </c>
      <c r="D64" s="418"/>
    </row>
    <row r="65" spans="2:4">
      <c r="B65" s="867" t="s">
        <v>144</v>
      </c>
      <c r="C65" s="878">
        <f>SUM(C62:C64)</f>
        <v>602605976</v>
      </c>
      <c r="D65" s="418"/>
    </row>
    <row r="67" spans="2:4">
      <c r="B67" s="889" t="s">
        <v>403</v>
      </c>
    </row>
    <row r="68" spans="2:4">
      <c r="B68" s="783" t="s">
        <v>2138</v>
      </c>
      <c r="C68" s="900" t="s">
        <v>328</v>
      </c>
    </row>
    <row r="69" spans="2:4">
      <c r="B69" s="774" t="s">
        <v>2139</v>
      </c>
      <c r="C69" s="1860">
        <v>426383762</v>
      </c>
    </row>
    <row r="70" spans="2:4">
      <c r="B70" s="774" t="s">
        <v>178</v>
      </c>
      <c r="C70" s="1861">
        <v>78262824</v>
      </c>
    </row>
    <row r="71" spans="2:4">
      <c r="B71" s="774" t="s">
        <v>2140</v>
      </c>
      <c r="C71" s="877">
        <v>0</v>
      </c>
    </row>
    <row r="72" spans="2:4">
      <c r="B72" s="867" t="s">
        <v>144</v>
      </c>
      <c r="C72" s="878">
        <f>SUM(C69:C71)</f>
        <v>504646586</v>
      </c>
    </row>
    <row r="74" spans="2:4">
      <c r="B74" s="889" t="s">
        <v>1401</v>
      </c>
    </row>
    <row r="75" spans="2:4">
      <c r="B75" s="783" t="s">
        <v>2138</v>
      </c>
      <c r="C75" s="900" t="s">
        <v>328</v>
      </c>
    </row>
    <row r="76" spans="2:4">
      <c r="B76" s="774" t="s">
        <v>2139</v>
      </c>
      <c r="C76" s="877">
        <f>ROUND(C81*C82,)</f>
        <v>97959390</v>
      </c>
    </row>
    <row r="77" spans="2:4">
      <c r="B77" s="774" t="s">
        <v>178</v>
      </c>
      <c r="C77" s="877"/>
    </row>
    <row r="78" spans="2:4">
      <c r="B78" s="774" t="s">
        <v>2140</v>
      </c>
      <c r="C78" s="877"/>
    </row>
    <row r="79" spans="2:4">
      <c r="B79" s="867" t="s">
        <v>144</v>
      </c>
      <c r="C79" s="878"/>
    </row>
    <row r="80" spans="2:4" ht="17.25" thickBot="1"/>
    <row r="81" spans="2:4" ht="17.25" thickBot="1">
      <c r="B81" s="1625" t="s">
        <v>3602</v>
      </c>
      <c r="C81" s="1626">
        <v>516500</v>
      </c>
      <c r="D81" s="889" t="s">
        <v>1401</v>
      </c>
    </row>
    <row r="82" spans="2:4" ht="17.25" thickBot="1">
      <c r="B82" s="1625" t="s">
        <v>414</v>
      </c>
      <c r="C82" s="1730">
        <f>환율변동효과!B4</f>
        <v>189.66</v>
      </c>
    </row>
    <row r="84" spans="2:4">
      <c r="B84" s="889" t="s">
        <v>3412</v>
      </c>
    </row>
    <row r="85" spans="2:4">
      <c r="B85" s="783" t="s">
        <v>2138</v>
      </c>
      <c r="C85" s="900" t="s">
        <v>328</v>
      </c>
    </row>
    <row r="86" spans="2:4">
      <c r="B86" s="774" t="s">
        <v>2139</v>
      </c>
      <c r="C86" s="877"/>
      <c r="D86" s="889" t="s">
        <v>4013</v>
      </c>
    </row>
    <row r="87" spans="2:4">
      <c r="B87" s="774" t="s">
        <v>178</v>
      </c>
      <c r="C87" s="877"/>
      <c r="D87" s="889" t="s">
        <v>4012</v>
      </c>
    </row>
    <row r="88" spans="2:4">
      <c r="B88" s="774" t="s">
        <v>2140</v>
      </c>
      <c r="C88" s="877"/>
      <c r="D88" s="889" t="s">
        <v>4012</v>
      </c>
    </row>
    <row r="89" spans="2:4">
      <c r="B89" s="867" t="s">
        <v>144</v>
      </c>
      <c r="C89" s="878"/>
    </row>
  </sheetData>
  <mergeCells count="17">
    <mergeCell ref="B46:C46"/>
    <mergeCell ref="B34:B35"/>
    <mergeCell ref="C34:C35"/>
    <mergeCell ref="D34:E34"/>
    <mergeCell ref="B38:C38"/>
    <mergeCell ref="B16:B17"/>
    <mergeCell ref="C16:C17"/>
    <mergeCell ref="D16:E16"/>
    <mergeCell ref="B21:C21"/>
    <mergeCell ref="B42:B43"/>
    <mergeCell ref="C42:C43"/>
    <mergeCell ref="D42:E42"/>
    <mergeCell ref="B19:B20"/>
    <mergeCell ref="B25:B26"/>
    <mergeCell ref="C25:C26"/>
    <mergeCell ref="D25:E25"/>
    <mergeCell ref="B29:C29"/>
  </mergeCells>
  <phoneticPr fontId="3" type="noConversion"/>
  <pageMargins left="0.7" right="0.7" top="0.75" bottom="0.75" header="0.3" footer="0.3"/>
  <pageSetup paperSize="9" orientation="portrait" r:id="rId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4EBA7-2517-48A7-92D2-3DB114B934AC}">
  <dimension ref="B4:F9"/>
  <sheetViews>
    <sheetView showGridLines="0" zoomScale="85" zoomScaleNormal="85" workbookViewId="0">
      <selection activeCell="E23" sqref="E23"/>
    </sheetView>
  </sheetViews>
  <sheetFormatPr defaultRowHeight="16.5"/>
  <cols>
    <col min="1" max="1" width="9" style="418"/>
    <col min="2" max="2" width="25.625" style="418" customWidth="1"/>
    <col min="3" max="4" width="10.875" style="418" bestFit="1" customWidth="1"/>
    <col min="5" max="16384" width="9" style="418"/>
  </cols>
  <sheetData>
    <row r="4" spans="2:6">
      <c r="B4" s="418" t="s">
        <v>3989</v>
      </c>
    </row>
    <row r="5" spans="2:6">
      <c r="B5" s="876"/>
      <c r="C5" s="863"/>
    </row>
    <row r="6" spans="2:6">
      <c r="B6" s="2101" t="s">
        <v>257</v>
      </c>
      <c r="C6" s="2115" t="s">
        <v>3004</v>
      </c>
      <c r="D6" s="2116"/>
      <c r="E6" s="2115" t="s">
        <v>340</v>
      </c>
      <c r="F6" s="2179"/>
    </row>
    <row r="7" spans="2:6">
      <c r="B7" s="2102"/>
      <c r="C7" s="784" t="s">
        <v>2920</v>
      </c>
      <c r="D7" s="784" t="s">
        <v>2926</v>
      </c>
      <c r="E7" s="784" t="s">
        <v>2920</v>
      </c>
      <c r="F7" s="1838" t="s">
        <v>2926</v>
      </c>
    </row>
    <row r="8" spans="2:6">
      <c r="B8" s="774" t="s">
        <v>3781</v>
      </c>
      <c r="C8" s="852">
        <v>0</v>
      </c>
      <c r="D8" s="852">
        <f>BS!X118</f>
        <v>77758201</v>
      </c>
      <c r="E8" s="852">
        <v>0</v>
      </c>
      <c r="F8" s="879">
        <v>0</v>
      </c>
    </row>
    <row r="9" spans="2:6">
      <c r="B9" s="898"/>
      <c r="C9" s="1839"/>
      <c r="D9" s="1637" t="b">
        <f>D8=연결BS!D94</f>
        <v>1</v>
      </c>
      <c r="E9" s="1637"/>
      <c r="F9" s="1637" t="b">
        <f>F8=연결BS!E94</f>
        <v>1</v>
      </c>
    </row>
  </sheetData>
  <mergeCells count="3">
    <mergeCell ref="B6:B7"/>
    <mergeCell ref="C6:D6"/>
    <mergeCell ref="E6:F6"/>
  </mergeCells>
  <phoneticPr fontId="3" type="noConversion"/>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9B67D-4AFC-4A8A-84A5-52F0DCA7196B}">
  <dimension ref="B1:D51"/>
  <sheetViews>
    <sheetView showGridLines="0" tabSelected="1" zoomScale="85" zoomScaleNormal="85" workbookViewId="0">
      <selection activeCell="L24" sqref="L24"/>
    </sheetView>
  </sheetViews>
  <sheetFormatPr defaultRowHeight="16.5"/>
  <cols>
    <col min="1" max="1" width="2.375" style="1656" customWidth="1"/>
    <col min="2" max="2" width="41.5" style="1656" customWidth="1"/>
    <col min="3" max="3" width="17.75" style="1656" customWidth="1"/>
    <col min="4" max="16384" width="9" style="1656"/>
  </cols>
  <sheetData>
    <row r="1" spans="2:4">
      <c r="B1" s="199" t="s">
        <v>4057</v>
      </c>
    </row>
    <row r="2" spans="2:4">
      <c r="B2" s="1875" t="s">
        <v>360</v>
      </c>
      <c r="C2" s="1867" t="s">
        <v>4036</v>
      </c>
    </row>
    <row r="3" spans="2:4">
      <c r="B3" s="1876"/>
      <c r="C3" s="1868" t="s">
        <v>4026</v>
      </c>
    </row>
    <row r="4" spans="2:4">
      <c r="B4" s="1869" t="s">
        <v>4027</v>
      </c>
      <c r="C4" s="1870"/>
    </row>
    <row r="5" spans="2:4">
      <c r="B5" s="1869" t="s">
        <v>4028</v>
      </c>
      <c r="C5" s="879">
        <v>8000000000</v>
      </c>
    </row>
    <row r="6" spans="2:4">
      <c r="B6" s="1869" t="s">
        <v>4050</v>
      </c>
      <c r="C6" s="879">
        <v>16999999500</v>
      </c>
      <c r="D6" s="1656" t="s">
        <v>4051</v>
      </c>
    </row>
    <row r="7" spans="2:4">
      <c r="B7" s="1869" t="s">
        <v>4029</v>
      </c>
      <c r="C7" s="879"/>
    </row>
    <row r="8" spans="2:4">
      <c r="B8" s="1869" t="s">
        <v>4030</v>
      </c>
      <c r="C8" s="879">
        <f>BS!N8</f>
        <v>677182600</v>
      </c>
    </row>
    <row r="9" spans="2:4">
      <c r="B9" s="1869" t="s">
        <v>4037</v>
      </c>
      <c r="C9" s="879">
        <f>BS!N13+BS!N15</f>
        <v>291839099</v>
      </c>
    </row>
    <row r="10" spans="2:4">
      <c r="B10" s="1869" t="s">
        <v>4038</v>
      </c>
      <c r="C10" s="879">
        <f>BS!N17+BS!N18+BS!N21</f>
        <v>687146404</v>
      </c>
    </row>
    <row r="11" spans="2:4">
      <c r="B11" s="1869" t="s">
        <v>4039</v>
      </c>
      <c r="C11" s="879">
        <f>BS!N10</f>
        <v>1000000000</v>
      </c>
    </row>
    <row r="12" spans="2:4">
      <c r="B12" s="1869" t="s">
        <v>4042</v>
      </c>
      <c r="C12" s="879">
        <f>BS!N22</f>
        <v>2610430</v>
      </c>
    </row>
    <row r="13" spans="2:4">
      <c r="B13" s="1869" t="s">
        <v>4031</v>
      </c>
      <c r="C13" s="879">
        <f>BS!N24</f>
        <v>0</v>
      </c>
    </row>
    <row r="14" spans="2:4">
      <c r="B14" s="1869" t="s">
        <v>4032</v>
      </c>
      <c r="C14" s="879">
        <f>BS!N48</f>
        <v>1539612650</v>
      </c>
    </row>
    <row r="15" spans="2:4">
      <c r="B15" s="1869" t="s">
        <v>4033</v>
      </c>
      <c r="C15" s="879">
        <f>BS!N68+SUM(C30:C32)</f>
        <v>16879349887</v>
      </c>
    </row>
    <row r="16" spans="2:4">
      <c r="B16" s="1869" t="s">
        <v>4040</v>
      </c>
      <c r="C16" s="879">
        <f>BS!N81</f>
        <v>466873197</v>
      </c>
    </row>
    <row r="17" spans="2:3">
      <c r="B17" s="1869" t="s">
        <v>4041</v>
      </c>
      <c r="C17" s="879">
        <f>BS!N78+BS!N79+BS!N80+BS!N83</f>
        <v>328959219</v>
      </c>
    </row>
    <row r="18" spans="2:3">
      <c r="B18" s="1869" t="s">
        <v>4043</v>
      </c>
      <c r="C18" s="879">
        <f>-BS!N92-BS!N98</f>
        <v>-4279081771</v>
      </c>
    </row>
    <row r="19" spans="2:3">
      <c r="B19" s="1869" t="s">
        <v>4044</v>
      </c>
      <c r="C19" s="879">
        <f>-BS!N95</f>
        <v>-4747430895</v>
      </c>
    </row>
    <row r="20" spans="2:3">
      <c r="B20" s="1869" t="s">
        <v>4045</v>
      </c>
      <c r="C20" s="879">
        <f>-BS!N102</f>
        <v>-362078348</v>
      </c>
    </row>
    <row r="21" spans="2:3">
      <c r="B21" s="1869" t="s">
        <v>4046</v>
      </c>
      <c r="C21" s="879">
        <f>-BS!N116-BS!N117</f>
        <v>-299694899</v>
      </c>
    </row>
    <row r="22" spans="2:3">
      <c r="B22" s="1869" t="s">
        <v>4047</v>
      </c>
      <c r="C22" s="879">
        <f>-BS!N113</f>
        <v>-735901979</v>
      </c>
    </row>
    <row r="23" spans="2:3">
      <c r="B23" s="1869" t="s">
        <v>4034</v>
      </c>
      <c r="C23" s="879">
        <f>-BS!N118</f>
        <v>-77758201</v>
      </c>
    </row>
    <row r="24" spans="2:3">
      <c r="B24" s="1869" t="s">
        <v>4049</v>
      </c>
      <c r="C24" s="879">
        <f>-C33</f>
        <v>-2449625188</v>
      </c>
    </row>
    <row r="25" spans="2:3">
      <c r="B25" s="1869" t="s">
        <v>259</v>
      </c>
      <c r="C25" s="879">
        <f>SUM(C8:C24)</f>
        <v>8922002205</v>
      </c>
    </row>
    <row r="26" spans="2:3">
      <c r="B26" s="1871" t="s">
        <v>1530</v>
      </c>
      <c r="C26" s="879">
        <f>ATGC!E153</f>
        <v>117986065</v>
      </c>
    </row>
    <row r="27" spans="2:3">
      <c r="B27" s="1872" t="s">
        <v>4035</v>
      </c>
      <c r="C27" s="880">
        <f>(SUM(C5:C6)-C25+C26)</f>
        <v>16195983360</v>
      </c>
    </row>
    <row r="29" spans="2:3">
      <c r="B29" s="1874" t="s">
        <v>4048</v>
      </c>
    </row>
    <row r="30" spans="2:3">
      <c r="B30" s="1656" t="s">
        <v>3822</v>
      </c>
      <c r="C30" s="1684">
        <f>ATGC!C157</f>
        <v>6097155442</v>
      </c>
    </row>
    <row r="31" spans="2:3">
      <c r="B31" s="1656" t="s">
        <v>38</v>
      </c>
      <c r="C31" s="1684">
        <f>ATGC!C158</f>
        <v>384243995</v>
      </c>
    </row>
    <row r="32" spans="2:3">
      <c r="B32" s="1656" t="s">
        <v>3823</v>
      </c>
      <c r="C32" s="1684">
        <f>ATGC!C159</f>
        <v>4653260562</v>
      </c>
    </row>
    <row r="33" spans="2:3">
      <c r="B33" s="1656" t="s">
        <v>2439</v>
      </c>
      <c r="C33" s="1684">
        <f>ATGC!E157</f>
        <v>2449625188</v>
      </c>
    </row>
    <row r="35" spans="2:3">
      <c r="B35" s="1656" t="s">
        <v>3025</v>
      </c>
      <c r="C35" s="1873">
        <f>ATGC!C156</f>
        <v>16195983360</v>
      </c>
    </row>
    <row r="36" spans="2:3">
      <c r="C36" s="1873">
        <f>C35-C27</f>
        <v>0</v>
      </c>
    </row>
    <row r="37" spans="2:3">
      <c r="C37" s="1873"/>
    </row>
    <row r="38" spans="2:3">
      <c r="B38" s="199" t="s">
        <v>4056</v>
      </c>
    </row>
    <row r="39" spans="2:3">
      <c r="B39" s="1195" t="s">
        <v>257</v>
      </c>
      <c r="C39" s="1196" t="s">
        <v>3412</v>
      </c>
    </row>
    <row r="40" spans="2:3">
      <c r="B40" s="1273" t="s">
        <v>4052</v>
      </c>
      <c r="C40" s="852">
        <f>C5</f>
        <v>8000000000</v>
      </c>
    </row>
    <row r="41" spans="2:3">
      <c r="B41" s="1273" t="s">
        <v>4053</v>
      </c>
      <c r="C41" s="852">
        <f>-C8</f>
        <v>-677182600</v>
      </c>
    </row>
    <row r="42" spans="2:3">
      <c r="B42" s="1636" t="s">
        <v>4054</v>
      </c>
      <c r="C42" s="853">
        <f>SUM(C40:C41)</f>
        <v>7322817400</v>
      </c>
    </row>
    <row r="44" spans="2:3">
      <c r="B44" s="876" t="s">
        <v>4055</v>
      </c>
      <c r="C44" s="1684">
        <f>연결CF!C52</f>
        <v>7322817400</v>
      </c>
    </row>
    <row r="45" spans="2:3">
      <c r="C45" s="1656" t="b">
        <f>C44=C42</f>
        <v>1</v>
      </c>
    </row>
    <row r="47" spans="2:3">
      <c r="B47" s="199" t="s">
        <v>4058</v>
      </c>
    </row>
    <row r="49" spans="2:3">
      <c r="B49" s="1195" t="s">
        <v>257</v>
      </c>
      <c r="C49" s="1196" t="s">
        <v>3992</v>
      </c>
    </row>
    <row r="50" spans="2:3">
      <c r="B50" s="1273" t="s">
        <v>118</v>
      </c>
      <c r="C50" s="852">
        <f>지분법계산_에이티지씨!C60</f>
        <v>0</v>
      </c>
    </row>
    <row r="51" spans="2:3">
      <c r="B51" s="1636" t="s">
        <v>4059</v>
      </c>
      <c r="C51" s="852">
        <f>지분법계산_에이티지씨!C62</f>
        <v>-5456860857</v>
      </c>
    </row>
  </sheetData>
  <mergeCells count="1">
    <mergeCell ref="B2:B3"/>
  </mergeCells>
  <phoneticPr fontId="3" type="noConversion"/>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codeName="Sheet40"/>
  <dimension ref="A1:D9"/>
  <sheetViews>
    <sheetView workbookViewId="0">
      <selection activeCell="A27" sqref="A27"/>
    </sheetView>
  </sheetViews>
  <sheetFormatPr defaultRowHeight="16.5"/>
  <cols>
    <col min="1" max="1" width="14.125" customWidth="1"/>
    <col min="2" max="2" width="12.875" style="1497" bestFit="1" customWidth="1"/>
    <col min="3" max="3" width="15.375" style="1498" bestFit="1" customWidth="1"/>
    <col min="4" max="4" width="10.625" style="1497" bestFit="1" customWidth="1"/>
  </cols>
  <sheetData>
    <row r="1" spans="1:4">
      <c r="B1" s="1497" t="s">
        <v>1415</v>
      </c>
      <c r="C1" s="1498" t="s">
        <v>2932</v>
      </c>
      <c r="D1" s="1497" t="s">
        <v>2933</v>
      </c>
    </row>
    <row r="2" spans="1:4">
      <c r="A2" t="s">
        <v>2931</v>
      </c>
      <c r="B2" s="1497">
        <v>37825</v>
      </c>
      <c r="C2" s="1498">
        <v>186.73</v>
      </c>
      <c r="D2" s="1497">
        <f>B2*C2</f>
        <v>7063062.25</v>
      </c>
    </row>
    <row r="4" spans="1:4">
      <c r="B4" s="1497" t="s">
        <v>2902</v>
      </c>
      <c r="C4" s="1498" t="s">
        <v>2934</v>
      </c>
    </row>
    <row r="5" spans="1:4">
      <c r="B5" s="1497">
        <v>0</v>
      </c>
      <c r="C5" s="1497">
        <v>150560253</v>
      </c>
    </row>
    <row r="6" spans="1:4">
      <c r="B6" s="1497">
        <v>151746896</v>
      </c>
      <c r="C6" s="1497">
        <v>112372533</v>
      </c>
    </row>
    <row r="7" spans="1:4">
      <c r="B7" s="1497">
        <v>95077849</v>
      </c>
      <c r="C7" s="1497">
        <v>38512311</v>
      </c>
    </row>
    <row r="8" spans="1:4">
      <c r="B8" s="1497">
        <f>D2</f>
        <v>7063062.25</v>
      </c>
      <c r="C8" s="1497">
        <v>26391940</v>
      </c>
    </row>
    <row r="9" spans="1:4">
      <c r="B9" s="1497">
        <f>SUM(B6:B8)</f>
        <v>253887807.25</v>
      </c>
      <c r="C9" s="1497">
        <f>SUM(C5:C8)</f>
        <v>327837037</v>
      </c>
    </row>
  </sheetData>
  <phoneticPr fontId="3" type="noConversion"/>
  <pageMargins left="0.7" right="0.7" top="0.75" bottom="0.75" header="0.3" footer="0.3"/>
  <pageSetup paperSize="9" orientation="portrait" r:id="rId1"/>
</worksheet>
</file>

<file path=xl/worksheets/sheet81.xml><?xml version="1.0" encoding="utf-8"?>
<worksheet xmlns="http://schemas.openxmlformats.org/spreadsheetml/2006/main">
  <sheetPr>
    <tabColor rgb="001F4E78"/>
    <outlinePr summaryBelow="1" summaryRight="1"/>
    <pageSetUpPr fitToPage="1"/>
  </sheetPr>
  <dimension ref="B1:U151"/>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2" customWidth="1" style="2180" min="1" max="1"/>
    <col width="36" customWidth="1" style="2180" min="2" max="2"/>
    <col width="12" customWidth="1" style="2180" min="3" max="3"/>
    <col width="16" customWidth="1" style="2180" min="4" max="4"/>
    <col width="16" customWidth="1" style="2180" min="5" max="5"/>
    <col width="2" customWidth="1" style="2180" min="6" max="6"/>
    <col width="15" customWidth="1" style="2180" min="7" max="7"/>
    <col width="14" customWidth="1" style="2180" min="8" max="8"/>
    <col width="15" customWidth="1" style="2180" min="9" max="9"/>
    <col width="15" customWidth="1" style="2180" min="10" max="10"/>
    <col width="15" customWidth="1" style="2180" min="11" max="11"/>
    <col width="15" customWidth="1" style="2180" min="12" max="12"/>
    <col width="14" customWidth="1" style="2180" min="13" max="13"/>
    <col width="16" customWidth="1" style="2180" min="14" max="14"/>
    <col width="15" customWidth="1" style="2180" min="15" max="15"/>
    <col width="2" customWidth="1" style="2180" min="16" max="16"/>
    <col width="18" customWidth="1" style="2180" min="17" max="17"/>
    <col width="20" customWidth="1" style="2180" min="18" max="18"/>
    <col width="12" customWidth="1" style="2180" min="19" max="19"/>
    <col width="7" customWidth="1" style="2180" min="20" max="20"/>
    <col width="11" customWidth="1" style="2180" min="21" max="21"/>
  </cols>
  <sheetData>
    <row r="1">
      <c r="B1" s="2181" t="inlineStr">
        <is>
          <t>연결 손익계산서 정산표 (IFRS 18 기준)</t>
        </is>
      </c>
    </row>
    <row r="2">
      <c r="B2" s="2182" t="inlineStr">
        <is>
          <t>※ [연결PL]·[PL] 시트의 금액을 그대로 연동하여 IFRS 18 범주(영업·투자·재무·법인세)로 재분류한 연결 손익 정산표입니다. 재분류는 하단 [부록 1] R열(노란색·파란글씨)에서 변경하면 자동 반영됩니다.</t>
        </is>
      </c>
    </row>
    <row r="3">
      <c r="D3" s="2183">
        <f>연결PL!D1</f>
        <v>46203</v>
      </c>
      <c r="E3" s="2183">
        <f>연결PL!E1</f>
        <v>45838</v>
      </c>
    </row>
    <row r="4" ht="42" customHeight="1" s="2180">
      <c r="B4" s="2184" t="inlineStr">
        <is>
          <t>계정과목</t>
        </is>
      </c>
      <c r="D4" s="2184" t="inlineStr">
        <is>
          <t>당기 연결</t>
        </is>
      </c>
      <c r="E4" s="2184" t="inlineStr">
        <is>
          <t>전기 연결</t>
        </is>
      </c>
      <c r="G4" s="2185" t="str">
        <f>PL!I2</f>
        <v>울트라브이</v>
      </c>
      <c r="H4" s="2185" t="str">
        <f>PL!J2</f>
        <v>울트라브이팜</v>
      </c>
      <c r="I4" s="2185" t="str">
        <f>PL!K2</f>
        <v>ULTRA V HONG KONG LIMITED</v>
      </c>
      <c r="J4" s="2185" t="str">
        <f>PL!L2</f>
        <v>DERMASTER HONG KONG LIMITED	</v>
      </c>
      <c r="K4" s="2185" t="str">
        <f>PL!M2</f>
        <v>ULTRA V SHANGHAI LIMITED	</v>
      </c>
      <c r="L4" s="2185" t="str">
        <f>PL!N2</f>
        <v>ULTRA V (SG) PTE.LTD
(24년 설립)</v>
      </c>
      <c r="M4" s="2185" t="str">
        <f>PL!O2</f>
        <v>ATGC</v>
      </c>
      <c r="N4" s="2184" t="inlineStr">
        <is>
          <t>단순합산</t>
        </is>
      </c>
      <c r="O4" s="2184" t="inlineStr">
        <is>
          <t>연결조정(상계·지분법 등)</t>
        </is>
      </c>
    </row>
    <row r="5">
      <c r="B5" s="2186" t="inlineStr">
        <is>
          <t>Ⅰ. 영업 범주</t>
        </is>
      </c>
      <c r="C5" s="2187" t="n"/>
      <c r="D5" s="2187" t="n"/>
      <c r="E5" s="2187" t="n"/>
      <c r="F5" s="2187" t="n"/>
      <c r="G5" s="2187" t="n"/>
      <c r="H5" s="2187" t="n"/>
      <c r="I5" s="2187" t="n"/>
      <c r="J5" s="2187" t="n"/>
      <c r="K5" s="2187" t="n"/>
      <c r="L5" s="2187" t="n"/>
      <c r="M5" s="2187" t="n"/>
      <c r="N5" s="2187" t="n"/>
      <c r="O5" s="2187" t="n"/>
    </row>
    <row r="6">
      <c r="B6" s="2188" t="inlineStr">
        <is>
          <t>매출액</t>
        </is>
      </c>
      <c r="D6" s="2189">
        <f>SUMIFS(D$69:D$133,$R$69:$R$133,$B6)</f>
        <v>8812244469</v>
      </c>
      <c r="E6" s="2189">
        <f>SUMIFS(E$69:E$133,$R$69:$R$133,$B6)</f>
        <v>9441165967</v>
      </c>
      <c r="G6" s="2189">
        <f>SUMIFS(G$69:G$133,$R$69:$R$133,$B6)</f>
        <v>8288170687</v>
      </c>
      <c r="H6" s="2189">
        <f>SUMIFS(H$69:H$133,$R$69:$R$133,$B6)</f>
        <v>0</v>
      </c>
      <c r="I6" s="2189">
        <f>SUMIFS(I$69:I$133,$R$69:$R$133,$B6)</f>
        <v>807627666</v>
      </c>
      <c r="J6" s="2189">
        <f>SUMIFS(J$69:J$133,$R$69:$R$133,$B6)</f>
        <v>110521930</v>
      </c>
      <c r="K6" s="2189">
        <f>SUMIFS(K$69:K$133,$R$69:$R$133,$B6)</f>
        <v>0</v>
      </c>
      <c r="L6" s="2189">
        <f>SUMIFS(L$69:L$133,$R$69:$R$133,$B6)</f>
        <v>0</v>
      </c>
      <c r="M6" s="2189">
        <f>SUMIFS(M$69:M$133,$R$69:$R$133,$B6)</f>
        <v>0</v>
      </c>
      <c r="N6" s="2189">
        <f>SUMIFS(N$69:N$133,$R$69:$R$133,$B6)</f>
        <v>9206320283</v>
      </c>
      <c r="O6" s="2189">
        <f>SUMIFS(O$69:O$133,$R$69:$R$133,$B6)</f>
        <v>-394075814</v>
      </c>
    </row>
    <row r="7">
      <c r="B7" s="2188" t="inlineStr">
        <is>
          <t>매출원가</t>
        </is>
      </c>
      <c r="D7" s="2189">
        <f>SUMIFS(D$69:D$133,$R$69:$R$133,$B7)</f>
        <v>3634217621</v>
      </c>
      <c r="E7" s="2189">
        <f>SUMIFS(E$69:E$133,$R$69:$R$133,$B7)</f>
        <v>3581100990</v>
      </c>
      <c r="G7" s="2189">
        <f>SUMIFS(G$69:G$133,$R$69:$R$133,$B7)</f>
        <v>3596633522</v>
      </c>
      <c r="H7" s="2189">
        <f>SUMIFS(H$69:H$133,$R$69:$R$133,$B7)</f>
        <v>0</v>
      </c>
      <c r="I7" s="2189">
        <f>SUMIFS(I$69:I$133,$R$69:$R$133,$B7)</f>
        <v>378103308</v>
      </c>
      <c r="J7" s="2189">
        <f>SUMIFS(J$69:J$133,$R$69:$R$133,$B7)</f>
        <v>24568846</v>
      </c>
      <c r="K7" s="2189">
        <f>SUMIFS(K$69:K$133,$R$69:$R$133,$B7)</f>
        <v>0</v>
      </c>
      <c r="L7" s="2189">
        <f>SUMIFS(L$69:L$133,$R$69:$R$133,$B7)</f>
        <v>0</v>
      </c>
      <c r="M7" s="2189">
        <f>SUMIFS(M$69:M$133,$R$69:$R$133,$B7)</f>
        <v>0</v>
      </c>
      <c r="N7" s="2189">
        <f>SUMIFS(N$69:N$133,$R$69:$R$133,$B7)</f>
        <v>3999305676</v>
      </c>
      <c r="O7" s="2189">
        <f>SUMIFS(O$69:O$133,$R$69:$R$133,$B7)</f>
        <v>-365088055</v>
      </c>
    </row>
    <row r="8">
      <c r="B8" s="2190" t="inlineStr">
        <is>
          <t>매출총이익</t>
        </is>
      </c>
      <c r="C8" s="2191" t="n"/>
      <c r="D8" s="2192">
        <f>D6-D7</f>
        <v>5178026848</v>
      </c>
      <c r="E8" s="2192">
        <f>E6-E7</f>
        <v>5860064977</v>
      </c>
      <c r="F8" s="2191" t="n"/>
      <c r="G8" s="2192">
        <f>G6-G7</f>
        <v>4691537165</v>
      </c>
      <c r="H8" s="2192">
        <f>H6-H7</f>
        <v>0</v>
      </c>
      <c r="I8" s="2192">
        <f>I6-I7</f>
        <v>429524358</v>
      </c>
      <c r="J8" s="2192">
        <f>J6-J7</f>
        <v>85953084</v>
      </c>
      <c r="K8" s="2192">
        <f>K6-K7</f>
        <v>0</v>
      </c>
      <c r="L8" s="2192">
        <f>L6-L7</f>
        <v>0</v>
      </c>
      <c r="M8" s="2192">
        <f>M6-M7</f>
        <v>0</v>
      </c>
      <c r="N8" s="2192">
        <f>N6-N7</f>
        <v>5207014607</v>
      </c>
      <c r="O8" s="2192">
        <f>O6-O7</f>
        <v>-28987759</v>
      </c>
    </row>
    <row r="9">
      <c r="B9" s="2188" t="inlineStr">
        <is>
          <t>판매비와관리비</t>
        </is>
      </c>
      <c r="D9" s="2189">
        <f>SUMIFS(D$69:D$133,$R$69:$R$133,$B9)</f>
        <v>5969068326</v>
      </c>
      <c r="E9" s="2189">
        <f>SUMIFS(E$69:E$133,$R$69:$R$133,$B9)</f>
        <v>4763859751</v>
      </c>
      <c r="G9" s="2189">
        <f>SUMIFS(G$69:G$133,$R$69:$R$133,$B9)</f>
        <v>5378351282</v>
      </c>
      <c r="H9" s="2189">
        <f>SUMIFS(H$69:H$133,$R$69:$R$133,$B9)</f>
        <v>0</v>
      </c>
      <c r="I9" s="2189">
        <f>SUMIFS(I$69:I$133,$R$69:$R$133,$B9)</f>
        <v>382954300</v>
      </c>
      <c r="J9" s="2189">
        <f>SUMIFS(J$69:J$133,$R$69:$R$133,$B9)</f>
        <v>182867798</v>
      </c>
      <c r="K9" s="2189">
        <f>SUMIFS(K$69:K$133,$R$69:$R$133,$B9)</f>
        <v>15619049</v>
      </c>
      <c r="L9" s="2189">
        <f>SUMIFS(L$69:L$133,$R$69:$R$133,$B9)</f>
        <v>8656005</v>
      </c>
      <c r="M9" s="2189">
        <f>SUMIFS(M$69:M$133,$R$69:$R$133,$B9)</f>
        <v>0</v>
      </c>
      <c r="N9" s="2189">
        <f>SUMIFS(N$69:N$133,$R$69:$R$133,$B9)</f>
        <v>5968448434</v>
      </c>
      <c r="O9" s="2189">
        <f>SUMIFS(O$69:O$133,$R$69:$R$133,$B9)</f>
        <v>619892</v>
      </c>
    </row>
    <row r="10">
      <c r="B10" s="2188" t="inlineStr">
        <is>
          <t>기타영업수익</t>
        </is>
      </c>
      <c r="D10" s="2189">
        <f>SUMIFS(D$69:D$133,$R$69:$R$133,$B10)</f>
        <v>189101679</v>
      </c>
      <c r="E10" s="2189">
        <f>SUMIFS(E$69:E$133,$R$69:$R$133,$B10)</f>
        <v>28740950</v>
      </c>
      <c r="G10" s="2189">
        <f>SUMIFS(G$69:G$133,$R$69:$R$133,$B10)</f>
        <v>151841271</v>
      </c>
      <c r="H10" s="2189">
        <f>SUMIFS(H$69:H$133,$R$69:$R$133,$B10)</f>
        <v>0</v>
      </c>
      <c r="I10" s="2189">
        <f>SUMIFS(I$69:I$133,$R$69:$R$133,$B10)</f>
        <v>8686</v>
      </c>
      <c r="J10" s="2189">
        <f>SUMIFS(J$69:J$133,$R$69:$R$133,$B10)</f>
        <v>1183</v>
      </c>
      <c r="K10" s="2189">
        <f>SUMIFS(K$69:K$133,$R$69:$R$133,$B10)</f>
        <v>37250539</v>
      </c>
      <c r="L10" s="2189">
        <f>SUMIFS(L$69:L$133,$R$69:$R$133,$B10)</f>
        <v>0</v>
      </c>
      <c r="M10" s="2189">
        <f>SUMIFS(M$69:M$133,$R$69:$R$133,$B10)</f>
        <v>0</v>
      </c>
      <c r="N10" s="2189">
        <f>SUMIFS(N$69:N$133,$R$69:$R$133,$B10)</f>
        <v>189101679</v>
      </c>
      <c r="O10" s="2189">
        <f>SUMIFS(O$69:O$133,$R$69:$R$133,$B10)</f>
        <v>0</v>
      </c>
    </row>
    <row r="11">
      <c r="B11" s="2188" t="inlineStr">
        <is>
          <t>기타영업비용</t>
        </is>
      </c>
      <c r="D11" s="2189">
        <f>SUMIFS(D$69:D$133,$R$69:$R$133,$B11)</f>
        <v>183777316</v>
      </c>
      <c r="E11" s="2189">
        <f>SUMIFS(E$69:E$133,$R$69:$R$133,$B11)</f>
        <v>106582748</v>
      </c>
      <c r="G11" s="2189">
        <f>SUMIFS(G$69:G$133,$R$69:$R$133,$B11)</f>
        <v>177020574</v>
      </c>
      <c r="H11" s="2189">
        <f>SUMIFS(H$69:H$133,$R$69:$R$133,$B11)</f>
        <v>0</v>
      </c>
      <c r="I11" s="2189">
        <f>SUMIFS(I$69:I$133,$R$69:$R$133,$B11)</f>
        <v>2371511</v>
      </c>
      <c r="J11" s="2189">
        <f>SUMIFS(J$69:J$133,$R$69:$R$133,$B11)</f>
        <v>12851</v>
      </c>
      <c r="K11" s="2189">
        <f>SUMIFS(K$69:K$133,$R$69:$R$133,$B11)</f>
        <v>4342354</v>
      </c>
      <c r="L11" s="2189">
        <f>SUMIFS(L$69:L$133,$R$69:$R$133,$B11)</f>
        <v>30026</v>
      </c>
      <c r="M11" s="2189">
        <f>SUMIFS(M$69:M$133,$R$69:$R$133,$B11)</f>
        <v>0</v>
      </c>
      <c r="N11" s="2189">
        <f>SUMIFS(N$69:N$133,$R$69:$R$133,$B11)</f>
        <v>183777316</v>
      </c>
      <c r="O11" s="2189">
        <f>SUMIFS(O$69:O$133,$R$69:$R$133,$B11)</f>
        <v>0</v>
      </c>
    </row>
    <row r="12">
      <c r="B12" s="2193" t="inlineStr">
        <is>
          <t>영업손익</t>
        </is>
      </c>
      <c r="C12" s="2194" t="n"/>
      <c r="D12" s="2195">
        <f>D8-D9+D10-D11</f>
        <v>-785717115</v>
      </c>
      <c r="E12" s="2195">
        <f>E8-E9+E10-E11</f>
        <v>1018363428</v>
      </c>
      <c r="F12" s="2194" t="n"/>
      <c r="G12" s="2195">
        <f>G8-G9+G10-G11</f>
        <v>-711993420</v>
      </c>
      <c r="H12" s="2195">
        <f>H8-H9+H10-H11</f>
        <v>0</v>
      </c>
      <c r="I12" s="2195">
        <f>I8-I9+I10-I11</f>
        <v>44207233</v>
      </c>
      <c r="J12" s="2195">
        <f>J8-J9+J10-J11</f>
        <v>-96926382</v>
      </c>
      <c r="K12" s="2195">
        <f>K8-K9+K10-K11</f>
        <v>17289136</v>
      </c>
      <c r="L12" s="2195">
        <f>L8-L9+L10-L11</f>
        <v>-8686031</v>
      </c>
      <c r="M12" s="2195">
        <f>M8-M9+M10-M11</f>
        <v>0</v>
      </c>
      <c r="N12" s="2195">
        <f>N8-N9+N10-N11</f>
        <v>-756109464</v>
      </c>
      <c r="O12" s="2195">
        <f>O8-O9+O10-O11</f>
        <v>-29607651</v>
      </c>
    </row>
    <row r="14">
      <c r="B14" s="2186" t="inlineStr">
        <is>
          <t>Ⅱ. 투자 범주</t>
        </is>
      </c>
      <c r="C14" s="2187" t="n"/>
      <c r="D14" s="2187" t="n"/>
      <c r="E14" s="2187" t="n"/>
      <c r="F14" s="2187" t="n"/>
      <c r="G14" s="2187" t="n"/>
      <c r="H14" s="2187" t="n"/>
      <c r="I14" s="2187" t="n"/>
      <c r="J14" s="2187" t="n"/>
      <c r="K14" s="2187" t="n"/>
      <c r="L14" s="2187" t="n"/>
      <c r="M14" s="2187" t="n"/>
      <c r="N14" s="2187" t="n"/>
      <c r="O14" s="2187" t="n"/>
    </row>
    <row r="15">
      <c r="B15" s="2188" t="inlineStr">
        <is>
          <t>투자수익</t>
        </is>
      </c>
      <c r="D15" s="2189">
        <f>SUMIFS(D$69:D$133,$R$69:$R$133,$B15)</f>
        <v>2090047231</v>
      </c>
      <c r="E15" s="2189">
        <f>SUMIFS(E$69:E$133,$R$69:$R$133,$B15)</f>
        <v>28253274</v>
      </c>
      <c r="G15" s="2189">
        <f>SUMIFS(G$69:G$133,$R$69:$R$133,$B15)</f>
        <v>22098561</v>
      </c>
      <c r="H15" s="2189">
        <f>SUMIFS(H$69:H$133,$R$69:$R$133,$B15)</f>
        <v>0</v>
      </c>
      <c r="I15" s="2189">
        <f>SUMIFS(I$69:I$133,$R$69:$R$133,$B15)</f>
        <v>658</v>
      </c>
      <c r="J15" s="2189">
        <f>SUMIFS(J$69:J$133,$R$69:$R$133,$B15)</f>
        <v>53</v>
      </c>
      <c r="K15" s="2189">
        <f>SUMIFS(K$69:K$133,$R$69:$R$133,$B15)</f>
        <v>2182</v>
      </c>
      <c r="L15" s="2189">
        <f>SUMIFS(L$69:L$133,$R$69:$R$133,$B15)</f>
        <v>0</v>
      </c>
      <c r="M15" s="2189">
        <f>SUMIFS(M$69:M$133,$R$69:$R$133,$B15)</f>
        <v>0</v>
      </c>
      <c r="N15" s="2189">
        <f>SUMIFS(N$69:N$133,$R$69:$R$133,$B15)</f>
        <v>22101454</v>
      </c>
      <c r="O15" s="2189">
        <f>SUMIFS(O$69:O$133,$R$69:$R$133,$B15)</f>
        <v>2067945777</v>
      </c>
    </row>
    <row r="16">
      <c r="B16" s="2188" t="inlineStr">
        <is>
          <t>투자비용</t>
        </is>
      </c>
      <c r="D16" s="2189">
        <f>SUMIFS(D$69:D$133,$R$69:$R$133,$B16)</f>
        <v>2067945777</v>
      </c>
      <c r="E16" s="2189">
        <f>SUMIFS(E$69:E$133,$R$69:$R$133,$B16)</f>
        <v>0</v>
      </c>
      <c r="G16" s="2189">
        <f>SUMIFS(G$69:G$133,$R$69:$R$133,$B16)</f>
        <v>0</v>
      </c>
      <c r="H16" s="2189">
        <f>SUMIFS(H$69:H$133,$R$69:$R$133,$B16)</f>
        <v>0</v>
      </c>
      <c r="I16" s="2189">
        <f>SUMIFS(I$69:I$133,$R$69:$R$133,$B16)</f>
        <v>0</v>
      </c>
      <c r="J16" s="2189">
        <f>SUMIFS(J$69:J$133,$R$69:$R$133,$B16)</f>
        <v>0</v>
      </c>
      <c r="K16" s="2189">
        <f>SUMIFS(K$69:K$133,$R$69:$R$133,$B16)</f>
        <v>0</v>
      </c>
      <c r="L16" s="2189">
        <f>SUMIFS(L$69:L$133,$R$69:$R$133,$B16)</f>
        <v>0</v>
      </c>
      <c r="M16" s="2189">
        <f>SUMIFS(M$69:M$133,$R$69:$R$133,$B16)</f>
        <v>0</v>
      </c>
      <c r="N16" s="2189">
        <f>SUMIFS(N$69:N$133,$R$69:$R$133,$B16)</f>
        <v>0</v>
      </c>
      <c r="O16" s="2189">
        <f>SUMIFS(O$69:O$133,$R$69:$R$133,$B16)</f>
        <v>2067945777</v>
      </c>
    </row>
    <row r="17">
      <c r="B17" s="2190" t="inlineStr">
        <is>
          <t>투자손익</t>
        </is>
      </c>
      <c r="C17" s="2191" t="n"/>
      <c r="D17" s="2192">
        <f>D15-D16</f>
        <v>22101454</v>
      </c>
      <c r="E17" s="2192">
        <f>E15-E16</f>
        <v>28253274</v>
      </c>
      <c r="F17" s="2191" t="n"/>
      <c r="G17" s="2192">
        <f>G15-G16</f>
        <v>22098561</v>
      </c>
      <c r="H17" s="2192">
        <f>H15-H16</f>
        <v>0</v>
      </c>
      <c r="I17" s="2192">
        <f>I15-I16</f>
        <v>658</v>
      </c>
      <c r="J17" s="2192">
        <f>J15-J16</f>
        <v>53</v>
      </c>
      <c r="K17" s="2192">
        <f>K15-K16</f>
        <v>2182</v>
      </c>
      <c r="L17" s="2192">
        <f>L15-L16</f>
        <v>0</v>
      </c>
      <c r="M17" s="2192">
        <f>M15-M16</f>
        <v>0</v>
      </c>
      <c r="N17" s="2192">
        <f>N15-N16</f>
        <v>22101454</v>
      </c>
      <c r="O17" s="2192">
        <f>O15-O16</f>
        <v>0</v>
      </c>
    </row>
    <row r="18">
      <c r="B18" s="2193" t="inlineStr">
        <is>
          <t>재무 및 법인세 전 손익</t>
        </is>
      </c>
      <c r="C18" s="2194" t="n"/>
      <c r="D18" s="2195">
        <f>D12+D17</f>
        <v>-763615661</v>
      </c>
      <c r="E18" s="2195">
        <f>E12+E17</f>
        <v>1046616702</v>
      </c>
      <c r="F18" s="2194" t="n"/>
      <c r="G18" s="2195">
        <f>G12+G17</f>
        <v>-689894859</v>
      </c>
      <c r="H18" s="2195">
        <f>H12+H17</f>
        <v>0</v>
      </c>
      <c r="I18" s="2195">
        <f>I12+I17</f>
        <v>44207891</v>
      </c>
      <c r="J18" s="2195">
        <f>J12+J17</f>
        <v>-96926329</v>
      </c>
      <c r="K18" s="2195">
        <f>K12+K17</f>
        <v>17291318</v>
      </c>
      <c r="L18" s="2195">
        <f>L12+L17</f>
        <v>-8686031</v>
      </c>
      <c r="M18" s="2195">
        <f>M12+M17</f>
        <v>0</v>
      </c>
      <c r="N18" s="2195">
        <f>N12+N17</f>
        <v>-734008010</v>
      </c>
      <c r="O18" s="2195">
        <f>O12+O17</f>
        <v>-29607651</v>
      </c>
    </row>
    <row r="20">
      <c r="B20" s="2186" t="inlineStr">
        <is>
          <t>Ⅲ. 재무 범주</t>
        </is>
      </c>
      <c r="C20" s="2187" t="n"/>
      <c r="D20" s="2187" t="n"/>
      <c r="E20" s="2187" t="n"/>
      <c r="F20" s="2187" t="n"/>
      <c r="G20" s="2187" t="n"/>
      <c r="H20" s="2187" t="n"/>
      <c r="I20" s="2187" t="n"/>
      <c r="J20" s="2187" t="n"/>
      <c r="K20" s="2187" t="n"/>
      <c r="L20" s="2187" t="n"/>
      <c r="M20" s="2187" t="n"/>
      <c r="N20" s="2187" t="n"/>
      <c r="O20" s="2187" t="n"/>
    </row>
    <row r="21">
      <c r="B21" s="2188" t="inlineStr">
        <is>
          <t>재무수익</t>
        </is>
      </c>
      <c r="D21" s="2189">
        <f>SUMIFS(D$69:D$133,$R$69:$R$133,$B21)</f>
        <v>0</v>
      </c>
      <c r="E21" s="2189">
        <f>SUMIFS(E$69:E$133,$R$69:$R$133,$B21)</f>
        <v>0</v>
      </c>
      <c r="G21" s="2189">
        <f>SUMIFS(G$69:G$133,$R$69:$R$133,$B21)</f>
        <v>0</v>
      </c>
      <c r="H21" s="2189">
        <f>SUMIFS(H$69:H$133,$R$69:$R$133,$B21)</f>
        <v>0</v>
      </c>
      <c r="I21" s="2189">
        <f>SUMIFS(I$69:I$133,$R$69:$R$133,$B21)</f>
        <v>0</v>
      </c>
      <c r="J21" s="2189">
        <f>SUMIFS(J$69:J$133,$R$69:$R$133,$B21)</f>
        <v>0</v>
      </c>
      <c r="K21" s="2189">
        <f>SUMIFS(K$69:K$133,$R$69:$R$133,$B21)</f>
        <v>0</v>
      </c>
      <c r="L21" s="2189">
        <f>SUMIFS(L$69:L$133,$R$69:$R$133,$B21)</f>
        <v>0</v>
      </c>
      <c r="M21" s="2189">
        <f>SUMIFS(M$69:M$133,$R$69:$R$133,$B21)</f>
        <v>0</v>
      </c>
      <c r="N21" s="2189">
        <f>SUMIFS(N$69:N$133,$R$69:$R$133,$B21)</f>
        <v>0</v>
      </c>
      <c r="O21" s="2189">
        <f>SUMIFS(O$69:O$133,$R$69:$R$133,$B21)</f>
        <v>0</v>
      </c>
    </row>
    <row r="22">
      <c r="B22" s="2188" t="inlineStr">
        <is>
          <t>재무비용</t>
        </is>
      </c>
      <c r="D22" s="2189">
        <f>SUMIFS(D$69:D$133,$R$69:$R$133,$B22)</f>
        <v>98954951</v>
      </c>
      <c r="E22" s="2189">
        <f>SUMIFS(E$69:E$133,$R$69:$R$133,$B22)</f>
        <v>45786340</v>
      </c>
      <c r="G22" s="2189">
        <f>SUMIFS(G$69:G$133,$R$69:$R$133,$B22)</f>
        <v>98954951</v>
      </c>
      <c r="H22" s="2189">
        <f>SUMIFS(H$69:H$133,$R$69:$R$133,$B22)</f>
        <v>0</v>
      </c>
      <c r="I22" s="2189">
        <f>SUMIFS(I$69:I$133,$R$69:$R$133,$B22)</f>
        <v>0</v>
      </c>
      <c r="J22" s="2189">
        <f>SUMIFS(J$69:J$133,$R$69:$R$133,$B22)</f>
        <v>0</v>
      </c>
      <c r="K22" s="2189">
        <f>SUMIFS(K$69:K$133,$R$69:$R$133,$B22)</f>
        <v>0</v>
      </c>
      <c r="L22" s="2189">
        <f>SUMIFS(L$69:L$133,$R$69:$R$133,$B22)</f>
        <v>0</v>
      </c>
      <c r="M22" s="2189">
        <f>SUMIFS(M$69:M$133,$R$69:$R$133,$B22)</f>
        <v>0</v>
      </c>
      <c r="N22" s="2189">
        <f>SUMIFS(N$69:N$133,$R$69:$R$133,$B22)</f>
        <v>98954951</v>
      </c>
      <c r="O22" s="2189">
        <f>SUMIFS(O$69:O$133,$R$69:$R$133,$B22)</f>
        <v>0</v>
      </c>
    </row>
    <row r="23">
      <c r="B23" s="2190" t="inlineStr">
        <is>
          <t>재무손익</t>
        </is>
      </c>
      <c r="C23" s="2191" t="n"/>
      <c r="D23" s="2192">
        <f>D21-D22</f>
        <v>-98954951</v>
      </c>
      <c r="E23" s="2192">
        <f>E21-E22</f>
        <v>-45786340</v>
      </c>
      <c r="F23" s="2191" t="n"/>
      <c r="G23" s="2192">
        <f>G21-G22</f>
        <v>-98954951</v>
      </c>
      <c r="H23" s="2192">
        <f>H21-H22</f>
        <v>0</v>
      </c>
      <c r="I23" s="2192">
        <f>I21-I22</f>
        <v>0</v>
      </c>
      <c r="J23" s="2192">
        <f>J21-J22</f>
        <v>0</v>
      </c>
      <c r="K23" s="2192">
        <f>K21-K22</f>
        <v>0</v>
      </c>
      <c r="L23" s="2192">
        <f>L21-L22</f>
        <v>0</v>
      </c>
      <c r="M23" s="2192">
        <f>M21-M22</f>
        <v>0</v>
      </c>
      <c r="N23" s="2192">
        <f>N21-N22</f>
        <v>-98954951</v>
      </c>
      <c r="O23" s="2192">
        <f>O21-O22</f>
        <v>0</v>
      </c>
    </row>
    <row r="25">
      <c r="B25" s="2193" t="inlineStr">
        <is>
          <t>법인세비용차감전손익</t>
        </is>
      </c>
      <c r="C25" s="2194" t="n"/>
      <c r="D25" s="2195">
        <f>D18+D23</f>
        <v>-862570612</v>
      </c>
      <c r="E25" s="2195">
        <f>E18+E23</f>
        <v>1000830362</v>
      </c>
      <c r="F25" s="2194" t="n"/>
      <c r="G25" s="2195">
        <f>G18+G23</f>
        <v>-788849810</v>
      </c>
      <c r="H25" s="2195">
        <f>H18+H23</f>
        <v>0</v>
      </c>
      <c r="I25" s="2195">
        <f>I18+I23</f>
        <v>44207891</v>
      </c>
      <c r="J25" s="2195">
        <f>J18+J23</f>
        <v>-96926329</v>
      </c>
      <c r="K25" s="2195">
        <f>K18+K23</f>
        <v>17291318</v>
      </c>
      <c r="L25" s="2195">
        <f>L18+L23</f>
        <v>-8686031</v>
      </c>
      <c r="M25" s="2195">
        <f>M18+M23</f>
        <v>0</v>
      </c>
      <c r="N25" s="2195">
        <f>N18+N23</f>
        <v>-832962961</v>
      </c>
      <c r="O25" s="2195">
        <f>O18+O23</f>
        <v>-29607651</v>
      </c>
    </row>
    <row r="26">
      <c r="B26" s="2188" t="inlineStr">
        <is>
          <t>법인세비용</t>
        </is>
      </c>
      <c r="D26" s="2189">
        <f>SUMIFS(D$69:D$133,$R$69:$R$133,$B26)</f>
        <v>4983889</v>
      </c>
      <c r="E26" s="2189">
        <f>SUMIFS(E$69:E$133,$R$69:$R$133,$B26)</f>
        <v>4894989</v>
      </c>
      <c r="G26" s="2189">
        <f>SUMIFS(G$69:G$133,$R$69:$R$133,$B26)</f>
        <v>0</v>
      </c>
      <c r="H26" s="2189">
        <f>SUMIFS(H$69:H$133,$R$69:$R$133,$B26)</f>
        <v>0</v>
      </c>
      <c r="I26" s="2189">
        <f>SUMIFS(I$69:I$133,$R$69:$R$133,$B26)</f>
        <v>0</v>
      </c>
      <c r="J26" s="2189">
        <f>SUMIFS(J$69:J$133,$R$69:$R$133,$B26)</f>
        <v>0</v>
      </c>
      <c r="K26" s="2189">
        <f>SUMIFS(K$69:K$133,$R$69:$R$133,$B26)</f>
        <v>0</v>
      </c>
      <c r="L26" s="2189">
        <f>SUMIFS(L$69:L$133,$R$69:$R$133,$B26)</f>
        <v>0</v>
      </c>
      <c r="M26" s="2189">
        <f>SUMIFS(M$69:M$133,$R$69:$R$133,$B26)</f>
        <v>0</v>
      </c>
      <c r="N26" s="2189">
        <f>SUMIFS(N$69:N$133,$R$69:$R$133,$B26)</f>
        <v>0</v>
      </c>
      <c r="O26" s="2189">
        <f>SUMIFS(O$69:O$133,$R$69:$R$133,$B26)</f>
        <v>4983889</v>
      </c>
    </row>
    <row r="27">
      <c r="B27" s="2196" t="inlineStr">
        <is>
          <t>당기순이익(손실)</t>
        </is>
      </c>
      <c r="C27" s="2197" t="n"/>
      <c r="D27" s="2198">
        <f>D25-D26</f>
        <v>-867554501</v>
      </c>
      <c r="E27" s="2198">
        <f>E25-E26</f>
        <v>995935373</v>
      </c>
      <c r="F27" s="2197" t="n"/>
      <c r="G27" s="2198">
        <f>G25-G26</f>
        <v>-788849810</v>
      </c>
      <c r="H27" s="2198">
        <f>H25-H26</f>
        <v>0</v>
      </c>
      <c r="I27" s="2198">
        <f>I25-I26</f>
        <v>44207891</v>
      </c>
      <c r="J27" s="2198">
        <f>J25-J26</f>
        <v>-96926329</v>
      </c>
      <c r="K27" s="2198">
        <f>K25-K26</f>
        <v>17291318</v>
      </c>
      <c r="L27" s="2198">
        <f>L25-L26</f>
        <v>-8686031</v>
      </c>
      <c r="M27" s="2198">
        <f>M25-M26</f>
        <v>0</v>
      </c>
      <c r="N27" s="2198">
        <f>N25-N26</f>
        <v>-832962961</v>
      </c>
      <c r="O27" s="2198">
        <f>O25-O26</f>
        <v>-34591540</v>
      </c>
    </row>
    <row r="28">
      <c r="B28" s="2188" t="inlineStr">
        <is>
          <t>기타포괄손익(재분류 불가)</t>
        </is>
      </c>
      <c r="D28" s="2189">
        <f>SUMIFS(D$69:D$133,$R$69:$R$133,$B28)</f>
        <v>0</v>
      </c>
      <c r="E28" s="2189">
        <f>SUMIFS(E$69:E$133,$R$69:$R$133,$B28)</f>
        <v>0</v>
      </c>
      <c r="G28" s="2189">
        <f>SUMIFS(G$69:G$133,$R$69:$R$133,$B28)</f>
        <v>0</v>
      </c>
      <c r="H28" s="2189">
        <f>SUMIFS(H$69:H$133,$R$69:$R$133,$B28)</f>
        <v>0</v>
      </c>
      <c r="I28" s="2189">
        <f>SUMIFS(I$69:I$133,$R$69:$R$133,$B28)</f>
        <v>0</v>
      </c>
      <c r="J28" s="2189">
        <f>SUMIFS(J$69:J$133,$R$69:$R$133,$B28)</f>
        <v>0</v>
      </c>
      <c r="K28" s="2189">
        <f>SUMIFS(K$69:K$133,$R$69:$R$133,$B28)</f>
        <v>0</v>
      </c>
      <c r="L28" s="2189">
        <f>SUMIFS(L$69:L$133,$R$69:$R$133,$B28)</f>
        <v>0</v>
      </c>
      <c r="M28" s="2189">
        <f>SUMIFS(M$69:M$133,$R$69:$R$133,$B28)</f>
        <v>0</v>
      </c>
      <c r="N28" s="2189">
        <f>SUMIFS(N$69:N$133,$R$69:$R$133,$B28)</f>
        <v>0</v>
      </c>
      <c r="O28" s="2189">
        <f>SUMIFS(O$69:O$133,$R$69:$R$133,$B28)</f>
        <v>0</v>
      </c>
    </row>
    <row r="29">
      <c r="B29" s="2188" t="inlineStr">
        <is>
          <t>기타포괄손익(재분류 가능)</t>
        </is>
      </c>
      <c r="D29" s="2189">
        <f>SUMIFS(D$69:D$133,$R$69:$R$133,$B29)</f>
        <v>11298394</v>
      </c>
      <c r="E29" s="2189">
        <f>SUMIFS(E$69:E$133,$R$69:$R$133,$B29)</f>
        <v>-26600734</v>
      </c>
      <c r="G29" s="2189">
        <f>SUMIFS(G$69:G$133,$R$69:$R$133,$B29)</f>
        <v>0</v>
      </c>
      <c r="H29" s="2189">
        <f>SUMIFS(H$69:H$133,$R$69:$R$133,$B29)</f>
        <v>0</v>
      </c>
      <c r="I29" s="2189">
        <f>SUMIFS(I$69:I$133,$R$69:$R$133,$B29)</f>
        <v>99968525</v>
      </c>
      <c r="J29" s="2189">
        <f>SUMIFS(J$69:J$133,$R$69:$R$133,$B29)</f>
        <v>-77454021</v>
      </c>
      <c r="K29" s="2189">
        <f>SUMIFS(K$69:K$133,$R$69:$R$133,$B29)</f>
        <v>-693420</v>
      </c>
      <c r="L29" s="2189">
        <f>SUMIFS(L$69:L$133,$R$69:$R$133,$B29)</f>
        <v>1741310</v>
      </c>
      <c r="M29" s="2189">
        <f>SUMIFS(M$69:M$133,$R$69:$R$133,$B29)</f>
        <v>0</v>
      </c>
      <c r="N29" s="2189">
        <f>SUMIFS(N$69:N$133,$R$69:$R$133,$B29)</f>
        <v>23562394</v>
      </c>
      <c r="O29" s="2189">
        <f>SUMIFS(O$69:O$133,$R$69:$R$133,$B29)</f>
        <v>-12264000</v>
      </c>
    </row>
    <row r="30">
      <c r="B30" s="2190" t="inlineStr">
        <is>
          <t>기타포괄손익</t>
        </is>
      </c>
      <c r="C30" s="2191" t="n"/>
      <c r="D30" s="2192">
        <f>D28+D29</f>
        <v>11298394</v>
      </c>
      <c r="E30" s="2192">
        <f>E28+E29</f>
        <v>-26600734</v>
      </c>
      <c r="F30" s="2191" t="n"/>
      <c r="G30" s="2192">
        <f>G28+G29</f>
        <v>0</v>
      </c>
      <c r="H30" s="2192">
        <f>H28+H29</f>
        <v>0</v>
      </c>
      <c r="I30" s="2192">
        <f>I28+I29</f>
        <v>99968525</v>
      </c>
      <c r="J30" s="2192">
        <f>J28+J29</f>
        <v>-77454021</v>
      </c>
      <c r="K30" s="2192">
        <f>K28+K29</f>
        <v>-693420</v>
      </c>
      <c r="L30" s="2192">
        <f>L28+L29</f>
        <v>1741310</v>
      </c>
      <c r="M30" s="2192">
        <f>M28+M29</f>
        <v>0</v>
      </c>
      <c r="N30" s="2192">
        <f>N28+N29</f>
        <v>23562394</v>
      </c>
      <c r="O30" s="2192">
        <f>O28+O29</f>
        <v>-12264000</v>
      </c>
    </row>
    <row r="31">
      <c r="B31" s="2196" t="inlineStr">
        <is>
          <t>총포괄손익</t>
        </is>
      </c>
      <c r="C31" s="2197" t="n"/>
      <c r="D31" s="2198">
        <f>D27+D30</f>
        <v>-856256107</v>
      </c>
      <c r="E31" s="2198">
        <f>E27+E30</f>
        <v>969334639</v>
      </c>
      <c r="F31" s="2197" t="n"/>
      <c r="G31" s="2198">
        <f>G27+G30</f>
        <v>-788849810</v>
      </c>
      <c r="H31" s="2198">
        <f>H27+H30</f>
        <v>0</v>
      </c>
      <c r="I31" s="2198">
        <f>I27+I30</f>
        <v>144176416</v>
      </c>
      <c r="J31" s="2198">
        <f>J27+J30</f>
        <v>-174380350</v>
      </c>
      <c r="K31" s="2198">
        <f>K27+K30</f>
        <v>16597898</v>
      </c>
      <c r="L31" s="2198">
        <f>L27+L30</f>
        <v>-6944721</v>
      </c>
      <c r="M31" s="2198">
        <f>M27+M30</f>
        <v>0</v>
      </c>
      <c r="N31" s="2198">
        <f>N27+N30</f>
        <v>-809400567</v>
      </c>
      <c r="O31" s="2198">
        <f>O27+O30</f>
        <v>-46855540</v>
      </c>
    </row>
    <row r="33">
      <c r="B33" s="2199" t="inlineStr">
        <is>
          <t>[검증] 기존 [연결PL] 대비 차이 (모두 0이어야 함)</t>
        </is>
      </c>
    </row>
    <row r="34">
      <c r="B34" s="2188" t="inlineStr">
        <is>
          <t>당기순이익 - 연결PL</t>
        </is>
      </c>
      <c r="D34" s="2189">
        <f>D27-연결PL!D101</f>
        <v>0</v>
      </c>
      <c r="E34" s="2189">
        <f>E27-연결PL!E101</f>
        <v>0</v>
      </c>
    </row>
    <row r="35">
      <c r="B35" s="2188" t="inlineStr">
        <is>
          <t>총포괄손익 - 연결PL</t>
        </is>
      </c>
      <c r="D35" s="2189">
        <f>D31-연결PL!D109</f>
        <v>0</v>
      </c>
      <c r="E35" s="2189">
        <f>E31-연결PL!E109</f>
        <v>0</v>
      </c>
    </row>
    <row r="36">
      <c r="B36" s="2188" t="inlineStr">
        <is>
          <t>법인세비용차감전손익 - 연결PL</t>
        </is>
      </c>
      <c r="D36" s="2189">
        <f>D25-연결PL!D99</f>
        <v>0</v>
      </c>
      <c r="E36" s="2189">
        <f>E25-연결PL!E99</f>
        <v>0</v>
      </c>
    </row>
    <row r="37">
      <c r="B37" s="2188" t="inlineStr">
        <is>
          <t>기타포괄손익 - 연결PL</t>
        </is>
      </c>
      <c r="D37" s="2189">
        <f>D30-연결PL!D104</f>
        <v>0</v>
      </c>
      <c r="E37" s="2189">
        <f>E30-연결PL!E104</f>
        <v>0</v>
      </c>
    </row>
    <row r="38">
      <c r="B38" s="2188" t="inlineStr">
        <is>
          <t>당기순이익 - [PL]시트 연결열(Y113)</t>
        </is>
      </c>
      <c r="D38" s="2189">
        <f>D27-PL!Y113</f>
        <v>0</v>
      </c>
    </row>
    <row r="39">
      <c r="B39" s="2188" t="inlineStr">
        <is>
          <t>단순합산+연결조정 = 연결 (당기순이익)</t>
        </is>
      </c>
      <c r="D39" s="2189">
        <f>N27+O27-D27</f>
        <v>0</v>
      </c>
    </row>
    <row r="40">
      <c r="B40" s="2188" t="inlineStr">
        <is>
          <t>표시항목 미지정/오류 계정 수</t>
        </is>
      </c>
      <c r="D40" s="2189">
        <f>SUMPRODUCT(--ISNA(MATCH($R$69:$R$133,$B$140:$B$151,0)))</f>
        <v>0</v>
      </c>
    </row>
    <row r="41">
      <c r="B41" s="2188" t="inlineStr">
        <is>
          <t>종합 검증</t>
        </is>
      </c>
      <c r="D41" s="2200" t="str">
        <f>IF(AND(SUMPRODUCT(ABS(D34:E37))=0,D38=0,D39=0,D40=0),"OK","확인필요")</f>
        <v>OK</v>
      </c>
    </row>
    <row r="43">
      <c r="B43" s="2199" t="inlineStr">
        <is>
          <t>[조정표] 기존 영업이익 → IFRS 18 영업손익</t>
        </is>
      </c>
    </row>
    <row r="44">
      <c r="B44" s="2201" t="inlineStr">
        <is>
          <t>기존 영업이익 (연결PL)</t>
        </is>
      </c>
      <c r="D44" s="2189">
        <f>연결PL!D68</f>
        <v>-791041478</v>
      </c>
      <c r="E44" s="2189">
        <f>연결PL!E68</f>
        <v>1096205226</v>
      </c>
    </row>
    <row r="45" ht="40" customHeight="1" s="2180">
      <c r="B45" s="2201" t="inlineStr">
        <is>
          <t>(+) IFRS 18 영업 범주로 편입된 기존 영업외손익 (기타영업손익·외환손익 등)</t>
        </is>
      </c>
      <c r="D45" s="2189">
        <f>SUMPRODUCT(($S$69:$S$133="영업")*($U$69:$U$133=0)*$T$69:$T$133*D$69:D$133)</f>
        <v>5324363</v>
      </c>
      <c r="E45" s="2189">
        <f>SUMPRODUCT(($S$69:$S$133="영업")*($U$69:$U$133=0)*$T$69:$T$133*E$69:E$133)</f>
        <v>-77841798</v>
      </c>
    </row>
    <row r="46" ht="28" customHeight="1" s="2180">
      <c r="B46" s="2201" t="inlineStr">
        <is>
          <t>(-) 영업 범주에서 제외된 기존 영업손익</t>
        </is>
      </c>
      <c r="D46" s="2189">
        <f>-SUMPRODUCT(($S$69:$S$133&lt;&gt;"영업")*($U$69:$U$133=1)*$T$69:$T$133*D$69:D$133)</f>
        <v>0</v>
      </c>
      <c r="E46" s="2189">
        <f>-SUMPRODUCT(($S$69:$S$133&lt;&gt;"영업")*($U$69:$U$133=1)*$T$69:$T$133*E$69:E$133)</f>
        <v>0</v>
      </c>
    </row>
    <row r="47">
      <c r="B47" s="2202" t="inlineStr">
        <is>
          <t>IFRS 18 영업손익</t>
        </is>
      </c>
      <c r="D47" s="2203">
        <f>D44+D45+D46</f>
        <v>-785717115</v>
      </c>
      <c r="E47" s="2203">
        <f>E44+E45+E46</f>
        <v>1018363428</v>
      </c>
    </row>
    <row r="48">
      <c r="B48" s="2201" t="inlineStr">
        <is>
          <t>검증: 상단 영업손익과의 차이</t>
        </is>
      </c>
      <c r="D48" s="2189">
        <f>D47-D12</f>
        <v>0</v>
      </c>
      <c r="E48" s="2189">
        <f>E47-E12</f>
        <v>0</v>
      </c>
    </row>
    <row r="50">
      <c r="B50" s="2199" t="inlineStr">
        <is>
          <t>[참고] 성격별 비용 공시 자료 (판관비 기준 - 제조원가 내 비용은 연결PL 구조상 제외, 별도 원가자료 확인 필요)</t>
        </is>
      </c>
    </row>
    <row r="51">
      <c r="B51" s="2204" t="inlineStr">
        <is>
          <t>감가상각비 (판관비)</t>
        </is>
      </c>
      <c r="D51" s="2189">
        <f>연결PL!D47</f>
        <v>181372149</v>
      </c>
      <c r="E51" s="2189">
        <f>연결PL!E47</f>
        <v>222390521</v>
      </c>
    </row>
    <row r="52">
      <c r="B52" s="2204" t="inlineStr">
        <is>
          <t>무형자산상각비 (판관비)</t>
        </is>
      </c>
      <c r="D52" s="2189">
        <f>연결PL!D66</f>
        <v>21529107</v>
      </c>
      <c r="E52" s="2189">
        <f>연결PL!E66</f>
        <v>18799999</v>
      </c>
    </row>
    <row r="53">
      <c r="B53" s="2204" t="inlineStr">
        <is>
          <t>종업원급여 (급여·퇴직·해고·주식보상·복리후생)</t>
        </is>
      </c>
      <c r="D53" s="2189">
        <f>연결PL!D36+연결PL!D37+연결PL!D38+연결PL!D39+연결PL!D40</f>
        <v>1856856609</v>
      </c>
      <c r="E53" s="2189">
        <f>연결PL!E36+연결PL!E37+연결PL!E38+연결PL!E39+연결PL!E40</f>
        <v>2078129716</v>
      </c>
    </row>
    <row r="56">
      <c r="B56" s="2199" t="inlineStr">
        <is>
          <t>[범례 및 가정]</t>
        </is>
      </c>
    </row>
    <row r="57" ht="28" customHeight="1" s="2180">
      <c r="B57" s="2205" t="inlineStr">
        <is>
          <t>파란글씨·노란 배경 = 입력(변경 가능) 셀 (부록 1의 R열 표시항목). 검정 글씨 = 수식 ([연결PL]·[PL] 시트 연동, 직접 수정 금지)</t>
        </is>
      </c>
    </row>
    <row r="58" ht="28" customHeight="1" s="2180">
      <c r="B58" s="2205" t="inlineStr">
        <is>
          <t>이자수익·파생상품평가이익은 투자, 이자비용·사채상환손실은 재무, 관계기업 지분법손익·투자주식처분손익·FVPL 평가손익은 투자 범주로 분류 (주된 사업활동이 투자/금융이 아님을 전제)</t>
        </is>
      </c>
    </row>
    <row r="59" ht="28" customHeight="1" s="2180">
      <c r="B59" s="2205" t="inlineStr">
        <is>
          <t>외환차손익·외화환산손익은 영업 범주로 분류 (IFRS 18 원가/노력 과다 시 영업 범주 단순화 가정) → 차입금 관련분이 식별되면 R열을 재무비용/재무수익으로 변경</t>
        </is>
      </c>
    </row>
    <row r="60" ht="28" customHeight="1" s="2180">
      <c r="B60" s="2205" t="inlineStr">
        <is>
          <t>단순합산(N열)은 각 법인 합산(PL시트 I~O열), 연결조정(O열)은 투자자본상계·내부거래제거·지분법/법인세/기타조정 합계(= 연결 - 단순합산)</t>
        </is>
      </c>
    </row>
    <row r="67">
      <c r="B67" s="2199" t="inlineStr">
        <is>
          <t>[부록 1] 계정별 IFRS 18 표시항목 매핑 (R열을 변경하면 상단 손익계산서가 자동 갱신)</t>
        </is>
      </c>
    </row>
    <row r="68" ht="42" customHeight="1" s="2180">
      <c r="B68" s="2184" t="inlineStr">
        <is>
          <t>계정과목</t>
        </is>
      </c>
      <c r="D68" s="2184" t="inlineStr">
        <is>
          <t>당기 연결</t>
        </is>
      </c>
      <c r="E68" s="2184" t="inlineStr">
        <is>
          <t>전기 연결</t>
        </is>
      </c>
      <c r="G68" s="2185" t="str">
        <f>PL!I2</f>
        <v>울트라브이</v>
      </c>
      <c r="H68" s="2185" t="str">
        <f>PL!J2</f>
        <v>울트라브이팜</v>
      </c>
      <c r="I68" s="2185" t="str">
        <f>PL!K2</f>
        <v>ULTRA V HONG KONG LIMITED</v>
      </c>
      <c r="J68" s="2185" t="str">
        <f>PL!L2</f>
        <v>DERMASTER HONG KONG LIMITED	</v>
      </c>
      <c r="K68" s="2185" t="str">
        <f>PL!M2</f>
        <v>ULTRA V SHANGHAI LIMITED	</v>
      </c>
      <c r="L68" s="2185" t="str">
        <f>PL!N2</f>
        <v>ULTRA V (SG) PTE.LTD
(24년 설립)</v>
      </c>
      <c r="M68" s="2185" t="str">
        <f>PL!O2</f>
        <v>ATGC</v>
      </c>
      <c r="N68" s="2184" t="inlineStr">
        <is>
          <t>단순합산</t>
        </is>
      </c>
      <c r="O68" s="2184" t="inlineStr">
        <is>
          <t>연결조정(상계·지분법 등)</t>
        </is>
      </c>
      <c r="Q68" s="2184" t="inlineStr">
        <is>
          <t>기존 연결PL 구분</t>
        </is>
      </c>
      <c r="R68" s="2184" t="inlineStr">
        <is>
          <t>IFRS 18 표시항목</t>
        </is>
      </c>
      <c r="S68" s="2184" t="inlineStr">
        <is>
          <t>IFRS 18 구분</t>
        </is>
      </c>
      <c r="T68" s="2184" t="inlineStr">
        <is>
          <t>부호</t>
        </is>
      </c>
      <c r="U68" s="2184" t="inlineStr">
        <is>
          <t>기존영업(1/0)</t>
        </is>
      </c>
    </row>
    <row r="69">
      <c r="B69" s="2188" t="str">
        <f>연결PL!B3</f>
        <v>상품매출</v>
      </c>
      <c r="D69" s="2189">
        <f>연결PL!D3</f>
        <v>1181126900</v>
      </c>
      <c r="E69" s="2189">
        <f>연결PL!E3</f>
        <v>1049196780</v>
      </c>
      <c r="G69" s="2189">
        <f>SUMIF(PL!$AC:$AC,$B69,PL!I:I)</f>
        <v>278070981</v>
      </c>
      <c r="H69" s="2189">
        <f>SUMIF(PL!$AC:$AC,$B69,PL!J:J)</f>
        <v>0</v>
      </c>
      <c r="I69" s="2189">
        <f>SUMIF(PL!$AC:$AC,$B69,PL!K:K)</f>
        <v>807627666</v>
      </c>
      <c r="J69" s="2189">
        <f>SUMIF(PL!$AC:$AC,$B69,PL!L:L)</f>
        <v>110521930</v>
      </c>
      <c r="K69" s="2189">
        <f>SUMIF(PL!$AC:$AC,$B69,PL!M:M)</f>
        <v>0</v>
      </c>
      <c r="L69" s="2189">
        <f>SUMIF(PL!$AC:$AC,$B69,PL!N:N)</f>
        <v>0</v>
      </c>
      <c r="M69" s="2189">
        <f>SUMIF(PL!$AC:$AC,$B69,PL!O:O)</f>
        <v>0</v>
      </c>
      <c r="N69" s="2189">
        <f>SUM(G69:M69)</f>
        <v>1196220577</v>
      </c>
      <c r="O69" s="2189">
        <f>D69-N69</f>
        <v>-15093677</v>
      </c>
      <c r="Q69" s="2206" t="inlineStr">
        <is>
          <t>매출액</t>
        </is>
      </c>
      <c r="R69" s="2207" t="inlineStr">
        <is>
          <t>매출액</t>
        </is>
      </c>
      <c r="S69" s="2206" t="str">
        <f>IFERROR(INDEX($C$140:$C$151,MATCH(R69,$B$140:$B$151,0)),"오류")</f>
        <v>영업</v>
      </c>
      <c r="T69" s="2208">
        <f>IFERROR(INDEX($D$140:$D$151,MATCH(R69,$B$140:$B$151,0)),0)</f>
        <v>1</v>
      </c>
      <c r="U69" s="2209">
        <f>IF(OR(Q69="매출액",Q69="매출원가",Q69="판매비와관리비"),1,0)</f>
        <v>1</v>
      </c>
    </row>
    <row r="70">
      <c r="B70" s="2188" t="str">
        <f>연결PL!B4</f>
        <v>제품매출</v>
      </c>
      <c r="D70" s="2189">
        <f>연결PL!D4</f>
        <v>7595910549</v>
      </c>
      <c r="E70" s="2189">
        <f>연결PL!E4</f>
        <v>8347940342</v>
      </c>
      <c r="G70" s="2189">
        <f>SUMIF(PL!$AC:$AC,$B70,PL!I:I)</f>
        <v>7974892686</v>
      </c>
      <c r="H70" s="2189">
        <f>SUMIF(PL!$AC:$AC,$B70,PL!J:J)</f>
        <v>0</v>
      </c>
      <c r="I70" s="2189">
        <f>SUMIF(PL!$AC:$AC,$B70,PL!K:K)</f>
        <v>0</v>
      </c>
      <c r="J70" s="2189">
        <f>SUMIF(PL!$AC:$AC,$B70,PL!L:L)</f>
        <v>0</v>
      </c>
      <c r="K70" s="2189">
        <f>SUMIF(PL!$AC:$AC,$B70,PL!M:M)</f>
        <v>0</v>
      </c>
      <c r="L70" s="2189">
        <f>SUMIF(PL!$AC:$AC,$B70,PL!N:N)</f>
        <v>0</v>
      </c>
      <c r="M70" s="2189">
        <f>SUMIF(PL!$AC:$AC,$B70,PL!O:O)</f>
        <v>0</v>
      </c>
      <c r="N70" s="2189">
        <f>SUM(G70:M70)</f>
        <v>7974892686</v>
      </c>
      <c r="O70" s="2189">
        <f>D70-N70</f>
        <v>-378982137</v>
      </c>
      <c r="Q70" s="2206" t="inlineStr">
        <is>
          <t>매출액</t>
        </is>
      </c>
      <c r="R70" s="2207" t="inlineStr">
        <is>
          <t>매출액</t>
        </is>
      </c>
      <c r="S70" s="2206" t="str">
        <f>IFERROR(INDEX($C$140:$C$151,MATCH(R70,$B$140:$B$151,0)),"오류")</f>
        <v>영업</v>
      </c>
      <c r="T70" s="2208">
        <f>IFERROR(INDEX($D$140:$D$151,MATCH(R70,$B$140:$B$151,0)),0)</f>
        <v>1</v>
      </c>
      <c r="U70" s="2209">
        <f>IF(OR(Q70="매출액",Q70="매출원가",Q70="판매비와관리비"),1,0)</f>
        <v>1</v>
      </c>
    </row>
    <row r="71">
      <c r="B71" s="2188" t="str">
        <f>연결PL!B5</f>
        <v>서비스매출</v>
      </c>
      <c r="D71" s="2189">
        <f>연결PL!D5</f>
        <v>0</v>
      </c>
      <c r="E71" s="2189">
        <f>연결PL!E5</f>
        <v>0</v>
      </c>
      <c r="G71" s="2189">
        <f>SUMIF(PL!$AC:$AC,$B71,PL!I:I)</f>
        <v>0</v>
      </c>
      <c r="H71" s="2189">
        <f>SUMIF(PL!$AC:$AC,$B71,PL!J:J)</f>
        <v>0</v>
      </c>
      <c r="I71" s="2189">
        <f>SUMIF(PL!$AC:$AC,$B71,PL!K:K)</f>
        <v>0</v>
      </c>
      <c r="J71" s="2189">
        <f>SUMIF(PL!$AC:$AC,$B71,PL!L:L)</f>
        <v>0</v>
      </c>
      <c r="K71" s="2189">
        <f>SUMIF(PL!$AC:$AC,$B71,PL!M:M)</f>
        <v>0</v>
      </c>
      <c r="L71" s="2189">
        <f>SUMIF(PL!$AC:$AC,$B71,PL!N:N)</f>
        <v>0</v>
      </c>
      <c r="M71" s="2189">
        <f>SUMIF(PL!$AC:$AC,$B71,PL!O:O)</f>
        <v>0</v>
      </c>
      <c r="N71" s="2189">
        <f>SUM(G71:M71)</f>
        <v>0</v>
      </c>
      <c r="O71" s="2189">
        <f>D71-N71</f>
        <v>0</v>
      </c>
      <c r="Q71" s="2206" t="inlineStr">
        <is>
          <t>매출액</t>
        </is>
      </c>
      <c r="R71" s="2207" t="inlineStr">
        <is>
          <t>매출액</t>
        </is>
      </c>
      <c r="S71" s="2206" t="str">
        <f>IFERROR(INDEX($C$140:$C$151,MATCH(R71,$B$140:$B$151,0)),"오류")</f>
        <v>영업</v>
      </c>
      <c r="T71" s="2208">
        <f>IFERROR(INDEX($D$140:$D$151,MATCH(R71,$B$140:$B$151,0)),0)</f>
        <v>1</v>
      </c>
      <c r="U71" s="2209">
        <f>IF(OR(Q71="매출액",Q71="매출원가",Q71="판매비와관리비"),1,0)</f>
        <v>1</v>
      </c>
    </row>
    <row r="72">
      <c r="B72" s="2188" t="str">
        <f>연결PL!B6</f>
        <v>식음료매출</v>
      </c>
      <c r="D72" s="2189">
        <f>연결PL!D6</f>
        <v>35207020</v>
      </c>
      <c r="E72" s="2189">
        <f>연결PL!E6</f>
        <v>44028845</v>
      </c>
      <c r="G72" s="2189">
        <f>SUMIF(PL!$AC:$AC,$B72,PL!I:I)</f>
        <v>35207020</v>
      </c>
      <c r="H72" s="2189">
        <f>SUMIF(PL!$AC:$AC,$B72,PL!J:J)</f>
        <v>0</v>
      </c>
      <c r="I72" s="2189">
        <f>SUMIF(PL!$AC:$AC,$B72,PL!K:K)</f>
        <v>0</v>
      </c>
      <c r="J72" s="2189">
        <f>SUMIF(PL!$AC:$AC,$B72,PL!L:L)</f>
        <v>0</v>
      </c>
      <c r="K72" s="2189">
        <f>SUMIF(PL!$AC:$AC,$B72,PL!M:M)</f>
        <v>0</v>
      </c>
      <c r="L72" s="2189">
        <f>SUMIF(PL!$AC:$AC,$B72,PL!N:N)</f>
        <v>0</v>
      </c>
      <c r="M72" s="2189">
        <f>SUMIF(PL!$AC:$AC,$B72,PL!O:O)</f>
        <v>0</v>
      </c>
      <c r="N72" s="2189">
        <f>SUM(G72:M72)</f>
        <v>35207020</v>
      </c>
      <c r="O72" s="2189">
        <f>D72-N72</f>
        <v>0</v>
      </c>
      <c r="Q72" s="2206" t="inlineStr">
        <is>
          <t>매출액</t>
        </is>
      </c>
      <c r="R72" s="2207" t="inlineStr">
        <is>
          <t>매출액</t>
        </is>
      </c>
      <c r="S72" s="2206" t="str">
        <f>IFERROR(INDEX($C$140:$C$151,MATCH(R72,$B$140:$B$151,0)),"오류")</f>
        <v>영업</v>
      </c>
      <c r="T72" s="2208">
        <f>IFERROR(INDEX($D$140:$D$151,MATCH(R72,$B$140:$B$151,0)),0)</f>
        <v>1</v>
      </c>
      <c r="U72" s="2209">
        <f>IF(OR(Q72="매출액",Q72="매출원가",Q72="판매비와관리비"),1,0)</f>
        <v>1</v>
      </c>
    </row>
    <row r="73">
      <c r="B73" s="2188" t="str">
        <f>연결PL!B7</f>
        <v>매출원가</v>
      </c>
      <c r="D73" s="2189">
        <f>연결PL!D7</f>
        <v>3634217621</v>
      </c>
      <c r="E73" s="2189">
        <f>연결PL!E7</f>
        <v>3581100990</v>
      </c>
      <c r="G73" s="2189">
        <f>PL!I14</f>
        <v>3596633522</v>
      </c>
      <c r="H73" s="2189">
        <f>PL!J14</f>
        <v>0</v>
      </c>
      <c r="I73" s="2189">
        <f>PL!K14</f>
        <v>378103308</v>
      </c>
      <c r="J73" s="2189">
        <f>PL!L14</f>
        <v>24568846</v>
      </c>
      <c r="K73" s="2189">
        <f>PL!M14</f>
        <v>0</v>
      </c>
      <c r="L73" s="2189">
        <f>PL!N14</f>
        <v>0</v>
      </c>
      <c r="M73" s="2189">
        <f>PL!O14</f>
        <v>0</v>
      </c>
      <c r="N73" s="2189">
        <f>SUM(G73:M73)</f>
        <v>3999305676</v>
      </c>
      <c r="O73" s="2189">
        <f>D73-N73</f>
        <v>-365088055</v>
      </c>
      <c r="Q73" s="2206" t="inlineStr">
        <is>
          <t>매출원가</t>
        </is>
      </c>
      <c r="R73" s="2207" t="inlineStr">
        <is>
          <t>매출원가</t>
        </is>
      </c>
      <c r="S73" s="2206" t="str">
        <f>IFERROR(INDEX($C$140:$C$151,MATCH(R73,$B$140:$B$151,0)),"오류")</f>
        <v>영업</v>
      </c>
      <c r="T73" s="2208">
        <f>IFERROR(INDEX($D$140:$D$151,MATCH(R73,$B$140:$B$151,0)),0)</f>
        <v>-1</v>
      </c>
      <c r="U73" s="2209">
        <f>IF(OR(Q73="매출액",Q73="매출원가",Q73="판매비와관리비"),1,0)</f>
        <v>1</v>
      </c>
    </row>
    <row r="74">
      <c r="B74" s="2188" t="str">
        <f>연결PL!B36</f>
        <v>급여</v>
      </c>
      <c r="D74" s="2189">
        <f>연결PL!D36</f>
        <v>1503402249</v>
      </c>
      <c r="E74" s="2189">
        <f>연결PL!E36</f>
        <v>1770176545</v>
      </c>
      <c r="G74" s="2189">
        <f>SUMIF(PL!$AC:$AC,$B74,PL!I:I)</f>
        <v>1192275225</v>
      </c>
      <c r="H74" s="2189">
        <f>SUMIF(PL!$AC:$AC,$B74,PL!J:J)</f>
        <v>0</v>
      </c>
      <c r="I74" s="2189">
        <f>SUMIF(PL!$AC:$AC,$B74,PL!K:K)</f>
        <v>271298424</v>
      </c>
      <c r="J74" s="2189">
        <f>SUMIF(PL!$AC:$AC,$B74,PL!L:L)</f>
        <v>39828600</v>
      </c>
      <c r="K74" s="2189">
        <f>SUMIF(PL!$AC:$AC,$B74,PL!M:M)</f>
        <v>0</v>
      </c>
      <c r="L74" s="2189">
        <f>SUMIF(PL!$AC:$AC,$B74,PL!N:N)</f>
        <v>0</v>
      </c>
      <c r="M74" s="2189">
        <f>SUMIF(PL!$AC:$AC,$B74,PL!O:O)</f>
        <v>0</v>
      </c>
      <c r="N74" s="2189">
        <f>SUM(G74:M74)</f>
        <v>1503402249</v>
      </c>
      <c r="O74" s="2189">
        <f>D74-N74</f>
        <v>0</v>
      </c>
      <c r="Q74" s="2206" t="inlineStr">
        <is>
          <t>판매비와관리비</t>
        </is>
      </c>
      <c r="R74" s="2207" t="inlineStr">
        <is>
          <t>판매비와관리비</t>
        </is>
      </c>
      <c r="S74" s="2206" t="str">
        <f>IFERROR(INDEX($C$140:$C$151,MATCH(R74,$B$140:$B$151,0)),"오류")</f>
        <v>영업</v>
      </c>
      <c r="T74" s="2208">
        <f>IFERROR(INDEX($D$140:$D$151,MATCH(R74,$B$140:$B$151,0)),0)</f>
        <v>-1</v>
      </c>
      <c r="U74" s="2209">
        <f>IF(OR(Q74="매출액",Q74="매출원가",Q74="판매비와관리비"),1,0)</f>
        <v>1</v>
      </c>
    </row>
    <row r="75">
      <c r="B75" s="2188" t="str">
        <f>연결PL!B37</f>
        <v>퇴직급여</v>
      </c>
      <c r="D75" s="2189">
        <f>연결PL!D37</f>
        <v>110359296</v>
      </c>
      <c r="E75" s="2189">
        <f>연결PL!E37</f>
        <v>104651910</v>
      </c>
      <c r="G75" s="2189">
        <f>SUMIF(PL!$AC:$AC,$B75,PL!I:I)</f>
        <v>110359296</v>
      </c>
      <c r="H75" s="2189">
        <f>SUMIF(PL!$AC:$AC,$B75,PL!J:J)</f>
        <v>0</v>
      </c>
      <c r="I75" s="2189">
        <f>SUMIF(PL!$AC:$AC,$B75,PL!K:K)</f>
        <v>0</v>
      </c>
      <c r="J75" s="2189">
        <f>SUMIF(PL!$AC:$AC,$B75,PL!L:L)</f>
        <v>0</v>
      </c>
      <c r="K75" s="2189">
        <f>SUMIF(PL!$AC:$AC,$B75,PL!M:M)</f>
        <v>0</v>
      </c>
      <c r="L75" s="2189">
        <f>SUMIF(PL!$AC:$AC,$B75,PL!N:N)</f>
        <v>0</v>
      </c>
      <c r="M75" s="2189">
        <f>SUMIF(PL!$AC:$AC,$B75,PL!O:O)</f>
        <v>0</v>
      </c>
      <c r="N75" s="2189">
        <f>SUM(G75:M75)</f>
        <v>110359296</v>
      </c>
      <c r="O75" s="2189">
        <f>D75-N75</f>
        <v>0</v>
      </c>
      <c r="Q75" s="2206" t="inlineStr">
        <is>
          <t>판매비와관리비</t>
        </is>
      </c>
      <c r="R75" s="2207" t="inlineStr">
        <is>
          <t>판매비와관리비</t>
        </is>
      </c>
      <c r="S75" s="2206" t="str">
        <f>IFERROR(INDEX($C$140:$C$151,MATCH(R75,$B$140:$B$151,0)),"오류")</f>
        <v>영업</v>
      </c>
      <c r="T75" s="2208">
        <f>IFERROR(INDEX($D$140:$D$151,MATCH(R75,$B$140:$B$151,0)),0)</f>
        <v>-1</v>
      </c>
      <c r="U75" s="2209">
        <f>IF(OR(Q75="매출액",Q75="매출원가",Q75="판매비와관리비"),1,0)</f>
        <v>1</v>
      </c>
    </row>
    <row r="76">
      <c r="B76" s="2188" t="str">
        <f>연결PL!B38</f>
        <v>해고급여</v>
      </c>
      <c r="D76" s="2189">
        <f>연결PL!D38</f>
        <v>45930430</v>
      </c>
      <c r="E76" s="2189">
        <f>연결PL!E38</f>
        <v>0</v>
      </c>
      <c r="G76" s="2189">
        <f>SUMIF(PL!$AC:$AC,$B76,PL!I:I)</f>
        <v>45930430</v>
      </c>
      <c r="H76" s="2189">
        <f>SUMIF(PL!$AC:$AC,$B76,PL!J:J)</f>
        <v>0</v>
      </c>
      <c r="I76" s="2189">
        <f>SUMIF(PL!$AC:$AC,$B76,PL!K:K)</f>
        <v>0</v>
      </c>
      <c r="J76" s="2189">
        <f>SUMIF(PL!$AC:$AC,$B76,PL!L:L)</f>
        <v>0</v>
      </c>
      <c r="K76" s="2189">
        <f>SUMIF(PL!$AC:$AC,$B76,PL!M:M)</f>
        <v>0</v>
      </c>
      <c r="L76" s="2189">
        <f>SUMIF(PL!$AC:$AC,$B76,PL!N:N)</f>
        <v>0</v>
      </c>
      <c r="M76" s="2189">
        <f>SUMIF(PL!$AC:$AC,$B76,PL!O:O)</f>
        <v>0</v>
      </c>
      <c r="N76" s="2189">
        <f>SUM(G76:M76)</f>
        <v>45930430</v>
      </c>
      <c r="O76" s="2189">
        <f>D76-N76</f>
        <v>0</v>
      </c>
      <c r="Q76" s="2206" t="inlineStr">
        <is>
          <t>판매비와관리비</t>
        </is>
      </c>
      <c r="R76" s="2207" t="inlineStr">
        <is>
          <t>판매비와관리비</t>
        </is>
      </c>
      <c r="S76" s="2206" t="str">
        <f>IFERROR(INDEX($C$140:$C$151,MATCH(R76,$B$140:$B$151,0)),"오류")</f>
        <v>영업</v>
      </c>
      <c r="T76" s="2208">
        <f>IFERROR(INDEX($D$140:$D$151,MATCH(R76,$B$140:$B$151,0)),0)</f>
        <v>-1</v>
      </c>
      <c r="U76" s="2209">
        <f>IF(OR(Q76="매출액",Q76="매출원가",Q76="판매비와관리비"),1,0)</f>
        <v>1</v>
      </c>
    </row>
    <row r="77">
      <c r="B77" s="2188" t="str">
        <f>연결PL!B39</f>
        <v>주식보상비</v>
      </c>
      <c r="D77" s="2189">
        <f>연결PL!D39</f>
        <v>0</v>
      </c>
      <c r="E77" s="2189">
        <f>연결PL!E39</f>
        <v>0</v>
      </c>
      <c r="G77" s="2189">
        <f>SUMIF(PL!$AC:$AC,$B77,PL!I:I)</f>
        <v>0</v>
      </c>
      <c r="H77" s="2189">
        <f>SUMIF(PL!$AC:$AC,$B77,PL!J:J)</f>
        <v>0</v>
      </c>
      <c r="I77" s="2189">
        <f>SUMIF(PL!$AC:$AC,$B77,PL!K:K)</f>
        <v>0</v>
      </c>
      <c r="J77" s="2189">
        <f>SUMIF(PL!$AC:$AC,$B77,PL!L:L)</f>
        <v>0</v>
      </c>
      <c r="K77" s="2189">
        <f>SUMIF(PL!$AC:$AC,$B77,PL!M:M)</f>
        <v>0</v>
      </c>
      <c r="L77" s="2189">
        <f>SUMIF(PL!$AC:$AC,$B77,PL!N:N)</f>
        <v>0</v>
      </c>
      <c r="M77" s="2189">
        <f>SUMIF(PL!$AC:$AC,$B77,PL!O:O)</f>
        <v>0</v>
      </c>
      <c r="N77" s="2189">
        <f>SUM(G77:M77)</f>
        <v>0</v>
      </c>
      <c r="O77" s="2189">
        <f>D77-N77</f>
        <v>0</v>
      </c>
      <c r="Q77" s="2206" t="inlineStr">
        <is>
          <t>판매비와관리비</t>
        </is>
      </c>
      <c r="R77" s="2207" t="inlineStr">
        <is>
          <t>판매비와관리비</t>
        </is>
      </c>
      <c r="S77" s="2206" t="str">
        <f>IFERROR(INDEX($C$140:$C$151,MATCH(R77,$B$140:$B$151,0)),"오류")</f>
        <v>영업</v>
      </c>
      <c r="T77" s="2208">
        <f>IFERROR(INDEX($D$140:$D$151,MATCH(R77,$B$140:$B$151,0)),0)</f>
        <v>-1</v>
      </c>
      <c r="U77" s="2209">
        <f>IF(OR(Q77="매출액",Q77="매출원가",Q77="판매비와관리비"),1,0)</f>
        <v>1</v>
      </c>
    </row>
    <row r="78">
      <c r="B78" s="2188" t="str">
        <f>연결PL!B40</f>
        <v>복리후생비</v>
      </c>
      <c r="D78" s="2189">
        <f>연결PL!D40</f>
        <v>197164634</v>
      </c>
      <c r="E78" s="2189">
        <f>연결PL!E40</f>
        <v>203301261</v>
      </c>
      <c r="G78" s="2189">
        <f>SUMIF(PL!$AC:$AC,$B78,PL!I:I)</f>
        <v>187719099</v>
      </c>
      <c r="H78" s="2189">
        <f>SUMIF(PL!$AC:$AC,$B78,PL!J:J)</f>
        <v>0</v>
      </c>
      <c r="I78" s="2189">
        <f>SUMIF(PL!$AC:$AC,$B78,PL!K:K)</f>
        <v>7738595</v>
      </c>
      <c r="J78" s="2189">
        <f>SUMIF(PL!$AC:$AC,$B78,PL!L:L)</f>
        <v>1706940</v>
      </c>
      <c r="K78" s="2189">
        <f>SUMIF(PL!$AC:$AC,$B78,PL!M:M)</f>
        <v>0</v>
      </c>
      <c r="L78" s="2189">
        <f>SUMIF(PL!$AC:$AC,$B78,PL!N:N)</f>
        <v>0</v>
      </c>
      <c r="M78" s="2189">
        <f>SUMIF(PL!$AC:$AC,$B78,PL!O:O)</f>
        <v>0</v>
      </c>
      <c r="N78" s="2189">
        <f>SUM(G78:M78)</f>
        <v>197164634</v>
      </c>
      <c r="O78" s="2189">
        <f>D78-N78</f>
        <v>0</v>
      </c>
      <c r="Q78" s="2206" t="inlineStr">
        <is>
          <t>판매비와관리비</t>
        </is>
      </c>
      <c r="R78" s="2207" t="inlineStr">
        <is>
          <t>판매비와관리비</t>
        </is>
      </c>
      <c r="S78" s="2206" t="str">
        <f>IFERROR(INDEX($C$140:$C$151,MATCH(R78,$B$140:$B$151,0)),"오류")</f>
        <v>영업</v>
      </c>
      <c r="T78" s="2208">
        <f>IFERROR(INDEX($D$140:$D$151,MATCH(R78,$B$140:$B$151,0)),0)</f>
        <v>-1</v>
      </c>
      <c r="U78" s="2209">
        <f>IF(OR(Q78="매출액",Q78="매출원가",Q78="판매비와관리비"),1,0)</f>
        <v>1</v>
      </c>
    </row>
    <row r="79">
      <c r="B79" s="2188" t="str">
        <f>연결PL!B41</f>
        <v>여비교통비</v>
      </c>
      <c r="D79" s="2189">
        <f>연결PL!D41</f>
        <v>231770961</v>
      </c>
      <c r="E79" s="2189">
        <f>연결PL!E41</f>
        <v>289230504</v>
      </c>
      <c r="G79" s="2189">
        <f>SUMIF(PL!$AC:$AC,$B79,PL!I:I)</f>
        <v>224812833</v>
      </c>
      <c r="H79" s="2189">
        <f>SUMIF(PL!$AC:$AC,$B79,PL!J:J)</f>
        <v>0</v>
      </c>
      <c r="I79" s="2189">
        <f>SUMIF(PL!$AC:$AC,$B79,PL!K:K)</f>
        <v>6958128</v>
      </c>
      <c r="J79" s="2189">
        <f>SUMIF(PL!$AC:$AC,$B79,PL!L:L)</f>
        <v>0</v>
      </c>
      <c r="K79" s="2189">
        <f>SUMIF(PL!$AC:$AC,$B79,PL!M:M)</f>
        <v>0</v>
      </c>
      <c r="L79" s="2189">
        <f>SUMIF(PL!$AC:$AC,$B79,PL!N:N)</f>
        <v>0</v>
      </c>
      <c r="M79" s="2189">
        <f>SUMIF(PL!$AC:$AC,$B79,PL!O:O)</f>
        <v>0</v>
      </c>
      <c r="N79" s="2189">
        <f>SUM(G79:M79)</f>
        <v>231770961</v>
      </c>
      <c r="O79" s="2189">
        <f>D79-N79</f>
        <v>0</v>
      </c>
      <c r="Q79" s="2206" t="inlineStr">
        <is>
          <t>판매비와관리비</t>
        </is>
      </c>
      <c r="R79" s="2207" t="inlineStr">
        <is>
          <t>판매비와관리비</t>
        </is>
      </c>
      <c r="S79" s="2206" t="str">
        <f>IFERROR(INDEX($C$140:$C$151,MATCH(R79,$B$140:$B$151,0)),"오류")</f>
        <v>영업</v>
      </c>
      <c r="T79" s="2208">
        <f>IFERROR(INDEX($D$140:$D$151,MATCH(R79,$B$140:$B$151,0)),0)</f>
        <v>-1</v>
      </c>
      <c r="U79" s="2209">
        <f>IF(OR(Q79="매출액",Q79="매출원가",Q79="판매비와관리비"),1,0)</f>
        <v>1</v>
      </c>
    </row>
    <row r="80">
      <c r="B80" s="2188" t="str">
        <f>연결PL!B42</f>
        <v>접대비</v>
      </c>
      <c r="D80" s="2189">
        <f>연결PL!D42</f>
        <v>35747090</v>
      </c>
      <c r="E80" s="2189">
        <f>연결PL!E42</f>
        <v>90031148</v>
      </c>
      <c r="G80" s="2189">
        <f>SUMIF(PL!$AC:$AC,$B80,PL!I:I)</f>
        <v>25692474</v>
      </c>
      <c r="H80" s="2189">
        <f>SUMIF(PL!$AC:$AC,$B80,PL!J:J)</f>
        <v>0</v>
      </c>
      <c r="I80" s="2189">
        <f>SUMIF(PL!$AC:$AC,$B80,PL!K:K)</f>
        <v>9721611</v>
      </c>
      <c r="J80" s="2189">
        <f>SUMIF(PL!$AC:$AC,$B80,PL!L:L)</f>
        <v>333005</v>
      </c>
      <c r="K80" s="2189">
        <f>SUMIF(PL!$AC:$AC,$B80,PL!M:M)</f>
        <v>0</v>
      </c>
      <c r="L80" s="2189">
        <f>SUMIF(PL!$AC:$AC,$B80,PL!N:N)</f>
        <v>0</v>
      </c>
      <c r="M80" s="2189">
        <f>SUMIF(PL!$AC:$AC,$B80,PL!O:O)</f>
        <v>0</v>
      </c>
      <c r="N80" s="2189">
        <f>SUM(G80:M80)</f>
        <v>35747090</v>
      </c>
      <c r="O80" s="2189">
        <f>D80-N80</f>
        <v>0</v>
      </c>
      <c r="Q80" s="2206" t="inlineStr">
        <is>
          <t>판매비와관리비</t>
        </is>
      </c>
      <c r="R80" s="2207" t="inlineStr">
        <is>
          <t>판매비와관리비</t>
        </is>
      </c>
      <c r="S80" s="2206" t="str">
        <f>IFERROR(INDEX($C$140:$C$151,MATCH(R80,$B$140:$B$151,0)),"오류")</f>
        <v>영업</v>
      </c>
      <c r="T80" s="2208">
        <f>IFERROR(INDEX($D$140:$D$151,MATCH(R80,$B$140:$B$151,0)),0)</f>
        <v>-1</v>
      </c>
      <c r="U80" s="2209">
        <f>IF(OR(Q80="매출액",Q80="매출원가",Q80="판매비와관리비"),1,0)</f>
        <v>1</v>
      </c>
    </row>
    <row r="81">
      <c r="B81" s="2188" t="str">
        <f>연결PL!B43</f>
        <v>통신비</v>
      </c>
      <c r="D81" s="2189">
        <f>연결PL!D43</f>
        <v>13834390</v>
      </c>
      <c r="E81" s="2189">
        <f>연결PL!E43</f>
        <v>14000818</v>
      </c>
      <c r="G81" s="2189">
        <f>SUMIF(PL!$AC:$AC,$B81,PL!I:I)</f>
        <v>8042843</v>
      </c>
      <c r="H81" s="2189">
        <f>SUMIF(PL!$AC:$AC,$B81,PL!J:J)</f>
        <v>0</v>
      </c>
      <c r="I81" s="2189">
        <f>SUMIF(PL!$AC:$AC,$B81,PL!K:K)</f>
        <v>5377430</v>
      </c>
      <c r="J81" s="2189">
        <f>SUMIF(PL!$AC:$AC,$B81,PL!L:L)</f>
        <v>414117</v>
      </c>
      <c r="K81" s="2189">
        <f>SUMIF(PL!$AC:$AC,$B81,PL!M:M)</f>
        <v>0</v>
      </c>
      <c r="L81" s="2189">
        <f>SUMIF(PL!$AC:$AC,$B81,PL!N:N)</f>
        <v>0</v>
      </c>
      <c r="M81" s="2189">
        <f>SUMIF(PL!$AC:$AC,$B81,PL!O:O)</f>
        <v>0</v>
      </c>
      <c r="N81" s="2189">
        <f>SUM(G81:M81)</f>
        <v>13834390</v>
      </c>
      <c r="O81" s="2189">
        <f>D81-N81</f>
        <v>0</v>
      </c>
      <c r="Q81" s="2206" t="inlineStr">
        <is>
          <t>판매비와관리비</t>
        </is>
      </c>
      <c r="R81" s="2207" t="inlineStr">
        <is>
          <t>판매비와관리비</t>
        </is>
      </c>
      <c r="S81" s="2206" t="str">
        <f>IFERROR(INDEX($C$140:$C$151,MATCH(R81,$B$140:$B$151,0)),"오류")</f>
        <v>영업</v>
      </c>
      <c r="T81" s="2208">
        <f>IFERROR(INDEX($D$140:$D$151,MATCH(R81,$B$140:$B$151,0)),0)</f>
        <v>-1</v>
      </c>
      <c r="U81" s="2209">
        <f>IF(OR(Q81="매출액",Q81="매출원가",Q81="판매비와관리비"),1,0)</f>
        <v>1</v>
      </c>
    </row>
    <row r="82">
      <c r="B82" s="2188" t="str">
        <f>연결PL!B44</f>
        <v>수도광열비</v>
      </c>
      <c r="D82" s="2189">
        <f>연결PL!D44</f>
        <v>4711948</v>
      </c>
      <c r="E82" s="2189">
        <f>연결PL!E44</f>
        <v>4497562</v>
      </c>
      <c r="G82" s="2189">
        <f>SUMIF(PL!$AC:$AC,$B82,PL!I:I)</f>
        <v>2933840</v>
      </c>
      <c r="H82" s="2189">
        <f>SUMIF(PL!$AC:$AC,$B82,PL!J:J)</f>
        <v>0</v>
      </c>
      <c r="I82" s="2189">
        <f>SUMIF(PL!$AC:$AC,$B82,PL!K:K)</f>
        <v>0</v>
      </c>
      <c r="J82" s="2189">
        <f>SUMIF(PL!$AC:$AC,$B82,PL!L:L)</f>
        <v>1778108</v>
      </c>
      <c r="K82" s="2189">
        <f>SUMIF(PL!$AC:$AC,$B82,PL!M:M)</f>
        <v>0</v>
      </c>
      <c r="L82" s="2189">
        <f>SUMIF(PL!$AC:$AC,$B82,PL!N:N)</f>
        <v>0</v>
      </c>
      <c r="M82" s="2189">
        <f>SUMIF(PL!$AC:$AC,$B82,PL!O:O)</f>
        <v>0</v>
      </c>
      <c r="N82" s="2189">
        <f>SUM(G82:M82)</f>
        <v>4711948</v>
      </c>
      <c r="O82" s="2189">
        <f>D82-N82</f>
        <v>0</v>
      </c>
      <c r="Q82" s="2206" t="inlineStr">
        <is>
          <t>판매비와관리비</t>
        </is>
      </c>
      <c r="R82" s="2207" t="inlineStr">
        <is>
          <t>판매비와관리비</t>
        </is>
      </c>
      <c r="S82" s="2206" t="str">
        <f>IFERROR(INDEX($C$140:$C$151,MATCH(R82,$B$140:$B$151,0)),"오류")</f>
        <v>영업</v>
      </c>
      <c r="T82" s="2208">
        <f>IFERROR(INDEX($D$140:$D$151,MATCH(R82,$B$140:$B$151,0)),0)</f>
        <v>-1</v>
      </c>
      <c r="U82" s="2209">
        <f>IF(OR(Q82="매출액",Q82="매출원가",Q82="판매비와관리비"),1,0)</f>
        <v>1</v>
      </c>
    </row>
    <row r="83">
      <c r="B83" s="2188" t="str">
        <f>연결PL!B45</f>
        <v>전력비</v>
      </c>
      <c r="D83" s="2189">
        <f>연결PL!D45</f>
        <v>3879022</v>
      </c>
      <c r="E83" s="2189">
        <f>연결PL!E45</f>
        <v>3182290</v>
      </c>
      <c r="G83" s="2189">
        <f>SUMIF(PL!$AC:$AC,$B83,PL!I:I)</f>
        <v>3879022</v>
      </c>
      <c r="H83" s="2189">
        <f>SUMIF(PL!$AC:$AC,$B83,PL!J:J)</f>
        <v>0</v>
      </c>
      <c r="I83" s="2189">
        <f>SUMIF(PL!$AC:$AC,$B83,PL!K:K)</f>
        <v>0</v>
      </c>
      <c r="J83" s="2189">
        <f>SUMIF(PL!$AC:$AC,$B83,PL!L:L)</f>
        <v>0</v>
      </c>
      <c r="K83" s="2189">
        <f>SUMIF(PL!$AC:$AC,$B83,PL!M:M)</f>
        <v>0</v>
      </c>
      <c r="L83" s="2189">
        <f>SUMIF(PL!$AC:$AC,$B83,PL!N:N)</f>
        <v>0</v>
      </c>
      <c r="M83" s="2189">
        <f>SUMIF(PL!$AC:$AC,$B83,PL!O:O)</f>
        <v>0</v>
      </c>
      <c r="N83" s="2189">
        <f>SUM(G83:M83)</f>
        <v>3879022</v>
      </c>
      <c r="O83" s="2189">
        <f>D83-N83</f>
        <v>0</v>
      </c>
      <c r="Q83" s="2206" t="inlineStr">
        <is>
          <t>판매비와관리비</t>
        </is>
      </c>
      <c r="R83" s="2207" t="inlineStr">
        <is>
          <t>판매비와관리비</t>
        </is>
      </c>
      <c r="S83" s="2206" t="str">
        <f>IFERROR(INDEX($C$140:$C$151,MATCH(R83,$B$140:$B$151,0)),"오류")</f>
        <v>영업</v>
      </c>
      <c r="T83" s="2208">
        <f>IFERROR(INDEX($D$140:$D$151,MATCH(R83,$B$140:$B$151,0)),0)</f>
        <v>-1</v>
      </c>
      <c r="U83" s="2209">
        <f>IF(OR(Q83="매출액",Q83="매출원가",Q83="판매비와관리비"),1,0)</f>
        <v>1</v>
      </c>
    </row>
    <row r="84">
      <c r="B84" s="2188" t="str">
        <f>연결PL!B46</f>
        <v>세금과공과금</v>
      </c>
      <c r="D84" s="2189">
        <f>연결PL!D46</f>
        <v>8510049</v>
      </c>
      <c r="E84" s="2189">
        <f>연결PL!E46</f>
        <v>9690415</v>
      </c>
      <c r="G84" s="2189">
        <f>SUMIF(PL!$AC:$AC,$B84,PL!I:I)</f>
        <v>8506220</v>
      </c>
      <c r="H84" s="2189">
        <f>SUMIF(PL!$AC:$AC,$B84,PL!J:J)</f>
        <v>0</v>
      </c>
      <c r="I84" s="2189">
        <f>SUMIF(PL!$AC:$AC,$B84,PL!K:K)</f>
        <v>0</v>
      </c>
      <c r="J84" s="2189">
        <f>SUMIF(PL!$AC:$AC,$B84,PL!L:L)</f>
        <v>0</v>
      </c>
      <c r="K84" s="2189">
        <f>SUMIF(PL!$AC:$AC,$B84,PL!M:M)</f>
        <v>3829</v>
      </c>
      <c r="L84" s="2189">
        <f>SUMIF(PL!$AC:$AC,$B84,PL!N:N)</f>
        <v>0</v>
      </c>
      <c r="M84" s="2189">
        <f>SUMIF(PL!$AC:$AC,$B84,PL!O:O)</f>
        <v>0</v>
      </c>
      <c r="N84" s="2189">
        <f>SUM(G84:M84)</f>
        <v>8510049</v>
      </c>
      <c r="O84" s="2189">
        <f>D84-N84</f>
        <v>0</v>
      </c>
      <c r="Q84" s="2206" t="inlineStr">
        <is>
          <t>판매비와관리비</t>
        </is>
      </c>
      <c r="R84" s="2207" t="inlineStr">
        <is>
          <t>판매비와관리비</t>
        </is>
      </c>
      <c r="S84" s="2206" t="str">
        <f>IFERROR(INDEX($C$140:$C$151,MATCH(R84,$B$140:$B$151,0)),"오류")</f>
        <v>영업</v>
      </c>
      <c r="T84" s="2208">
        <f>IFERROR(INDEX($D$140:$D$151,MATCH(R84,$B$140:$B$151,0)),0)</f>
        <v>-1</v>
      </c>
      <c r="U84" s="2209">
        <f>IF(OR(Q84="매출액",Q84="매출원가",Q84="판매비와관리비"),1,0)</f>
        <v>1</v>
      </c>
    </row>
    <row r="85">
      <c r="B85" s="2188" t="str">
        <f>연결PL!B47</f>
        <v>감가상각비</v>
      </c>
      <c r="D85" s="2189">
        <f>연결PL!D47</f>
        <v>181372149</v>
      </c>
      <c r="E85" s="2189">
        <f>연결PL!E47</f>
        <v>222390521</v>
      </c>
      <c r="G85" s="2189">
        <f>SUMIF(PL!$AC:$AC,$B85,PL!I:I)</f>
        <v>119880341</v>
      </c>
      <c r="H85" s="2189">
        <f>SUMIF(PL!$AC:$AC,$B85,PL!J:J)</f>
        <v>0</v>
      </c>
      <c r="I85" s="2189">
        <f>SUMIF(PL!$AC:$AC,$B85,PL!K:K)</f>
        <v>4176323</v>
      </c>
      <c r="J85" s="2189">
        <f>SUMIF(PL!$AC:$AC,$B85,PL!L:L)</f>
        <v>56277298</v>
      </c>
      <c r="K85" s="2189">
        <f>SUMIF(PL!$AC:$AC,$B85,PL!M:M)</f>
        <v>0</v>
      </c>
      <c r="L85" s="2189">
        <f>SUMIF(PL!$AC:$AC,$B85,PL!N:N)</f>
        <v>0</v>
      </c>
      <c r="M85" s="2189">
        <f>SUMIF(PL!$AC:$AC,$B85,PL!O:O)</f>
        <v>0</v>
      </c>
      <c r="N85" s="2189">
        <f>SUM(G85:M85)</f>
        <v>180333962</v>
      </c>
      <c r="O85" s="2189">
        <f>D85-N85</f>
        <v>1038187</v>
      </c>
      <c r="Q85" s="2206" t="inlineStr">
        <is>
          <t>판매비와관리비</t>
        </is>
      </c>
      <c r="R85" s="2207" t="inlineStr">
        <is>
          <t>판매비와관리비</t>
        </is>
      </c>
      <c r="S85" s="2206" t="str">
        <f>IFERROR(INDEX($C$140:$C$151,MATCH(R85,$B$140:$B$151,0)),"오류")</f>
        <v>영업</v>
      </c>
      <c r="T85" s="2208">
        <f>IFERROR(INDEX($D$140:$D$151,MATCH(R85,$B$140:$B$151,0)),0)</f>
        <v>-1</v>
      </c>
      <c r="U85" s="2209">
        <f>IF(OR(Q85="매출액",Q85="매출원가",Q85="판매비와관리비"),1,0)</f>
        <v>1</v>
      </c>
    </row>
    <row r="86">
      <c r="B86" s="2188" t="str">
        <f>연결PL!B48</f>
        <v>지급임차료</v>
      </c>
      <c r="D86" s="2189">
        <f>연결PL!D48</f>
        <v>89571233</v>
      </c>
      <c r="E86" s="2189">
        <f>연결PL!E48</f>
        <v>32002073</v>
      </c>
      <c r="G86" s="2189">
        <f>SUMIF(PL!$AC:$AC,$B86,PL!I:I)</f>
        <v>508414</v>
      </c>
      <c r="H86" s="2189">
        <f>SUMIF(PL!$AC:$AC,$B86,PL!J:J)</f>
        <v>0</v>
      </c>
      <c r="I86" s="2189">
        <f>SUMIF(PL!$AC:$AC,$B86,PL!K:K)</f>
        <v>29164967</v>
      </c>
      <c r="J86" s="2189">
        <f>SUMIF(PL!$AC:$AC,$B86,PL!L:L)</f>
        <v>59897852</v>
      </c>
      <c r="K86" s="2189">
        <f>SUMIF(PL!$AC:$AC,$B86,PL!M:M)</f>
        <v>0</v>
      </c>
      <c r="L86" s="2189">
        <f>SUMIF(PL!$AC:$AC,$B86,PL!N:N)</f>
        <v>0</v>
      </c>
      <c r="M86" s="2189">
        <f>SUMIF(PL!$AC:$AC,$B86,PL!O:O)</f>
        <v>0</v>
      </c>
      <c r="N86" s="2189">
        <f>SUM(G86:M86)</f>
        <v>89571233</v>
      </c>
      <c r="O86" s="2189">
        <f>D86-N86</f>
        <v>0</v>
      </c>
      <c r="Q86" s="2206" t="inlineStr">
        <is>
          <t>판매비와관리비</t>
        </is>
      </c>
      <c r="R86" s="2207" t="inlineStr">
        <is>
          <t>판매비와관리비</t>
        </is>
      </c>
      <c r="S86" s="2206" t="str">
        <f>IFERROR(INDEX($C$140:$C$151,MATCH(R86,$B$140:$B$151,0)),"오류")</f>
        <v>영업</v>
      </c>
      <c r="T86" s="2208">
        <f>IFERROR(INDEX($D$140:$D$151,MATCH(R86,$B$140:$B$151,0)),0)</f>
        <v>-1</v>
      </c>
      <c r="U86" s="2209">
        <f>IF(OR(Q86="매출액",Q86="매출원가",Q86="판매비와관리비"),1,0)</f>
        <v>1</v>
      </c>
    </row>
    <row r="87">
      <c r="B87" s="2188" t="str">
        <f>연결PL!B49</f>
        <v>수선비</v>
      </c>
      <c r="D87" s="2189">
        <f>연결PL!D49</f>
        <v>2127578</v>
      </c>
      <c r="E87" s="2189">
        <f>연결PL!E49</f>
        <v>2184493</v>
      </c>
      <c r="G87" s="2189">
        <f>SUMIF(PL!$AC:$AC,$B87,PL!I:I)</f>
        <v>1111000</v>
      </c>
      <c r="H87" s="2189">
        <f>SUMIF(PL!$AC:$AC,$B87,PL!J:J)</f>
        <v>0</v>
      </c>
      <c r="I87" s="2189">
        <f>SUMIF(PL!$AC:$AC,$B87,PL!K:K)</f>
        <v>94830</v>
      </c>
      <c r="J87" s="2189">
        <f>SUMIF(PL!$AC:$AC,$B87,PL!L:L)</f>
        <v>921748</v>
      </c>
      <c r="K87" s="2189">
        <f>SUMIF(PL!$AC:$AC,$B87,PL!M:M)</f>
        <v>0</v>
      </c>
      <c r="L87" s="2189">
        <f>SUMIF(PL!$AC:$AC,$B87,PL!N:N)</f>
        <v>0</v>
      </c>
      <c r="M87" s="2189">
        <f>SUMIF(PL!$AC:$AC,$B87,PL!O:O)</f>
        <v>0</v>
      </c>
      <c r="N87" s="2189">
        <f>SUM(G87:M87)</f>
        <v>2127578</v>
      </c>
      <c r="O87" s="2189">
        <f>D87-N87</f>
        <v>0</v>
      </c>
      <c r="Q87" s="2206" t="inlineStr">
        <is>
          <t>판매비와관리비</t>
        </is>
      </c>
      <c r="R87" s="2207" t="inlineStr">
        <is>
          <t>판매비와관리비</t>
        </is>
      </c>
      <c r="S87" s="2206" t="str">
        <f>IFERROR(INDEX($C$140:$C$151,MATCH(R87,$B$140:$B$151,0)),"오류")</f>
        <v>영업</v>
      </c>
      <c r="T87" s="2208">
        <f>IFERROR(INDEX($D$140:$D$151,MATCH(R87,$B$140:$B$151,0)),0)</f>
        <v>-1</v>
      </c>
      <c r="U87" s="2209">
        <f>IF(OR(Q87="매출액",Q87="매출원가",Q87="판매비와관리비"),1,0)</f>
        <v>1</v>
      </c>
    </row>
    <row r="88">
      <c r="B88" s="2188" t="str">
        <f>연결PL!B50</f>
        <v>보험료</v>
      </c>
      <c r="D88" s="2189">
        <f>연결PL!D50</f>
        <v>4498285</v>
      </c>
      <c r="E88" s="2189">
        <f>연결PL!E50</f>
        <v>10243379</v>
      </c>
      <c r="G88" s="2189">
        <f>SUMIF(PL!$AC:$AC,$B88,PL!I:I)</f>
        <v>3257116</v>
      </c>
      <c r="H88" s="2189">
        <f>SUMIF(PL!$AC:$AC,$B88,PL!J:J)</f>
        <v>0</v>
      </c>
      <c r="I88" s="2189">
        <f>SUMIF(PL!$AC:$AC,$B88,PL!K:K)</f>
        <v>1176336</v>
      </c>
      <c r="J88" s="2189">
        <f>SUMIF(PL!$AC:$AC,$B88,PL!L:L)</f>
        <v>64833</v>
      </c>
      <c r="K88" s="2189">
        <f>SUMIF(PL!$AC:$AC,$B88,PL!M:M)</f>
        <v>0</v>
      </c>
      <c r="L88" s="2189">
        <f>SUMIF(PL!$AC:$AC,$B88,PL!N:N)</f>
        <v>0</v>
      </c>
      <c r="M88" s="2189">
        <f>SUMIF(PL!$AC:$AC,$B88,PL!O:O)</f>
        <v>0</v>
      </c>
      <c r="N88" s="2189">
        <f>SUM(G88:M88)</f>
        <v>4498285</v>
      </c>
      <c r="O88" s="2189">
        <f>D88-N88</f>
        <v>0</v>
      </c>
      <c r="Q88" s="2206" t="inlineStr">
        <is>
          <t>판매비와관리비</t>
        </is>
      </c>
      <c r="R88" s="2207" t="inlineStr">
        <is>
          <t>판매비와관리비</t>
        </is>
      </c>
      <c r="S88" s="2206" t="str">
        <f>IFERROR(INDEX($C$140:$C$151,MATCH(R88,$B$140:$B$151,0)),"오류")</f>
        <v>영업</v>
      </c>
      <c r="T88" s="2208">
        <f>IFERROR(INDEX($D$140:$D$151,MATCH(R88,$B$140:$B$151,0)),0)</f>
        <v>-1</v>
      </c>
      <c r="U88" s="2209">
        <f>IF(OR(Q88="매출액",Q88="매출원가",Q88="판매비와관리비"),1,0)</f>
        <v>1</v>
      </c>
    </row>
    <row r="89">
      <c r="B89" s="2188" t="str">
        <f>연결PL!B51</f>
        <v>차량유지비</v>
      </c>
      <c r="D89" s="2189">
        <f>연결PL!D51</f>
        <v>720800</v>
      </c>
      <c r="E89" s="2189">
        <f>연결PL!E51</f>
        <v>3415144</v>
      </c>
      <c r="G89" s="2189">
        <f>SUMIF(PL!$AC:$AC,$B89,PL!I:I)</f>
        <v>720800</v>
      </c>
      <c r="H89" s="2189">
        <f>SUMIF(PL!$AC:$AC,$B89,PL!J:J)</f>
        <v>0</v>
      </c>
      <c r="I89" s="2189">
        <f>SUMIF(PL!$AC:$AC,$B89,PL!K:K)</f>
        <v>0</v>
      </c>
      <c r="J89" s="2189">
        <f>SUMIF(PL!$AC:$AC,$B89,PL!L:L)</f>
        <v>0</v>
      </c>
      <c r="K89" s="2189">
        <f>SUMIF(PL!$AC:$AC,$B89,PL!M:M)</f>
        <v>0</v>
      </c>
      <c r="L89" s="2189">
        <f>SUMIF(PL!$AC:$AC,$B89,PL!N:N)</f>
        <v>0</v>
      </c>
      <c r="M89" s="2189">
        <f>SUMIF(PL!$AC:$AC,$B89,PL!O:O)</f>
        <v>0</v>
      </c>
      <c r="N89" s="2189">
        <f>SUM(G89:M89)</f>
        <v>720800</v>
      </c>
      <c r="O89" s="2189">
        <f>D89-N89</f>
        <v>0</v>
      </c>
      <c r="Q89" s="2206" t="inlineStr">
        <is>
          <t>판매비와관리비</t>
        </is>
      </c>
      <c r="R89" s="2207" t="inlineStr">
        <is>
          <t>판매비와관리비</t>
        </is>
      </c>
      <c r="S89" s="2206" t="str">
        <f>IFERROR(INDEX($C$140:$C$151,MATCH(R89,$B$140:$B$151,0)),"오류")</f>
        <v>영업</v>
      </c>
      <c r="T89" s="2208">
        <f>IFERROR(INDEX($D$140:$D$151,MATCH(R89,$B$140:$B$151,0)),0)</f>
        <v>-1</v>
      </c>
      <c r="U89" s="2209">
        <f>IF(OR(Q89="매출액",Q89="매출원가",Q89="판매비와관리비"),1,0)</f>
        <v>1</v>
      </c>
    </row>
    <row r="90">
      <c r="B90" s="2188" t="str">
        <f>연결PL!B52</f>
        <v>경상연구개발비</v>
      </c>
      <c r="D90" s="2189">
        <f>연결PL!D52</f>
        <v>364625079</v>
      </c>
      <c r="E90" s="2189">
        <f>연결PL!E52</f>
        <v>337688016</v>
      </c>
      <c r="G90" s="2189">
        <f>SUMIF(PL!$AC:$AC,$B90,PL!I:I)</f>
        <v>364625079</v>
      </c>
      <c r="H90" s="2189">
        <f>SUMIF(PL!$AC:$AC,$B90,PL!J:J)</f>
        <v>0</v>
      </c>
      <c r="I90" s="2189">
        <f>SUMIF(PL!$AC:$AC,$B90,PL!K:K)</f>
        <v>0</v>
      </c>
      <c r="J90" s="2189">
        <f>SUMIF(PL!$AC:$AC,$B90,PL!L:L)</f>
        <v>0</v>
      </c>
      <c r="K90" s="2189">
        <f>SUMIF(PL!$AC:$AC,$B90,PL!M:M)</f>
        <v>0</v>
      </c>
      <c r="L90" s="2189">
        <f>SUMIF(PL!$AC:$AC,$B90,PL!N:N)</f>
        <v>0</v>
      </c>
      <c r="M90" s="2189">
        <f>SUMIF(PL!$AC:$AC,$B90,PL!O:O)</f>
        <v>0</v>
      </c>
      <c r="N90" s="2189">
        <f>SUM(G90:M90)</f>
        <v>364625079</v>
      </c>
      <c r="O90" s="2189">
        <f>D90-N90</f>
        <v>0</v>
      </c>
      <c r="Q90" s="2206" t="inlineStr">
        <is>
          <t>판매비와관리비</t>
        </is>
      </c>
      <c r="R90" s="2207" t="inlineStr">
        <is>
          <t>판매비와관리비</t>
        </is>
      </c>
      <c r="S90" s="2206" t="str">
        <f>IFERROR(INDEX($C$140:$C$151,MATCH(R90,$B$140:$B$151,0)),"오류")</f>
        <v>영업</v>
      </c>
      <c r="T90" s="2208">
        <f>IFERROR(INDEX($D$140:$D$151,MATCH(R90,$B$140:$B$151,0)),0)</f>
        <v>-1</v>
      </c>
      <c r="U90" s="2209">
        <f>IF(OR(Q90="매출액",Q90="매출원가",Q90="판매비와관리비"),1,0)</f>
        <v>1</v>
      </c>
    </row>
    <row r="91">
      <c r="B91" s="2188" t="str">
        <f>연결PL!B53</f>
        <v>운반비</v>
      </c>
      <c r="D91" s="2189">
        <f>연결PL!D53</f>
        <v>9018081</v>
      </c>
      <c r="E91" s="2189">
        <f>연결PL!E53</f>
        <v>10980849</v>
      </c>
      <c r="G91" s="2189">
        <f>SUMIF(PL!$AC:$AC,$B91,PL!I:I)</f>
        <v>9018081</v>
      </c>
      <c r="H91" s="2189">
        <f>SUMIF(PL!$AC:$AC,$B91,PL!J:J)</f>
        <v>0</v>
      </c>
      <c r="I91" s="2189">
        <f>SUMIF(PL!$AC:$AC,$B91,PL!K:K)</f>
        <v>0</v>
      </c>
      <c r="J91" s="2189">
        <f>SUMIF(PL!$AC:$AC,$B91,PL!L:L)</f>
        <v>0</v>
      </c>
      <c r="K91" s="2189">
        <f>SUMIF(PL!$AC:$AC,$B91,PL!M:M)</f>
        <v>0</v>
      </c>
      <c r="L91" s="2189">
        <f>SUMIF(PL!$AC:$AC,$B91,PL!N:N)</f>
        <v>0</v>
      </c>
      <c r="M91" s="2189">
        <f>SUMIF(PL!$AC:$AC,$B91,PL!O:O)</f>
        <v>0</v>
      </c>
      <c r="N91" s="2189">
        <f>SUM(G91:M91)</f>
        <v>9018081</v>
      </c>
      <c r="O91" s="2189">
        <f>D91-N91</f>
        <v>0</v>
      </c>
      <c r="Q91" s="2206" t="inlineStr">
        <is>
          <t>판매비와관리비</t>
        </is>
      </c>
      <c r="R91" s="2207" t="inlineStr">
        <is>
          <t>판매비와관리비</t>
        </is>
      </c>
      <c r="S91" s="2206" t="str">
        <f>IFERROR(INDEX($C$140:$C$151,MATCH(R91,$B$140:$B$151,0)),"오류")</f>
        <v>영업</v>
      </c>
      <c r="T91" s="2208">
        <f>IFERROR(INDEX($D$140:$D$151,MATCH(R91,$B$140:$B$151,0)),0)</f>
        <v>-1</v>
      </c>
      <c r="U91" s="2209">
        <f>IF(OR(Q91="매출액",Q91="매출원가",Q91="판매비와관리비"),1,0)</f>
        <v>1</v>
      </c>
    </row>
    <row r="92">
      <c r="B92" s="2188" t="str">
        <f>연결PL!B54</f>
        <v>교육훈련비</v>
      </c>
      <c r="D92" s="2189">
        <f>연결PL!D54</f>
        <v>1066181</v>
      </c>
      <c r="E92" s="2189">
        <f>연결PL!E54</f>
        <v>6814000</v>
      </c>
      <c r="G92" s="2189">
        <f>SUMIF(PL!$AC:$AC,$B92,PL!I:I)</f>
        <v>1066181</v>
      </c>
      <c r="H92" s="2189">
        <f>SUMIF(PL!$AC:$AC,$B92,PL!J:J)</f>
        <v>0</v>
      </c>
      <c r="I92" s="2189">
        <f>SUMIF(PL!$AC:$AC,$B92,PL!K:K)</f>
        <v>0</v>
      </c>
      <c r="J92" s="2189">
        <f>SUMIF(PL!$AC:$AC,$B92,PL!L:L)</f>
        <v>0</v>
      </c>
      <c r="K92" s="2189">
        <f>SUMIF(PL!$AC:$AC,$B92,PL!M:M)</f>
        <v>0</v>
      </c>
      <c r="L92" s="2189">
        <f>SUMIF(PL!$AC:$AC,$B92,PL!N:N)</f>
        <v>0</v>
      </c>
      <c r="M92" s="2189">
        <f>SUMIF(PL!$AC:$AC,$B92,PL!O:O)</f>
        <v>0</v>
      </c>
      <c r="N92" s="2189">
        <f>SUM(G92:M92)</f>
        <v>1066181</v>
      </c>
      <c r="O92" s="2189">
        <f>D92-N92</f>
        <v>0</v>
      </c>
      <c r="Q92" s="2206" t="inlineStr">
        <is>
          <t>판매비와관리비</t>
        </is>
      </c>
      <c r="R92" s="2207" t="inlineStr">
        <is>
          <t>판매비와관리비</t>
        </is>
      </c>
      <c r="S92" s="2206" t="str">
        <f>IFERROR(INDEX($C$140:$C$151,MATCH(R92,$B$140:$B$151,0)),"오류")</f>
        <v>영업</v>
      </c>
      <c r="T92" s="2208">
        <f>IFERROR(INDEX($D$140:$D$151,MATCH(R92,$B$140:$B$151,0)),0)</f>
        <v>-1</v>
      </c>
      <c r="U92" s="2209">
        <f>IF(OR(Q92="매출액",Q92="매출원가",Q92="판매비와관리비"),1,0)</f>
        <v>1</v>
      </c>
    </row>
    <row r="93">
      <c r="B93" s="2188" t="str">
        <f>연결PL!B55</f>
        <v>도서인쇄비</v>
      </c>
      <c r="D93" s="2189">
        <f>연결PL!D55</f>
        <v>4820923</v>
      </c>
      <c r="E93" s="2189">
        <f>연결PL!E55</f>
        <v>1418240</v>
      </c>
      <c r="G93" s="2189">
        <f>SUMIF(PL!$AC:$AC,$B93,PL!I:I)</f>
        <v>4820923</v>
      </c>
      <c r="H93" s="2189">
        <f>SUMIF(PL!$AC:$AC,$B93,PL!J:J)</f>
        <v>0</v>
      </c>
      <c r="I93" s="2189">
        <f>SUMIF(PL!$AC:$AC,$B93,PL!K:K)</f>
        <v>0</v>
      </c>
      <c r="J93" s="2189">
        <f>SUMIF(PL!$AC:$AC,$B93,PL!L:L)</f>
        <v>0</v>
      </c>
      <c r="K93" s="2189">
        <f>SUMIF(PL!$AC:$AC,$B93,PL!M:M)</f>
        <v>0</v>
      </c>
      <c r="L93" s="2189">
        <f>SUMIF(PL!$AC:$AC,$B93,PL!N:N)</f>
        <v>0</v>
      </c>
      <c r="M93" s="2189">
        <f>SUMIF(PL!$AC:$AC,$B93,PL!O:O)</f>
        <v>0</v>
      </c>
      <c r="N93" s="2189">
        <f>SUM(G93:M93)</f>
        <v>4820923</v>
      </c>
      <c r="O93" s="2189">
        <f>D93-N93</f>
        <v>0</v>
      </c>
      <c r="Q93" s="2206" t="inlineStr">
        <is>
          <t>판매비와관리비</t>
        </is>
      </c>
      <c r="R93" s="2207" t="inlineStr">
        <is>
          <t>판매비와관리비</t>
        </is>
      </c>
      <c r="S93" s="2206" t="str">
        <f>IFERROR(INDEX($C$140:$C$151,MATCH(R93,$B$140:$B$151,0)),"오류")</f>
        <v>영업</v>
      </c>
      <c r="T93" s="2208">
        <f>IFERROR(INDEX($D$140:$D$151,MATCH(R93,$B$140:$B$151,0)),0)</f>
        <v>-1</v>
      </c>
      <c r="U93" s="2209">
        <f>IF(OR(Q93="매출액",Q93="매출원가",Q93="판매비와관리비"),1,0)</f>
        <v>1</v>
      </c>
    </row>
    <row r="94">
      <c r="B94" s="2188" t="str">
        <f>연결PL!B56</f>
        <v>포장비</v>
      </c>
      <c r="D94" s="2189">
        <f>연결PL!D56</f>
        <v>0</v>
      </c>
      <c r="E94" s="2189">
        <f>연결PL!E56</f>
        <v>0</v>
      </c>
      <c r="G94" s="2189">
        <f>SUMIF(PL!$AC:$AC,$B94,PL!I:I)</f>
        <v>0</v>
      </c>
      <c r="H94" s="2189">
        <f>SUMIF(PL!$AC:$AC,$B94,PL!J:J)</f>
        <v>0</v>
      </c>
      <c r="I94" s="2189">
        <f>SUMIF(PL!$AC:$AC,$B94,PL!K:K)</f>
        <v>0</v>
      </c>
      <c r="J94" s="2189">
        <f>SUMIF(PL!$AC:$AC,$B94,PL!L:L)</f>
        <v>0</v>
      </c>
      <c r="K94" s="2189">
        <f>SUMIF(PL!$AC:$AC,$B94,PL!M:M)</f>
        <v>0</v>
      </c>
      <c r="L94" s="2189">
        <f>SUMIF(PL!$AC:$AC,$B94,PL!N:N)</f>
        <v>0</v>
      </c>
      <c r="M94" s="2189">
        <f>SUMIF(PL!$AC:$AC,$B94,PL!O:O)</f>
        <v>0</v>
      </c>
      <c r="N94" s="2189">
        <f>SUM(G94:M94)</f>
        <v>0</v>
      </c>
      <c r="O94" s="2189">
        <f>D94-N94</f>
        <v>0</v>
      </c>
      <c r="Q94" s="2206" t="inlineStr">
        <is>
          <t>판매비와관리비</t>
        </is>
      </c>
      <c r="R94" s="2207" t="inlineStr">
        <is>
          <t>판매비와관리비</t>
        </is>
      </c>
      <c r="S94" s="2206" t="str">
        <f>IFERROR(INDEX($C$140:$C$151,MATCH(R94,$B$140:$B$151,0)),"오류")</f>
        <v>영업</v>
      </c>
      <c r="T94" s="2208">
        <f>IFERROR(INDEX($D$140:$D$151,MATCH(R94,$B$140:$B$151,0)),0)</f>
        <v>-1</v>
      </c>
      <c r="U94" s="2209">
        <f>IF(OR(Q94="매출액",Q94="매출원가",Q94="판매비와관리비"),1,0)</f>
        <v>1</v>
      </c>
    </row>
    <row r="95">
      <c r="B95" s="2188" t="str">
        <f>연결PL!B57</f>
        <v>사무용품비</v>
      </c>
      <c r="D95" s="2189">
        <f>연결PL!D57</f>
        <v>236327</v>
      </c>
      <c r="E95" s="2189">
        <f>연결PL!E57</f>
        <v>2317493</v>
      </c>
      <c r="G95" s="2189">
        <f>SUMIF(PL!$AC:$AC,$B95,PL!I:I)</f>
        <v>236327</v>
      </c>
      <c r="H95" s="2189">
        <f>SUMIF(PL!$AC:$AC,$B95,PL!J:J)</f>
        <v>0</v>
      </c>
      <c r="I95" s="2189">
        <f>SUMIF(PL!$AC:$AC,$B95,PL!K:K)</f>
        <v>0</v>
      </c>
      <c r="J95" s="2189">
        <f>SUMIF(PL!$AC:$AC,$B95,PL!L:L)</f>
        <v>0</v>
      </c>
      <c r="K95" s="2189">
        <f>SUMIF(PL!$AC:$AC,$B95,PL!M:M)</f>
        <v>0</v>
      </c>
      <c r="L95" s="2189">
        <f>SUMIF(PL!$AC:$AC,$B95,PL!N:N)</f>
        <v>0</v>
      </c>
      <c r="M95" s="2189">
        <f>SUMIF(PL!$AC:$AC,$B95,PL!O:O)</f>
        <v>0</v>
      </c>
      <c r="N95" s="2189">
        <f>SUM(G95:M95)</f>
        <v>236327</v>
      </c>
      <c r="O95" s="2189">
        <f>D95-N95</f>
        <v>0</v>
      </c>
      <c r="Q95" s="2206" t="inlineStr">
        <is>
          <t>판매비와관리비</t>
        </is>
      </c>
      <c r="R95" s="2207" t="inlineStr">
        <is>
          <t>판매비와관리비</t>
        </is>
      </c>
      <c r="S95" s="2206" t="str">
        <f>IFERROR(INDEX($C$140:$C$151,MATCH(R95,$B$140:$B$151,0)),"오류")</f>
        <v>영업</v>
      </c>
      <c r="T95" s="2208">
        <f>IFERROR(INDEX($D$140:$D$151,MATCH(R95,$B$140:$B$151,0)),0)</f>
        <v>-1</v>
      </c>
      <c r="U95" s="2209">
        <f>IF(OR(Q95="매출액",Q95="매출원가",Q95="판매비와관리비"),1,0)</f>
        <v>1</v>
      </c>
    </row>
    <row r="96">
      <c r="B96" s="2188" t="str">
        <f>연결PL!B58</f>
        <v>소모품비</v>
      </c>
      <c r="D96" s="2189">
        <f>연결PL!D58</f>
        <v>22041537</v>
      </c>
      <c r="E96" s="2189">
        <f>연결PL!E58</f>
        <v>23839419</v>
      </c>
      <c r="G96" s="2189">
        <f>SUMIF(PL!$AC:$AC,$B96,PL!I:I)</f>
        <v>19873909</v>
      </c>
      <c r="H96" s="2189">
        <f>SUMIF(PL!$AC:$AC,$B96,PL!J:J)</f>
        <v>0</v>
      </c>
      <c r="I96" s="2189">
        <f>SUMIF(PL!$AC:$AC,$B96,PL!K:K)</f>
        <v>2026331</v>
      </c>
      <c r="J96" s="2189">
        <f>SUMIF(PL!$AC:$AC,$B96,PL!L:L)</f>
        <v>141297</v>
      </c>
      <c r="K96" s="2189">
        <f>SUMIF(PL!$AC:$AC,$B96,PL!M:M)</f>
        <v>0</v>
      </c>
      <c r="L96" s="2189">
        <f>SUMIF(PL!$AC:$AC,$B96,PL!N:N)</f>
        <v>0</v>
      </c>
      <c r="M96" s="2189">
        <f>SUMIF(PL!$AC:$AC,$B96,PL!O:O)</f>
        <v>0</v>
      </c>
      <c r="N96" s="2189">
        <f>SUM(G96:M96)</f>
        <v>22041537</v>
      </c>
      <c r="O96" s="2189">
        <f>D96-N96</f>
        <v>0</v>
      </c>
      <c r="Q96" s="2206" t="inlineStr">
        <is>
          <t>판매비와관리비</t>
        </is>
      </c>
      <c r="R96" s="2207" t="inlineStr">
        <is>
          <t>판매비와관리비</t>
        </is>
      </c>
      <c r="S96" s="2206" t="str">
        <f>IFERROR(INDEX($C$140:$C$151,MATCH(R96,$B$140:$B$151,0)),"오류")</f>
        <v>영업</v>
      </c>
      <c r="T96" s="2208">
        <f>IFERROR(INDEX($D$140:$D$151,MATCH(R96,$B$140:$B$151,0)),0)</f>
        <v>-1</v>
      </c>
      <c r="U96" s="2209">
        <f>IF(OR(Q96="매출액",Q96="매출원가",Q96="판매비와관리비"),1,0)</f>
        <v>1</v>
      </c>
    </row>
    <row r="97">
      <c r="B97" s="2188" t="str">
        <f>연결PL!B59</f>
        <v>지급수수료</v>
      </c>
      <c r="D97" s="2189">
        <f>연결PL!D59</f>
        <v>1130490612</v>
      </c>
      <c r="E97" s="2189">
        <f>연결PL!E59</f>
        <v>498229293</v>
      </c>
      <c r="G97" s="2189">
        <f>SUMIF(PL!$AC:$AC,$B97,PL!I:I)</f>
        <v>1082143476</v>
      </c>
      <c r="H97" s="2189">
        <f>SUMIF(PL!$AC:$AC,$B97,PL!J:J)</f>
        <v>0</v>
      </c>
      <c r="I97" s="2189">
        <f>SUMIF(PL!$AC:$AC,$B97,PL!K:K)</f>
        <v>12437835</v>
      </c>
      <c r="J97" s="2189">
        <f>SUMIF(PL!$AC:$AC,$B97,PL!L:L)</f>
        <v>11638076</v>
      </c>
      <c r="K97" s="2189">
        <f>SUMIF(PL!$AC:$AC,$B97,PL!M:M)</f>
        <v>15615220</v>
      </c>
      <c r="L97" s="2189">
        <f>SUMIF(PL!$AC:$AC,$B97,PL!N:N)</f>
        <v>8656005</v>
      </c>
      <c r="M97" s="2189">
        <f>SUMIF(PL!$AC:$AC,$B97,PL!O:O)</f>
        <v>0</v>
      </c>
      <c r="N97" s="2189">
        <f>SUM(G97:M97)</f>
        <v>1130490612</v>
      </c>
      <c r="O97" s="2189">
        <f>D97-N97</f>
        <v>0</v>
      </c>
      <c r="Q97" s="2206" t="inlineStr">
        <is>
          <t>판매비와관리비</t>
        </is>
      </c>
      <c r="R97" s="2207" t="inlineStr">
        <is>
          <t>판매비와관리비</t>
        </is>
      </c>
      <c r="S97" s="2206" t="str">
        <f>IFERROR(INDEX($C$140:$C$151,MATCH(R97,$B$140:$B$151,0)),"오류")</f>
        <v>영업</v>
      </c>
      <c r="T97" s="2208">
        <f>IFERROR(INDEX($D$140:$D$151,MATCH(R97,$B$140:$B$151,0)),0)</f>
        <v>-1</v>
      </c>
      <c r="U97" s="2209">
        <f>IF(OR(Q97="매출액",Q97="매출원가",Q97="판매비와관리비"),1,0)</f>
        <v>1</v>
      </c>
    </row>
    <row r="98">
      <c r="B98" s="2188" t="str">
        <f>연결PL!B60</f>
        <v>보관료</v>
      </c>
      <c r="D98" s="2189">
        <f>연결PL!D60</f>
        <v>0</v>
      </c>
      <c r="E98" s="2189">
        <f>연결PL!E60</f>
        <v>0</v>
      </c>
      <c r="G98" s="2189">
        <f>SUMIF(PL!$AC:$AC,$B98,PL!I:I)</f>
        <v>0</v>
      </c>
      <c r="H98" s="2189">
        <f>SUMIF(PL!$AC:$AC,$B98,PL!J:J)</f>
        <v>0</v>
      </c>
      <c r="I98" s="2189">
        <f>SUMIF(PL!$AC:$AC,$B98,PL!K:K)</f>
        <v>0</v>
      </c>
      <c r="J98" s="2189">
        <f>SUMIF(PL!$AC:$AC,$B98,PL!L:L)</f>
        <v>0</v>
      </c>
      <c r="K98" s="2189">
        <f>SUMIF(PL!$AC:$AC,$B98,PL!M:M)</f>
        <v>0</v>
      </c>
      <c r="L98" s="2189">
        <f>SUMIF(PL!$AC:$AC,$B98,PL!N:N)</f>
        <v>0</v>
      </c>
      <c r="M98" s="2189">
        <f>SUMIF(PL!$AC:$AC,$B98,PL!O:O)</f>
        <v>0</v>
      </c>
      <c r="N98" s="2189">
        <f>SUM(G98:M98)</f>
        <v>0</v>
      </c>
      <c r="O98" s="2189">
        <f>D98-N98</f>
        <v>0</v>
      </c>
      <c r="Q98" s="2206" t="inlineStr">
        <is>
          <t>판매비와관리비</t>
        </is>
      </c>
      <c r="R98" s="2207" t="inlineStr">
        <is>
          <t>판매비와관리비</t>
        </is>
      </c>
      <c r="S98" s="2206" t="str">
        <f>IFERROR(INDEX($C$140:$C$151,MATCH(R98,$B$140:$B$151,0)),"오류")</f>
        <v>영업</v>
      </c>
      <c r="T98" s="2208">
        <f>IFERROR(INDEX($D$140:$D$151,MATCH(R98,$B$140:$B$151,0)),0)</f>
        <v>-1</v>
      </c>
      <c r="U98" s="2209">
        <f>IF(OR(Q98="매출액",Q98="매출원가",Q98="판매비와관리비"),1,0)</f>
        <v>1</v>
      </c>
    </row>
    <row r="99">
      <c r="B99" s="2188" t="str">
        <f>연결PL!B61</f>
        <v>광고선전비</v>
      </c>
      <c r="D99" s="2189">
        <f>연결PL!D61</f>
        <v>1895901871</v>
      </c>
      <c r="E99" s="2189">
        <f>연결PL!E61</f>
        <v>869276111</v>
      </c>
      <c r="G99" s="2189">
        <f>SUMIF(PL!$AC:$AC,$B99,PL!I:I)</f>
        <v>1875294553</v>
      </c>
      <c r="H99" s="2189">
        <f>SUMIF(PL!$AC:$AC,$B99,PL!J:J)</f>
        <v>0</v>
      </c>
      <c r="I99" s="2189">
        <f>SUMIF(PL!$AC:$AC,$B99,PL!K:K)</f>
        <v>20607318</v>
      </c>
      <c r="J99" s="2189">
        <f>SUMIF(PL!$AC:$AC,$B99,PL!L:L)</f>
        <v>0</v>
      </c>
      <c r="K99" s="2189">
        <f>SUMIF(PL!$AC:$AC,$B99,PL!M:M)</f>
        <v>0</v>
      </c>
      <c r="L99" s="2189">
        <f>SUMIF(PL!$AC:$AC,$B99,PL!N:N)</f>
        <v>0</v>
      </c>
      <c r="M99" s="2189">
        <f>SUMIF(PL!$AC:$AC,$B99,PL!O:O)</f>
        <v>0</v>
      </c>
      <c r="N99" s="2189">
        <f>SUM(G99:M99)</f>
        <v>1895901871</v>
      </c>
      <c r="O99" s="2189">
        <f>D99-N99</f>
        <v>0</v>
      </c>
      <c r="Q99" s="2206" t="inlineStr">
        <is>
          <t>판매비와관리비</t>
        </is>
      </c>
      <c r="R99" s="2207" t="inlineStr">
        <is>
          <t>판매비와관리비</t>
        </is>
      </c>
      <c r="S99" s="2206" t="str">
        <f>IFERROR(INDEX($C$140:$C$151,MATCH(R99,$B$140:$B$151,0)),"오류")</f>
        <v>영업</v>
      </c>
      <c r="T99" s="2208">
        <f>IFERROR(INDEX($D$140:$D$151,MATCH(R99,$B$140:$B$151,0)),0)</f>
        <v>-1</v>
      </c>
      <c r="U99" s="2209">
        <f>IF(OR(Q99="매출액",Q99="매출원가",Q99="판매비와관리비"),1,0)</f>
        <v>1</v>
      </c>
    </row>
    <row r="100">
      <c r="B100" s="2188" t="str">
        <f>연결PL!B62</f>
        <v>대손상각비</v>
      </c>
      <c r="D100" s="2189">
        <f>연결PL!D62</f>
        <v>-83305712</v>
      </c>
      <c r="E100" s="2189">
        <f>연결PL!E62</f>
        <v>56559960</v>
      </c>
      <c r="G100" s="2189">
        <f>SUMIF(PL!$AC:$AC,$B100,PL!I:I)</f>
        <v>-82887417</v>
      </c>
      <c r="H100" s="2189">
        <f>SUMIF(PL!$AC:$AC,$B100,PL!J:J)</f>
        <v>0</v>
      </c>
      <c r="I100" s="2189">
        <f>SUMIF(PL!$AC:$AC,$B100,PL!K:K)</f>
        <v>0</v>
      </c>
      <c r="J100" s="2189">
        <f>SUMIF(PL!$AC:$AC,$B100,PL!L:L)</f>
        <v>0</v>
      </c>
      <c r="K100" s="2189">
        <f>SUMIF(PL!$AC:$AC,$B100,PL!M:M)</f>
        <v>0</v>
      </c>
      <c r="L100" s="2189">
        <f>SUMIF(PL!$AC:$AC,$B100,PL!N:N)</f>
        <v>0</v>
      </c>
      <c r="M100" s="2189">
        <f>SUMIF(PL!$AC:$AC,$B100,PL!O:O)</f>
        <v>0</v>
      </c>
      <c r="N100" s="2189">
        <f>SUM(G100:M100)</f>
        <v>-82887417</v>
      </c>
      <c r="O100" s="2189">
        <f>D100-N100</f>
        <v>-418295</v>
      </c>
      <c r="Q100" s="2206" t="inlineStr">
        <is>
          <t>판매비와관리비</t>
        </is>
      </c>
      <c r="R100" s="2207" t="inlineStr">
        <is>
          <t>판매비와관리비</t>
        </is>
      </c>
      <c r="S100" s="2206" t="str">
        <f>IFERROR(INDEX($C$140:$C$151,MATCH(R100,$B$140:$B$151,0)),"오류")</f>
        <v>영업</v>
      </c>
      <c r="T100" s="2208">
        <f>IFERROR(INDEX($D$140:$D$151,MATCH(R100,$B$140:$B$151,0)),0)</f>
        <v>-1</v>
      </c>
      <c r="U100" s="2209">
        <f>IF(OR(Q100="매출액",Q100="매출원가",Q100="판매비와관리비"),1,0)</f>
        <v>1</v>
      </c>
    </row>
    <row r="101">
      <c r="B101" s="2188" t="str">
        <f>연결PL!B63</f>
        <v>건물관리비</v>
      </c>
      <c r="D101" s="2189">
        <f>연결PL!D63</f>
        <v>38432994</v>
      </c>
      <c r="E101" s="2189">
        <f>연결PL!E63</f>
        <v>34468859</v>
      </c>
      <c r="G101" s="2189">
        <f>SUMIF(PL!$AC:$AC,$B101,PL!I:I)</f>
        <v>16390898</v>
      </c>
      <c r="H101" s="2189">
        <f>SUMIF(PL!$AC:$AC,$B101,PL!J:J)</f>
        <v>0</v>
      </c>
      <c r="I101" s="2189">
        <f>SUMIF(PL!$AC:$AC,$B101,PL!K:K)</f>
        <v>12176172</v>
      </c>
      <c r="J101" s="2189">
        <f>SUMIF(PL!$AC:$AC,$B101,PL!L:L)</f>
        <v>9865924</v>
      </c>
      <c r="K101" s="2189">
        <f>SUMIF(PL!$AC:$AC,$B101,PL!M:M)</f>
        <v>0</v>
      </c>
      <c r="L101" s="2189">
        <f>SUMIF(PL!$AC:$AC,$B101,PL!N:N)</f>
        <v>0</v>
      </c>
      <c r="M101" s="2189">
        <f>SUMIF(PL!$AC:$AC,$B101,PL!O:O)</f>
        <v>0</v>
      </c>
      <c r="N101" s="2189">
        <f>SUM(G101:M101)</f>
        <v>38432994</v>
      </c>
      <c r="O101" s="2189">
        <f>D101-N101</f>
        <v>0</v>
      </c>
      <c r="Q101" s="2206" t="inlineStr">
        <is>
          <t>판매비와관리비</t>
        </is>
      </c>
      <c r="R101" s="2207" t="inlineStr">
        <is>
          <t>판매비와관리비</t>
        </is>
      </c>
      <c r="S101" s="2206" t="str">
        <f>IFERROR(INDEX($C$140:$C$151,MATCH(R101,$B$140:$B$151,0)),"오류")</f>
        <v>영업</v>
      </c>
      <c r="T101" s="2208">
        <f>IFERROR(INDEX($D$140:$D$151,MATCH(R101,$B$140:$B$151,0)),0)</f>
        <v>-1</v>
      </c>
      <c r="U101" s="2209">
        <f>IF(OR(Q101="매출액",Q101="매출원가",Q101="판매비와관리비"),1,0)</f>
        <v>1</v>
      </c>
    </row>
    <row r="102">
      <c r="B102" s="2188" t="str">
        <f>연결PL!B64</f>
        <v>수출제비용</v>
      </c>
      <c r="D102" s="2189">
        <f>연결PL!D64</f>
        <v>33162410</v>
      </c>
      <c r="E102" s="2189">
        <f>연결PL!E64</f>
        <v>33196857</v>
      </c>
      <c r="G102" s="2189">
        <f>SUMIF(PL!$AC:$AC,$B102,PL!I:I)</f>
        <v>33162410</v>
      </c>
      <c r="H102" s="2189">
        <f>SUMIF(PL!$AC:$AC,$B102,PL!J:J)</f>
        <v>0</v>
      </c>
      <c r="I102" s="2189">
        <f>SUMIF(PL!$AC:$AC,$B102,PL!K:K)</f>
        <v>0</v>
      </c>
      <c r="J102" s="2189">
        <f>SUMIF(PL!$AC:$AC,$B102,PL!L:L)</f>
        <v>0</v>
      </c>
      <c r="K102" s="2189">
        <f>SUMIF(PL!$AC:$AC,$B102,PL!M:M)</f>
        <v>0</v>
      </c>
      <c r="L102" s="2189">
        <f>SUMIF(PL!$AC:$AC,$B102,PL!N:N)</f>
        <v>0</v>
      </c>
      <c r="M102" s="2189">
        <f>SUMIF(PL!$AC:$AC,$B102,PL!O:O)</f>
        <v>0</v>
      </c>
      <c r="N102" s="2189">
        <f>SUM(G102:M102)</f>
        <v>33162410</v>
      </c>
      <c r="O102" s="2189">
        <f>D102-N102</f>
        <v>0</v>
      </c>
      <c r="Q102" s="2206" t="inlineStr">
        <is>
          <t>판매비와관리비</t>
        </is>
      </c>
      <c r="R102" s="2207" t="inlineStr">
        <is>
          <t>판매비와관리비</t>
        </is>
      </c>
      <c r="S102" s="2206" t="str">
        <f>IFERROR(INDEX($C$140:$C$151,MATCH(R102,$B$140:$B$151,0)),"오류")</f>
        <v>영업</v>
      </c>
      <c r="T102" s="2208">
        <f>IFERROR(INDEX($D$140:$D$151,MATCH(R102,$B$140:$B$151,0)),0)</f>
        <v>-1</v>
      </c>
      <c r="U102" s="2209">
        <f>IF(OR(Q102="매출액",Q102="매출원가",Q102="판매비와관리비"),1,0)</f>
        <v>1</v>
      </c>
    </row>
    <row r="103">
      <c r="B103" s="2188" t="str">
        <f>연결PL!B65</f>
        <v>판매수수료</v>
      </c>
      <c r="D103" s="2189">
        <f>연결PL!D65</f>
        <v>96068802</v>
      </c>
      <c r="E103" s="2189">
        <f>연결PL!E65</f>
        <v>109893893</v>
      </c>
      <c r="G103" s="2189">
        <f>SUMIF(PL!$AC:$AC,$B103,PL!I:I)</f>
        <v>96068802</v>
      </c>
      <c r="H103" s="2189">
        <f>SUMIF(PL!$AC:$AC,$B103,PL!J:J)</f>
        <v>0</v>
      </c>
      <c r="I103" s="2189">
        <f>SUMIF(PL!$AC:$AC,$B103,PL!K:K)</f>
        <v>0</v>
      </c>
      <c r="J103" s="2189">
        <f>SUMIF(PL!$AC:$AC,$B103,PL!L:L)</f>
        <v>0</v>
      </c>
      <c r="K103" s="2189">
        <f>SUMIF(PL!$AC:$AC,$B103,PL!M:M)</f>
        <v>0</v>
      </c>
      <c r="L103" s="2189">
        <f>SUMIF(PL!$AC:$AC,$B103,PL!N:N)</f>
        <v>0</v>
      </c>
      <c r="M103" s="2189">
        <f>SUMIF(PL!$AC:$AC,$B103,PL!O:O)</f>
        <v>0</v>
      </c>
      <c r="N103" s="2189">
        <f>SUM(G103:M103)</f>
        <v>96068802</v>
      </c>
      <c r="O103" s="2189">
        <f>D103-N103</f>
        <v>0</v>
      </c>
      <c r="Q103" s="2206" t="inlineStr">
        <is>
          <t>판매비와관리비</t>
        </is>
      </c>
      <c r="R103" s="2207" t="inlineStr">
        <is>
          <t>판매비와관리비</t>
        </is>
      </c>
      <c r="S103" s="2206" t="str">
        <f>IFERROR(INDEX($C$140:$C$151,MATCH(R103,$B$140:$B$151,0)),"오류")</f>
        <v>영업</v>
      </c>
      <c r="T103" s="2208">
        <f>IFERROR(INDEX($D$140:$D$151,MATCH(R103,$B$140:$B$151,0)),0)</f>
        <v>-1</v>
      </c>
      <c r="U103" s="2209">
        <f>IF(OR(Q103="매출액",Q103="매출원가",Q103="판매비와관리비"),1,0)</f>
        <v>1</v>
      </c>
    </row>
    <row r="104">
      <c r="B104" s="2188" t="str">
        <f>연결PL!B66</f>
        <v>무형고정자산상각</v>
      </c>
      <c r="D104" s="2189">
        <f>연결PL!D66</f>
        <v>21529107</v>
      </c>
      <c r="E104" s="2189">
        <f>연결PL!E66</f>
        <v>18799999</v>
      </c>
      <c r="G104" s="2189">
        <f>SUMIF(PL!$AC:$AC,$B104,PL!I:I)</f>
        <v>21529107</v>
      </c>
      <c r="H104" s="2189">
        <f>SUMIF(PL!$AC:$AC,$B104,PL!J:J)</f>
        <v>0</v>
      </c>
      <c r="I104" s="2189">
        <f>SUMIF(PL!$AC:$AC,$B104,PL!K:K)</f>
        <v>0</v>
      </c>
      <c r="J104" s="2189">
        <f>SUMIF(PL!$AC:$AC,$B104,PL!L:L)</f>
        <v>0</v>
      </c>
      <c r="K104" s="2189">
        <f>SUMIF(PL!$AC:$AC,$B104,PL!M:M)</f>
        <v>0</v>
      </c>
      <c r="L104" s="2189">
        <f>SUMIF(PL!$AC:$AC,$B104,PL!N:N)</f>
        <v>0</v>
      </c>
      <c r="M104" s="2189">
        <f>SUMIF(PL!$AC:$AC,$B104,PL!O:O)</f>
        <v>0</v>
      </c>
      <c r="N104" s="2189">
        <f>SUM(G104:M104)</f>
        <v>21529107</v>
      </c>
      <c r="O104" s="2189">
        <f>D104-N104</f>
        <v>0</v>
      </c>
      <c r="Q104" s="2206" t="inlineStr">
        <is>
          <t>판매비와관리비</t>
        </is>
      </c>
      <c r="R104" s="2207" t="inlineStr">
        <is>
          <t>판매비와관리비</t>
        </is>
      </c>
      <c r="S104" s="2206" t="str">
        <f>IFERROR(INDEX($C$140:$C$151,MATCH(R104,$B$140:$B$151,0)),"오류")</f>
        <v>영업</v>
      </c>
      <c r="T104" s="2208">
        <f>IFERROR(INDEX($D$140:$D$151,MATCH(R104,$B$140:$B$151,0)),0)</f>
        <v>-1</v>
      </c>
      <c r="U104" s="2209">
        <f>IF(OR(Q104="매출액",Q104="매출원가",Q104="판매비와관리비"),1,0)</f>
        <v>1</v>
      </c>
    </row>
    <row r="105">
      <c r="B105" s="2188" t="str">
        <f>연결PL!B67</f>
        <v>인력개발비</v>
      </c>
      <c r="D105" s="2189">
        <f>연결PL!D67</f>
        <v>1380000</v>
      </c>
      <c r="E105" s="2189">
        <f>연결PL!E67</f>
        <v>1378699</v>
      </c>
      <c r="G105" s="2189">
        <f>SUMIF(PL!$AC:$AC,$B105,PL!I:I)</f>
        <v>1380000</v>
      </c>
      <c r="H105" s="2189">
        <f>SUMIF(PL!$AC:$AC,$B105,PL!J:J)</f>
        <v>0</v>
      </c>
      <c r="I105" s="2189">
        <f>SUMIF(PL!$AC:$AC,$B105,PL!K:K)</f>
        <v>0</v>
      </c>
      <c r="J105" s="2189">
        <f>SUMIF(PL!$AC:$AC,$B105,PL!L:L)</f>
        <v>0</v>
      </c>
      <c r="K105" s="2189">
        <f>SUMIF(PL!$AC:$AC,$B105,PL!M:M)</f>
        <v>0</v>
      </c>
      <c r="L105" s="2189">
        <f>SUMIF(PL!$AC:$AC,$B105,PL!N:N)</f>
        <v>0</v>
      </c>
      <c r="M105" s="2189">
        <f>SUMIF(PL!$AC:$AC,$B105,PL!O:O)</f>
        <v>0</v>
      </c>
      <c r="N105" s="2189">
        <f>SUM(G105:M105)</f>
        <v>1380000</v>
      </c>
      <c r="O105" s="2189">
        <f>D105-N105</f>
        <v>0</v>
      </c>
      <c r="Q105" s="2206" t="inlineStr">
        <is>
          <t>판매비와관리비</t>
        </is>
      </c>
      <c r="R105" s="2207" t="inlineStr">
        <is>
          <t>판매비와관리비</t>
        </is>
      </c>
      <c r="S105" s="2206" t="str">
        <f>IFERROR(INDEX($C$140:$C$151,MATCH(R105,$B$140:$B$151,0)),"오류")</f>
        <v>영업</v>
      </c>
      <c r="T105" s="2208">
        <f>IFERROR(INDEX($D$140:$D$151,MATCH(R105,$B$140:$B$151,0)),0)</f>
        <v>-1</v>
      </c>
      <c r="U105" s="2209">
        <f>IF(OR(Q105="매출액",Q105="매출원가",Q105="판매비와관리비"),1,0)</f>
        <v>1</v>
      </c>
    </row>
    <row r="106">
      <c r="B106" s="2188" t="str">
        <f>연결PL!B70</f>
        <v>외환차익(기타)</v>
      </c>
      <c r="D106" s="2189">
        <f>연결PL!D70</f>
        <v>0</v>
      </c>
      <c r="E106" s="2189">
        <f>연결PL!E70</f>
        <v>0</v>
      </c>
      <c r="G106" s="2189">
        <f>SUMIF(PL!$AC:$AC,$B106,PL!I:I)</f>
        <v>0</v>
      </c>
      <c r="H106" s="2189">
        <f>SUMIF(PL!$AC:$AC,$B106,PL!J:J)</f>
        <v>0</v>
      </c>
      <c r="I106" s="2189">
        <f>SUMIF(PL!$AC:$AC,$B106,PL!K:K)</f>
        <v>0</v>
      </c>
      <c r="J106" s="2189">
        <f>SUMIF(PL!$AC:$AC,$B106,PL!L:L)</f>
        <v>0</v>
      </c>
      <c r="K106" s="2189">
        <f>SUMIF(PL!$AC:$AC,$B106,PL!M:M)</f>
        <v>0</v>
      </c>
      <c r="L106" s="2189">
        <f>SUMIF(PL!$AC:$AC,$B106,PL!N:N)</f>
        <v>0</v>
      </c>
      <c r="M106" s="2189">
        <f>SUMIF(PL!$AC:$AC,$B106,PL!O:O)</f>
        <v>0</v>
      </c>
      <c r="N106" s="2189">
        <f>SUM(G106:M106)</f>
        <v>0</v>
      </c>
      <c r="O106" s="2189">
        <f>D106-N106</f>
        <v>0</v>
      </c>
      <c r="Q106" s="2206" t="inlineStr">
        <is>
          <t>기타영업수익</t>
        </is>
      </c>
      <c r="R106" s="2207" t="inlineStr">
        <is>
          <t>기타영업수익</t>
        </is>
      </c>
      <c r="S106" s="2206" t="str">
        <f>IFERROR(INDEX($C$140:$C$151,MATCH(R106,$B$140:$B$151,0)),"오류")</f>
        <v>영업</v>
      </c>
      <c r="T106" s="2208">
        <f>IFERROR(INDEX($D$140:$D$151,MATCH(R106,$B$140:$B$151,0)),0)</f>
        <v>1</v>
      </c>
      <c r="U106" s="2209">
        <f>IF(OR(Q106="매출액",Q106="매출원가",Q106="판매비와관리비"),1,0)</f>
        <v>0</v>
      </c>
    </row>
    <row r="107">
      <c r="B107" s="2188" t="str">
        <f>연결PL!B71</f>
        <v>외화환산이익(기타)</v>
      </c>
      <c r="D107" s="2189">
        <f>연결PL!D71</f>
        <v>0</v>
      </c>
      <c r="E107" s="2189">
        <f>연결PL!E71</f>
        <v>0</v>
      </c>
      <c r="G107" s="2189">
        <f>SUMIF(PL!$AC:$AC,$B107,PL!I:I)</f>
        <v>0</v>
      </c>
      <c r="H107" s="2189">
        <f>SUMIF(PL!$AC:$AC,$B107,PL!J:J)</f>
        <v>0</v>
      </c>
      <c r="I107" s="2189">
        <f>SUMIF(PL!$AC:$AC,$B107,PL!K:K)</f>
        <v>0</v>
      </c>
      <c r="J107" s="2189">
        <f>SUMIF(PL!$AC:$AC,$B107,PL!L:L)</f>
        <v>0</v>
      </c>
      <c r="K107" s="2189">
        <f>SUMIF(PL!$AC:$AC,$B107,PL!M:M)</f>
        <v>0</v>
      </c>
      <c r="L107" s="2189">
        <f>SUMIF(PL!$AC:$AC,$B107,PL!N:N)</f>
        <v>0</v>
      </c>
      <c r="M107" s="2189">
        <f>SUMIF(PL!$AC:$AC,$B107,PL!O:O)</f>
        <v>0</v>
      </c>
      <c r="N107" s="2189">
        <f>SUM(G107:M107)</f>
        <v>0</v>
      </c>
      <c r="O107" s="2189">
        <f>D107-N107</f>
        <v>0</v>
      </c>
      <c r="Q107" s="2206" t="inlineStr">
        <is>
          <t>기타영업수익</t>
        </is>
      </c>
      <c r="R107" s="2207" t="inlineStr">
        <is>
          <t>기타영업수익</t>
        </is>
      </c>
      <c r="S107" s="2206" t="str">
        <f>IFERROR(INDEX($C$140:$C$151,MATCH(R107,$B$140:$B$151,0)),"오류")</f>
        <v>영업</v>
      </c>
      <c r="T107" s="2208">
        <f>IFERROR(INDEX($D$140:$D$151,MATCH(R107,$B$140:$B$151,0)),0)</f>
        <v>1</v>
      </c>
      <c r="U107" s="2209">
        <f>IF(OR(Q107="매출액",Q107="매출원가",Q107="판매비와관리비"),1,0)</f>
        <v>0</v>
      </c>
    </row>
    <row r="108">
      <c r="B108" s="2188" t="str">
        <f>연결PL!B72</f>
        <v>수입임대료</v>
      </c>
      <c r="D108" s="2189">
        <f>연결PL!D72</f>
        <v>0</v>
      </c>
      <c r="E108" s="2189">
        <f>연결PL!E72</f>
        <v>0</v>
      </c>
      <c r="G108" s="2189">
        <f>SUMIF(PL!$AC:$AC,$B108,PL!I:I)</f>
        <v>0</v>
      </c>
      <c r="H108" s="2189">
        <f>SUMIF(PL!$AC:$AC,$B108,PL!J:J)</f>
        <v>0</v>
      </c>
      <c r="I108" s="2189">
        <f>SUMIF(PL!$AC:$AC,$B108,PL!K:K)</f>
        <v>0</v>
      </c>
      <c r="J108" s="2189">
        <f>SUMIF(PL!$AC:$AC,$B108,PL!L:L)</f>
        <v>0</v>
      </c>
      <c r="K108" s="2189">
        <f>SUMIF(PL!$AC:$AC,$B108,PL!M:M)</f>
        <v>0</v>
      </c>
      <c r="L108" s="2189">
        <f>SUMIF(PL!$AC:$AC,$B108,PL!N:N)</f>
        <v>0</v>
      </c>
      <c r="M108" s="2189">
        <f>SUMIF(PL!$AC:$AC,$B108,PL!O:O)</f>
        <v>0</v>
      </c>
      <c r="N108" s="2189">
        <f>SUM(G108:M108)</f>
        <v>0</v>
      </c>
      <c r="O108" s="2189">
        <f>D108-N108</f>
        <v>0</v>
      </c>
      <c r="Q108" s="2206" t="inlineStr">
        <is>
          <t>기타영업수익</t>
        </is>
      </c>
      <c r="R108" s="2207" t="inlineStr">
        <is>
          <t>기타영업수익</t>
        </is>
      </c>
      <c r="S108" s="2206" t="str">
        <f>IFERROR(INDEX($C$140:$C$151,MATCH(R108,$B$140:$B$151,0)),"오류")</f>
        <v>영업</v>
      </c>
      <c r="T108" s="2208">
        <f>IFERROR(INDEX($D$140:$D$151,MATCH(R108,$B$140:$B$151,0)),0)</f>
        <v>1</v>
      </c>
      <c r="U108" s="2209">
        <f>IF(OR(Q108="매출액",Q108="매출원가",Q108="판매비와관리비"),1,0)</f>
        <v>0</v>
      </c>
    </row>
    <row r="109">
      <c r="B109" s="2188" t="str">
        <f>연결PL!B73</f>
        <v>기타의대손상각비환입</v>
      </c>
      <c r="D109" s="2189">
        <f>연결PL!D73</f>
        <v>3000000</v>
      </c>
      <c r="E109" s="2189">
        <f>연결PL!E73</f>
        <v>3000000</v>
      </c>
      <c r="G109" s="2189">
        <f>SUMIF(PL!$AC:$AC,$B109,PL!I:I)</f>
        <v>3000000</v>
      </c>
      <c r="H109" s="2189">
        <f>SUMIF(PL!$AC:$AC,$B109,PL!J:J)</f>
        <v>0</v>
      </c>
      <c r="I109" s="2189">
        <f>SUMIF(PL!$AC:$AC,$B109,PL!K:K)</f>
        <v>0</v>
      </c>
      <c r="J109" s="2189">
        <f>SUMIF(PL!$AC:$AC,$B109,PL!L:L)</f>
        <v>0</v>
      </c>
      <c r="K109" s="2189">
        <f>SUMIF(PL!$AC:$AC,$B109,PL!M:M)</f>
        <v>0</v>
      </c>
      <c r="L109" s="2189">
        <f>SUMIF(PL!$AC:$AC,$B109,PL!N:N)</f>
        <v>0</v>
      </c>
      <c r="M109" s="2189">
        <f>SUMIF(PL!$AC:$AC,$B109,PL!O:O)</f>
        <v>0</v>
      </c>
      <c r="N109" s="2189">
        <f>SUM(G109:M109)</f>
        <v>3000000</v>
      </c>
      <c r="O109" s="2189">
        <f>D109-N109</f>
        <v>0</v>
      </c>
      <c r="Q109" s="2206" t="inlineStr">
        <is>
          <t>기타영업수익</t>
        </is>
      </c>
      <c r="R109" s="2207" t="inlineStr">
        <is>
          <t>기타영업수익</t>
        </is>
      </c>
      <c r="S109" s="2206" t="str">
        <f>IFERROR(INDEX($C$140:$C$151,MATCH(R109,$B$140:$B$151,0)),"오류")</f>
        <v>영업</v>
      </c>
      <c r="T109" s="2208">
        <f>IFERROR(INDEX($D$140:$D$151,MATCH(R109,$B$140:$B$151,0)),0)</f>
        <v>1</v>
      </c>
      <c r="U109" s="2209">
        <f>IF(OR(Q109="매출액",Q109="매출원가",Q109="판매비와관리비"),1,0)</f>
        <v>0</v>
      </c>
    </row>
    <row r="110">
      <c r="B110" s="2188" t="str">
        <f>연결PL!B74</f>
        <v>유형자산처분이익</v>
      </c>
      <c r="D110" s="2189">
        <f>연결PL!D74</f>
        <v>1202135</v>
      </c>
      <c r="E110" s="2189">
        <f>연결PL!E74</f>
        <v>1054000</v>
      </c>
      <c r="G110" s="2189">
        <f>SUMIF(PL!$AC:$AC,$B110,PL!I:I)</f>
        <v>1202135</v>
      </c>
      <c r="H110" s="2189">
        <f>SUMIF(PL!$AC:$AC,$B110,PL!J:J)</f>
        <v>0</v>
      </c>
      <c r="I110" s="2189">
        <f>SUMIF(PL!$AC:$AC,$B110,PL!K:K)</f>
        <v>0</v>
      </c>
      <c r="J110" s="2189">
        <f>SUMIF(PL!$AC:$AC,$B110,PL!L:L)</f>
        <v>0</v>
      </c>
      <c r="K110" s="2189">
        <f>SUMIF(PL!$AC:$AC,$B110,PL!M:M)</f>
        <v>0</v>
      </c>
      <c r="L110" s="2189">
        <f>SUMIF(PL!$AC:$AC,$B110,PL!N:N)</f>
        <v>0</v>
      </c>
      <c r="M110" s="2189">
        <f>SUMIF(PL!$AC:$AC,$B110,PL!O:O)</f>
        <v>0</v>
      </c>
      <c r="N110" s="2189">
        <f>SUM(G110:M110)</f>
        <v>1202135</v>
      </c>
      <c r="O110" s="2189">
        <f>D110-N110</f>
        <v>0</v>
      </c>
      <c r="Q110" s="2206" t="inlineStr">
        <is>
          <t>기타영업수익</t>
        </is>
      </c>
      <c r="R110" s="2207" t="inlineStr">
        <is>
          <t>기타영업수익</t>
        </is>
      </c>
      <c r="S110" s="2206" t="str">
        <f>IFERROR(INDEX($C$140:$C$151,MATCH(R110,$B$140:$B$151,0)),"오류")</f>
        <v>영업</v>
      </c>
      <c r="T110" s="2208">
        <f>IFERROR(INDEX($D$140:$D$151,MATCH(R110,$B$140:$B$151,0)),0)</f>
        <v>1</v>
      </c>
      <c r="U110" s="2209">
        <f>IF(OR(Q110="매출액",Q110="매출원가",Q110="판매비와관리비"),1,0)</f>
        <v>0</v>
      </c>
    </row>
    <row r="111">
      <c r="B111" s="2188" t="str">
        <f>연결PL!B75</f>
        <v>관계기업투자주식처분이익</v>
      </c>
      <c r="D111" s="2189">
        <f>연결PL!D75</f>
        <v>2067945777</v>
      </c>
      <c r="E111" s="2189">
        <f>연결PL!E75</f>
        <v>0</v>
      </c>
      <c r="G111" s="2189">
        <f>SUMIF(PL!$AC:$AC,$B111,PL!I:I)</f>
        <v>0</v>
      </c>
      <c r="H111" s="2189">
        <f>SUMIF(PL!$AC:$AC,$B111,PL!J:J)</f>
        <v>0</v>
      </c>
      <c r="I111" s="2189">
        <f>SUMIF(PL!$AC:$AC,$B111,PL!K:K)</f>
        <v>0</v>
      </c>
      <c r="J111" s="2189">
        <f>SUMIF(PL!$AC:$AC,$B111,PL!L:L)</f>
        <v>0</v>
      </c>
      <c r="K111" s="2189">
        <f>SUMIF(PL!$AC:$AC,$B111,PL!M:M)</f>
        <v>0</v>
      </c>
      <c r="L111" s="2189">
        <f>SUMIF(PL!$AC:$AC,$B111,PL!N:N)</f>
        <v>0</v>
      </c>
      <c r="M111" s="2189">
        <f>SUMIF(PL!$AC:$AC,$B111,PL!O:O)</f>
        <v>0</v>
      </c>
      <c r="N111" s="2189">
        <f>SUM(G111:M111)</f>
        <v>0</v>
      </c>
      <c r="O111" s="2189">
        <f>D111-N111</f>
        <v>2067945777</v>
      </c>
      <c r="Q111" s="2206" t="inlineStr">
        <is>
          <t>기타영업수익</t>
        </is>
      </c>
      <c r="R111" s="2207" t="inlineStr">
        <is>
          <t>투자수익</t>
        </is>
      </c>
      <c r="S111" s="2206" t="str">
        <f>IFERROR(INDEX($C$140:$C$151,MATCH(R111,$B$140:$B$151,0)),"오류")</f>
        <v>투자</v>
      </c>
      <c r="T111" s="2208">
        <f>IFERROR(INDEX($D$140:$D$151,MATCH(R111,$B$140:$B$151,0)),0)</f>
        <v>1</v>
      </c>
      <c r="U111" s="2209">
        <f>IF(OR(Q111="매출액",Q111="매출원가",Q111="판매비와관리비"),1,0)</f>
        <v>0</v>
      </c>
    </row>
    <row r="112">
      <c r="B112" s="2188" t="str">
        <f>연결PL!B76</f>
        <v>잡이익</v>
      </c>
      <c r="D112" s="2189">
        <f>연결PL!D76</f>
        <v>37454272</v>
      </c>
      <c r="E112" s="2189">
        <f>연결PL!E76</f>
        <v>4202143</v>
      </c>
      <c r="G112" s="2189">
        <f>SUMIF(PL!$AC:$AC,$B112,PL!I:I)</f>
        <v>193864</v>
      </c>
      <c r="H112" s="2189">
        <f>SUMIF(PL!$AC:$AC,$B112,PL!J:J)</f>
        <v>0</v>
      </c>
      <c r="I112" s="2189">
        <f>SUMIF(PL!$AC:$AC,$B112,PL!K:K)</f>
        <v>8686</v>
      </c>
      <c r="J112" s="2189">
        <f>SUMIF(PL!$AC:$AC,$B112,PL!L:L)</f>
        <v>1183</v>
      </c>
      <c r="K112" s="2189">
        <f>SUMIF(PL!$AC:$AC,$B112,PL!M:M)</f>
        <v>37250539</v>
      </c>
      <c r="L112" s="2189">
        <f>SUMIF(PL!$AC:$AC,$B112,PL!N:N)</f>
        <v>0</v>
      </c>
      <c r="M112" s="2189">
        <f>SUMIF(PL!$AC:$AC,$B112,PL!O:O)</f>
        <v>0</v>
      </c>
      <c r="N112" s="2189">
        <f>SUM(G112:M112)</f>
        <v>37454272</v>
      </c>
      <c r="O112" s="2189">
        <f>D112-N112</f>
        <v>0</v>
      </c>
      <c r="Q112" s="2206" t="inlineStr">
        <is>
          <t>기타영업수익</t>
        </is>
      </c>
      <c r="R112" s="2207" t="inlineStr">
        <is>
          <t>기타영업수익</t>
        </is>
      </c>
      <c r="S112" s="2206" t="str">
        <f>IFERROR(INDEX($C$140:$C$151,MATCH(R112,$B$140:$B$151,0)),"오류")</f>
        <v>영업</v>
      </c>
      <c r="T112" s="2208">
        <f>IFERROR(INDEX($D$140:$D$151,MATCH(R112,$B$140:$B$151,0)),0)</f>
        <v>1</v>
      </c>
      <c r="U112" s="2209">
        <f>IF(OR(Q112="매출액",Q112="매출원가",Q112="판매비와관리비"),1,0)</f>
        <v>0</v>
      </c>
    </row>
    <row r="113">
      <c r="B113" s="2188" t="str">
        <f>연결PL!B78</f>
        <v>기타의대손상각비</v>
      </c>
      <c r="D113" s="2189">
        <f>연결PL!D78</f>
        <v>0</v>
      </c>
      <c r="E113" s="2189">
        <f>연결PL!E78</f>
        <v>0</v>
      </c>
      <c r="G113" s="2189">
        <f>SUMIF(PL!$AC:$AC,$B113,PL!I:I)</f>
        <v>0</v>
      </c>
      <c r="H113" s="2189">
        <f>SUMIF(PL!$AC:$AC,$B113,PL!J:J)</f>
        <v>0</v>
      </c>
      <c r="I113" s="2189">
        <f>SUMIF(PL!$AC:$AC,$B113,PL!K:K)</f>
        <v>0</v>
      </c>
      <c r="J113" s="2189">
        <f>SUMIF(PL!$AC:$AC,$B113,PL!L:L)</f>
        <v>0</v>
      </c>
      <c r="K113" s="2189">
        <f>SUMIF(PL!$AC:$AC,$B113,PL!M:M)</f>
        <v>0</v>
      </c>
      <c r="L113" s="2189">
        <f>SUMIF(PL!$AC:$AC,$B113,PL!N:N)</f>
        <v>0</v>
      </c>
      <c r="M113" s="2189">
        <f>SUMIF(PL!$AC:$AC,$B113,PL!O:O)</f>
        <v>0</v>
      </c>
      <c r="N113" s="2189">
        <f>SUM(G113:M113)</f>
        <v>0</v>
      </c>
      <c r="O113" s="2189">
        <f>D113-N113</f>
        <v>0</v>
      </c>
      <c r="Q113" s="2206" t="inlineStr">
        <is>
          <t>기타영업비용</t>
        </is>
      </c>
      <c r="R113" s="2207" t="inlineStr">
        <is>
          <t>기타영업비용</t>
        </is>
      </c>
      <c r="S113" s="2206" t="str">
        <f>IFERROR(INDEX($C$140:$C$151,MATCH(R113,$B$140:$B$151,0)),"오류")</f>
        <v>영업</v>
      </c>
      <c r="T113" s="2208">
        <f>IFERROR(INDEX($D$140:$D$151,MATCH(R113,$B$140:$B$151,0)),0)</f>
        <v>-1</v>
      </c>
      <c r="U113" s="2209">
        <f>IF(OR(Q113="매출액",Q113="매출원가",Q113="판매비와관리비"),1,0)</f>
        <v>0</v>
      </c>
    </row>
    <row r="114">
      <c r="B114" s="2188" t="str">
        <f>연결PL!B79</f>
        <v>기부금</v>
      </c>
      <c r="D114" s="2189">
        <f>연결PL!D79</f>
        <v>132762</v>
      </c>
      <c r="E114" s="2189">
        <f>연결PL!E79</f>
        <v>128604</v>
      </c>
      <c r="G114" s="2189">
        <f>SUMIF(PL!$AC:$AC,$B114,PL!I:I)</f>
        <v>0</v>
      </c>
      <c r="H114" s="2189">
        <f>SUMIF(PL!$AC:$AC,$B114,PL!J:J)</f>
        <v>0</v>
      </c>
      <c r="I114" s="2189">
        <f>SUMIF(PL!$AC:$AC,$B114,PL!K:K)</f>
        <v>132762</v>
      </c>
      <c r="J114" s="2189">
        <f>SUMIF(PL!$AC:$AC,$B114,PL!L:L)</f>
        <v>0</v>
      </c>
      <c r="K114" s="2189">
        <f>SUMIF(PL!$AC:$AC,$B114,PL!M:M)</f>
        <v>0</v>
      </c>
      <c r="L114" s="2189">
        <f>SUMIF(PL!$AC:$AC,$B114,PL!N:N)</f>
        <v>0</v>
      </c>
      <c r="M114" s="2189">
        <f>SUMIF(PL!$AC:$AC,$B114,PL!O:O)</f>
        <v>0</v>
      </c>
      <c r="N114" s="2189">
        <f>SUM(G114:M114)</f>
        <v>132762</v>
      </c>
      <c r="O114" s="2189">
        <f>D114-N114</f>
        <v>0</v>
      </c>
      <c r="Q114" s="2206" t="inlineStr">
        <is>
          <t>기타영업비용</t>
        </is>
      </c>
      <c r="R114" s="2207" t="inlineStr">
        <is>
          <t>기타영업비용</t>
        </is>
      </c>
      <c r="S114" s="2206" t="str">
        <f>IFERROR(INDEX($C$140:$C$151,MATCH(R114,$B$140:$B$151,0)),"오류")</f>
        <v>영업</v>
      </c>
      <c r="T114" s="2208">
        <f>IFERROR(INDEX($D$140:$D$151,MATCH(R114,$B$140:$B$151,0)),0)</f>
        <v>-1</v>
      </c>
      <c r="U114" s="2209">
        <f>IF(OR(Q114="매출액",Q114="매출원가",Q114="판매비와관리비"),1,0)</f>
        <v>0</v>
      </c>
    </row>
    <row r="115">
      <c r="B115" s="2188" t="str">
        <f>연결PL!B80</f>
        <v>외화환산손실(기타)</v>
      </c>
      <c r="D115" s="2189">
        <f>연결PL!D80</f>
        <v>0</v>
      </c>
      <c r="E115" s="2189">
        <f>연결PL!E80</f>
        <v>0</v>
      </c>
      <c r="G115" s="2189">
        <f>SUMIF(PL!$AC:$AC,$B115,PL!I:I)</f>
        <v>0</v>
      </c>
      <c r="H115" s="2189">
        <f>SUMIF(PL!$AC:$AC,$B115,PL!J:J)</f>
        <v>0</v>
      </c>
      <c r="I115" s="2189">
        <f>SUMIF(PL!$AC:$AC,$B115,PL!K:K)</f>
        <v>0</v>
      </c>
      <c r="J115" s="2189">
        <f>SUMIF(PL!$AC:$AC,$B115,PL!L:L)</f>
        <v>0</v>
      </c>
      <c r="K115" s="2189">
        <f>SUMIF(PL!$AC:$AC,$B115,PL!M:M)</f>
        <v>0</v>
      </c>
      <c r="L115" s="2189">
        <f>SUMIF(PL!$AC:$AC,$B115,PL!N:N)</f>
        <v>0</v>
      </c>
      <c r="M115" s="2189">
        <f>SUMIF(PL!$AC:$AC,$B115,PL!O:O)</f>
        <v>0</v>
      </c>
      <c r="N115" s="2189">
        <f>SUM(G115:M115)</f>
        <v>0</v>
      </c>
      <c r="O115" s="2189">
        <f>D115-N115</f>
        <v>0</v>
      </c>
      <c r="Q115" s="2206" t="inlineStr">
        <is>
          <t>기타영업비용</t>
        </is>
      </c>
      <c r="R115" s="2207" t="inlineStr">
        <is>
          <t>기타영업비용</t>
        </is>
      </c>
      <c r="S115" s="2206" t="str">
        <f>IFERROR(INDEX($C$140:$C$151,MATCH(R115,$B$140:$B$151,0)),"오류")</f>
        <v>영업</v>
      </c>
      <c r="T115" s="2208">
        <f>IFERROR(INDEX($D$140:$D$151,MATCH(R115,$B$140:$B$151,0)),0)</f>
        <v>-1</v>
      </c>
      <c r="U115" s="2209">
        <f>IF(OR(Q115="매출액",Q115="매출원가",Q115="판매비와관리비"),1,0)</f>
        <v>0</v>
      </c>
    </row>
    <row r="116">
      <c r="B116" s="2188" t="str">
        <f>연결PL!B81</f>
        <v>유형자산처분손실</v>
      </c>
      <c r="D116" s="2189">
        <f>연결PL!D81</f>
        <v>4825402</v>
      </c>
      <c r="E116" s="2189">
        <f>연결PL!E81</f>
        <v>3098042</v>
      </c>
      <c r="G116" s="2189">
        <f>SUMIF(PL!$AC:$AC,$B116,PL!I:I)</f>
        <v>4825402</v>
      </c>
      <c r="H116" s="2189">
        <f>SUMIF(PL!$AC:$AC,$B116,PL!J:J)</f>
        <v>0</v>
      </c>
      <c r="I116" s="2189">
        <f>SUMIF(PL!$AC:$AC,$B116,PL!K:K)</f>
        <v>0</v>
      </c>
      <c r="J116" s="2189">
        <f>SUMIF(PL!$AC:$AC,$B116,PL!L:L)</f>
        <v>0</v>
      </c>
      <c r="K116" s="2189">
        <f>SUMIF(PL!$AC:$AC,$B116,PL!M:M)</f>
        <v>0</v>
      </c>
      <c r="L116" s="2189">
        <f>SUMIF(PL!$AC:$AC,$B116,PL!N:N)</f>
        <v>0</v>
      </c>
      <c r="M116" s="2189">
        <f>SUMIF(PL!$AC:$AC,$B116,PL!O:O)</f>
        <v>0</v>
      </c>
      <c r="N116" s="2189">
        <f>SUM(G116:M116)</f>
        <v>4825402</v>
      </c>
      <c r="O116" s="2189">
        <f>D116-N116</f>
        <v>0</v>
      </c>
      <c r="Q116" s="2206" t="inlineStr">
        <is>
          <t>기타영업비용</t>
        </is>
      </c>
      <c r="R116" s="2207" t="inlineStr">
        <is>
          <t>기타영업비용</t>
        </is>
      </c>
      <c r="S116" s="2206" t="str">
        <f>IFERROR(INDEX($C$140:$C$151,MATCH(R116,$B$140:$B$151,0)),"오류")</f>
        <v>영업</v>
      </c>
      <c r="T116" s="2208">
        <f>IFERROR(INDEX($D$140:$D$151,MATCH(R116,$B$140:$B$151,0)),0)</f>
        <v>-1</v>
      </c>
      <c r="U116" s="2209">
        <f>IF(OR(Q116="매출액",Q116="매출원가",Q116="판매비와관리비"),1,0)</f>
        <v>0</v>
      </c>
    </row>
    <row r="117">
      <c r="B117" s="2188" t="str">
        <f>연결PL!B82</f>
        <v>관계기업투자주식처분손실</v>
      </c>
      <c r="D117" s="2189">
        <f>연결PL!D82</f>
        <v>0</v>
      </c>
      <c r="E117" s="2189">
        <f>연결PL!E82</f>
        <v>0</v>
      </c>
      <c r="G117" s="2189">
        <f>SUMIF(PL!$AC:$AC,$B117,PL!I:I)</f>
        <v>0</v>
      </c>
      <c r="H117" s="2189">
        <f>SUMIF(PL!$AC:$AC,$B117,PL!J:J)</f>
        <v>0</v>
      </c>
      <c r="I117" s="2189">
        <f>SUMIF(PL!$AC:$AC,$B117,PL!K:K)</f>
        <v>0</v>
      </c>
      <c r="J117" s="2189">
        <f>SUMIF(PL!$AC:$AC,$B117,PL!L:L)</f>
        <v>0</v>
      </c>
      <c r="K117" s="2189">
        <f>SUMIF(PL!$AC:$AC,$B117,PL!M:M)</f>
        <v>0</v>
      </c>
      <c r="L117" s="2189">
        <f>SUMIF(PL!$AC:$AC,$B117,PL!N:N)</f>
        <v>0</v>
      </c>
      <c r="M117" s="2189">
        <f>SUMIF(PL!$AC:$AC,$B117,PL!O:O)</f>
        <v>0</v>
      </c>
      <c r="N117" s="2189">
        <f>SUM(G117:M117)</f>
        <v>0</v>
      </c>
      <c r="O117" s="2189">
        <f>D117-N117</f>
        <v>0</v>
      </c>
      <c r="Q117" s="2206" t="inlineStr">
        <is>
          <t>기타영업비용</t>
        </is>
      </c>
      <c r="R117" s="2207" t="inlineStr">
        <is>
          <t>투자비용</t>
        </is>
      </c>
      <c r="S117" s="2206" t="str">
        <f>IFERROR(INDEX($C$140:$C$151,MATCH(R117,$B$140:$B$151,0)),"오류")</f>
        <v>투자</v>
      </c>
      <c r="T117" s="2208">
        <f>IFERROR(INDEX($D$140:$D$151,MATCH(R117,$B$140:$B$151,0)),0)</f>
        <v>-1</v>
      </c>
      <c r="U117" s="2209">
        <f>IF(OR(Q117="매출액",Q117="매출원가",Q117="판매비와관리비"),1,0)</f>
        <v>0</v>
      </c>
    </row>
    <row r="118">
      <c r="B118" s="2188" t="str">
        <f>연결PL!B83</f>
        <v>보상비</v>
      </c>
      <c r="D118" s="2189">
        <f>연결PL!D83</f>
        <v>0</v>
      </c>
      <c r="E118" s="2189">
        <f>연결PL!E83</f>
        <v>0</v>
      </c>
      <c r="G118" s="2189">
        <f>SUMIF(PL!$AC:$AC,$B118,PL!I:I)</f>
        <v>0</v>
      </c>
      <c r="H118" s="2189">
        <f>SUMIF(PL!$AC:$AC,$B118,PL!J:J)</f>
        <v>0</v>
      </c>
      <c r="I118" s="2189">
        <f>SUMIF(PL!$AC:$AC,$B118,PL!K:K)</f>
        <v>0</v>
      </c>
      <c r="J118" s="2189">
        <f>SUMIF(PL!$AC:$AC,$B118,PL!L:L)</f>
        <v>0</v>
      </c>
      <c r="K118" s="2189">
        <f>SUMIF(PL!$AC:$AC,$B118,PL!M:M)</f>
        <v>0</v>
      </c>
      <c r="L118" s="2189">
        <f>SUMIF(PL!$AC:$AC,$B118,PL!N:N)</f>
        <v>0</v>
      </c>
      <c r="M118" s="2189">
        <f>SUMIF(PL!$AC:$AC,$B118,PL!O:O)</f>
        <v>0</v>
      </c>
      <c r="N118" s="2189">
        <f>SUM(G118:M118)</f>
        <v>0</v>
      </c>
      <c r="O118" s="2189">
        <f>D118-N118</f>
        <v>0</v>
      </c>
      <c r="Q118" s="2206" t="inlineStr">
        <is>
          <t>기타영업비용</t>
        </is>
      </c>
      <c r="R118" s="2207" t="inlineStr">
        <is>
          <t>기타영업비용</t>
        </is>
      </c>
      <c r="S118" s="2206" t="str">
        <f>IFERROR(INDEX($C$140:$C$151,MATCH(R118,$B$140:$B$151,0)),"오류")</f>
        <v>영업</v>
      </c>
      <c r="T118" s="2208">
        <f>IFERROR(INDEX($D$140:$D$151,MATCH(R118,$B$140:$B$151,0)),0)</f>
        <v>-1</v>
      </c>
      <c r="U118" s="2209">
        <f>IF(OR(Q118="매출액",Q118="매출원가",Q118="판매비와관리비"),1,0)</f>
        <v>0</v>
      </c>
    </row>
    <row r="119">
      <c r="B119" s="2188" t="str">
        <f>연결PL!B84</f>
        <v>잡손실</v>
      </c>
      <c r="D119" s="2189">
        <f>연결PL!D84</f>
        <v>4530608</v>
      </c>
      <c r="E119" s="2189">
        <f>연결PL!E84</f>
        <v>3860416</v>
      </c>
      <c r="G119" s="2189">
        <f>SUMIF(PL!$AC:$AC,$B119,PL!I:I)</f>
        <v>210</v>
      </c>
      <c r="H119" s="2189">
        <f>SUMIF(PL!$AC:$AC,$B119,PL!J:J)</f>
        <v>0</v>
      </c>
      <c r="I119" s="2189">
        <f>SUMIF(PL!$AC:$AC,$B119,PL!K:K)</f>
        <v>409319</v>
      </c>
      <c r="J119" s="2189">
        <f>SUMIF(PL!$AC:$AC,$B119,PL!L:L)</f>
        <v>12707</v>
      </c>
      <c r="K119" s="2189">
        <f>SUMIF(PL!$AC:$AC,$B119,PL!M:M)</f>
        <v>4108372</v>
      </c>
      <c r="L119" s="2189">
        <f>SUMIF(PL!$AC:$AC,$B119,PL!N:N)</f>
        <v>0</v>
      </c>
      <c r="M119" s="2189">
        <f>SUMIF(PL!$AC:$AC,$B119,PL!O:O)</f>
        <v>0</v>
      </c>
      <c r="N119" s="2189">
        <f>SUM(G119:M119)</f>
        <v>4530608</v>
      </c>
      <c r="O119" s="2189">
        <f>D119-N119</f>
        <v>0</v>
      </c>
      <c r="Q119" s="2206" t="inlineStr">
        <is>
          <t>기타영업비용</t>
        </is>
      </c>
      <c r="R119" s="2207" t="inlineStr">
        <is>
          <t>기타영업비용</t>
        </is>
      </c>
      <c r="S119" s="2206" t="str">
        <f>IFERROR(INDEX($C$140:$C$151,MATCH(R119,$B$140:$B$151,0)),"오류")</f>
        <v>영업</v>
      </c>
      <c r="T119" s="2208">
        <f>IFERROR(INDEX($D$140:$D$151,MATCH(R119,$B$140:$B$151,0)),0)</f>
        <v>-1</v>
      </c>
      <c r="U119" s="2209">
        <f>IF(OR(Q119="매출액",Q119="매출원가",Q119="판매비와관리비"),1,0)</f>
        <v>0</v>
      </c>
    </row>
    <row r="120">
      <c r="B120" s="2188" t="str">
        <f>연결PL!B86</f>
        <v>이자수익</v>
      </c>
      <c r="D120" s="2189">
        <f>연결PL!D86</f>
        <v>22101454</v>
      </c>
      <c r="E120" s="2189">
        <f>연결PL!E86</f>
        <v>28253274</v>
      </c>
      <c r="G120" s="2189">
        <f>SUMIF(PL!$AC:$AC,$B120,PL!I:I)</f>
        <v>22098561</v>
      </c>
      <c r="H120" s="2189">
        <f>SUMIF(PL!$AC:$AC,$B120,PL!J:J)</f>
        <v>0</v>
      </c>
      <c r="I120" s="2189">
        <f>SUMIF(PL!$AC:$AC,$B120,PL!K:K)</f>
        <v>658</v>
      </c>
      <c r="J120" s="2189">
        <f>SUMIF(PL!$AC:$AC,$B120,PL!L:L)</f>
        <v>53</v>
      </c>
      <c r="K120" s="2189">
        <f>SUMIF(PL!$AC:$AC,$B120,PL!M:M)</f>
        <v>2182</v>
      </c>
      <c r="L120" s="2189">
        <f>SUMIF(PL!$AC:$AC,$B120,PL!N:N)</f>
        <v>0</v>
      </c>
      <c r="M120" s="2189">
        <f>SUMIF(PL!$AC:$AC,$B120,PL!O:O)</f>
        <v>0</v>
      </c>
      <c r="N120" s="2189">
        <f>SUM(G120:M120)</f>
        <v>22101454</v>
      </c>
      <c r="O120" s="2189">
        <f>D120-N120</f>
        <v>0</v>
      </c>
      <c r="Q120" s="2206" t="inlineStr">
        <is>
          <t>금융수익</t>
        </is>
      </c>
      <c r="R120" s="2207" t="inlineStr">
        <is>
          <t>투자수익</t>
        </is>
      </c>
      <c r="S120" s="2206" t="str">
        <f>IFERROR(INDEX($C$140:$C$151,MATCH(R120,$B$140:$B$151,0)),"오류")</f>
        <v>투자</v>
      </c>
      <c r="T120" s="2208">
        <f>IFERROR(INDEX($D$140:$D$151,MATCH(R120,$B$140:$B$151,0)),0)</f>
        <v>1</v>
      </c>
      <c r="U120" s="2209">
        <f>IF(OR(Q120="매출액",Q120="매출원가",Q120="판매비와관리비"),1,0)</f>
        <v>0</v>
      </c>
    </row>
    <row r="121">
      <c r="B121" s="2188" t="str">
        <f>연결PL!B87</f>
        <v>파생금융자산평가이익</v>
      </c>
      <c r="D121" s="2189">
        <f>연결PL!D87</f>
        <v>0</v>
      </c>
      <c r="E121" s="2189">
        <f>연결PL!E87</f>
        <v>0</v>
      </c>
      <c r="G121" s="2189">
        <f>SUMIF(PL!$AC:$AC,$B121,PL!I:I)</f>
        <v>0</v>
      </c>
      <c r="H121" s="2189">
        <f>SUMIF(PL!$AC:$AC,$B121,PL!J:J)</f>
        <v>0</v>
      </c>
      <c r="I121" s="2189">
        <f>SUMIF(PL!$AC:$AC,$B121,PL!K:K)</f>
        <v>0</v>
      </c>
      <c r="J121" s="2189">
        <f>SUMIF(PL!$AC:$AC,$B121,PL!L:L)</f>
        <v>0</v>
      </c>
      <c r="K121" s="2189">
        <f>SUMIF(PL!$AC:$AC,$B121,PL!M:M)</f>
        <v>0</v>
      </c>
      <c r="L121" s="2189">
        <f>SUMIF(PL!$AC:$AC,$B121,PL!N:N)</f>
        <v>0</v>
      </c>
      <c r="M121" s="2189">
        <f>SUMIF(PL!$AC:$AC,$B121,PL!O:O)</f>
        <v>0</v>
      </c>
      <c r="N121" s="2189">
        <f>SUM(G121:M121)</f>
        <v>0</v>
      </c>
      <c r="O121" s="2189">
        <f>D121-N121</f>
        <v>0</v>
      </c>
      <c r="Q121" s="2206" t="inlineStr">
        <is>
          <t>금융수익</t>
        </is>
      </c>
      <c r="R121" s="2207" t="inlineStr">
        <is>
          <t>투자수익</t>
        </is>
      </c>
      <c r="S121" s="2206" t="str">
        <f>IFERROR(INDEX($C$140:$C$151,MATCH(R121,$B$140:$B$151,0)),"오류")</f>
        <v>투자</v>
      </c>
      <c r="T121" s="2208">
        <f>IFERROR(INDEX($D$140:$D$151,MATCH(R121,$B$140:$B$151,0)),0)</f>
        <v>1</v>
      </c>
      <c r="U121" s="2209">
        <f>IF(OR(Q121="매출액",Q121="매출원가",Q121="판매비와관리비"),1,0)</f>
        <v>0</v>
      </c>
    </row>
    <row r="122">
      <c r="B122" s="2188" t="str">
        <f>연결PL!B88</f>
        <v>외환차익</v>
      </c>
      <c r="D122" s="2189">
        <f>연결PL!D88</f>
        <v>109841433</v>
      </c>
      <c r="E122" s="2189">
        <f>연결PL!E88</f>
        <v>20481765</v>
      </c>
      <c r="G122" s="2189">
        <f>SUMIF(PL!$AC:$AC,$B122,PL!I:I)</f>
        <v>109841433</v>
      </c>
      <c r="H122" s="2189">
        <f>SUMIF(PL!$AC:$AC,$B122,PL!J:J)</f>
        <v>0</v>
      </c>
      <c r="I122" s="2189">
        <f>SUMIF(PL!$AC:$AC,$B122,PL!K:K)</f>
        <v>0</v>
      </c>
      <c r="J122" s="2189">
        <f>SUMIF(PL!$AC:$AC,$B122,PL!L:L)</f>
        <v>0</v>
      </c>
      <c r="K122" s="2189">
        <f>SUMIF(PL!$AC:$AC,$B122,PL!M:M)</f>
        <v>0</v>
      </c>
      <c r="L122" s="2189">
        <f>SUMIF(PL!$AC:$AC,$B122,PL!N:N)</f>
        <v>0</v>
      </c>
      <c r="M122" s="2189">
        <f>SUMIF(PL!$AC:$AC,$B122,PL!O:O)</f>
        <v>0</v>
      </c>
      <c r="N122" s="2189">
        <f>SUM(G122:M122)</f>
        <v>109841433</v>
      </c>
      <c r="O122" s="2189">
        <f>D122-N122</f>
        <v>0</v>
      </c>
      <c r="Q122" s="2206" t="inlineStr">
        <is>
          <t>금융수익</t>
        </is>
      </c>
      <c r="R122" s="2207" t="inlineStr">
        <is>
          <t>기타영업수익</t>
        </is>
      </c>
      <c r="S122" s="2206" t="str">
        <f>IFERROR(INDEX($C$140:$C$151,MATCH(R122,$B$140:$B$151,0)),"오류")</f>
        <v>영업</v>
      </c>
      <c r="T122" s="2208">
        <f>IFERROR(INDEX($D$140:$D$151,MATCH(R122,$B$140:$B$151,0)),0)</f>
        <v>1</v>
      </c>
      <c r="U122" s="2209">
        <f>IF(OR(Q122="매출액",Q122="매출원가",Q122="판매비와관리비"),1,0)</f>
        <v>0</v>
      </c>
    </row>
    <row r="123">
      <c r="B123" s="2188" t="str">
        <f>연결PL!B89</f>
        <v>외화환산이익</v>
      </c>
      <c r="D123" s="2189">
        <f>연결PL!D89</f>
        <v>37603839</v>
      </c>
      <c r="E123" s="2189">
        <f>연결PL!E89</f>
        <v>3042</v>
      </c>
      <c r="G123" s="2189">
        <f>SUMIF(PL!$AC:$AC,$B123,PL!I:I)</f>
        <v>37603839</v>
      </c>
      <c r="H123" s="2189">
        <f>SUMIF(PL!$AC:$AC,$B123,PL!J:J)</f>
        <v>0</v>
      </c>
      <c r="I123" s="2189">
        <f>SUMIF(PL!$AC:$AC,$B123,PL!K:K)</f>
        <v>0</v>
      </c>
      <c r="J123" s="2189">
        <f>SUMIF(PL!$AC:$AC,$B123,PL!L:L)</f>
        <v>0</v>
      </c>
      <c r="K123" s="2189">
        <f>SUMIF(PL!$AC:$AC,$B123,PL!M:M)</f>
        <v>0</v>
      </c>
      <c r="L123" s="2189">
        <f>SUMIF(PL!$AC:$AC,$B123,PL!N:N)</f>
        <v>0</v>
      </c>
      <c r="M123" s="2189">
        <f>SUMIF(PL!$AC:$AC,$B123,PL!O:O)</f>
        <v>0</v>
      </c>
      <c r="N123" s="2189">
        <f>SUM(G123:M123)</f>
        <v>37603839</v>
      </c>
      <c r="O123" s="2189">
        <f>D123-N123</f>
        <v>0</v>
      </c>
      <c r="Q123" s="2206" t="inlineStr">
        <is>
          <t>금융수익</t>
        </is>
      </c>
      <c r="R123" s="2207" t="inlineStr">
        <is>
          <t>기타영업수익</t>
        </is>
      </c>
      <c r="S123" s="2206" t="str">
        <f>IFERROR(INDEX($C$140:$C$151,MATCH(R123,$B$140:$B$151,0)),"오류")</f>
        <v>영업</v>
      </c>
      <c r="T123" s="2208">
        <f>IFERROR(INDEX($D$140:$D$151,MATCH(R123,$B$140:$B$151,0)),0)</f>
        <v>1</v>
      </c>
      <c r="U123" s="2209">
        <f>IF(OR(Q123="매출액",Q123="매출원가",Q123="판매비와관리비"),1,0)</f>
        <v>0</v>
      </c>
    </row>
    <row r="124">
      <c r="B124" s="2188" t="str">
        <f>연결PL!B91</f>
        <v>이자비용</v>
      </c>
      <c r="D124" s="2189">
        <f>연결PL!D91</f>
        <v>98954951</v>
      </c>
      <c r="E124" s="2189">
        <f>연결PL!E91</f>
        <v>45786340</v>
      </c>
      <c r="G124" s="2189">
        <f>SUMIF(PL!$AC:$AC,$B124,PL!I:I)</f>
        <v>98954951</v>
      </c>
      <c r="H124" s="2189">
        <f>SUMIF(PL!$AC:$AC,$B124,PL!J:J)</f>
        <v>0</v>
      </c>
      <c r="I124" s="2189">
        <f>SUMIF(PL!$AC:$AC,$B124,PL!K:K)</f>
        <v>0</v>
      </c>
      <c r="J124" s="2189">
        <f>SUMIF(PL!$AC:$AC,$B124,PL!L:L)</f>
        <v>0</v>
      </c>
      <c r="K124" s="2189">
        <f>SUMIF(PL!$AC:$AC,$B124,PL!M:M)</f>
        <v>0</v>
      </c>
      <c r="L124" s="2189">
        <f>SUMIF(PL!$AC:$AC,$B124,PL!N:N)</f>
        <v>0</v>
      </c>
      <c r="M124" s="2189">
        <f>SUMIF(PL!$AC:$AC,$B124,PL!O:O)</f>
        <v>0</v>
      </c>
      <c r="N124" s="2189">
        <f>SUM(G124:M124)</f>
        <v>98954951</v>
      </c>
      <c r="O124" s="2189">
        <f>D124-N124</f>
        <v>0</v>
      </c>
      <c r="Q124" s="2206" t="inlineStr">
        <is>
          <t>금융비용</t>
        </is>
      </c>
      <c r="R124" s="2207" t="inlineStr">
        <is>
          <t>재무비용</t>
        </is>
      </c>
      <c r="S124" s="2206" t="str">
        <f>IFERROR(INDEX($C$140:$C$151,MATCH(R124,$B$140:$B$151,0)),"오류")</f>
        <v>재무</v>
      </c>
      <c r="T124" s="2208">
        <f>IFERROR(INDEX($D$140:$D$151,MATCH(R124,$B$140:$B$151,0)),0)</f>
        <v>-1</v>
      </c>
      <c r="U124" s="2209">
        <f>IF(OR(Q124="매출액",Q124="매출원가",Q124="판매비와관리비"),1,0)</f>
        <v>0</v>
      </c>
    </row>
    <row r="125">
      <c r="B125" s="2188" t="str">
        <f>연결PL!B92</f>
        <v>당기손익-공정가치측정금융자산평가손실</v>
      </c>
      <c r="D125" s="2189">
        <f>연결PL!D92</f>
        <v>0</v>
      </c>
      <c r="E125" s="2189">
        <f>연결PL!E92</f>
        <v>0</v>
      </c>
      <c r="G125" s="2189">
        <f>SUMIF(PL!$AC:$AC,$B125,PL!I:I)</f>
        <v>0</v>
      </c>
      <c r="H125" s="2189">
        <f>SUMIF(PL!$AC:$AC,$B125,PL!J:J)</f>
        <v>0</v>
      </c>
      <c r="I125" s="2189">
        <f>SUMIF(PL!$AC:$AC,$B125,PL!K:K)</f>
        <v>0</v>
      </c>
      <c r="J125" s="2189">
        <f>SUMIF(PL!$AC:$AC,$B125,PL!L:L)</f>
        <v>0</v>
      </c>
      <c r="K125" s="2189">
        <f>SUMIF(PL!$AC:$AC,$B125,PL!M:M)</f>
        <v>0</v>
      </c>
      <c r="L125" s="2189">
        <f>SUMIF(PL!$AC:$AC,$B125,PL!N:N)</f>
        <v>0</v>
      </c>
      <c r="M125" s="2189">
        <f>SUMIF(PL!$AC:$AC,$B125,PL!O:O)</f>
        <v>0</v>
      </c>
      <c r="N125" s="2189">
        <f>SUM(G125:M125)</f>
        <v>0</v>
      </c>
      <c r="O125" s="2189">
        <f>D125-N125</f>
        <v>0</v>
      </c>
      <c r="Q125" s="2206" t="inlineStr">
        <is>
          <t>금융비용</t>
        </is>
      </c>
      <c r="R125" s="2207" t="inlineStr">
        <is>
          <t>투자비용</t>
        </is>
      </c>
      <c r="S125" s="2206" t="str">
        <f>IFERROR(INDEX($C$140:$C$151,MATCH(R125,$B$140:$B$151,0)),"오류")</f>
        <v>투자</v>
      </c>
      <c r="T125" s="2208">
        <f>IFERROR(INDEX($D$140:$D$151,MATCH(R125,$B$140:$B$151,0)),0)</f>
        <v>-1</v>
      </c>
      <c r="U125" s="2209">
        <f>IF(OR(Q125="매출액",Q125="매출원가",Q125="판매비와관리비"),1,0)</f>
        <v>0</v>
      </c>
    </row>
    <row r="126">
      <c r="B126" s="2188" t="str">
        <f>연결PL!B93</f>
        <v>사채상환손실</v>
      </c>
      <c r="D126" s="2189">
        <f>연결PL!D93</f>
        <v>0</v>
      </c>
      <c r="E126" s="2189">
        <f>연결PL!E93</f>
        <v>0</v>
      </c>
      <c r="G126" s="2189">
        <f>SUMIF(PL!$AC:$AC,$B126,PL!I:I)</f>
        <v>0</v>
      </c>
      <c r="H126" s="2189">
        <f>SUMIF(PL!$AC:$AC,$B126,PL!J:J)</f>
        <v>0</v>
      </c>
      <c r="I126" s="2189">
        <f>SUMIF(PL!$AC:$AC,$B126,PL!K:K)</f>
        <v>0</v>
      </c>
      <c r="J126" s="2189">
        <f>SUMIF(PL!$AC:$AC,$B126,PL!L:L)</f>
        <v>0</v>
      </c>
      <c r="K126" s="2189">
        <f>SUMIF(PL!$AC:$AC,$B126,PL!M:M)</f>
        <v>0</v>
      </c>
      <c r="L126" s="2189">
        <f>SUMIF(PL!$AC:$AC,$B126,PL!N:N)</f>
        <v>0</v>
      </c>
      <c r="M126" s="2189">
        <f>SUMIF(PL!$AC:$AC,$B126,PL!O:O)</f>
        <v>0</v>
      </c>
      <c r="N126" s="2189">
        <f>SUM(G126:M126)</f>
        <v>0</v>
      </c>
      <c r="O126" s="2189">
        <f>D126-N126</f>
        <v>0</v>
      </c>
      <c r="Q126" s="2206" t="inlineStr">
        <is>
          <t>금융비용</t>
        </is>
      </c>
      <c r="R126" s="2207" t="inlineStr">
        <is>
          <t>재무비용</t>
        </is>
      </c>
      <c r="S126" s="2206" t="str">
        <f>IFERROR(INDEX($C$140:$C$151,MATCH(R126,$B$140:$B$151,0)),"오류")</f>
        <v>재무</v>
      </c>
      <c r="T126" s="2208">
        <f>IFERROR(INDEX($D$140:$D$151,MATCH(R126,$B$140:$B$151,0)),0)</f>
        <v>-1</v>
      </c>
      <c r="U126" s="2209">
        <f>IF(OR(Q126="매출액",Q126="매출원가",Q126="판매비와관리비"),1,0)</f>
        <v>0</v>
      </c>
    </row>
    <row r="127">
      <c r="B127" s="2188" t="str">
        <f>연결PL!B94</f>
        <v>외환차손</v>
      </c>
      <c r="D127" s="2189">
        <f>연결PL!D94</f>
        <v>174288542</v>
      </c>
      <c r="E127" s="2189">
        <f>연결PL!E94</f>
        <v>41293761</v>
      </c>
      <c r="G127" s="2189">
        <f>SUMIF(PL!$AC:$AC,$B127,PL!I:I)</f>
        <v>172194962</v>
      </c>
      <c r="H127" s="2189">
        <f>SUMIF(PL!$AC:$AC,$B127,PL!J:J)</f>
        <v>0</v>
      </c>
      <c r="I127" s="2189">
        <f>SUMIF(PL!$AC:$AC,$B127,PL!K:K)</f>
        <v>1829428</v>
      </c>
      <c r="J127" s="2189">
        <f>SUMIF(PL!$AC:$AC,$B127,PL!L:L)</f>
        <v>144</v>
      </c>
      <c r="K127" s="2189">
        <f>SUMIF(PL!$AC:$AC,$B127,PL!M:M)</f>
        <v>233982</v>
      </c>
      <c r="L127" s="2189">
        <f>SUMIF(PL!$AC:$AC,$B127,PL!N:N)</f>
        <v>30026</v>
      </c>
      <c r="M127" s="2189">
        <f>SUMIF(PL!$AC:$AC,$B127,PL!O:O)</f>
        <v>0</v>
      </c>
      <c r="N127" s="2189">
        <f>SUM(G127:M127)</f>
        <v>174288542</v>
      </c>
      <c r="O127" s="2189">
        <f>D127-N127</f>
        <v>0</v>
      </c>
      <c r="Q127" s="2206" t="inlineStr">
        <is>
          <t>금융비용</t>
        </is>
      </c>
      <c r="R127" s="2207" t="inlineStr">
        <is>
          <t>기타영업비용</t>
        </is>
      </c>
      <c r="S127" s="2206" t="str">
        <f>IFERROR(INDEX($C$140:$C$151,MATCH(R127,$B$140:$B$151,0)),"오류")</f>
        <v>영업</v>
      </c>
      <c r="T127" s="2208">
        <f>IFERROR(INDEX($D$140:$D$151,MATCH(R127,$B$140:$B$151,0)),0)</f>
        <v>-1</v>
      </c>
      <c r="U127" s="2209">
        <f>IF(OR(Q127="매출액",Q127="매출원가",Q127="판매비와관리비"),1,0)</f>
        <v>0</v>
      </c>
    </row>
    <row r="128">
      <c r="B128" s="2188" t="str">
        <f>연결PL!B95</f>
        <v>외화환산손실</v>
      </c>
      <c r="D128" s="2189">
        <f>연결PL!D95</f>
        <v>2</v>
      </c>
      <c r="E128" s="2189">
        <f>연결PL!E95</f>
        <v>58201925</v>
      </c>
      <c r="G128" s="2189">
        <f>SUMIF(PL!$AC:$AC,$B128,PL!I:I)</f>
        <v>0</v>
      </c>
      <c r="H128" s="2189">
        <f>SUMIF(PL!$AC:$AC,$B128,PL!J:J)</f>
        <v>0</v>
      </c>
      <c r="I128" s="2189">
        <f>SUMIF(PL!$AC:$AC,$B128,PL!K:K)</f>
        <v>2</v>
      </c>
      <c r="J128" s="2189">
        <f>SUMIF(PL!$AC:$AC,$B128,PL!L:L)</f>
        <v>0</v>
      </c>
      <c r="K128" s="2189">
        <f>SUMIF(PL!$AC:$AC,$B128,PL!M:M)</f>
        <v>0</v>
      </c>
      <c r="L128" s="2189">
        <f>SUMIF(PL!$AC:$AC,$B128,PL!N:N)</f>
        <v>0</v>
      </c>
      <c r="M128" s="2189">
        <f>SUMIF(PL!$AC:$AC,$B128,PL!O:O)</f>
        <v>0</v>
      </c>
      <c r="N128" s="2189">
        <f>SUM(G128:M128)</f>
        <v>2</v>
      </c>
      <c r="O128" s="2189">
        <f>D128-N128</f>
        <v>0</v>
      </c>
      <c r="Q128" s="2206" t="inlineStr">
        <is>
          <t>금융비용</t>
        </is>
      </c>
      <c r="R128" s="2207" t="inlineStr">
        <is>
          <t>기타영업비용</t>
        </is>
      </c>
      <c r="S128" s="2206" t="str">
        <f>IFERROR(INDEX($C$140:$C$151,MATCH(R128,$B$140:$B$151,0)),"오류")</f>
        <v>영업</v>
      </c>
      <c r="T128" s="2208">
        <f>IFERROR(INDEX($D$140:$D$151,MATCH(R128,$B$140:$B$151,0)),0)</f>
        <v>-1</v>
      </c>
      <c r="U128" s="2209">
        <f>IF(OR(Q128="매출액",Q128="매출원가",Q128="판매비와관리비"),1,0)</f>
        <v>0</v>
      </c>
    </row>
    <row r="129">
      <c r="B129" s="2188" t="str">
        <f>연결PL!B97</f>
        <v>관계기업투자이익</v>
      </c>
      <c r="D129" s="2189">
        <f>연결PL!D97</f>
        <v>0</v>
      </c>
      <c r="E129" s="2189">
        <f>연결PL!E97</f>
        <v>0</v>
      </c>
      <c r="G129" s="2189">
        <f>SUMIF(PL!$AC:$AC,$B129,PL!I:I)</f>
        <v>0</v>
      </c>
      <c r="H129" s="2189">
        <f>SUMIF(PL!$AC:$AC,$B129,PL!J:J)</f>
        <v>0</v>
      </c>
      <c r="I129" s="2189">
        <f>SUMIF(PL!$AC:$AC,$B129,PL!K:K)</f>
        <v>0</v>
      </c>
      <c r="J129" s="2189">
        <f>SUMIF(PL!$AC:$AC,$B129,PL!L:L)</f>
        <v>0</v>
      </c>
      <c r="K129" s="2189">
        <f>SUMIF(PL!$AC:$AC,$B129,PL!M:M)</f>
        <v>0</v>
      </c>
      <c r="L129" s="2189">
        <f>SUMIF(PL!$AC:$AC,$B129,PL!N:N)</f>
        <v>0</v>
      </c>
      <c r="M129" s="2189">
        <f>SUMIF(PL!$AC:$AC,$B129,PL!O:O)</f>
        <v>0</v>
      </c>
      <c r="N129" s="2189">
        <f>SUM(G129:M129)</f>
        <v>0</v>
      </c>
      <c r="O129" s="2189">
        <f>D129-N129</f>
        <v>0</v>
      </c>
      <c r="Q129" s="2206" t="inlineStr">
        <is>
          <t>지분법손익</t>
        </is>
      </c>
      <c r="R129" s="2207" t="inlineStr">
        <is>
          <t>투자수익</t>
        </is>
      </c>
      <c r="S129" s="2206" t="str">
        <f>IFERROR(INDEX($C$140:$C$151,MATCH(R129,$B$140:$B$151,0)),"오류")</f>
        <v>투자</v>
      </c>
      <c r="T129" s="2208">
        <f>IFERROR(INDEX($D$140:$D$151,MATCH(R129,$B$140:$B$151,0)),0)</f>
        <v>1</v>
      </c>
      <c r="U129" s="2209">
        <f>IF(OR(Q129="매출액",Q129="매출원가",Q129="판매비와관리비"),1,0)</f>
        <v>0</v>
      </c>
    </row>
    <row r="130">
      <c r="B130" s="2188" t="str">
        <f>연결PL!B98</f>
        <v>관계기업투자손실</v>
      </c>
      <c r="D130" s="2189">
        <f>연결PL!D98</f>
        <v>2067945777</v>
      </c>
      <c r="E130" s="2189">
        <f>연결PL!E98</f>
        <v>0</v>
      </c>
      <c r="G130" s="2189">
        <f>SUMIF(PL!$AC:$AC,$B130,PL!I:I)</f>
        <v>0</v>
      </c>
      <c r="H130" s="2189">
        <f>SUMIF(PL!$AC:$AC,$B130,PL!J:J)</f>
        <v>0</v>
      </c>
      <c r="I130" s="2189">
        <f>SUMIF(PL!$AC:$AC,$B130,PL!K:K)</f>
        <v>0</v>
      </c>
      <c r="J130" s="2189">
        <f>SUMIF(PL!$AC:$AC,$B130,PL!L:L)</f>
        <v>0</v>
      </c>
      <c r="K130" s="2189">
        <f>SUMIF(PL!$AC:$AC,$B130,PL!M:M)</f>
        <v>0</v>
      </c>
      <c r="L130" s="2189">
        <f>SUMIF(PL!$AC:$AC,$B130,PL!N:N)</f>
        <v>0</v>
      </c>
      <c r="M130" s="2189">
        <f>SUMIF(PL!$AC:$AC,$B130,PL!O:O)</f>
        <v>0</v>
      </c>
      <c r="N130" s="2189">
        <f>SUM(G130:M130)</f>
        <v>0</v>
      </c>
      <c r="O130" s="2189">
        <f>D130-N130</f>
        <v>2067945777</v>
      </c>
      <c r="Q130" s="2206" t="inlineStr">
        <is>
          <t>지분법손익</t>
        </is>
      </c>
      <c r="R130" s="2207" t="inlineStr">
        <is>
          <t>투자비용</t>
        </is>
      </c>
      <c r="S130" s="2206" t="str">
        <f>IFERROR(INDEX($C$140:$C$151,MATCH(R130,$B$140:$B$151,0)),"오류")</f>
        <v>투자</v>
      </c>
      <c r="T130" s="2208">
        <f>IFERROR(INDEX($D$140:$D$151,MATCH(R130,$B$140:$B$151,0)),0)</f>
        <v>-1</v>
      </c>
      <c r="U130" s="2209">
        <f>IF(OR(Q130="매출액",Q130="매출원가",Q130="판매비와관리비"),1,0)</f>
        <v>0</v>
      </c>
    </row>
    <row r="131">
      <c r="B131" s="2188" t="str">
        <f>연결PL!B100</f>
        <v>법인세비용</v>
      </c>
      <c r="D131" s="2189">
        <f>연결PL!D100</f>
        <v>4983889</v>
      </c>
      <c r="E131" s="2189">
        <f>연결PL!E100</f>
        <v>4894989</v>
      </c>
      <c r="G131" s="2189">
        <f>SUMIF(PL!$AC:$AC,$B131,PL!I:I)</f>
        <v>0</v>
      </c>
      <c r="H131" s="2189">
        <f>SUMIF(PL!$AC:$AC,$B131,PL!J:J)</f>
        <v>0</v>
      </c>
      <c r="I131" s="2189">
        <f>SUMIF(PL!$AC:$AC,$B131,PL!K:K)</f>
        <v>0</v>
      </c>
      <c r="J131" s="2189">
        <f>SUMIF(PL!$AC:$AC,$B131,PL!L:L)</f>
        <v>0</v>
      </c>
      <c r="K131" s="2189">
        <f>SUMIF(PL!$AC:$AC,$B131,PL!M:M)</f>
        <v>0</v>
      </c>
      <c r="L131" s="2189">
        <f>SUMIF(PL!$AC:$AC,$B131,PL!N:N)</f>
        <v>0</v>
      </c>
      <c r="M131" s="2189">
        <f>SUMIF(PL!$AC:$AC,$B131,PL!O:O)</f>
        <v>0</v>
      </c>
      <c r="N131" s="2189">
        <f>SUM(G131:M131)</f>
        <v>0</v>
      </c>
      <c r="O131" s="2189">
        <f>D131-N131</f>
        <v>4983889</v>
      </c>
      <c r="Q131" s="2206" t="inlineStr">
        <is>
          <t>법인세비용</t>
        </is>
      </c>
      <c r="R131" s="2207" t="inlineStr">
        <is>
          <t>법인세비용</t>
        </is>
      </c>
      <c r="S131" s="2206" t="str">
        <f>IFERROR(INDEX($C$140:$C$151,MATCH(R131,$B$140:$B$151,0)),"오류")</f>
        <v>법인세</v>
      </c>
      <c r="T131" s="2208">
        <f>IFERROR(INDEX($D$140:$D$151,MATCH(R131,$B$140:$B$151,0)),0)</f>
        <v>-1</v>
      </c>
      <c r="U131" s="2209">
        <f>IF(OR(Q131="매출액",Q131="매출원가",Q131="판매비와관리비"),1,0)</f>
        <v>0</v>
      </c>
    </row>
    <row r="132">
      <c r="B132" s="2188" t="str">
        <f>연결PL!B106</f>
        <v>종업원급여 재측정요소</v>
      </c>
      <c r="D132" s="2189">
        <f>연결PL!D106</f>
        <v>0</v>
      </c>
      <c r="E132" s="2189">
        <f>연결PL!E106</f>
        <v>0</v>
      </c>
      <c r="G132" s="2189">
        <f>SUMIF(PL!$AC:$AC,$B132,PL!I:I)</f>
        <v>0</v>
      </c>
      <c r="H132" s="2189">
        <f>SUMIF(PL!$AC:$AC,$B132,PL!J:J)</f>
        <v>0</v>
      </c>
      <c r="I132" s="2189">
        <f>SUMIF(PL!$AC:$AC,$B132,PL!K:K)</f>
        <v>0</v>
      </c>
      <c r="J132" s="2189">
        <f>SUMIF(PL!$AC:$AC,$B132,PL!L:L)</f>
        <v>0</v>
      </c>
      <c r="K132" s="2189">
        <f>SUMIF(PL!$AC:$AC,$B132,PL!M:M)</f>
        <v>0</v>
      </c>
      <c r="L132" s="2189">
        <f>SUMIF(PL!$AC:$AC,$B132,PL!N:N)</f>
        <v>0</v>
      </c>
      <c r="M132" s="2189">
        <f>SUMIF(PL!$AC:$AC,$B132,PL!O:O)</f>
        <v>0</v>
      </c>
      <c r="N132" s="2189">
        <f>SUM(G132:M132)</f>
        <v>0</v>
      </c>
      <c r="O132" s="2189">
        <f>D132-N132</f>
        <v>0</v>
      </c>
      <c r="Q132" s="2206" t="inlineStr">
        <is>
          <t>기타포괄손익</t>
        </is>
      </c>
      <c r="R132" s="2207" t="inlineStr">
        <is>
          <t>기타포괄손익(재분류 불가)</t>
        </is>
      </c>
      <c r="S132" s="2206" t="str">
        <f>IFERROR(INDEX($C$140:$C$151,MATCH(R132,$B$140:$B$151,0)),"오류")</f>
        <v>기타포괄손익</v>
      </c>
      <c r="T132" s="2208">
        <f>IFERROR(INDEX($D$140:$D$151,MATCH(R132,$B$140:$B$151,0)),0)</f>
        <v>1</v>
      </c>
      <c r="U132" s="2209">
        <f>IF(OR(Q132="매출액",Q132="매출원가",Q132="판매비와관리비"),1,0)</f>
        <v>0</v>
      </c>
    </row>
    <row r="133">
      <c r="B133" s="2188" t="str">
        <f>연결PL!B108</f>
        <v>해외사업환산손익</v>
      </c>
      <c r="D133" s="2189">
        <f>연결PL!D108</f>
        <v>11298394</v>
      </c>
      <c r="E133" s="2189">
        <f>연결PL!E108</f>
        <v>-26600734</v>
      </c>
      <c r="G133" s="2189">
        <f>SUMIF(PL!$AC:$AC,$B133,PL!I:I)</f>
        <v>0</v>
      </c>
      <c r="H133" s="2189">
        <f>SUMIF(PL!$AC:$AC,$B133,PL!J:J)</f>
        <v>0</v>
      </c>
      <c r="I133" s="2189">
        <f>SUMIF(PL!$AC:$AC,$B133,PL!K:K)</f>
        <v>99968525</v>
      </c>
      <c r="J133" s="2189">
        <f>SUMIF(PL!$AC:$AC,$B133,PL!L:L)</f>
        <v>-77454021</v>
      </c>
      <c r="K133" s="2189">
        <f>SUMIF(PL!$AC:$AC,$B133,PL!M:M)</f>
        <v>-693420</v>
      </c>
      <c r="L133" s="2189">
        <f>SUMIF(PL!$AC:$AC,$B133,PL!N:N)</f>
        <v>1741310</v>
      </c>
      <c r="M133" s="2189">
        <f>SUMIF(PL!$AC:$AC,$B133,PL!O:O)</f>
        <v>0</v>
      </c>
      <c r="N133" s="2189">
        <f>SUM(G133:M133)</f>
        <v>23562394</v>
      </c>
      <c r="O133" s="2189">
        <f>D133-N133</f>
        <v>-12264000</v>
      </c>
      <c r="Q133" s="2206" t="inlineStr">
        <is>
          <t>기타포괄손익</t>
        </is>
      </c>
      <c r="R133" s="2207" t="inlineStr">
        <is>
          <t>기타포괄손익(재분류 가능)</t>
        </is>
      </c>
      <c r="S133" s="2206" t="str">
        <f>IFERROR(INDEX($C$140:$C$151,MATCH(R133,$B$140:$B$151,0)),"오류")</f>
        <v>기타포괄손익</v>
      </c>
      <c r="T133" s="2208">
        <f>IFERROR(INDEX($D$140:$D$151,MATCH(R133,$B$140:$B$151,0)),0)</f>
        <v>1</v>
      </c>
      <c r="U133" s="2209">
        <f>IF(OR(Q133="매출액",Q133="매출원가",Q133="판매비와관리비"),1,0)</f>
        <v>0</v>
      </c>
    </row>
    <row r="137">
      <c r="B137" s="2199" t="inlineStr">
        <is>
          <t>[부록 2] IFRS 18 표시항목 ↔ 범주 / 부호 (수익 +1, 비용 -1)</t>
        </is>
      </c>
    </row>
    <row r="138">
      <c r="B138" s="2210" t="inlineStr">
        <is>
          <t>표시항목</t>
        </is>
      </c>
      <c r="C138" s="2210" t="inlineStr">
        <is>
          <t>IFRS 18 구분</t>
        </is>
      </c>
      <c r="D138" s="2210" t="inlineStr">
        <is>
          <t>부호</t>
        </is>
      </c>
    </row>
    <row r="139">
      <c r="B139" s="2211" t="inlineStr">
        <is>
          <t>(상단 손익계산서 행 이름과 동일해야 함)</t>
        </is>
      </c>
    </row>
    <row r="140">
      <c r="B140" s="2188" t="inlineStr">
        <is>
          <t>매출액</t>
        </is>
      </c>
      <c r="C140" s="2212" t="inlineStr">
        <is>
          <t>영업</t>
        </is>
      </c>
      <c r="D140" s="2213" t="n">
        <v>1</v>
      </c>
    </row>
    <row r="141">
      <c r="B141" s="2188" t="inlineStr">
        <is>
          <t>매출원가</t>
        </is>
      </c>
      <c r="C141" s="2212" t="inlineStr">
        <is>
          <t>영업</t>
        </is>
      </c>
      <c r="D141" s="2213" t="n">
        <v>-1</v>
      </c>
    </row>
    <row r="142">
      <c r="B142" s="2188" t="inlineStr">
        <is>
          <t>판매비와관리비</t>
        </is>
      </c>
      <c r="C142" s="2212" t="inlineStr">
        <is>
          <t>영업</t>
        </is>
      </c>
      <c r="D142" s="2213" t="n">
        <v>-1</v>
      </c>
    </row>
    <row r="143">
      <c r="B143" s="2188" t="inlineStr">
        <is>
          <t>기타영업수익</t>
        </is>
      </c>
      <c r="C143" s="2212" t="inlineStr">
        <is>
          <t>영업</t>
        </is>
      </c>
      <c r="D143" s="2213" t="n">
        <v>1</v>
      </c>
    </row>
    <row r="144">
      <c r="B144" s="2188" t="inlineStr">
        <is>
          <t>기타영업비용</t>
        </is>
      </c>
      <c r="C144" s="2212" t="inlineStr">
        <is>
          <t>영업</t>
        </is>
      </c>
      <c r="D144" s="2213" t="n">
        <v>-1</v>
      </c>
    </row>
    <row r="145">
      <c r="B145" s="2188" t="inlineStr">
        <is>
          <t>투자수익</t>
        </is>
      </c>
      <c r="C145" s="2212" t="inlineStr">
        <is>
          <t>투자</t>
        </is>
      </c>
      <c r="D145" s="2213" t="n">
        <v>1</v>
      </c>
    </row>
    <row r="146">
      <c r="B146" s="2188" t="inlineStr">
        <is>
          <t>투자비용</t>
        </is>
      </c>
      <c r="C146" s="2212" t="inlineStr">
        <is>
          <t>투자</t>
        </is>
      </c>
      <c r="D146" s="2213" t="n">
        <v>-1</v>
      </c>
    </row>
    <row r="147">
      <c r="B147" s="2188" t="inlineStr">
        <is>
          <t>재무수익</t>
        </is>
      </c>
      <c r="C147" s="2212" t="inlineStr">
        <is>
          <t>재무</t>
        </is>
      </c>
      <c r="D147" s="2213" t="n">
        <v>1</v>
      </c>
    </row>
    <row r="148">
      <c r="B148" s="2188" t="inlineStr">
        <is>
          <t>재무비용</t>
        </is>
      </c>
      <c r="C148" s="2212" t="inlineStr">
        <is>
          <t>재무</t>
        </is>
      </c>
      <c r="D148" s="2213" t="n">
        <v>-1</v>
      </c>
    </row>
    <row r="149">
      <c r="B149" s="2188" t="inlineStr">
        <is>
          <t>법인세비용</t>
        </is>
      </c>
      <c r="C149" s="2212" t="inlineStr">
        <is>
          <t>법인세</t>
        </is>
      </c>
      <c r="D149" s="2213" t="n">
        <v>-1</v>
      </c>
    </row>
    <row r="150">
      <c r="B150" s="2188" t="inlineStr">
        <is>
          <t>기타포괄손익(재분류 불가)</t>
        </is>
      </c>
      <c r="C150" s="2212" t="inlineStr">
        <is>
          <t>기타포괄손익</t>
        </is>
      </c>
      <c r="D150" s="2213" t="n">
        <v>1</v>
      </c>
    </row>
    <row r="151">
      <c r="B151" s="2188" t="inlineStr">
        <is>
          <t>기타포괄손익(재분류 가능)</t>
        </is>
      </c>
      <c r="C151" s="2212" t="inlineStr">
        <is>
          <t>기타포괄손익</t>
        </is>
      </c>
      <c r="D151" s="2213" t="n">
        <v>1</v>
      </c>
    </row>
  </sheetData>
  <mergeCells count="4">
    <mergeCell ref="B58:O58"/>
    <mergeCell ref="B57:O57"/>
    <mergeCell ref="B59:O59"/>
    <mergeCell ref="B60:O60"/>
  </mergeCells>
  <dataValidations count="1">
    <dataValidation sqref="R69:R133" showDropDown="0" showInputMessage="0" showErrorMessage="1" allowBlank="0" errorTitle="표시항목" error="매핑표에 있는 표시항목을 선택하세요." type="list">
      <formula1>=$B$140:$B$151</formula1>
    </dataValidation>
  </dataValidations>
  <pageMargins left="0.75" right="0.75" top="1" bottom="1" header="0.5" footer="0.5"/>
  <pageSetup orientation="landscape" fitToHeight="0" fitToWidth="1"/>
</worksheet>
</file>

<file path=xl/worksheets/sheet82.xml><?xml version="1.0" encoding="utf-8"?>
<worksheet xmlns="http://schemas.openxmlformats.org/spreadsheetml/2006/main">
  <sheetPr>
    <tabColor rgb="001F4E78"/>
    <outlinePr summaryBelow="1" summaryRight="1"/>
    <pageSetUpPr fitToPage="1"/>
  </sheetPr>
  <dimension ref="B1:I88"/>
  <sheetViews>
    <sheetView showGridLines="0" workbookViewId="0">
      <pane xSplit="3" ySplit="3" topLeftCell="D4" activePane="bottomRight" state="frozen"/>
      <selection pane="topRight"/>
      <selection pane="bottomLeft"/>
      <selection pane="bottomRight" activeCell="A1" sqref="A1"/>
    </sheetView>
  </sheetViews>
  <sheetFormatPr baseColWidth="8" defaultRowHeight="15"/>
  <cols>
    <col width="2" customWidth="1" style="2214" min="1" max="1"/>
    <col width="44" customWidth="1" style="2214" min="2" max="2"/>
    <col width="2" customWidth="1" style="2214" min="3" max="3"/>
    <col width="17" customWidth="1" style="2214" min="4" max="4"/>
    <col width="17" customWidth="1" style="2214" min="5" max="5"/>
    <col width="2" customWidth="1" style="2214" min="6" max="6"/>
    <col width="34" customWidth="1" style="2214" min="7" max="7"/>
    <col width="10" customWidth="1" style="2214" min="8" max="8"/>
    <col width="44" customWidth="1" style="2214" min="9" max="9"/>
  </cols>
  <sheetData>
    <row r="1">
      <c r="B1" s="2217" t="inlineStr">
        <is>
          <t>연결 현금흐름표 (IFRS 18 / IAS 7 개정 기준)</t>
        </is>
      </c>
    </row>
    <row r="2">
      <c r="B2" s="2218" t="inlineStr">
        <is>
          <t>※ [연결CF] 시트 금액을 연동. IFRS 18(IAS 7 개정): ①간접법 출발점을 영업손익으로 변경 ②이자·배당 수취는 투자, 이자·배당 지급은 재무로 고정 ③영업손익에 포함되지 않는 손익(투자·재무·법인세)은 조정항목에서 제외</t>
        </is>
      </c>
    </row>
    <row r="3">
      <c r="B3" s="2219" t="inlineStr">
        <is>
          <t>과목</t>
        </is>
      </c>
      <c r="D3" s="2220">
        <f>연결CF!C1</f>
        <v>46203</v>
      </c>
      <c r="E3" s="2220">
        <f>연결CF!D1</f>
        <v>45838</v>
      </c>
      <c r="G3" s="2221" t="inlineStr">
        <is>
          <t>손익 범주 판정용 계정과목 (입력)</t>
        </is>
      </c>
      <c r="H3" s="2221" t="inlineStr">
        <is>
          <t>IFRS 18 구분</t>
        </is>
      </c>
      <c r="I3" s="2219" t="inlineStr">
        <is>
          <t>비고</t>
        </is>
      </c>
    </row>
    <row r="4">
      <c r="B4" s="2222" t="inlineStr">
        <is>
          <t>Ⅰ.영업활동으로인한현금흐름</t>
        </is>
      </c>
      <c r="C4" s="2223" t="n"/>
      <c r="D4" s="2224">
        <f>D5+D38</f>
        <v>1280060549</v>
      </c>
      <c r="E4" s="2224">
        <f>E5+E38</f>
        <v>1246957330</v>
      </c>
    </row>
    <row r="5">
      <c r="B5" s="2215" t="inlineStr">
        <is>
          <t>1.영업에서창출된현금</t>
        </is>
      </c>
      <c r="C5" s="2225" t="n"/>
      <c r="D5" s="2216">
        <f>D6+D7+D29</f>
        <v>1276280827</v>
      </c>
      <c r="E5" s="2216">
        <f>E6+E7+E29</f>
        <v>1244383314</v>
      </c>
    </row>
    <row r="6">
      <c r="B6" s="2226" t="inlineStr">
        <is>
          <t>가.영업손익 (IFRS 18)</t>
        </is>
      </c>
      <c r="D6" s="2227">
        <f>'연결PL_IFRS18'!D12</f>
        <v>-785717115</v>
      </c>
      <c r="E6" s="2227">
        <f>'연결PL_IFRS18'!E12</f>
        <v>1018363428</v>
      </c>
    </row>
    <row r="7">
      <c r="B7" s="2215" t="inlineStr">
        <is>
          <t>나.조정 (영업손익에 포함된 비현금 항목)</t>
        </is>
      </c>
      <c r="C7" s="2225" t="n"/>
      <c r="D7" s="2216">
        <f>SUM(D8:D28)</f>
        <v>835171088</v>
      </c>
      <c r="E7" s="2216">
        <f>SUM(E8:E28)</f>
        <v>980401621</v>
      </c>
    </row>
    <row r="8">
      <c r="B8" s="2228" t="str">
        <f>연결CF!B6</f>
        <v>대손상각비</v>
      </c>
      <c r="D8" s="2227">
        <f>IF($H8="영업",연결CF!C6,0)</f>
        <v>-83305712</v>
      </c>
      <c r="E8" s="2227">
        <f>IF($H8="영업",연결CF!D6,0)</f>
        <v>56559960</v>
      </c>
      <c r="G8" s="2229" t="inlineStr">
        <is>
          <t>대손상각비</t>
        </is>
      </c>
      <c r="H8" s="2230" t="str">
        <f>IF(G8="","영업",IFERROR(INDEX('연결PL_IFRS18'!$S$69:$S$133,MATCH(G8,'연결PL_IFRS18'!$B$69:$B$133,0)),"오류"))</f>
        <v>영업</v>
      </c>
      <c r="I8" s="2231">
        <f>IF(H8="영업","",IF(H8="오류","계정과목명 확인 필요","영업손익 미포함 → 조정 제외"))</f>
      </c>
    </row>
    <row r="9">
      <c r="B9" s="2228" t="str">
        <f>연결CF!B7</f>
        <v>이자수익</v>
      </c>
      <c r="D9" s="2227">
        <f>IF($H9="영업",연결CF!C7,0)</f>
        <v>0</v>
      </c>
      <c r="E9" s="2227">
        <f>IF($H9="영업",연결CF!D7,0)</f>
        <v>0</v>
      </c>
      <c r="G9" s="2229" t="inlineStr">
        <is>
          <t>이자수익</t>
        </is>
      </c>
      <c r="H9" s="2230" t="str">
        <f>IF(G9="","영업",IFERROR(INDEX('연결PL_IFRS18'!$S$69:$S$133,MATCH(G9,'연결PL_IFRS18'!$B$69:$B$133,0)),"오류"))</f>
        <v>투자</v>
      </c>
      <c r="I9" s="2231" t="str">
        <f>IF(H9="영업","",IF(H9="오류","계정과목명 확인 필요","영업손익 미포함 → 조정 제외"))</f>
        <v>영업손익 미포함 → 조정 제외</v>
      </c>
    </row>
    <row r="10">
      <c r="B10" s="2228" t="str">
        <f>연결CF!B8</f>
        <v>유형자산처분이익</v>
      </c>
      <c r="D10" s="2227">
        <f>IF($H10="영업",연결CF!C8,0)</f>
        <v>-1202135</v>
      </c>
      <c r="E10" s="2227">
        <f>IF($H10="영업",연결CF!D8,0)</f>
        <v>-1054000</v>
      </c>
      <c r="G10" s="2229" t="inlineStr">
        <is>
          <t>유형자산처분이익</t>
        </is>
      </c>
      <c r="H10" s="2230" t="str">
        <f>IF(G10="","영업",IFERROR(INDEX('연결PL_IFRS18'!$S$69:$S$133,MATCH(G10,'연결PL_IFRS18'!$B$69:$B$133,0)),"오류"))</f>
        <v>영업</v>
      </c>
      <c r="I10" s="2231">
        <f>IF(H10="영업","",IF(H10="오류","계정과목명 확인 필요","영업손익 미포함 → 조정 제외"))</f>
      </c>
    </row>
    <row r="11">
      <c r="B11" s="2228" t="str">
        <f>연결CF!B9</f>
        <v>외화환산이익</v>
      </c>
      <c r="D11" s="2227">
        <f>IF($H11="영업",연결CF!C9,0)</f>
        <v>-37603839</v>
      </c>
      <c r="E11" s="2227">
        <f>IF($H11="영업",연결CF!D9,0)</f>
        <v>-3042</v>
      </c>
      <c r="G11" s="2229" t="inlineStr">
        <is>
          <t>외화환산이익</t>
        </is>
      </c>
      <c r="H11" s="2230" t="str">
        <f>IF(G11="","영업",IFERROR(INDEX('연결PL_IFRS18'!$S$69:$S$133,MATCH(G11,'연결PL_IFRS18'!$B$69:$B$133,0)),"오류"))</f>
        <v>영업</v>
      </c>
      <c r="I11" s="2231">
        <f>IF(H11="영업","",IF(H11="오류","계정과목명 확인 필요","영업손익 미포함 → 조정 제외"))</f>
      </c>
    </row>
    <row r="12">
      <c r="B12" s="2228" t="str">
        <f>연결CF!B10</f>
        <v>재고자산평가손실(환입)</v>
      </c>
      <c r="D12" s="2227">
        <f>IF($H12="영업",연결CF!C10,0)</f>
        <v>131193174</v>
      </c>
      <c r="E12" s="2227">
        <f>IF($H12="영업",연결CF!D10,0)</f>
        <v>15216604</v>
      </c>
      <c r="G12" s="2229" t="n"/>
      <c r="H12" s="2230" t="str">
        <f>IF(G12="","영업",IFERROR(INDEX('연결PL_IFRS18'!$S$69:$S$133,MATCH(G12,'연결PL_IFRS18'!$B$69:$B$133,0)),"오류"))</f>
        <v>영업</v>
      </c>
      <c r="I12" s="2231">
        <f>IF(H12="영업","",IF(H12="오류","계정과목명 확인 필요","영업손익 미포함 → 조정 제외"))</f>
      </c>
    </row>
    <row r="13">
      <c r="B13" s="2228" t="str">
        <f>연결CF!B11</f>
        <v>퇴직급여</v>
      </c>
      <c r="D13" s="2227">
        <f>IF($H13="영업",연결CF!C11,0)</f>
        <v>188019390</v>
      </c>
      <c r="E13" s="2227">
        <f>IF($H13="영업",연결CF!D11,0)</f>
        <v>177665682</v>
      </c>
      <c r="G13" s="2229" t="inlineStr">
        <is>
          <t>퇴직급여</t>
        </is>
      </c>
      <c r="H13" s="2230" t="str">
        <f>IF(G13="","영업",IFERROR(INDEX('연결PL_IFRS18'!$S$69:$S$133,MATCH(G13,'연결PL_IFRS18'!$B$69:$B$133,0)),"오류"))</f>
        <v>영업</v>
      </c>
      <c r="I13" s="2231">
        <f>IF(H13="영업","",IF(H13="오류","계정과목명 확인 필요","영업손익 미포함 → 조정 제외"))</f>
      </c>
    </row>
    <row r="14">
      <c r="B14" s="2228" t="str">
        <f>연결CF!B12</f>
        <v>주식보상비</v>
      </c>
      <c r="D14" s="2227">
        <f>IF($H14="영업",연결CF!C12,0)</f>
        <v>0</v>
      </c>
      <c r="E14" s="2227">
        <f>IF($H14="영업",연결CF!D12,0)</f>
        <v>0</v>
      </c>
      <c r="G14" s="2229" t="inlineStr">
        <is>
          <t>주식보상비</t>
        </is>
      </c>
      <c r="H14" s="2230" t="str">
        <f>IF(G14="","영업",IFERROR(INDEX('연결PL_IFRS18'!$S$69:$S$133,MATCH(G14,'연결PL_IFRS18'!$B$69:$B$133,0)),"오류"))</f>
        <v>영업</v>
      </c>
      <c r="I14" s="2231">
        <f>IF(H14="영업","",IF(H14="오류","계정과목명 확인 필요","영업손익 미포함 → 조정 제외"))</f>
      </c>
    </row>
    <row r="15">
      <c r="B15" s="2228" t="str">
        <f>연결CF!B13</f>
        <v>이자비용</v>
      </c>
      <c r="D15" s="2227">
        <f>IF($H15="영업",연결CF!C13,0)</f>
        <v>0</v>
      </c>
      <c r="E15" s="2227">
        <f>IF($H15="영업",연결CF!D13,0)</f>
        <v>0</v>
      </c>
      <c r="G15" s="2229" t="inlineStr">
        <is>
          <t>이자비용</t>
        </is>
      </c>
      <c r="H15" s="2230" t="str">
        <f>IF(G15="","영업",IFERROR(INDEX('연결PL_IFRS18'!$S$69:$S$133,MATCH(G15,'연결PL_IFRS18'!$B$69:$B$133,0)),"오류"))</f>
        <v>재무</v>
      </c>
      <c r="I15" s="2231" t="str">
        <f>IF(H15="영업","",IF(H15="오류","계정과목명 확인 필요","영업손익 미포함 → 조정 제외"))</f>
        <v>영업손익 미포함 → 조정 제외</v>
      </c>
    </row>
    <row r="16">
      <c r="B16" s="2228" t="str">
        <f>연결CF!B14</f>
        <v>감가상각비</v>
      </c>
      <c r="D16" s="2227">
        <f>IF($H16="영업",연결CF!C14,0)</f>
        <v>585661920</v>
      </c>
      <c r="E16" s="2227">
        <f>IF($H16="영업",연결CF!D14,0)</f>
        <v>497372122</v>
      </c>
      <c r="G16" s="2229" t="inlineStr">
        <is>
          <t>감가상각비</t>
        </is>
      </c>
      <c r="H16" s="2230" t="str">
        <f>IF(G16="","영업",IFERROR(INDEX('연결PL_IFRS18'!$S$69:$S$133,MATCH(G16,'연결PL_IFRS18'!$B$69:$B$133,0)),"오류"))</f>
        <v>영업</v>
      </c>
      <c r="I16" s="2231">
        <f>IF(H16="영업","",IF(H16="오류","계정과목명 확인 필요","영업손익 미포함 → 조정 제외"))</f>
      </c>
    </row>
    <row r="17">
      <c r="B17" s="2228" t="str">
        <f>연결CF!B15</f>
        <v>무형자산상각비</v>
      </c>
      <c r="D17" s="2227">
        <f>IF($H17="영업",연결CF!C15,0)</f>
        <v>21529107</v>
      </c>
      <c r="E17" s="2227">
        <f>IF($H17="영업",연결CF!D15,0)</f>
        <v>144426793</v>
      </c>
      <c r="G17" s="2229" t="inlineStr">
        <is>
          <t>무형고정자산상각</t>
        </is>
      </c>
      <c r="H17" s="2230" t="str">
        <f>IF(G17="","영업",IFERROR(INDEX('연결PL_IFRS18'!$S$69:$S$133,MATCH(G17,'연결PL_IFRS18'!$B$69:$B$133,0)),"오류"))</f>
        <v>영업</v>
      </c>
      <c r="I17" s="2231">
        <f>IF(H17="영업","",IF(H17="오류","계정과목명 확인 필요","영업손익 미포함 → 조정 제외"))</f>
      </c>
    </row>
    <row r="18">
      <c r="B18" s="2228" t="str">
        <f>연결CF!B16</f>
        <v>영업권손상차손</v>
      </c>
      <c r="D18" s="2227">
        <f>IF($H18="영업",연결CF!C16,0)</f>
        <v>0</v>
      </c>
      <c r="E18" s="2227">
        <f>IF($H18="영업",연결CF!D16,0)</f>
        <v>0</v>
      </c>
      <c r="G18" s="2229" t="n"/>
      <c r="H18" s="2230" t="str">
        <f>IF(G18="","영업",IFERROR(INDEX('연결PL_IFRS18'!$S$69:$S$133,MATCH(G18,'연결PL_IFRS18'!$B$69:$B$133,0)),"오류"))</f>
        <v>영업</v>
      </c>
      <c r="I18" s="2231">
        <f>IF(H18="영업","",IF(H18="오류","계정과목명 확인 필요","영업손익 미포함 → 조정 제외"))</f>
      </c>
    </row>
    <row r="19">
      <c r="B19" s="2228" t="str">
        <f>연결CF!B17</f>
        <v>유형자산처분손실</v>
      </c>
      <c r="D19" s="2227">
        <f>IF($H19="영업",연결CF!C17,0)</f>
        <v>4825402</v>
      </c>
      <c r="E19" s="2227">
        <f>IF($H19="영업",연결CF!D17,0)</f>
        <v>3098042</v>
      </c>
      <c r="G19" s="2229" t="inlineStr">
        <is>
          <t>유형자산처분손실</t>
        </is>
      </c>
      <c r="H19" s="2230" t="str">
        <f>IF(G19="","영업",IFERROR(INDEX('연결PL_IFRS18'!$S$69:$S$133,MATCH(G19,'연결PL_IFRS18'!$B$69:$B$133,0)),"오류"))</f>
        <v>영업</v>
      </c>
      <c r="I19" s="2231">
        <f>IF(H19="영업","",IF(H19="오류","계정과목명 확인 필요","영업손익 미포함 → 조정 제외"))</f>
      </c>
    </row>
    <row r="20">
      <c r="B20" s="2228" t="str">
        <f>연결CF!B18</f>
        <v>외화환산손실</v>
      </c>
      <c r="D20" s="2227">
        <f>IF($H20="영업",연결CF!C18,0)</f>
        <v>2</v>
      </c>
      <c r="E20" s="2227">
        <f>IF($H20="영업",연결CF!D18,0)</f>
        <v>58201925</v>
      </c>
      <c r="G20" s="2229" t="inlineStr">
        <is>
          <t>외화환산손실</t>
        </is>
      </c>
      <c r="H20" s="2230" t="str">
        <f>IF(G20="","영업",IFERROR(INDEX('연결PL_IFRS18'!$S$69:$S$133,MATCH(G20,'연결PL_IFRS18'!$B$69:$B$133,0)),"오류"))</f>
        <v>영업</v>
      </c>
      <c r="I20" s="2231">
        <f>IF(H20="영업","",IF(H20="오류","계정과목명 확인 필요","영업손익 미포함 → 조정 제외"))</f>
      </c>
    </row>
    <row r="21">
      <c r="B21" s="2228" t="str">
        <f>연결CF!B19</f>
        <v>법인세비용</v>
      </c>
      <c r="D21" s="2227">
        <f>IF($H21="영업",연결CF!C19,0)</f>
        <v>0</v>
      </c>
      <c r="E21" s="2227">
        <f>IF($H21="영업",연결CF!D19,0)</f>
        <v>0</v>
      </c>
      <c r="G21" s="2229" t="inlineStr">
        <is>
          <t>법인세비용</t>
        </is>
      </c>
      <c r="H21" s="2230" t="str">
        <f>IF(G21="","영업",IFERROR(INDEX('연결PL_IFRS18'!$S$69:$S$133,MATCH(G21,'연결PL_IFRS18'!$B$69:$B$133,0)),"오류"))</f>
        <v>법인세</v>
      </c>
      <c r="I21" s="2231" t="str">
        <f>IF(H21="영업","",IF(H21="오류","계정과목명 확인 필요","영업손익 미포함 → 조정 제외"))</f>
        <v>영업손익 미포함 → 조정 제외</v>
      </c>
    </row>
    <row r="22">
      <c r="B22" s="2228" t="str">
        <f>연결CF!B20</f>
        <v>복리후생비</v>
      </c>
      <c r="D22" s="2227">
        <f>IF($H22="영업",연결CF!C20,0)</f>
        <v>37001898</v>
      </c>
      <c r="E22" s="2227">
        <f>IF($H22="영업",연결CF!D20,0)</f>
        <v>34571148</v>
      </c>
      <c r="G22" s="2229" t="n"/>
      <c r="H22" s="2230" t="str">
        <f>IF(G22="","영업",IFERROR(INDEX('연결PL_IFRS18'!$S$69:$S$133,MATCH(G22,'연결PL_IFRS18'!$B$69:$B$133,0)),"오류"))</f>
        <v>영업</v>
      </c>
      <c r="I22" s="2231">
        <f>IF(H22="영업","",IF(H22="오류","계정과목명 확인 필요","영업손익 미포함 → 조정 제외"))</f>
      </c>
    </row>
    <row r="23">
      <c r="B23" s="2228" t="str">
        <f>연결CF!B21</f>
        <v>상환전환우선주부채평가손실</v>
      </c>
      <c r="D23" s="2227">
        <f>IF($H23="영업",연결CF!C21,0)</f>
        <v>0</v>
      </c>
      <c r="E23" s="2227">
        <f>IF($H23="영업",연결CF!D21,0)</f>
        <v>0</v>
      </c>
      <c r="G23" s="2229" t="n"/>
      <c r="H23" s="2230" t="str">
        <f>IF(G23="","영업",IFERROR(INDEX('연결PL_IFRS18'!$S$69:$S$133,MATCH(G23,'연결PL_IFRS18'!$B$69:$B$133,0)),"오류"))</f>
        <v>영업</v>
      </c>
      <c r="I23" s="2231">
        <f>IF(H23="영업","",IF(H23="오류","계정과목명 확인 필요","영업손익 미포함 → 조정 제외"))</f>
      </c>
    </row>
    <row r="24">
      <c r="B24" s="2228" t="str">
        <f>연결CF!B22</f>
        <v>당기손익공정가치측정금융자산평가손실</v>
      </c>
      <c r="D24" s="2227">
        <f>IF($H24="영업",연결CF!C22,0)</f>
        <v>0</v>
      </c>
      <c r="E24" s="2227">
        <f>IF($H24="영업",연결CF!D22,0)</f>
        <v>0</v>
      </c>
      <c r="G24" s="2229" t="inlineStr">
        <is>
          <t>당기손익-공정가치측정금융자산평가손실</t>
        </is>
      </c>
      <c r="H24" s="2230" t="str">
        <f>IF(G24="","영업",IFERROR(INDEX('연결PL_IFRS18'!$S$69:$S$133,MATCH(G24,'연결PL_IFRS18'!$B$69:$B$133,0)),"오류"))</f>
        <v>투자</v>
      </c>
      <c r="I24" s="2231" t="str">
        <f>IF(H24="영업","",IF(H24="오류","계정과목명 확인 필요","영업손익 미포함 → 조정 제외"))</f>
        <v>영업손익 미포함 → 조정 제외</v>
      </c>
    </row>
    <row r="25">
      <c r="B25" s="2228" t="str">
        <f>연결CF!B23</f>
        <v>기타의 대손상각비(환입)</v>
      </c>
      <c r="D25" s="2227">
        <f>IF($H25="영업",연결CF!C23,0)</f>
        <v>-3000000</v>
      </c>
      <c r="E25" s="2227">
        <f>IF($H25="영업",연결CF!D23,0)</f>
        <v>-3000000</v>
      </c>
      <c r="G25" s="2229" t="inlineStr">
        <is>
          <t>기타의대손상각비환입</t>
        </is>
      </c>
      <c r="H25" s="2230" t="str">
        <f>IF(G25="","영업",IFERROR(INDEX('연결PL_IFRS18'!$S$69:$S$133,MATCH(G25,'연결PL_IFRS18'!$B$69:$B$133,0)),"오류"))</f>
        <v>영업</v>
      </c>
      <c r="I25" s="2231">
        <f>IF(H25="영업","",IF(H25="오류","계정과목명 확인 필요","영업손익 미포함 → 조정 제외"))</f>
      </c>
    </row>
    <row r="26">
      <c r="B26" s="2228" t="str">
        <f>연결CF!B24</f>
        <v>관계기업투자주식처분이익</v>
      </c>
      <c r="D26" s="2227">
        <f>IF($H26="영업",연결CF!C24,0)</f>
        <v>0</v>
      </c>
      <c r="E26" s="2227">
        <f>IF($H26="영업",연결CF!D24,0)</f>
        <v>0</v>
      </c>
      <c r="G26" s="2229" t="inlineStr">
        <is>
          <t>관계기업투자주식처분이익</t>
        </is>
      </c>
      <c r="H26" s="2230" t="str">
        <f>IF(G26="","영업",IFERROR(INDEX('연결PL_IFRS18'!$S$69:$S$133,MATCH(G26,'연결PL_IFRS18'!$B$69:$B$133,0)),"오류"))</f>
        <v>투자</v>
      </c>
      <c r="I26" s="2231" t="str">
        <f>IF(H26="영업","",IF(H26="오류","계정과목명 확인 필요","영업손익 미포함 → 조정 제외"))</f>
        <v>영업손익 미포함 → 조정 제외</v>
      </c>
    </row>
    <row r="27">
      <c r="B27" s="2228" t="str">
        <f>연결CF!B25</f>
        <v>지분법손실</v>
      </c>
      <c r="D27" s="2227">
        <f>IF($H27="영업",연결CF!C25,0)</f>
        <v>0</v>
      </c>
      <c r="E27" s="2227">
        <f>IF($H27="영업",연결CF!D25,0)</f>
        <v>0</v>
      </c>
      <c r="G27" s="2229" t="inlineStr">
        <is>
          <t>관계기업투자손실</t>
        </is>
      </c>
      <c r="H27" s="2230" t="str">
        <f>IF(G27="","영업",IFERROR(INDEX('연결PL_IFRS18'!$S$69:$S$133,MATCH(G27,'연결PL_IFRS18'!$B$69:$B$133,0)),"오류"))</f>
        <v>투자</v>
      </c>
      <c r="I27" s="2231" t="str">
        <f>IF(H27="영업","",IF(H27="오류","계정과목명 확인 필요","영업손익 미포함 → 조정 제외"))</f>
        <v>영업손익 미포함 → 조정 제외</v>
      </c>
    </row>
    <row r="28">
      <c r="B28" s="2228" t="str">
        <f>연결CF!B26</f>
        <v>환불부채</v>
      </c>
      <c r="D28" s="2227">
        <f>IF($H28="영업",연결CF!C26,0)</f>
        <v>-7948119</v>
      </c>
      <c r="E28" s="2227">
        <f>IF($H28="영업",연결CF!D26,0)</f>
        <v>-2653613</v>
      </c>
      <c r="G28" s="2229" t="n"/>
      <c r="H28" s="2230" t="str">
        <f>IF(G28="","영업",IFERROR(INDEX('연결PL_IFRS18'!$S$69:$S$133,MATCH(G28,'연결PL_IFRS18'!$B$69:$B$133,0)),"오류"))</f>
        <v>영업</v>
      </c>
      <c r="I28" s="2231">
        <f>IF(H28="영업","",IF(H28="오류","계정과목명 확인 필요","영업손익 미포함 → 조정 제외"))</f>
      </c>
    </row>
    <row r="29">
      <c r="B29" s="2215" t="inlineStr">
        <is>
          <t>다.영업활동으로인한자산부채의변동</t>
        </is>
      </c>
      <c r="C29" s="2225" t="n"/>
      <c r="D29" s="2216">
        <f>SUM(D30:D37)</f>
        <v>1226826854</v>
      </c>
      <c r="E29" s="2216">
        <f>SUM(E30:E37)</f>
        <v>-754381735</v>
      </c>
    </row>
    <row r="30">
      <c r="B30" s="2228" t="str">
        <f>연결CF!B28</f>
        <v>매출채권및기타채권의 감소(증가)</v>
      </c>
      <c r="D30" s="2227">
        <f>연결CF!C28</f>
        <v>502587042</v>
      </c>
      <c r="E30" s="2227">
        <f>연결CF!D28</f>
        <v>-146111841</v>
      </c>
    </row>
    <row r="31">
      <c r="B31" s="2228" t="str">
        <f>연결CF!B29</f>
        <v>기타유동자산의 감소(증가)</v>
      </c>
      <c r="D31" s="2227">
        <f>연결CF!C29</f>
        <v>433657614</v>
      </c>
      <c r="E31" s="2227">
        <f>연결CF!D29</f>
        <v>-140049917</v>
      </c>
    </row>
    <row r="32">
      <c r="B32" s="2228" t="str">
        <f>연결CF!B30</f>
        <v>재고자산의 감소(증가)</v>
      </c>
      <c r="D32" s="2227">
        <f>연결CF!C30</f>
        <v>-326232101</v>
      </c>
      <c r="E32" s="2227">
        <f>연결CF!D30</f>
        <v>77359122</v>
      </c>
    </row>
    <row r="33">
      <c r="B33" s="2228" t="str">
        <f>연결CF!B31</f>
        <v>매입채무및기타채무의 증가(감소)</v>
      </c>
      <c r="D33" s="2227">
        <f>연결CF!C31</f>
        <v>1866250998</v>
      </c>
      <c r="E33" s="2227">
        <f>연결CF!D31</f>
        <v>-456512459</v>
      </c>
    </row>
    <row r="34">
      <c r="B34" s="2228" t="str">
        <f>연결CF!B32</f>
        <v>임차보증금유동</v>
      </c>
      <c r="D34" s="2227">
        <f>연결CF!C32</f>
        <v>0</v>
      </c>
      <c r="E34" s="2227">
        <f>연결CF!D32</f>
        <v>0</v>
      </c>
    </row>
    <row r="35">
      <c r="B35" s="2228" t="str">
        <f>연결CF!B33</f>
        <v>기타유동부채의 증가(감소)</v>
      </c>
      <c r="D35" s="2227">
        <f>연결CF!C33</f>
        <v>-180207725</v>
      </c>
      <c r="E35" s="2227">
        <f>연결CF!D33</f>
        <v>-27252178</v>
      </c>
    </row>
    <row r="36">
      <c r="B36" s="2228" t="str">
        <f>연결CF!B34</f>
        <v>기타장기종업원급여의 증가(감소)</v>
      </c>
      <c r="D36" s="2227">
        <f>연결CF!C34</f>
        <v>-4380000</v>
      </c>
      <c r="E36" s="2227">
        <f>연결CF!D34</f>
        <v>0</v>
      </c>
    </row>
    <row r="37">
      <c r="B37" s="2228" t="str">
        <f>연결CF!B35</f>
        <v>퇴직금의 지급</v>
      </c>
      <c r="D37" s="2227">
        <f>연결CF!C35</f>
        <v>-1064848974</v>
      </c>
      <c r="E37" s="2227">
        <f>연결CF!D35</f>
        <v>-61814462</v>
      </c>
    </row>
    <row r="38">
      <c r="B38" s="2232" t="inlineStr">
        <is>
          <t>2.법인세등환급액(부담액)</t>
        </is>
      </c>
      <c r="D38" s="2227">
        <f>연결CF!C38</f>
        <v>3779722</v>
      </c>
      <c r="E38" s="2227">
        <f>연결CF!D38</f>
        <v>2574016</v>
      </c>
    </row>
    <row r="39">
      <c r="B39" s="2222" t="inlineStr">
        <is>
          <t>Ⅱ.투자활동으로인한현금흐름</t>
        </is>
      </c>
      <c r="C39" s="2223" t="n"/>
      <c r="D39" s="2224">
        <f>D40+D48</f>
        <v>-8333774729</v>
      </c>
      <c r="E39" s="2224">
        <f>E40+E48</f>
        <v>-498643134</v>
      </c>
    </row>
    <row r="40">
      <c r="B40" s="2215" t="inlineStr">
        <is>
          <t>1.투자활동으로 인한 현금유입액</t>
        </is>
      </c>
      <c r="C40" s="2225" t="n"/>
      <c r="D40" s="2216">
        <f>SUM(D41:D47)</f>
        <v>32280685</v>
      </c>
      <c r="E40" s="2216">
        <f>SUM(E41:E47)</f>
        <v>49804789</v>
      </c>
    </row>
    <row r="41">
      <c r="B41" s="2228" t="str">
        <f>연결CF!B41</f>
        <v>단기대여금의 감소</v>
      </c>
      <c r="D41" s="2227">
        <f>연결CF!C41</f>
        <v>1250001</v>
      </c>
      <c r="E41" s="2227">
        <f>연결CF!D41</f>
        <v>3333335</v>
      </c>
    </row>
    <row r="42">
      <c r="B42" s="2228" t="str">
        <f>연결CF!B42</f>
        <v>단기금융상품의 감소</v>
      </c>
      <c r="D42" s="2227">
        <f>연결CF!C42</f>
        <v>0</v>
      </c>
      <c r="E42" s="2227">
        <f>연결CF!D42</f>
        <v>0</v>
      </c>
    </row>
    <row r="43">
      <c r="B43" s="2228" t="str">
        <f>연결CF!B43</f>
        <v>유형자산의 처분</v>
      </c>
      <c r="D43" s="2227">
        <f>연결CF!C43</f>
        <v>452135</v>
      </c>
      <c r="E43" s="2227">
        <f>연결CF!D43</f>
        <v>5900000</v>
      </c>
    </row>
    <row r="44">
      <c r="B44" s="2228" t="str">
        <f>연결CF!B44</f>
        <v>기타비유동금융자산의 감소</v>
      </c>
      <c r="D44" s="2227">
        <f>연결CF!C44</f>
        <v>16506300</v>
      </c>
      <c r="E44" s="2227">
        <f>연결CF!D44</f>
        <v>16853922</v>
      </c>
    </row>
    <row r="45">
      <c r="B45" s="2228" t="str">
        <f>연결CF!B45</f>
        <v>기타유동금융자산의 감소</v>
      </c>
      <c r="D45" s="2227">
        <f>연결CF!C45</f>
        <v>0</v>
      </c>
      <c r="E45" s="2227">
        <f>연결CF!D45</f>
        <v>2000000</v>
      </c>
    </row>
    <row r="46">
      <c r="B46" s="2228" t="inlineStr">
        <is>
          <t>이자의 수취 (IFRS 18: 투자활동 분류)</t>
        </is>
      </c>
      <c r="D46" s="2227">
        <f>연결CF!C36</f>
        <v>14072249</v>
      </c>
      <c r="E46" s="2227">
        <f>연결CF!D36</f>
        <v>21717532</v>
      </c>
    </row>
    <row r="47">
      <c r="B47" s="2228" t="inlineStr">
        <is>
          <t>배당금의 수취 (IFRS 18: 투자활동 분류)</t>
        </is>
      </c>
      <c r="D47" s="2233" t="n">
        <v>0</v>
      </c>
      <c r="E47" s="2233" t="n">
        <v>0</v>
      </c>
    </row>
    <row r="48">
      <c r="B48" s="2215" t="inlineStr">
        <is>
          <t>2.투자활동으로 인한 현금유출액</t>
        </is>
      </c>
      <c r="C48" s="2225" t="n"/>
      <c r="D48" s="2216">
        <f>-SUM(D49:D54)</f>
        <v>-8366055414</v>
      </c>
      <c r="E48" s="2216">
        <f>-SUM(E49:E54)</f>
        <v>-548447923</v>
      </c>
    </row>
    <row r="49">
      <c r="B49" s="2228" t="str">
        <f>연결CF!B47</f>
        <v>단기대여금의 증가</v>
      </c>
      <c r="D49" s="2227">
        <f>연결CF!C47</f>
        <v>0</v>
      </c>
      <c r="E49" s="2227">
        <f>연결CF!D47</f>
        <v>0</v>
      </c>
    </row>
    <row r="50">
      <c r="B50" s="2228" t="str">
        <f>연결CF!B48</f>
        <v>기타보증금의 증가</v>
      </c>
      <c r="D50" s="2227">
        <f>연결CF!C48</f>
        <v>640000</v>
      </c>
      <c r="E50" s="2227">
        <f>연결CF!D48</f>
        <v>0</v>
      </c>
    </row>
    <row r="51">
      <c r="B51" s="2228" t="str">
        <f>연결CF!B49</f>
        <v>임차보증금의 증가</v>
      </c>
      <c r="D51" s="2227">
        <f>연결CF!C49</f>
        <v>6000000</v>
      </c>
      <c r="E51" s="2227">
        <f>연결CF!D49</f>
        <v>0</v>
      </c>
    </row>
    <row r="52">
      <c r="B52" s="2228" t="str">
        <f>연결CF!B50</f>
        <v>유형자산의 취득</v>
      </c>
      <c r="D52" s="2227">
        <f>연결CF!C50</f>
        <v>940715535</v>
      </c>
      <c r="E52" s="2227">
        <f>연결CF!D50</f>
        <v>548447923</v>
      </c>
    </row>
    <row r="53">
      <c r="B53" s="2228" t="str">
        <f>연결CF!B51</f>
        <v>무형자산의 취득</v>
      </c>
      <c r="D53" s="2227">
        <f>연결CF!C51</f>
        <v>95882479</v>
      </c>
      <c r="E53" s="2227">
        <f>연결CF!D51</f>
        <v>0</v>
      </c>
    </row>
    <row r="54">
      <c r="B54" s="2228" t="str">
        <f>연결CF!B52</f>
        <v>연결범위변동</v>
      </c>
      <c r="D54" s="2227">
        <f>연결CF!C52</f>
        <v>7322817400</v>
      </c>
      <c r="E54" s="2227">
        <f>연결CF!D52</f>
        <v>0</v>
      </c>
    </row>
    <row r="55">
      <c r="B55" s="2222" t="inlineStr">
        <is>
          <t>Ⅲ.재무활동으로인한현금흐름</t>
        </is>
      </c>
      <c r="C55" s="2223" t="n"/>
      <c r="D55" s="2224">
        <f>D56+D61</f>
        <v>-451074255</v>
      </c>
      <c r="E55" s="2224">
        <f>E56+E61</f>
        <v>-346223951</v>
      </c>
    </row>
    <row r="56">
      <c r="B56" s="2215" t="inlineStr">
        <is>
          <t>1.재무활동으로인한현금유입액</t>
        </is>
      </c>
      <c r="C56" s="2225" t="n"/>
      <c r="D56" s="2216">
        <f>SUM(D57:D60)</f>
        <v>0</v>
      </c>
      <c r="E56" s="2216">
        <f>SUM(E57:E60)</f>
        <v>92265834</v>
      </c>
    </row>
    <row r="57">
      <c r="B57" s="2228" t="str">
        <f>연결CF!B55</f>
        <v>유상증자</v>
      </c>
      <c r="D57" s="2227">
        <f>연결CF!C55</f>
        <v>0</v>
      </c>
      <c r="E57" s="2227">
        <f>연결CF!D55</f>
        <v>0</v>
      </c>
    </row>
    <row r="58">
      <c r="B58" s="2228" t="str">
        <f>연결CF!B56</f>
        <v>단기차입금의 차입</v>
      </c>
      <c r="D58" s="2227">
        <f>연결CF!C56</f>
        <v>0</v>
      </c>
      <c r="E58" s="2227">
        <f>연결CF!D56</f>
        <v>0</v>
      </c>
    </row>
    <row r="59">
      <c r="B59" s="2228" t="str">
        <f>연결CF!B57</f>
        <v>장기차입금의 차입</v>
      </c>
      <c r="D59" s="2227">
        <f>연결CF!C57</f>
        <v>0</v>
      </c>
      <c r="E59" s="2227">
        <f>연결CF!D57</f>
        <v>0</v>
      </c>
    </row>
    <row r="60">
      <c r="B60" s="2228" t="str">
        <f>연결CF!B58</f>
        <v>주식선택권 행사</v>
      </c>
      <c r="D60" s="2227">
        <f>연결CF!C58</f>
        <v>0</v>
      </c>
      <c r="E60" s="2227">
        <f>연결CF!D58</f>
        <v>92265834</v>
      </c>
    </row>
    <row r="61">
      <c r="B61" s="2215" t="inlineStr">
        <is>
          <t>2.재무활동으로인한현금유출액</t>
        </is>
      </c>
      <c r="C61" s="2225" t="n"/>
      <c r="D61" s="2216">
        <f>-SUM(D62:D66)</f>
        <v>-451074255</v>
      </c>
      <c r="E61" s="2216">
        <f>-SUM(E62:E66)</f>
        <v>-438489785</v>
      </c>
    </row>
    <row r="62">
      <c r="B62" s="2228" t="str">
        <f>연결CF!B60</f>
        <v>단기차입금의 상환</v>
      </c>
      <c r="D62" s="2227">
        <f>연결CF!C60</f>
        <v>0</v>
      </c>
      <c r="E62" s="2227">
        <f>연결CF!D60</f>
        <v>0</v>
      </c>
    </row>
    <row r="63">
      <c r="B63" s="2228" t="str">
        <f>연결CF!B61</f>
        <v>리스부채의 상환</v>
      </c>
      <c r="D63" s="2227">
        <f>연결CF!C61</f>
        <v>275936850</v>
      </c>
      <c r="E63" s="2227">
        <f>연결CF!D61</f>
        <v>303717191</v>
      </c>
    </row>
    <row r="64">
      <c r="B64" s="2228" t="str">
        <f>연결CF!B62</f>
        <v>유동성장기차입금 상환</v>
      </c>
      <c r="D64" s="2227">
        <f>연결CF!C62</f>
        <v>83300000</v>
      </c>
      <c r="E64" s="2227">
        <f>연결CF!D62</f>
        <v>49980000</v>
      </c>
    </row>
    <row r="65">
      <c r="B65" s="2228" t="inlineStr">
        <is>
          <t>이자의 지급 (IFRS 18: 재무활동 분류)</t>
        </is>
      </c>
      <c r="D65" s="2227">
        <f>-연결CF!C37</f>
        <v>91837405</v>
      </c>
      <c r="E65" s="2227">
        <f>-연결CF!D37</f>
        <v>84792594</v>
      </c>
    </row>
    <row r="66">
      <c r="B66" s="2228" t="inlineStr">
        <is>
          <t>배당금의 지급 (재무활동)</t>
        </is>
      </c>
      <c r="D66" s="2233" t="n">
        <v>0</v>
      </c>
      <c r="E66" s="2233" t="n">
        <v>0</v>
      </c>
    </row>
    <row r="67">
      <c r="B67" s="2215" t="inlineStr">
        <is>
          <t>Ⅳ.현금및현금성자산의 환율변동효과</t>
        </is>
      </c>
      <c r="C67" s="2225" t="n"/>
      <c r="D67" s="2216">
        <f>연결CF!C63</f>
        <v>-13318794</v>
      </c>
      <c r="E67" s="2216">
        <f>연결CF!D63</f>
        <v>13508450</v>
      </c>
    </row>
    <row r="68">
      <c r="B68" s="2215" t="inlineStr">
        <is>
          <t>Ⅴ.현금의증가(Ⅰ+Ⅱ+Ⅲ+Ⅳ)</t>
        </is>
      </c>
      <c r="C68" s="2225" t="n"/>
      <c r="D68" s="2216">
        <f>D4+D39+D55+D67</f>
        <v>-7518107229</v>
      </c>
      <c r="E68" s="2216">
        <f>E4+E39+E55+E67</f>
        <v>415598695</v>
      </c>
    </row>
    <row r="69">
      <c r="B69" s="2215" t="inlineStr">
        <is>
          <t>Ⅵ.기초의현금</t>
        </is>
      </c>
      <c r="C69" s="2225" t="n"/>
      <c r="D69" s="2216">
        <f>연결CF!C65</f>
        <v>19371699448</v>
      </c>
      <c r="E69" s="2216">
        <f>연결CF!D65</f>
        <v>2245118706</v>
      </c>
    </row>
    <row r="70">
      <c r="B70" s="2215" t="inlineStr">
        <is>
          <t>Ⅶ.기말의현금</t>
        </is>
      </c>
      <c r="C70" s="2225" t="n"/>
      <c r="D70" s="2216">
        <f>D68+D69</f>
        <v>11853592219</v>
      </c>
      <c r="E70" s="2216">
        <f>E68+E69</f>
        <v>2660717401</v>
      </c>
    </row>
    <row r="72">
      <c r="B72" s="2234" t="inlineStr">
        <is>
          <t>[검증] 기존 현금흐름표 대비 (모두 0이어야 함)</t>
        </is>
      </c>
    </row>
    <row r="73">
      <c r="B73" s="2232" t="inlineStr">
        <is>
          <t>현금의 증가 - 기존 CF</t>
        </is>
      </c>
      <c r="D73" s="2227">
        <f>D68-연결CF!C64</f>
        <v>0</v>
      </c>
      <c r="E73" s="2227">
        <f>E68-연결CF!D64</f>
        <v>0</v>
      </c>
    </row>
    <row r="74">
      <c r="B74" s="2232" t="inlineStr">
        <is>
          <t>기말의 현금 - 기존 CF</t>
        </is>
      </c>
      <c r="D74" s="2227">
        <f>D70-연결CF!C66</f>
        <v>0</v>
      </c>
      <c r="E74" s="2227">
        <f>E70-연결CF!D66</f>
        <v>0</v>
      </c>
    </row>
    <row r="75">
      <c r="B75" s="2232" t="inlineStr">
        <is>
          <t>영업활동 현금흐름 변동 = 이자수취·지급 재분류 효과</t>
        </is>
      </c>
      <c r="D75" s="2227">
        <f>D4-(연결CF!C2-연결CF!C36-연결CF!C37)</f>
        <v>0</v>
      </c>
      <c r="E75" s="2227">
        <f>E4-(연결CF!D2-연결CF!D36-연결CF!D37)</f>
        <v>0</v>
      </c>
    </row>
    <row r="76">
      <c r="B76" s="2232" t="inlineStr">
        <is>
          <t>조정항목 구분 오류 건수</t>
        </is>
      </c>
      <c r="D76" s="2227">
        <f>COUNTIF(H8:H28,"오류")</f>
        <v>0</v>
      </c>
      <c r="E76" s="2227" t="n"/>
    </row>
    <row r="77">
      <c r="B77" s="2234" t="inlineStr">
        <is>
          <t>종합 검증</t>
        </is>
      </c>
      <c r="D77" s="2235" t="str">
        <f>IF(SUMPRODUCT(ABS(D73:E76))=0,"OK","확인필요")</f>
        <v>OK</v>
      </c>
    </row>
    <row r="79">
      <c r="B79" s="2234" t="inlineStr">
        <is>
          <t>[조정표] 기존 영업활동현금흐름 → IFRS 18 영업활동현금흐름</t>
        </is>
      </c>
    </row>
    <row r="80">
      <c r="B80" s="2232" t="inlineStr">
        <is>
          <t>기존 영업활동으로인한현금흐름</t>
        </is>
      </c>
      <c r="D80" s="2227">
        <f>연결CF!C2</f>
        <v>1202295393</v>
      </c>
      <c r="E80" s="2227">
        <f>연결CF!D2</f>
        <v>1183882268</v>
      </c>
    </row>
    <row r="81">
      <c r="B81" s="2232" t="inlineStr">
        <is>
          <t>(-) 이자의 수취 (투자활동으로 이동)</t>
        </is>
      </c>
      <c r="D81" s="2227">
        <f>-연결CF!C36</f>
        <v>-14072249</v>
      </c>
      <c r="E81" s="2227">
        <f>-연결CF!D36</f>
        <v>-21717532</v>
      </c>
    </row>
    <row r="82">
      <c r="B82" s="2232" t="inlineStr">
        <is>
          <t>(+) 이자의 지급 (재무활동으로 이동)</t>
        </is>
      </c>
      <c r="D82" s="2227">
        <f>-연결CF!C37</f>
        <v>91837405</v>
      </c>
      <c r="E82" s="2227">
        <f>-연결CF!D37</f>
        <v>84792594</v>
      </c>
    </row>
    <row r="83">
      <c r="B83" s="2234" t="inlineStr">
        <is>
          <t>IFRS 18 영업활동으로인한현금흐름</t>
        </is>
      </c>
      <c r="D83" s="2236">
        <f>SUM(D80:D82)</f>
        <v>1280060549</v>
      </c>
      <c r="E83" s="2236">
        <f>SUM(E80:E82)</f>
        <v>1246957330</v>
      </c>
    </row>
    <row r="85">
      <c r="B85" s="2234" t="inlineStr">
        <is>
          <t>[범례/가정]</t>
        </is>
      </c>
    </row>
    <row r="86" ht="28" customHeight="1" s="2214">
      <c r="B86" s="2237" t="inlineStr">
        <is>
          <t>파란글씨·노란 배경 = 입력 셀. G열에 해당 조정항목의 손익계산서 계정과목명을 입력하면 [연결PL_IFRS18]의 IFRS 18 구분이 H열에 자동 판정되고, 영업이 아니면 조정에서 제외됩니다(비워두면 영업으로 간주).</t>
        </is>
      </c>
    </row>
    <row r="87" ht="28" customHeight="1" s="2214">
      <c r="B87" s="2237" t="inlineStr">
        <is>
          <t>이자수취는 투자활동, 이자지급은 재무활동으로 고정 분류(IFRS 18 에 따른 IAS 7 개정, 선택 불가). 배당금 수취/지급은 해당 시 노란 셀에 입력.</t>
        </is>
      </c>
    </row>
    <row r="88" ht="28" customHeight="1" s="2214">
      <c r="B88" s="2237" t="inlineStr">
        <is>
          <t>법인세 납부(환급)는 영업활동 유지 (투자·재무활동에 특정되는 경우 제외). 외화환산손익 등 영업손익 범주 변경 시 비영업 현금 효과는 검증행 3에서 확인.</t>
        </is>
      </c>
    </row>
  </sheetData>
  <mergeCells count="3">
    <mergeCell ref="B88:I88"/>
    <mergeCell ref="B87:I87"/>
    <mergeCell ref="B86:I86"/>
  </mergeCells>
  <pageMargins left="0.75" right="0.75" top="1" bottom="1" header="0.5" footer="0.5"/>
  <pageSetup orientation="portrait" fitToHeight="0" fitToWidth="1"/>
</worksheet>
</file>

<file path=xl/worksheets/sheet83.xml><?xml version="1.0" encoding="utf-8"?>
<worksheet xmlns="http://schemas.openxmlformats.org/spreadsheetml/2006/main">
  <sheetPr>
    <tabColor rgb="001F4E78"/>
    <outlinePr summaryBelow="1" summaryRight="1"/>
    <pageSetUpPr fitToPage="1"/>
  </sheetPr>
  <dimension ref="B1:E41"/>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2" customWidth="1" style="2214" min="1" max="1"/>
    <col width="46" customWidth="1" style="2214" min="2" max="2"/>
    <col width="8" customWidth="1" style="2214" min="3" max="3"/>
    <col width="18" customWidth="1" style="2214" min="4" max="4"/>
    <col width="18" customWidth="1" style="2214" min="5" max="5"/>
  </cols>
  <sheetData>
    <row r="1">
      <c r="B1" s="2217" t="inlineStr">
        <is>
          <t>연결 손익계산서 (IFRS 18 기준)</t>
        </is>
      </c>
    </row>
    <row r="2">
      <c r="B2" s="2218" t="inlineStr">
        <is>
          <t>※ [연결PL_IFRS18] 시트 연동 (범주 재분류는 해당 시트 매핑표에서 변경). 3개월 기간 컬럼은 1분기 계정별 자료가 없어 제외하고 누적 기준으로만 표시했습니다.</t>
        </is>
      </c>
    </row>
    <row r="4">
      <c r="B4" s="2238" t="inlineStr">
        <is>
          <t>과 목</t>
        </is>
      </c>
      <c r="C4" s="2238" t="inlineStr">
        <is>
          <t>주석</t>
        </is>
      </c>
      <c r="D4" s="2239">
        <f>연결PL!D1</f>
        <v>46203</v>
      </c>
      <c r="E4" s="2239">
        <f>연결PL!E1</f>
        <v>45838</v>
      </c>
    </row>
    <row r="5">
      <c r="B5" s="2240" t="inlineStr">
        <is>
          <t>Ⅰ. 영업 범주</t>
        </is>
      </c>
      <c r="C5" s="2241" t="n"/>
      <c r="D5" s="2241" t="n"/>
      <c r="E5" s="2241" t="n"/>
    </row>
    <row r="6">
      <c r="B6" s="2226" t="inlineStr">
        <is>
          <t>매출액</t>
        </is>
      </c>
      <c r="D6" s="2227">
        <f>'연결PL_IFRS18'!D6</f>
        <v>8812244469</v>
      </c>
      <c r="E6" s="2227">
        <f>'연결PL_IFRS18'!E6</f>
        <v>9441165967</v>
      </c>
    </row>
    <row r="7">
      <c r="B7" s="2226" t="inlineStr">
        <is>
          <t>매출원가</t>
        </is>
      </c>
      <c r="D7" s="2227">
        <f>'연결PL_IFRS18'!D7</f>
        <v>3634217621</v>
      </c>
      <c r="E7" s="2227">
        <f>'연결PL_IFRS18'!E7</f>
        <v>3581100990</v>
      </c>
    </row>
    <row r="8">
      <c r="B8" s="2215" t="inlineStr">
        <is>
          <t>매출총이익</t>
        </is>
      </c>
      <c r="C8" s="2225" t="n"/>
      <c r="D8" s="2216">
        <f>'연결PL_IFRS18'!D8</f>
        <v>5178026848</v>
      </c>
      <c r="E8" s="2216">
        <f>'연결PL_IFRS18'!E8</f>
        <v>5860064977</v>
      </c>
    </row>
    <row r="9">
      <c r="B9" s="2226" t="inlineStr">
        <is>
          <t>판매비와관리비</t>
        </is>
      </c>
      <c r="D9" s="2227">
        <f>'연결PL_IFRS18'!D9</f>
        <v>5969068326</v>
      </c>
      <c r="E9" s="2227">
        <f>'연결PL_IFRS18'!E9</f>
        <v>4763859751</v>
      </c>
    </row>
    <row r="10">
      <c r="B10" s="2226" t="inlineStr">
        <is>
          <t>기타영업수익</t>
        </is>
      </c>
      <c r="D10" s="2227">
        <f>'연결PL_IFRS18'!D10</f>
        <v>189101679</v>
      </c>
      <c r="E10" s="2227">
        <f>'연결PL_IFRS18'!E10</f>
        <v>28740950</v>
      </c>
    </row>
    <row r="11">
      <c r="B11" s="2226" t="inlineStr">
        <is>
          <t>기타영업비용</t>
        </is>
      </c>
      <c r="D11" s="2227">
        <f>'연결PL_IFRS18'!D11</f>
        <v>183777316</v>
      </c>
      <c r="E11" s="2227">
        <f>'연결PL_IFRS18'!E11</f>
        <v>106582748</v>
      </c>
    </row>
    <row r="12">
      <c r="B12" s="2215" t="inlineStr">
        <is>
          <t>영업이익(손실)</t>
        </is>
      </c>
      <c r="C12" s="2225" t="n"/>
      <c r="D12" s="2216">
        <f>'연결PL_IFRS18'!D12</f>
        <v>-785717115</v>
      </c>
      <c r="E12" s="2216">
        <f>'연결PL_IFRS18'!E12</f>
        <v>1018363428</v>
      </c>
    </row>
    <row r="13">
      <c r="B13" s="2240" t="inlineStr">
        <is>
          <t>Ⅱ. 투자 범주</t>
        </is>
      </c>
      <c r="C13" s="2241" t="n"/>
      <c r="D13" s="2241" t="n"/>
      <c r="E13" s="2241" t="n"/>
    </row>
    <row r="14">
      <c r="B14" s="2226" t="inlineStr">
        <is>
          <t>투자수익</t>
        </is>
      </c>
      <c r="D14" s="2227">
        <f>'연결PL_IFRS18'!D15</f>
        <v>2090047231</v>
      </c>
      <c r="E14" s="2227">
        <f>'연결PL_IFRS18'!E15</f>
        <v>28253274</v>
      </c>
    </row>
    <row r="15">
      <c r="B15" s="2226" t="inlineStr">
        <is>
          <t>투자비용</t>
        </is>
      </c>
      <c r="D15" s="2227">
        <f>'연결PL_IFRS18'!D16</f>
        <v>2067945777</v>
      </c>
      <c r="E15" s="2227">
        <f>'연결PL_IFRS18'!E16</f>
        <v>0</v>
      </c>
    </row>
    <row r="16">
      <c r="B16" s="2215" t="inlineStr">
        <is>
          <t>투자손익</t>
        </is>
      </c>
      <c r="C16" s="2225" t="n"/>
      <c r="D16" s="2216">
        <f>'연결PL_IFRS18'!D17</f>
        <v>22101454</v>
      </c>
      <c r="E16" s="2216">
        <f>'연결PL_IFRS18'!E17</f>
        <v>28253274</v>
      </c>
    </row>
    <row r="17">
      <c r="B17" s="2215" t="inlineStr">
        <is>
          <t>재무 및 법인세 전 손익</t>
        </is>
      </c>
      <c r="C17" s="2225" t="n"/>
      <c r="D17" s="2216">
        <f>'연결PL_IFRS18'!D18</f>
        <v>-763615661</v>
      </c>
      <c r="E17" s="2216">
        <f>'연결PL_IFRS18'!E18</f>
        <v>1046616702</v>
      </c>
    </row>
    <row r="18">
      <c r="B18" s="2240" t="inlineStr">
        <is>
          <t>Ⅲ. 재무 범주</t>
        </is>
      </c>
      <c r="C18" s="2241" t="n"/>
      <c r="D18" s="2241" t="n"/>
      <c r="E18" s="2241" t="n"/>
    </row>
    <row r="19">
      <c r="B19" s="2226" t="inlineStr">
        <is>
          <t>재무수익</t>
        </is>
      </c>
      <c r="D19" s="2227">
        <f>'연결PL_IFRS18'!D21</f>
        <v>0</v>
      </c>
      <c r="E19" s="2227">
        <f>'연결PL_IFRS18'!E21</f>
        <v>0</v>
      </c>
    </row>
    <row r="20">
      <c r="B20" s="2226" t="inlineStr">
        <is>
          <t>재무비용</t>
        </is>
      </c>
      <c r="D20" s="2227">
        <f>'연결PL_IFRS18'!D22</f>
        <v>98954951</v>
      </c>
      <c r="E20" s="2227">
        <f>'연결PL_IFRS18'!E22</f>
        <v>45786340</v>
      </c>
    </row>
    <row r="21">
      <c r="B21" s="2215" t="inlineStr">
        <is>
          <t>재무손익</t>
        </is>
      </c>
      <c r="C21" s="2225" t="n"/>
      <c r="D21" s="2216">
        <f>'연결PL_IFRS18'!D23</f>
        <v>-98954951</v>
      </c>
      <c r="E21" s="2216">
        <f>'연결PL_IFRS18'!E23</f>
        <v>-45786340</v>
      </c>
    </row>
    <row r="22">
      <c r="B22" s="2215" t="inlineStr">
        <is>
          <t>법인세비용차감전순이익(손실)</t>
        </is>
      </c>
      <c r="C22" s="2225" t="n"/>
      <c r="D22" s="2216">
        <f>'연결PL_IFRS18'!D25</f>
        <v>-862570612</v>
      </c>
      <c r="E22" s="2216">
        <f>'연결PL_IFRS18'!E25</f>
        <v>1000830362</v>
      </c>
    </row>
    <row r="23">
      <c r="B23" s="2226" t="inlineStr">
        <is>
          <t>법인세비용</t>
        </is>
      </c>
      <c r="D23" s="2227">
        <f>'연결PL_IFRS18'!D26</f>
        <v>4983889</v>
      </c>
      <c r="E23" s="2227">
        <f>'연결PL_IFRS18'!E26</f>
        <v>4894989</v>
      </c>
    </row>
    <row r="24">
      <c r="B24" s="2215" t="inlineStr">
        <is>
          <t>당기순이익(손실)</t>
        </is>
      </c>
      <c r="C24" s="2225" t="n"/>
      <c r="D24" s="2216">
        <f>'연결PL_IFRS18'!D27</f>
        <v>-867554501</v>
      </c>
      <c r="E24" s="2216">
        <f>'연결PL_IFRS18'!E27</f>
        <v>995935373</v>
      </c>
    </row>
    <row r="25">
      <c r="B25" s="2232" t="inlineStr">
        <is>
          <t xml:space="preserve">  1.지배기업소유주지분</t>
        </is>
      </c>
      <c r="D25" s="2227">
        <f>D24-D26</f>
        <v>-867554501</v>
      </c>
      <c r="E25" s="2227">
        <f>E24-E26</f>
        <v>995935373</v>
      </c>
    </row>
    <row r="26">
      <c r="B26" s="2232" t="inlineStr">
        <is>
          <t xml:space="preserve">  2.비지배지분</t>
        </is>
      </c>
      <c r="D26" s="2227">
        <f>연결PL!D103</f>
        <v>0</v>
      </c>
      <c r="E26" s="2227">
        <f>연결PL!E103</f>
        <v>0</v>
      </c>
    </row>
    <row r="27">
      <c r="B27" s="2215" t="inlineStr">
        <is>
          <t>기타포괄손익</t>
        </is>
      </c>
      <c r="C27" s="2225" t="n"/>
      <c r="D27" s="2216">
        <f>'연결PL_IFRS18'!D30</f>
        <v>11298394</v>
      </c>
      <c r="E27" s="2216">
        <f>'연결PL_IFRS18'!E30</f>
        <v>-26600734</v>
      </c>
    </row>
    <row r="28">
      <c r="B28" s="2226" t="inlineStr">
        <is>
          <t>당기손익으로 재분류되지 않는 항목</t>
        </is>
      </c>
      <c r="D28" s="2227">
        <f>'연결PL_IFRS18'!D28</f>
        <v>0</v>
      </c>
      <c r="E28" s="2227">
        <f>'연결PL_IFRS18'!E28</f>
        <v>0</v>
      </c>
    </row>
    <row r="29">
      <c r="B29" s="2226" t="inlineStr">
        <is>
          <t>후속적으로 당기손익으로 재분류되는 항목</t>
        </is>
      </c>
      <c r="D29" s="2227">
        <f>'연결PL_IFRS18'!D29</f>
        <v>11298394</v>
      </c>
      <c r="E29" s="2227">
        <f>'연결PL_IFRS18'!E29</f>
        <v>-26600734</v>
      </c>
    </row>
    <row r="30">
      <c r="B30" s="2215" t="inlineStr">
        <is>
          <t>총포괄손익</t>
        </is>
      </c>
      <c r="C30" s="2225" t="n"/>
      <c r="D30" s="2216">
        <f>D24+D27</f>
        <v>-856256107</v>
      </c>
      <c r="E30" s="2216">
        <f>E24+E27</f>
        <v>969334639</v>
      </c>
    </row>
    <row r="31">
      <c r="B31" s="2232" t="inlineStr">
        <is>
          <t xml:space="preserve">  1.지배기업소유주지분</t>
        </is>
      </c>
      <c r="D31" s="2227">
        <f>D30-D32</f>
        <v>-856256107</v>
      </c>
      <c r="E31" s="2227">
        <f>E30-E32</f>
        <v>969334639</v>
      </c>
    </row>
    <row r="32">
      <c r="B32" s="2232" t="inlineStr">
        <is>
          <t xml:space="preserve">  2.비지배지분</t>
        </is>
      </c>
      <c r="D32" s="2227">
        <f>연결PL!D111</f>
        <v>0</v>
      </c>
      <c r="E32" s="2227">
        <f>연결PL!E111</f>
        <v>0</v>
      </c>
    </row>
    <row r="33">
      <c r="B33" s="2240" t="inlineStr">
        <is>
          <t>주당이익</t>
        </is>
      </c>
      <c r="C33" s="2241" t="n"/>
      <c r="D33" s="2241" t="n"/>
      <c r="E33" s="2241" t="n"/>
    </row>
    <row r="34">
      <c r="B34" s="2226" t="inlineStr">
        <is>
          <t>기본주당이익(손실)</t>
        </is>
      </c>
      <c r="D34" s="2242">
        <f>연결PL!D113</f>
        <v>-76</v>
      </c>
      <c r="E34" s="2242">
        <f>연결PL!E113</f>
        <v>159</v>
      </c>
    </row>
    <row r="35">
      <c r="B35" s="2226" t="inlineStr">
        <is>
          <t>희석주당손익(손실)</t>
        </is>
      </c>
      <c r="D35" s="2242">
        <f>연결PL!D114</f>
        <v>-76</v>
      </c>
      <c r="E35" s="2242">
        <f>연결PL!E114</f>
        <v>157</v>
      </c>
    </row>
    <row r="37">
      <c r="B37" s="2234" t="inlineStr">
        <is>
          <t>[검증] 기존 손익계산서 대비 (0이어야 함)</t>
        </is>
      </c>
    </row>
    <row r="38">
      <c r="B38" s="2232" t="inlineStr">
        <is>
          <t>당기순이익 - [연결PL]</t>
        </is>
      </c>
      <c r="D38" s="2227">
        <f>D24-연결PL!D101</f>
        <v>0</v>
      </c>
      <c r="E38" s="2227">
        <f>E24-연결PL!E101</f>
        <v>0</v>
      </c>
    </row>
    <row r="39">
      <c r="B39" s="2232" t="inlineStr">
        <is>
          <t>총포괄손익 - [연결PL]</t>
        </is>
      </c>
      <c r="D39" s="2227">
        <f>D30-연결PL!D109</f>
        <v>0</v>
      </c>
      <c r="E39" s="2227">
        <f>E30-연결PL!E109</f>
        <v>0</v>
      </c>
    </row>
    <row r="40">
      <c r="B40" s="2232" t="inlineStr">
        <is>
          <t>당기순이익 - [공시PL]</t>
        </is>
      </c>
      <c r="D40" s="2227">
        <f>D24-공시PL!F16</f>
        <v>0</v>
      </c>
    </row>
    <row r="41">
      <c r="B41" s="2234" t="inlineStr">
        <is>
          <t>종합 검증</t>
        </is>
      </c>
      <c r="D41" s="2235" t="str">
        <f>IF(SUMPRODUCT(ABS(D38:E40))=0,"OK","확인필요")</f>
        <v>OK</v>
      </c>
    </row>
  </sheetData>
  <pageMargins left="0.75" right="0.75" top="1" bottom="1" header="0.5" footer="0.5"/>
  <pageSetup orientation="portrait" fitToHeight="0" fitToWidth="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80</vt:i4>
      </vt:variant>
      <vt:variant>
        <vt:lpstr>이름 지정된 범위</vt:lpstr>
      </vt:variant>
      <vt:variant>
        <vt:i4>1</vt:i4>
      </vt:variant>
    </vt:vector>
  </HeadingPairs>
  <TitlesOfParts>
    <vt:vector size="81" baseType="lpstr">
      <vt:lpstr>A0</vt:lpstr>
      <vt:lpstr>계정코드</vt:lpstr>
      <vt:lpstr>환율</vt:lpstr>
      <vt:lpstr>&gt;&gt;BSPL</vt:lpstr>
      <vt:lpstr>연결PL</vt:lpstr>
      <vt:lpstr>연결CF</vt:lpstr>
      <vt:lpstr>연결CE</vt:lpstr>
      <vt:lpstr>공시PL</vt:lpstr>
      <vt:lpstr>연결BS</vt:lpstr>
      <vt:lpstr>CF정산표</vt:lpstr>
      <vt:lpstr>BS</vt:lpstr>
      <vt:lpstr>PL</vt:lpstr>
      <vt:lpstr>별도정산표</vt:lpstr>
      <vt:lpstr>울트라팜_FS</vt:lpstr>
      <vt:lpstr>ATGC_BS</vt:lpstr>
      <vt:lpstr>ATGC_PL</vt:lpstr>
      <vt:lpstr>HK_BS</vt:lpstr>
      <vt:lpstr>HK_PL</vt:lpstr>
      <vt:lpstr>DHK_BS</vt:lpstr>
      <vt:lpstr>DHK_PL</vt:lpstr>
      <vt:lpstr>상해_BS</vt:lpstr>
      <vt:lpstr>상해_PL</vt:lpstr>
      <vt:lpstr>SG_BS</vt:lpstr>
      <vt:lpstr>SG_PL</vt:lpstr>
      <vt:lpstr>RIC</vt:lpstr>
      <vt:lpstr>ATGC</vt:lpstr>
      <vt:lpstr>HK</vt:lpstr>
      <vt:lpstr>DHK</vt:lpstr>
      <vt:lpstr>상해</vt:lpstr>
      <vt:lpstr>울트라팜</vt:lpstr>
      <vt:lpstr>SG</vt:lpstr>
      <vt:lpstr>환율변동효과</vt:lpstr>
      <vt:lpstr>지분법및기타</vt:lpstr>
      <vt:lpstr>RoS</vt:lpstr>
      <vt:lpstr>NCI</vt:lpstr>
      <vt:lpstr>RIT</vt:lpstr>
      <vt:lpstr>Tax</vt:lpstr>
      <vt:lpstr>유효세율</vt:lpstr>
      <vt:lpstr>지분법계산_에이티지씨</vt:lpstr>
      <vt:lpstr>지분법계산_엠에이치메디</vt:lpstr>
      <vt:lpstr>연결PL3월</vt:lpstr>
      <vt:lpstr>C.FN&gt;&gt;</vt:lpstr>
      <vt:lpstr>주석추가현황_0302</vt:lpstr>
      <vt:lpstr>1</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19</vt:lpstr>
      <vt:lpstr>20</vt:lpstr>
      <vt:lpstr>21</vt:lpstr>
      <vt:lpstr>22</vt:lpstr>
      <vt:lpstr>23</vt:lpstr>
      <vt:lpstr>24</vt:lpstr>
      <vt:lpstr>25</vt:lpstr>
      <vt:lpstr>26</vt:lpstr>
      <vt:lpstr>27</vt:lpstr>
      <vt:lpstr>28</vt:lpstr>
      <vt:lpstr>29</vt:lpstr>
      <vt:lpstr>30</vt:lpstr>
      <vt:lpstr>31</vt:lpstr>
      <vt:lpstr>32</vt:lpstr>
      <vt:lpstr>33</vt:lpstr>
      <vt:lpstr>34</vt:lpstr>
      <vt:lpstr>35</vt:lpstr>
      <vt:lpstr>36</vt:lpstr>
      <vt:lpstr>정부과제</vt:lpstr>
      <vt:lpstr>연결PL!Print_Area</vt:lpstr>
    </vt:vector>
  </TitlesOfParts>
  <Company>KPMG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 Ye-Hwan (KR/IGH)</dc:creator>
  <cp:lastModifiedBy>준기 홍</cp:lastModifiedBy>
  <cp:lastPrinted>2019-11-08T08:05:11Z</cp:lastPrinted>
  <dcterms:created xsi:type="dcterms:W3CDTF">2018-03-12T06:25:38Z</dcterms:created>
  <dcterms:modified xsi:type="dcterms:W3CDTF">2026-08-13T02:09:17Z</dcterms:modified>
</cp:coreProperties>
</file>